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History" sheetId="2" r:id="rId5"/>
    <sheet state="visible" name="expandir cellArray" sheetId="3" r:id="rId6"/>
    <sheet state="visible" name="Limite de precisao" sheetId="4" r:id="rId7"/>
    <sheet state="visible" name="Sheets limit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Coordenadas de orientação em quatérnio (a + bi + cj + dk).
O Jmol expressa o componente real por último (bi + cj + dk + a), então a quarta coluna é da componente real.
	-Rodrigo Consoli</t>
      </text>
    </comment>
    <comment authorId="0" ref="H1">
      <text>
        <t xml:space="preserve">Unix Epoch partindo do início de cada tarefa.
https://www.epochconverter.com/
	-Rodrigo Consoli</t>
      </text>
    </comment>
    <comment authorId="0" ref="I1">
      <text>
        <t xml:space="preserve">Duração da tarefa
	-Rodrigo Consoli</t>
      </text>
    </comment>
    <comment authorId="0" ref="F1">
      <text>
        <t xml:space="preserve">Razão entre pixels da tela e unidades de distância entre os vértices (no Jmol é em Angstroms)
	-Rodrigo Consoli</t>
      </text>
    </comment>
    <comment authorId="0" ref="E1">
      <text>
        <t xml:space="preserve">Identificador da tarefa realizada.
	-Rodrigo Consoli</t>
      </text>
    </comment>
    <comment authorId="0" ref="C1">
      <text>
        <t xml:space="preserve">Nome da pessoa
	-Rodrigo Consoli</t>
      </text>
    </comment>
    <comment authorId="0" ref="B1">
      <text>
        <t xml:space="preserve">Email da pessoa
	-Rodrigo Consoli</t>
      </text>
    </comment>
    <comment authorId="0" ref="A1">
      <text>
        <t xml:space="preserve">Data do recebimento dos dados pela planilha
	-Rodrigo Consoli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Caracteres fixos: {,} {0.} {-}
	-Rodrigo Consoli</t>
      </text>
    </comment>
    <comment authorId="0" ref="P1">
      <text>
        <t xml:space="preserve">soma 4 caracteres "fixos": {-0.} e {,}
	-Rodrigo Consoli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Quantidade de subjects é altamente variável. Quantidade de tasks é mais previsível/estável.
	-Rodrigo Consoli</t>
      </text>
    </comment>
  </commentList>
</comments>
</file>

<file path=xl/sharedStrings.xml><?xml version="1.0" encoding="utf-8"?>
<sst xmlns="http://schemas.openxmlformats.org/spreadsheetml/2006/main" count="383" uniqueCount="274">
  <si>
    <t>timestamp</t>
  </si>
  <si>
    <t>email</t>
  </si>
  <si>
    <t>fname</t>
  </si>
  <si>
    <t>sessionID</t>
  </si>
  <si>
    <t>task_id</t>
  </si>
  <si>
    <t>pxAngstRatio</t>
  </si>
  <si>
    <t>epochStart</t>
  </si>
  <si>
    <t>epochArr</t>
  </si>
  <si>
    <t>duration</t>
  </si>
  <si>
    <t>fQi</t>
  </si>
  <si>
    <t>fQj</t>
  </si>
  <si>
    <t>fQk</t>
  </si>
  <si>
    <t>fQr</t>
  </si>
  <si>
    <t>sessionID test</t>
  </si>
  <si>
    <t>1680369443236-u0n2g</t>
  </si>
  <si>
    <t>bastao_c</t>
  </si>
  <si>
    <t>27.110934800342118,27.110934800342104</t>
  </si>
  <si>
    <t>1680369453309</t>
  </si>
  <si>
    <t>11,103,215,295,406,501,611,705,798,907,1003,1098,1205,1301,1400,1507,1601,1696,1809,1908,1995,2105,2200,2309,2402,2497,2593,2708,2799,2895,3010,3102,3201,3290,3400,3499,3605,3701,3799,3893,4004,4100,4211,4302,4401,4510,4604,4704,4793,4902,4997,5091,5202,5295,5404,5498,5593,5706,5801,5892,6003,6096,6208,6302,6397,6507,6602,6696,6831,6900,6996,7106,7203,7297,7409,7503,7600,7694,7804,7899,7993,8104,8200,8311,8406,8505,8594,8706,8799,8893,9002,9099,9194,9303,9400,9508,9603,9697,9793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</si>
  <si>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</t>
  </si>
  <si>
    <t>0.624884,0.624884,0.624884,0.624884,0.624884,0.624884,0.624884,0.624884,0.624884,0.624884,-0.388695,0.408087,0.525221,0.508595,0.513103,0.744059,0.744059,0.744059,0.802523,0.917114,0.913756,0.913756,0.913756,0.757071,0.651823,0.651823,0.651823,-0.154832,-0.213001,-0.213001,-0.319698,-0.616999,-0.615564,-0.480235,-0.406451,-0.369811,-0.369845,-0.358263,-0.360019,-0.380927,-0.529485,-0.568014,-0.574645,-0.472642,-0.364906,-0.34359,-0.340746,-0.384271,-0.412077,-0.402619,-0.402619,-0.402619,-0.402619,-0.402619,-0.402619,-0.402619,-0.417381,-0.429626,-0.47012,-0.472813,-0.478177,-0.479763,-0.479763,-0.479763,-0.479763,-0.479763,-0.479763,-0.479763,-0.489856,-0.493528,-0.493528,-0.493528,-0.493528,-0.493528,-0.493528,-0.493528,-0.493528,-0.493528,-0.493528,-0.493528,-0.493528,-0.493528,-0.493528,-0.493528,-0.493528,-0.493528,-0.493528,-0.493528,-0.493528,-0.493528,-0.493528,-0.493528,-0.493528,-0.493528,-0.493528,-0.493528,-0.493528,-0.493528,-0.493528</t>
  </si>
  <si>
    <t>-0.036592,-0.036592,-0.036592,-0.036592,-0.036592,-0.036592,-0.036592,-0.036592,-0.036592,-0.036592,-0.023092,0.139971,0.195773,0.178669,0.177429,0.228048,0.228048,0.228048,0.255163,0.298021,0.297735,0.297735,0.297735,0.055074,0.022296,0.022296,0.022296,-0.289279,-0.320532,-0.320532,-0.322436,-0.252825,-0.246477,-0.254252,-0.332206,-0.446202,-0.453335,-0.33784,-0.13225,-0.02416,0.021358,-0.011918,-0.20225,-0.350699,-0.329729,-0.260086,-0.257966,-0.246179,-0.206188,-0.250335,-0.250335,-0.250335,-0.250335,-0.250335,-0.250335,-0.250335,-0.265136,-0.265542,-0.277654,-0.279537,-0.283288,-0.292349,-0.292349,-0.292349,-0.292349,-0.292349,-0.292349,-0.292349,-0.283591,-0.27826,-0.27826,-0.27826,-0.27826,-0.27826,-0.27826,-0.27826,-0.27826,-0.27826,-0.27826,-0.27826,-0.27826,-0.27826,-0.27826,-0.27826,-0.27826,-0.27826,-0.27826,-0.27826,-0.27826,-0.27826,-0.27826,-0.27826,-0.27826,-0.27826,-0.27826,-0.27826,-0.27826,-0.27826,-0.27826</t>
  </si>
  <si>
    <t>-0.699007,-0.699007,-0.699007,-0.699007,-0.699007,-0.699007,-0.699007,-0.699007,-0.699007,-0.699007,0.802853,0.783252,0.715481,0.731206,0.729893,0.553671,0.553671,0.553671,0.470579,-0.242287,-0.251907,-0.251907,-0.251907,-0.431446,-0.477383,-0.477383,-0.477383,-0.452738,-0.431176,-0.431176,-0.383137,-0.18432,-0.180393,-0.250484,-0.313207,-0.360232,-0.361382,-0.347466,-0.285354,-0.244035,-0.205506,-0.221831,-0.340758,-0.46809,-0.535285,-0.539308,-0.540325,-0.518121,-0.495978,-0.510672,-0.510672,-0.510672,-0.510672,-0.510672,-0.510672,-0.510672,-0.506165,-0.49968,-0.479885,-0.478791,-0.476581,-0.478103,-0.478103,-0.478103,-0.478103,-0.478103,-0.478103,-0.478103,-0.469346,-0.465485,-0.465485,-0.465485,-0.465485,-0.465485,-0.465485,-0.465485,-0.465485,-0.465485,-0.465485,-0.465485,-0.465485,-0.465485,-0.465485,-0.465485,-0.465485,-0.465485,-0.465485,-0.465485,-0.465485,-0.465485,-0.465485,-0.465485,-0.465485,-0.465485,-0.465485,-0.465485,-0.465485,-0.465485,-0.465485</t>
  </si>
  <si>
    <t>-0.34579,-0.34579,-0.34579,-0.34579,-0.34579,-0.34579,-0.34579,-0.34579,-0.34579,-0.34579,0.451453,0.447649,0.417018,0.418027,0.415332,0.29634,0.29634,0.29634,0.263447,-0.106688,-0.11378,-0.11378,-0.11378,0.487508,0.588842,0.588842,0.588842,0.82908,0.816074,0.816074,0.804385,0.722093,0.72649,0.801242,0.791415,0.731011,0.72602,0.797984,0.878333,0.891492,0.822774,0.79247,0.716074,0.659174,0.686726,0.723498,0.724841,0.723382,0.735992,0.717249,0.717249,0.717249,0.717249,0.717249,0.717249,0.717249,0.706607,0.703725,0.686736,0.684884,0.68115,0.675112,0.675112,0.675112,0.675112,0.675112,0.675112,0.675112,0.677739,0.679946,0.679946,0.679946,0.679946,0.679946,0.679946,0.679946,0.679946,0.679946,0.679946,0.679946,0.679946,0.679946,0.679946,0.679946,0.679946,0.679946,0.679946,0.679946,0.679946,0.679946,0.679946,0.679946,0.679946,0.679946,0.679946,0.679946,0.679946,0.679946,0.679946</t>
  </si>
  <si>
    <t>bastao_g</t>
  </si>
  <si>
    <t>27.11093480034211,27.110934800342125</t>
  </si>
  <si>
    <t>1680369465819</t>
  </si>
  <si>
    <t>1,110,204,296,390,502,599,708,807,895,1004,1102,1199,1305,1397,1492,1600,1694,1803,1897,2006,2109,2199,2303,2398,2508,2601,2695,2810,2901,2999,3109,3206,3300,3410,3509,3600,3694,3804,3900,3992,4102,4229,4292,4402,4498,4593,4705,4799,4893,5001,5095,5205,5300,5395,5504,5600,5694,5805,5901</t>
  </si>
  <si>
    <t>0,0.1,0.2,0.3,0.4,0.5,0.6,0.7,0.8,0.9,1,1.1,1.2,1.3,1.4,1.5,1.6,1.7,1.8,1.9,2,2.1,2.2,2.3,2.4,2.5,2.6,2.7,2.8,2.9,3,3.1,3.2,3.3,3.4,3.5,3.6,3.7,3.8,3.9,4,4.1,4.2,4.3,4.4,4.5,4.6,4.7,4.8,4.9,5,5.1,5.2,5.3,5.4,5.5,5.6,5.7,5.8,5.9</t>
  </si>
  <si>
    <t>0.624884,0.624884,0.624884,0.624884,0.624884,0.624884,-0.545865,-0.313096,-0.037243,-0.037243,-0.037243,-0.031783,0.421159,0.577391,0.577391,0.807046,0.88461,0.88461,0.88461,0.860443,0.860443,0.849987,0.424958,0.372628,0.372628,-0.402813,-0.449029,-0.449029,-0.53967,-0.595814,-0.581684,0.563221,0.584618,0.648511,0.70269,-0.663508,-0.545029,-0.456016,-0.483573,-0.520591,-0.53257,-0.534248,-0.527485,-0.527485,-0.527485,-0.529188,-0.529005,-0.528041,-0.520063,-0.520063,-0.513985,-0.513985,-0.513985,-0.513985,-0.513985,-0.513985,-0.513985,-0.513985,-0.513985,-0.513985</t>
  </si>
  <si>
    <t>-0.036592,-0.036592,-0.036592,-0.036592,-0.036592,-0.036592,-0.01214,-0.171264,-0.140145,-0.140145,-0.140145,-0.140765,-0.122248,-0.043755,-0.043755,0.09975,0.183337,0.183337,0.183337,0.277059,0.277059,0.276606,0.150086,0.164208,0.164208,0.046321,0.019878,0.019878,-0.047054,-0.123716,-0.167742,0.26896,0.298844,0.260289,0.174243,-0.090613,-0.073544,-0.245321,-0.337805,-0.317801,-0.299621,-0.297005,-0.307441,-0.307441,-0.307441,-0.304839,-0.29363,-0.289315,-0.284255,-0.284255,-0.287894,-0.287894,-0.287894,-0.287894,-0.287894,-0.287894,-0.287894,-0.287894,-0.287894,-0.287894</t>
  </si>
  <si>
    <t>-0.699007,-0.699007,-0.699007,-0.699007,-0.699007,-0.699007,0.734912,0.761748,0.774408,0.774408,0.774408,0.773992,0.647221,0.544846,0.544846,0.300252,0.121515,0.121515,0.121515,-0.086233,-0.086233,-0.096108,-0.247601,-0.267957,-0.267957,-0.447806,-0.449757,-0.449757,-0.454507,-0.46814,-0.497819,0.544839,0.53584,0.467284,0.370979,-0.329018,-0.363936,-0.469629,-0.474458,-0.442976,-0.4285,-0.426406,-0.434745,-0.434745,-0.434745,-0.43267,-0.428746,-0.427804,-0.431183,-0.431183,-0.436367,-0.436367,-0.436367,-0.436367,-0.436367,-0.436367,-0.436367,-0.436367,-0.436367,-0.436367</t>
  </si>
  <si>
    <t>-0.34579,-0.34579,-0.34579,-0.34579,-0.34579,-0.34579,0.40223,0.540721,0.615844,0.615844,0.615844,0.616531,0.623526,0.606505,0.606505,0.498573,0.411202,0.411202,0.411202,0.418855,0.418855,0.437921,0.857659,0.873145,0.873145,0.79691,0.771814,0.771814,0.707082,0.640738,0.621033,-0.559994,-0.530839,-0.541599,-0.581584,0.665803,0.751721,0.715063,0.653402,0.657084,0.665571,0.666742,0.661995,0.661995,0.661995,0.663197,0.670904,0.674131,0.680305,0.680305,0.680089,0.680089,0.680089,0.680089,0.680089,0.680089,0.680089,0.680089,0.680089,0.680089</t>
  </si>
  <si>
    <t>1680369596504-9qgvj</t>
  </si>
  <si>
    <t>27.110934800342115,27.110934800342115</t>
  </si>
  <si>
    <t>1680369599714</t>
  </si>
  <si>
    <t>10,117,197,292,402,531,606,700,795,908,1002,1098,1203,1297,1392,1507,1597,1694,1807,1901,1995,2107,2209,2297,2398,2507,2597,2704,2799,2907,3002,3096,3203,3300,3393,3508,3603,3698,3807,3896,3992,4102,4197,4294,4410,4499,4594,4705,4800,4897,5003,5098,5208,5301,5396,5506,5601</t>
  </si>
  <si>
    <t>0,0.1,0.2,0.3,0.4,0.5,0.6,0.7,0.8,0.9,1,1.1,1.2,1.3,1.4,1.5,1.6,1.7,1.8,1.9,2,2.1,2.2,2.3,2.4,2.5,2.6,2.7,2.8,2.9,3,3.1,3.2,3.3,3.4,3.5,3.6,3.7,3.8,3.9,4,4.1,4.2,4.3,4.4,4.5,4.6,4.7,4.8,4.9,5,5.1,5.2,5.3,5.4,5.5,5.6</t>
  </si>
  <si>
    <t>0.624884,0.624884,0.624884,0.624884,0.624884,-0.426977,-0.332221,-0.332221,-0.332221,0.283137,0.286214,0.301283,0.66229,0.66229,0.66229,0.322837,0.185774,0.185774,-0.331483,0.485568,0.485568,0.485568,0.424636,0.403447,0.572586,0.705616,-0.676803,-0.633219,-0.643395,-0.659411,-0.604626,-0.606357,-0.608079,-0.583135,0.514327,0.501687,0.501758,0.52336,0.545447,0.547446,-0.553625,-0.565343,-0.565343,-0.531642,-0.537151,-0.542527,-0.534671,-0.534671,-0.534671,-0.534671,-0.534671,-0.534671,-0.534671,-0.534671,-0.534671,-0.534671,-0.534671</t>
  </si>
  <si>
    <t>-0.036592,-0.036592,-0.036592,-0.036592,-0.036592,-0.25361,-0.369906,-0.369906,-0.369906,-0.000522,-0.002691,0.018833,0.363315,0.363315,0.363315,0.52553,0.594948,0.594948,0.351148,-0.144321,-0.144321,-0.144321,0.360828,0.536927,0.432983,0.205175,-0.137053,-0.106872,-0.167897,-0.191411,-0.215307,-0.212844,-0.210378,-0.244588,0.312359,0.334988,0.339419,0.325669,0.291521,0.289171,-0.262274,-0.216249,-0.216249,-0.269945,-0.258201,-0.246372,-0.256264,-0.256264,-0.256264,-0.256264,-0.256264,-0.256264,-0.256264,-0.256264,-0.256264,-0.256264,-0.256264</t>
  </si>
  <si>
    <t>-0.699007,-0.699007,-0.699007,-0.699007,-0.699007,0.662705,0.603657,0.603657,0.603657,0.552185,0.552178,0.544103,0.290194,0.290194,0.290194,-0.020154,-0.140191,-0.140191,-0.529488,0.627207,0.627207,0.627207,0.759375,0.711328,0.592279,0.381164,-0.351578,-0.355094,-0.38754,-0.391498,-0.441981,-0.439603,-0.437218,-0.469972,0.539787,0.553134,0.553771,0.535028,0.510202,0.508056,-0.495016,-0.469936,-0.469936,-0.510816,-0.50343,-0.495931,-0.504392,-0.504392,-0.504392,-0.504392,-0.504392,-0.504392,-0.504392,-0.504392,-0.504392,-0.504392,-0.504392</t>
  </si>
  <si>
    <t>-0.34579,-0.34579,-0.34579,-0.34579,-0.34579,0.560531,0.623215,0.623215,0.623215,0.784172,0.783054,0.782832,0.587505,0.587505,0.587505,0.786885,0.769332,0.769332,0.697465,-0.591614,-0.591614,-0.591614,-0.335912,-0.207249,-0.365892,-0.561002,0.632097,0.679353,0.638488,0.612592,0.626676,0.627517,0.628348,0.615838,-0.588667,-0.574575,-0.57129,-0.577736,-0.597661,-0.598801,0.616175,0.642483,0.642483,0.619317,0.625587,0.631678,0.62773,0.62773,0.62773,0.62773,0.62773,0.62773,0.62773,0.62773,0.62773,0.62773,0.62773</t>
  </si>
  <si>
    <t>rodrigo@gmail.com</t>
  </si>
  <si>
    <t>Rodrigo</t>
  </si>
  <si>
    <t>ball_stick-cor</t>
  </si>
  <si>
    <t>0.624883987936306,0.624883987936306,0.624883987936306,0.624883987936306,0.624883987936306,0.624883987936306,-0.5055432845936536,-0.31036073346286397,-0.08235412938132078,0.07185260075628659,0.06636170023351266,-0.04287695002653678,-0.15487614689482243,-0.1571227378478955,-0.15486596137580308,-0.15734287898699562,-0.15734287898699562,-0.0749544801565223,0.3347049088661046,0.648331610520111,0.7116678536715675,0.7116678536715675,0.7846581430194614,0.9438187970189521,0.9350958755835828,0.9317516195546998,0.9317516195546998,0.8609719913441064,0.7671578950745302,0.8200530349849745,0.7314795890341973,0.638781150539069,0.6577578483555742,0.6343243298876775,0.6343243298876775,0.6343243298876775,0.6248941370376531,0.2870124718956419,0.04057143352189362,-0.1262323776295349,-0.13486664473637736,-0.13486664473637736,-0.1108681367230028,-0.20680628896362832,-0.3970774333293474,-0.4903063991281294,-0.5001810050403347,-0.5066224529836254,-0.5066224529836254,-0.5066224529836254,-0.5066224529836254,-0.496986284366821,-0.496986284366821,-0.496986284366821,-0.5051520572966035,-0.5081181179054591,-0.5112530577793808,-0.5414215168503649,-0.5440573351607474,-0.5440573351607474,-0.5440573351607474,-0.5440573351607474,-0.5440573351607474,-0.5440573351607474,-0.5440573351607474,-0.5440573351607474,-0.5440573351607474</t>
  </si>
  <si>
    <t>-0.03659230559987375,-0.03659230559987375,-0.03659230559987375,-0.03659230559987375,-0.03659230559987375,-0.03659230559987375,-0.1552112734993598,-0.22102762399698272,-0.11713124272742975,0.07277245615812883,0.2607496571061777,0.33567821858972385,0.40119565467806395,0.4627100515178949,0.5059348896230087,0.5081587509664409,0.5081587509664409,0.47707045939289733,0.2995977780889227,0.07726822620667305,-0.010710006616542343,-0.010710006616542343,-0.10462657742332365,-0.2997868715771107,-0.2957419866744671,-0.29446373507422285,-0.29446373507422285,-0.23094219223740184,-0.23172353043929936,-0.46210175412324944,-0.488607450631873,-0.31763430267689063,-0.035920972496487104,0.16870742361737667,0.16870742361737667,0.16870742361737667,0.1967989712642288,0.2876302382393208,0.29002451287849945,0.15707768313612383,0.14376234649752054,0.14376234649752054,0.022150564645835057,-0.4466553302912779,-0.4483001840942266,-0.28943022944421937,-0.17693073313857496,-0.16159203241562825,-0.16159203241562825,-0.16159203241562825,-0.16159203241562825,-0.2007736137986878,-0.2007736137986878,-0.2007736137986878,-0.2225621996528631,-0.22393943763595706,-0.2326164026978585,-0.2362598055507442,-0.2304972606987984,-0.2304972606987984,-0.2304972606987984,-0.2304972606987984,-0.2304972606987984,-0.2304972606987984,-0.2304972606987984,-0.2304972606987984,-0.2304972606987984</t>
  </si>
  <si>
    <t>-0.699006863382204,-0.699006863382204,-0.699006863382204,-0.699006863382204,-0.699006863382204,-0.699006863382204,0.6809124443177028,0.6885567469800863,0.7200157284070706,0.7174391914816121,0.6827454297370176,0.6406912737300263,0.5881628589813529,0.5763874839748337,0.5672965153598429,0.5653053446532175,0.5653053446532175,0.6162223697887406,0.7607729069352624,0.7233184501392781,0.6903601906191186,0.6903601906191186,0.6106654193249639,0.10530542020355528,-0.1315952291101043,-0.14393999952123449,-0.14393999952123449,-0.4254892069024007,-0.5462452149305984,-0.07544264793128141,0.16697632106124372,0.12393658691400651,-0.12385374831668937,-0.2980319313269626,-0.2980319313269626,-0.2980319313269626,-0.32221065549653205,-0.521139730186976,-0.6158914416919066,-0.6669476612977114,-0.6698121335905395,-0.6698121335905395,-0.6874263383740592,-0.6163308025833057,-0.4880671965569982,-0.3831117159883132,-0.3329920133367888,-0.32310742622555355,-0.32310742622555355,-0.32310742622555355,-0.32310742622555355,-0.34540705313124137,-0.34540705313124137,-0.34540705313124137,-0.35114868477262146,-0.35027197975737945,-0.3524589860088218,-0.3377324390430781,-0.33346975177416405,-0.33346975177416405,-0.33346975177416405,-0.33346975177416405,-0.33346975177416405,-0.33346975177416405,-0.33346975177416405,-0.33346975177416405,-0.33346975177416405</t>
  </si>
  <si>
    <t>-0.34578954544097623,-0.34578954544097623,-0.34578954544097623,-0.34578954544097623,-0.34578954544097623,-0.34578954544097623,0.5066494756281293,0.6170191332064533,0.6790253457695142,0.6890735664030959,0.6793117246407155,0.6891998204345732,0.6849232636619477,0.6549727641609601,0.6310476092418706,0.6304345878477926,0.6304345878477926,0.6221379217272188,0.46844250385547115,0.22473576419294003,0.12968025685165446,0.12968025685165446,0.021274950777771563,-0.0908002120011779,0.14427430977090186,0.1562411748584796,0.1562411748584796,0.15605085317008607,0.24369886054511264,0.32906442457558965,0.4453305269327887,0.6897150236895345,0.742108176541303,0.6930710047595813,0.6930710047595813,0.6930710047595813,0.6833430879798247,0.7505371867185461,0.7313805252823125,0.7173373023815881,0.7158876179694456,0.7158876179694456,0.7173999150091062,0.6147084809521502,0.6349384761743874,0.72736180153371,0.7795067651546065,0.7828303113130834,0.7828303113130834,0.7828303113130834,0.7828303113130834,0.7703171793493042,0.7703171793493042,0.7703171793493042,0.7562949606318594,0.754305406797771,0.7485202624436921,0.7327897686175671,0.7346227286980802,0.7346227286980802,0.7346227286980802,0.7346227286980802,0.7346227286980802,0.7346227286980802,0.7346227286980802,0.7346227286980802,0.7346227286980802</t>
  </si>
  <si>
    <t>0.624883987936306,0.624883987936306,0.624883987936306,0.624883987936306,0.624883987936306,0.624883987936306,0.6150170544864986,-0.5525650488705061,-0.48583588820634865,-0.4558765459832933,-0.35276699383365523,-0.25577082767313297,-0.20691731982798334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</t>
  </si>
  <si>
    <t>-0.03659230559987375,-0.03659230559987375,-0.03659230559987375,-0.03659230559987375,-0.03659230559987375,-0.03659230559987375,-0.01047329767303558,-0.08887119196541336,-0.15530745808803947,-0.16668321041166717,-0.11475373129867904,-0.051657896289733565,-0.0019829811918029338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</t>
  </si>
  <si>
    <t>-0.699006863382204,-0.699006863382204,-0.699006863382204,-0.699006863382204,-0.699006863382204,-0.699006863382204,-0.697425832390263,0.6937961128021525,0.6903400656549433,0.6943910484345375,0.7415884510389528,0.7777412468978582,0.7944169692870682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</t>
  </si>
  <si>
    <t>-0.34578954544097623,-0.34578954544097623,-0.34578954544097623,-0.34578954544097623,-0.34578954544097623,-0.34578954544097623,-0.36775201024787324,0.45323363938040234,0.5131020141692181,0.5312385095634404,0.5589575999127687,0.5718665039465801,0.5710367496488696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</t>
  </si>
  <si>
    <t>Rodrigo2</t>
  </si>
  <si>
    <t>0.624883987936306,0.624883987936306,0.624883987936306,0.624883987936306,0.624883987936306,0.624883987936306,0.6150170544864986,-0.5525650488705061,-0.48583588820634865,-0.4558765459832933,-0.35276699383365523,-0.25577082767313297,-0.20691731982798334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-0.19978494806311797,0.624883987936306,0.624883987936306,0.624883987936306,0.624883987936306,0.624883987936306,0.624883987936306,0.624883987936306,0.624883987936306,-0.6049386520137149,-0.5188862578113851,-0.34886846647476744,-0.1899421321782967,0.04545555074025956,0.03680854941594461,-0.09078270613731547,-0.17028290139290225,-0.20804930571752525,-0.21772417617924264,-0.21772417617924264,-0.21772417617924264,-0.21399040535289346,0.029788160471344794,0.39888713535518633,0.5034746881052523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0.48996032618106916,0.49940797754707833,0.5979897640746128,0.5979897640746128,0.5979897640746128,0.5979897640746128,0.5979897640746128,0.5979897640746128,0.5979897640746128,0.5979897640746128</t>
  </si>
  <si>
    <t>-0.03659230559987375,-0.03659230559987375,-0.03659230559987375,-0.03659230559987375,-0.03659230559987375,-0.03659230559987375,-0.01047329767303558,-0.08887119196541336,-0.15530745808803947,-0.16668321041166717,-0.11475373129867904,-0.051657896289733565,-0.0019829811918029338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-0.03659230559987375,-0.03659230559987375,-0.03659230559987375,-0.03659230559987375,-0.03659230559987375,-0.03659230559987375,-0.03659230559987375,-0.03659230559987375,-0.001873533564422369,-0.1489588583459923,-0.24718681815642396,-0.26038103711168825,-0.12024448220985443,0.11166282610560326,0.3207521101842958,0.5289989824628738,0.7184353851460675,0.749975872059907,0.749975872059907,0.749975872059907,0.7467630881109744,0.6669983920214039,0.552545021525928,0.5019750230447443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0.37710215333425157,0.13026948218738096,0.0958270751470901,0.0958270751470901,0.0958270751470901,0.0958270751470901,0.0958270751470901,0.0958270751470901,0.0958270751470901,0.0958270751470901</t>
  </si>
  <si>
    <t>-0.699006863382204,-0.699006863382204,-0.699006863382204,-0.699006863382204,-0.699006863382204,-0.699006863382204,-0.697425832390263,0.6937961128021525,0.6903400656549433,0.6943910484345375,0.7415884510389528,0.7777412468978582,0.7944169692870682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-0.699006863382204,-0.699006863382204,-0.699006863382204,-0.699006863382204,-0.699006863382204,-0.699006863382204,-0.699006863382204,-0.699006863382204,0.6999614859094211,0.6794398987488235,0.6693004600720349,0.6659336421027606,0.6646262761596179,0.6521714056581308,0.5996751016375598,0.5270697060252048,0.43195530772730373,0.40612341157370035,0.40612341157370035,0.40612341157370035,0.41200112176454123,0.6412011558827508,0.7296557475109322,0.7013087444484558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0.7737062180149891,0.8074597308338427,0.7384405079202673,0.7384405079202673,0.7384405079202673,0.7384405079202673,0.7384405079202673,0.7384405079202673,0.7384405079202673,0.7384405079202673</t>
  </si>
  <si>
    <t>-0.34578954544097623,-0.34578954544097623,-0.34578954544097623,-0.34578954544097623,-0.34578954544097623,-0.34578954544097623,-0.36775201024787324,0.45323363938040234,0.5131020141692181,0.5312385095634404,0.5589575999127687,0.5718665039465801,0.5710367496488696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-0.34578954544097623,-0.34578954544097623,-0.34578954544097623,-0.34578954544097623,-0.34578954544097623,-0.34578954544097623,-0.34578954544097623,-0.34578954544097623,0.3796045777059173,0.4969202490973214,0.6076399955373324,0.6727972103479297,0.7360346258452676,0.7488985255679849,0.7275069460525377,0.6429318276745707,0.5039649748610394,0.474548363190509,0.474548363190509,0.474548363190509,0.4762437110520469,0.3782682754755146,0.05644061090480777,-0.05196498471738378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-0.1382444679694384,-0.2857101976736337,-0.29653166777462486,-0.29653166777462486,-0.29653166777462486,-0.29653166777462486,-0.29653166777462486,-0.29653166777462486,-0.29653166777462486,-0.29653166777462486</t>
  </si>
  <si>
    <t>colli@ime.usp.br</t>
  </si>
  <si>
    <t>Eduardo Colli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</si>
  <si>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-0.611103349207083,-0.6055162691748207,-0.6012371044643455,-0.5924290439796093,-0.5848375521825452,-0.5786018798181773,-0.5754304105902913,-0.5754304105902913,-0.5754304105902913,-0.5694342167235643,-0.5319446664872088,-0.5055123525688762,-0.47917382669506614,-0.4362434642996503,-0.42230321042218416,-0.42230321042218416,-0.42045374156246584,-0.388259408616985,-0.35148550584770927,-0.3373464411271351,-0.3231768001907531,-0.3180326347868384,-0.3169535184889378,-0.3169535184889378,-0.3169535184889378,-0.31055085246254527,-0.3035943154677757,-0.3069228973791048,-0.3282410970644561,-0.3951849280433362,-0.4420575519020403,-0.44970290523165296,-0.44970290523165296,-0.45728584443068965,-0.5547436952119895,-0.5918876419365089,0.6148198964874365,0.6292916968695454,0.6427719046868215,0.647377727775762,0.6530687111443357,0.665376841339062,0.6686799032061875,0.6686799032061875,0.6709234138367333,0.8515906507323613,0.8632054529776775,0.8632054529776775,0.8632054529776775,0.8828300154221712,0.8828300154221712,0.8828300154221712,0.8828300154221712,0.8828300154221712,0.8828300154221712,0.8828300154221712,0.8828300154221712,0.8828300154221712,0.8828300154221712,0.8828300154221712,0.8828300154221712,0.8828300154221712,0.8828300154221712,0.8828300154221712,0.8808735796727469,0.8728211538070842,0.6948730962802863,0.6630001953252193,0.6630001953252193,0.6170122357353641,-0.24144063795289528,-0.24144063795289528,-0.24144063795289528,-0.24144063795289528,-0.24144063795289528,-0.24144063795289528,-0.24144063795289528,-0.24144063795289528,-0.24144063795289528,-0.24144063795289528,-0.24144063795289528,-0.24144063795289528,-0.24144063795289528,-0.1275668588206281,-0.01319799824417216,0.04168768955126501,0.07125955630860772,0.07125955630860772,0.07125955630860772,0.07125955630860772,0.07125955630860772,0.06679760199487024,-0.5319172442990574,-0.6108413999543256,0.6883006633649815,0.6883006633649815,0.6883006633649815,0.6883006633649815,0.6883006633649815,0.6883006633649815,0.6883006633649815,0.6884668259653125,0.8946905170862172,0.9229765327281,0.9247177325620646,0.9234977590605834,0.9234977590605834,0.9242835197439004,0.9358901713454584,0.9434282089212751,0.9451556844860012,0.9461622652737195,0.9461622652737195,0.9490944007209687,0.9567986047676261,0.9576410798280717,0.9576410798280717,0.9576410798280717,0.9576410798280717,0.9576410798280717,0.9576410798280717,0.9576410798280717,0.9576410798280717,0.9576410798280717,0.9576410798280717,0.9576410798280717,0.9577767762246476,0.9252882511308694,0.8914267665984988,0.8692913550600339,0.8534546335738012,0.8488864911360585,0.8488893134087985,0.8535788491162591,0.8522815508682349,0.8504296516307737,0.8504296516307737,0.45040554335563093,0.43327584394904844,0.42982964726667905,0.42982964726667905,0.42982964726667905,0.31394076690819456,0.2792753378808737,0.2792753378808737,0.2792753378808737,0.2792753378808737,0.2792753378808737,0.2792753378808737,0.2798462793429704,0.2732723995785821,0.030569972139928812,-0.029474172555455955,-0.05346703285699751,-0.06934290641715021,-0.09843540084199602,-0.14016193287439271,-0.15177525300359007,-0.17108318115470536,-0.17108318115470536,-0.17108318115470536,-0.21239164903537583,-0.21967818668397288,-0.2363571122833999,-0.2318859134784321,-0.22136103632666795,-0.22216790091444288,-0.23619421673532995,-0.2332798356836243,-0.24801470873608292,-0.2580059453652789,-0.2580059453652789,-0.30246832956374103,-0.32250893534752734,-0.34239482670348415,-0.34574149488161626,-0.3487506723928823,-0.5245795323811436,-0.5360117012414415,-0.5330610974475999,-0.5216033222236894,-0.5150225968200778,-0.5148504543072497,-0.5148504543072497,-0.5148504543072497,-0.5148504543072497,-0.5148504543072497,-0.5148504543072497,-0.5148504543072497,-0.5148504543072497,-0.5148504543072497,-0.5148504543072497,-0.5148504543072497,-0.5148504543072497,-0.5148504543072497,-0.5148504543072497,-0.5096913028701464,-0.44090513910449525,-0.34459558277329094,-0.26591533327211797,-0.26591533327211797,-0.015616329036387345,0.07737549376441513,0.1474980202629782,0.1474980202629782,0.15827441328885558,0.22145410503394622,0.27936675688398355,0.27936675688398355,0.31548682788810695,0.3305883268294498,0.3476820009962258,0.35997725197396757,0.3612226994087062,0.37329412603653933,0.37329412603653933,0.43502216954899664,0.43502216954899664,0.43502216954899664,0.43502216954899664,0.43502216954899664,0.43502216954899664,0.43502216954899664,0.43502216954899664,0.43502216954899664,0.43502216954899664,0.43502216954899664,0.43502216954899664,0.4437668795745031,0.46658234876491367,0.5419553891217805,0.5793316870433637,0.6102721853296454,0.626803096647329,0.6442253802905187,0.6597465489531443,0.6597465489531443,0.6597465489531443,0.6597465489531443,0.6597465489531443,0.6597465489531443,0.6653074179976872,0.5871038257869898,0.4394602136569337,0.2546682625200076,0.2023698978820556,0.2023698978820556,-0.23491613211353768,-0.35785560678817463,-0.3836819154846167,-0.3836819154846167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-0.5749433723520582,-0.5893729535984356,-0.5979219918011571,-0.5937903454142847,-0.5909900941862454,-0.5881533879075567,-0.5881084777509857,-0.586659051103163,-0.586659051103163,-0.586659051103163,-0.586659051103163,-0.586659051103163,-0.586659051103163,-0.586659051103163,-0.586659051103163,-0.586659051103163,-0.586659051103163,-0.5837330792757021,-0.5837330792757021,-0.5822565792181662,-0.5807711000444281,-0.5807711000444281,-0.5792766646624131,-0.5734386428271144,-0.5719165573421384,-0.568845950999787,-0.5657402555617647,-0.5477160872188288,-0.5378629315503384,-0.51726648892155,-0.49737636385758943,-0.4765582927465867,-0.46208633255177745,-0.46208633255177745,-0.45935316432238593,-0.4566129122993756,-0.4566129122993756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-0.46208633255177745,-0.46481237483871757,-0.46481237483871757,-0.46481237483871757,-0.46481237483871757,-0.46481237483871757,-0.46481237483871757,-0.46481237483871757,-0.46481237483871757,-0.46481237483871757,-0.46208633255177733,-0.4628250158177771,-0.4709498923814251,-0.47364371488618773,-0.47364371488618773,-0.46897642701817427,-0.46086257500366085,-0.46086257500366085,-0.4561522697010984,-0.4514278955890424,-0.44596948788936336,-0.44394635369529506,-0.44394635369529506,-0.44394635369529506,-0.44394635369529506,-0.4493978068589281,-0.45684458939030065,-0.46224722101486504,-0.46693598048990625,-0.47160301296347545,-0.4735756919391763,-0.4755410677923016,-0.4755410677923016,-0.47749911021432623,-0.47749911021432623,-0.48483078222744946,-0.48676691077933487,-0.489453280976524,-0.489453280976524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</si>
  <si>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-0.03659230559987375,0.029592793841761982,0.02542478404664615,0.017065011497141406,0.00033952163376328064,-0.01359892464276466,-0.024746164838826416,-0.03031766713229771,-0.03031766713229771,-0.03031766713229771,-0.03428355876916167,-0.04659033922287677,-0.058075914946815174,-0.061936961865988086,-0.05198741043061877,-0.04764026691996754,-0.04764026691996754,-0.050677573541362285,-0.06869928893162658,-0.09272094480321003,-0.10106758251351275,-0.1225834955126452,-0.13688362425646583,-0.1450519067629324,-0.1450519067629324,-0.1450519067629324,-0.16739676496504893,-0.20279521676866882,-0.2231547929028827,-0.2611248637324663,-0.32817492702685364,-0.37526288654767853,-0.3809986869726832,-0.3809986869726832,-0.38668160870484125,-0.44392632786160174,-0.4471362901197753,0.440370629735576,0.4311989744765635,0.40667796803997014,0.3975706722536869,0.3975192479972175,0.39504380053147986,0.39382894028217463,0.39382894028217463,0.39486393912476436,0.3134861941082203,0.2993166604579796,0.2993166604579796,0.2993166604579796,0.27623390775388446,0.27623390775388446,0.27623390775388446,0.27623390775388446,0.27623390775388446,0.27623390775388446,0.27623390775388446,0.27623390775388446,0.27623390775388446,0.27623390775388446,0.27623390775388446,0.27623390775388446,0.27623390775388446,0.27623390775388446,0.27623390775388446,0.27998313730435986,0.2914506609322098,0.3515548181980063,0.3537137892893789,0.3537137892893789,0.32719330786988293,-0.178620455896744,-0.178620455896744,-0.178620455896744,-0.178620455896744,-0.178620455896744,-0.178620455896744,-0.178620455896744,-0.178620455896744,-0.178620455896744,-0.178620455896744,-0.178620455896744,-0.178620455896744,-0.178620455896744,-0.18638484485533438,-0.19996253032492797,-0.204588654635661,-0.21810085564680617,-0.21810085564680617,-0.21810085564680617,-0.21810085564680617,-0.21810085564680617,-0.22793097857616823,-0.18673173223102854,-0.18431119449786465,0.19508017066804184,0.19508017066804184,0.19508017066804184,0.19508017066804184,0.19508017066804184,0.19508017066804184,0.19508017066804184,0.19234023636584455,-0.012301938543576365,-0.08492582519692266,-0.0927127347140451,-0.09350633712752343,-0.09350633712752343,-0.09473271037586047,-0.09224118911437061,-0.091699066366206,-0.09200214977362442,-0.09130381433521056,-0.09130381433521056,-0.08920040309906423,-0.08616729131804965,-0.08548332416503578,-0.08548332416503578,-0.08548332416503578,-0.08548332416503578,-0.08548332416503578,-0.08548332416503578,-0.08548332416503578,-0.08548332416503578,-0.08548332416503578,-0.08548332416503578,-0.08548332416503578,-0.08396229247608585,-0.08499960234078577,-0.09075058375884573,-0.09732283969908544,-0.10522545878011721,-0.11747604532294244,-0.14916892303961463,-0.19058642095051181,-0.2007095263930086,-0.20114731644654005,-0.20114731644654005,-0.13736598639671518,-0.14042940482813546,-0.14103562935747213,-0.14103562935747213,-0.14103562935747213,-0.14526087604217242,-0.1392513992528817,-0.1392513992528817,-0.1392513992528817,-0.1392513992528817,-0.1392513992528817,-0.1392513992528817,-0.16924748106234735,-0.20370122665113052,-0.1227348580238351,-0.10866518906696467,-0.10291877011638839,-0.100344034332429,-0.07925181894354037,-0.04341272582221135,-0.04424734463560108,-0.04562467233868255,-0.04562467233868255,-0.04562467233868255,-0.11040360497532767,-0.11481220016968731,-0.14283657688724255,-0.1915176786783592,-0.22050859272614567,-0.2467894251883283,-0.2853926015127925,-0.33611167331370284,-0.35967399102620007,-0.36458746819945537,-0.36458746819945537,-0.3736259240790057,-0.3793121884603124,-0.384756539157748,-0.38508899371582384,-0.38875653331495064,-0.4277624575259681,-0.43357421005365526,-0.44485618434781116,-0.4501818494246443,-0.469701682080568,-0.4725087968853306,-0.4725087968853306,-0.4725087968853306,-0.4725087968853306,-0.4725087968853306,-0.4725087968853306,-0.4725087968853306,-0.4725087968853306,-0.4725087968853306,-0.4725087968853306,-0.4725087968853306,-0.4725087968853306,-0.4725087968853306,-0.4725087968853306,-0.46373094249066155,-0.4028210204716847,-0.36963790234449984,-0.3576505667421845,-0.3576505667421845,-0.34476926139719744,-0.3057310289528532,-0.2503693367726799,-0.2503693367726799,-0.24707866673301043,-0.19926339780519425,-0.12716650316371458,-0.12716650316371458,-0.11757588368534927,-0.11575458410421183,-0.10920228248782755,-0.08079085104502272,-0.06451938192470166,-0.055574835666122493,-0.055574835666122493,-0.04507471808186565,-0.04507471808186565,-0.04507471808186565,-0.04507471808186565,-0.04507471808186565,-0.04507471808186565,-0.04507471808186565,-0.04507471808186565,-0.04507471808186565,-0.04507471808186565,-0.04507471808186565,-0.04507471808186565,-0.05666735032672305,-0.0660784192493961,-0.07111142559004086,-0.07650401839674069,-0.07705972697873992,-0.07670577241866693,-0.07911487087507774,-0.08539361658443811,-0.08539361658443811,-0.08539361658443811,-0.08539361658443811,-0.08539361658443811,-0.08539361658443811,-0.09888752712848718,-0.10593359578183047,-0.08203923153883327,-0.01830468404975498,0.010511636655970468,0.010511636655970468,0.043159749677099346,0.036156049976443116,0.0409749035458628,0.0409749035458628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-0.00989625012294267,-0.016720456376421732,-0.020812054306216715,-0.029318155553121207,-0.03498670198254865,-0.040653090267524325,-0.04774404790913353,-0.05056583579902202,-0.05056583579902202,-0.05056583579902202,-0.05056583579902202,-0.05056583579902202,-0.05056583579902202,-0.05056583579902202,-0.05056583579902202,-0.05056583579902202,-0.05056583579902202,-0.05620702871228353,-0.05620702871228353,-0.05902634674148845,-0.061844754511461784,-0.061844754511461784,-0.06466220855887185,-0.06880360072008133,-0.07162687890361395,-0.07727007802423286,-0.08290851076274869,-0.09514452227876657,-0.11213020085156106,-0.14590541941047894,-0.17658327615476566,-0.20693168468842432,-0.22137635225574,-0.22137635225574,-0.21939426889091032,-0.21740880219525224,-0.21740880219525224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-0.22137635225573998,-0.22335502172356575,-0.22335502172356575,-0.22335502172356575,-0.22335502172356575,-0.22335502172356575,-0.22335502172356575,-0.22335502172356575,-0.22335502172356575,-0.22335502172356575,-0.22137635225573998,-0.22609000964450016,-0.2320262451350933,-0.2339978746673521,-0.2339978746673521,-0.23471460943902753,-0.2287563210589106,-0.2287563210589106,-0.22946958583123178,-0.23017577322149857,-0.22614338817463808,-0.2288777467904917,-0.2288777467904917,-0.2288777467904917,-0.2288777467904917,-0.23292377099981776,-0.23422100647487226,-0.23822440738466255,-0.23751744462592098,-0.23681755767473278,-0.23412859922776327,-0.23143603022837797,-0.23143603022837797,-0.2287398921993192,-0.2287398921993192,-0.2299418328366135,-0.22725346163033391,-0.22918408464383347,-0.22918408464383347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</si>
  <si>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0.7068557953704964,0.709466202713139,0.7097164911558854,0.709921542961671,0.7097913648985735,0.7094901970864637,0.7092739608188606,0.7092739608188606,0.7092739608188606,0.7112619243655165,0.7272202978661176,0.7359606868968598,0.746348887646669,0.7669990617178076,0.7735393324893047,0.7735393324893047,0.7733462856186514,0.7791773632440337,0.7829773544548996,0.7841995651245233,0.7811254065798388,0.7778364958311884,0.775490636219946,0.775490636219946,0.775490636219946,0.7693205781494085,0.7579122918600567,0.7497966513055855,0.7314955054657636,0.6887727470108452,0.6515767413341087,0.646323778045812,0.646323778045812,0.6409811116753068,0.5721191560764315,0.5575507921871873,-0.5555784795455311,-0.5585185541366164,-0.5766182109640464,-0.5829348947080181,-0.5793847994530864,-0.5736942996872888,-0.5726197277331456,-0.5726197277331456,-0.569989419469065,-0.41953235295259833,-0.40221802984495,-0.40221802984495,-0.40221802984495,-0.3608592923056826,-0.3608592923056826,-0.3608592923056826,-0.3608592923056826,-0.3608592923056826,-0.3608592923056826,-0.3608592923056826,-0.3608592923056826,-0.3608592923056826,-0.3608592923056826,-0.3608592923056826,-0.3608592923056826,-0.3608592923056826,-0.3608592923056826,-0.3608592923056826,-0.3656011295082087,-0.38297166471070276,-0.6097989625653697,-0.6362489340481099,-0.6362489340481099,-0.6907217676195048,0.9124403381768618,0.9124403381768618,0.9124403381768618,0.9124403381768618,0.9124403381768618,0.9124403381768618,0.9124403381768618,0.9124403381768618,0.9124403381768618,0.9124403381768618,0.9124403381768618,0.9124403381768618,0.9124403381768618,0.9250530013837107,0.9227827003687217,0.917339319301997,0.9110283632967505,0.9110283632967505,0.9110283632967505,0.9110283632967505,0.9110283632967505,0.9098294864838682,0.8217479878114504,0.7677946128711993,-0.6973373152779578,-0.6973373152779578,-0.6973373152779578,-0.6973373152779578,-0.6973373152779578,-0.6973373152779578,-0.6973373152779578,-0.6980980144232423,-0.37837268979938443,-0.22107163638298397,-0.20227176181784268,-0.20190612106631367,-0.20190612106631367,-0.1982780064550558,-0.1902950641971682,-0.18100100889871687,-0.1776494754682043,-0.17800939633889537,-0.17800939633889537,-0.1790726662114042,-0.1740020688550799,-0.17433910447353174,-0.17433910447353174,-0.17433910447353174,-0.17433910447353174,-0.17433910447353174,-0.17433910447353174,-0.17433910447353174,-0.17433910447353174,-0.17433910447353174,-0.17433910447353174,-0.17433910447353174,-0.178432734729043,-0.23113783298068505,-0.2603234290875391,-0.26975144545954904,-0.2695618110031958,-0.2541002572164786,-0.20391073923799324,-0.13017556088540233,-0.11187670427236546,-0.11108765921607859,-0.11108765921607859,-0.1573772803763393,-0.1546499429583183,-0.1540972869622863,-0.1540972869622863,-0.1540972869622863,-0.14158166205393458,-0.14009177477031665,-0.14009177477031665,-0.14009177477031665,-0.14009177477031665,-0.14009177477031665,-0.14009177477031665,-0.1307025927809052,-0.11860061864858656,-0.09413547424787172,-0.08738983940254609,-0.08454080368420712,-0.08276426270165572,-0.07836452489256984,-0.07110201111993432,-0.070585644725483,-0.06970329994054526,-0.06970329994054526,-0.06970329994054526,-0.07797303208132879,-0.07793697859067868,-0.08158681410065277,-0.09354151961730844,-0.10222152097984544,-0.10737125258877746,-0.11137632711242348,-0.12289595585431927,-0.12170752932832823,-0.11840738794835913,-0.11840738794835913,-0.10068825174672717,-0.09304481669913751,-0.08541454679371312,-0.08390295672714565,-0.0837471463737919,-0.006169990980744063,-0.003569973043572122,-0.013724782115874608,-0.024951845971034725,-0.04282459913209241,-0.04484675267775086,-0.04484675267775086,-0.04484675267775086,-0.04484675267775086,-0.04484675267775086,-0.04484675267775086,-0.04484675267775086,-0.04484675267775086,-0.04484675267775086,-0.04484675267775086,-0.04484675267775086,-0.04484675267775086,-0.04484675267775086,-0.04484675267775086,-0.042443981624005124,-0.047409670717322015,-0.07971053275516618,-0.1111761636849742,-0.1111761636849742,-0.2148378823159809,-0.2509414488261052,-0.2778524037099651,-0.2778524037099651,-0.280782648126331,-0.3044394362146628,-0.3308010579978346,-0.3308010579978346,-0.33441146709532343,-0.33494841766440614,-0.3372777903419659,-0.34796079329177515,-0.35422238693153973,-0.3566211408820949,-0.3566211408820949,-0.3536441409002996,-0.3536441409002996,-0.3536441409002996,-0.3536441409002996,-0.3536441409002996,-0.3536441409002996,-0.3536441409002996,-0.3536441409002996,-0.3536441409002996,-0.3536441409002996,-0.3536441409002996,-0.3536441409002996,-0.34694181540377644,-0.3393230779687313,-0.32484806287281986,-0.3145944007589471,-0.30794172393960173,-0.30460449368030823,-0.2986578163011868,-0.28970819648602913,-0.28970819648602913,-0.28970819648602913,-0.28970819648602913,-0.28970819648602913,-0.28970819648602913,-0.2766990920187881,-0.28313421234832464,-0.31195429898988325,-0.3489316117242611,-0.35950850730833817,-0.35950850730833817,-0.3732929567928123,-0.3655092350999733,-0.36050165340005125,-0.36050165340005125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-0.3476734733817655,-0.3474121560889906,-0.3471910688013044,-0.3542109148906051,-0.35886356057502955,-0.36349406986595834,-0.3679396749395515,-0.3702463284840796,-0.3702463284840796,-0.3702463284840796,-0.3702463284840796,-0.3702463284840796,-0.3702463284840796,-0.3702463284840796,-0.3702463284840796,-0.3702463284840796,-0.3702463284840796,-0.37484247112155233,-0.37484247112155233,-0.3771318893362959,-0.379415491711118,-0.379415491711118,-0.38169324303004737,-0.38647094818317373,-0.38871985068288023,-0.3931996374720509,-0.39765516985689164,-0.41176669631820695,-0.4245564641589974,-0.44942196634553394,-0.4713400864247777,-0.49237883586682807,-0.5043000245248427,-0.5043000245248427,-0.5051654767020776,-0.5060231386032066,-0.5060231386032066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-0.5043000245248427,-0.5034267954178441,-0.5034267954178441,-0.5034267954178441,-0.5034267954178441,-0.5034267954178441,-0.5034267954178441,-0.5034267954178441,-0.5034267954178441,-0.5034267954178441,-0.5043000245248427,-0.5052267846540736,-0.5025282260345716,-0.5016131886664326,-0.5016131886664326,-0.5043843408373527,-0.5071144414642899,-0.5071144414642899,-0.50982538337519,-0.5125206010714579,-0.5143125713859794,-0.5160599192483477,-0.5160599192483477,-0.5160599192483477,-0.5160599192483477,-0.5142464196605825,-0.5106538792818526,-0.5087985809983487,-0.5060505975383888,-0.5032658737815949,-0.5014100174046291,-0.49954642866538207,-0.49954642866538207,-0.4976751363026958,-0.4976751363026958,-0.4939843332831648,-0.49207660327924196,-0.49118038912783796,-0.49118038912783796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</si>
  <si>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0.35500964450514283,0.35966836854050227,0.36677681466977974,0.38084001288387026,0.3923981716587233,0.4015359912073284,0.4060678885751359,0.4060678885751359,0.4060678885751359,0.41070157702449134,0.43129438955129507,0.4465941298826849,0.4577331039741361,0.46765520240510555,0.4701354108412925,0.4701354108412925,0.47179016232422394,0.48725524720494534,0.5047843380935921,0.5108950621039886,0.5199741740142947,0.5244888009996141,0.5264168354043234,0.5264168354043234,0.5264168354043234,0.5326183804093523,0.5406232972401731,0.5420380569294153,0.5375741002150393,0.5115879131619855,0.48909164472387123,0.48463684495082365,0.48463684495082365,0.48011478257624335,0.409717609219144,0.37265972617416226,-0.3455470393670656,-0.3257551677971511,-0.298276294131427,-0.2881432745621409,-0.28247647717767227,-0.26849377120820994,-0.2643342585727388,-0.2643342585727388,-0.2627856617813356,0.022635691171949354,0.05921603827959721,0.05921603827959721,0.05921603827959721,0.11868682839029808,0.11868682839029808,0.11868682839029808,0.11868682839029808,0.11868682839029808,0.11868682839029808,0.11868682839029808,0.11868682839029808,0.11868682839029808,0.11868682839029808,0.11868682839029808,0.11868682839029808,0.11868682839029808,0.11868682839029808,0.11868682839029808,0.10957642794894124,0.08107064658530748,-0.1473289351139547,-0.17465563314108185,-0.17465563314108185,-0.1874670103634137,0.27794564279339073,0.27794564279339073,0.27794564279339073,0.27794564279339073,0.27794564279339073,0.27794564279339073,0.27794564279339073,0.27794564279339073,0.27794564279339073,0.27794564279339073,0.27794564279339073,0.27794564279339073,0.27794564279339073,0.30539209349601387,0.3291092329434223,0.33896045816111836,0.3426097104135754,0.3426097104135754,0.3426097104135754,0.3426097104135754,0.3426097104135754,0.3402879000163608,0.08321988898771311,0.05825461467191728,-0.04366454562208287,-0.04366454562208287,-0.04366454562208287,-0.04366454562208287,-0.04366454562208287,-0.04366454562208287,-0.04366454562208287,-0.04096126558475301,0.2370899587878938,0.30336324074413645,0.3088488275487246,0.3124777947359275,0.3124777947359275,0.31210818776648236,0.28176042793822165,0.2622463166887311,0.25818017039792285,0.25446657162583375,0.25446657162583375,0.24330245954985147,0.21641374229883065,0.2126547440495641,0.2126547440495641,0.2126547440495641,0.2126547440495641,0.2126547440495641,0.2126547440495641,0.2126547440495641,0.2126547440495641,0.2126547440495641,0.2126547440495641,0.2126547440495641,0.20922652686501,0.28843027248552944,0.3596586765355139,0.40261018685979416,0.43345036775229295,0.44835718263958907,0.46428006246548337,0.4670484855331462,0.4699100415035647,0.4732533113285172,0.4732533113285172,0.8680425242562262,0.8767183244650711,0.8784130302615076,0.8784130302615076,0.8784130302615076,0.9275209462511337,0.9396747459091037,0.9396747459091037,0.9396747459091037,0.9396747459091037,0.9396747459091037,0.9396747459091037,0.9359263765554922,0.9326102611195947,0.9874918449877745,0.9897909707642351,0.989647339039329,0.9890766971893349,0.9888825118756903,0.9866176928396823,0.9848980210291213,0.9817282640208386,0.9817282640208386,0.9817282640208386,0.967791835931946,0.9656528777752336,0.9576411747314802,0.9491047813553608,0.9444183462739816,0.9371274286541817,0.9221489406497669,0.9041604090869791,0.8912410458089502,0.886841925411357,0.886841925411357,0.8710789025267534,0.8622371555389345,0.8528965607962457,0.8515454065922722,0.8486623249471469,0.7360689677940635,0.7243563458692608,0.7195557462708042,0.7243229128478887,0.7157500320115675,0.7139000037399161,0.7139000037399161,0.7139000037399161,0.7139000037399161,0.7139000037399161,0.7139000037399161,0.7139000037399161,0.7139000037399161,0.7139000037399161,0.7139000037399161,0.7139000037399161,0.7139000037399161,0.7139000037399161,0.7139000037399161,0.7234410115407836,0.8006810893856974,0.8592251954239805,0.8882651452511579,0.8882651452511579,0.9136383151909945,0.9151884834072126,0.915618682080647,0.915618682080647,0.91381751299407,0.9047479247481238,0.8923864385168272,0.8923864385168272,0.880234595820829,0.8747124052664806,0.8680067855868094,0.8618657104099485,0.8601638863521647,0.8546252365705379,0.8546252365705379,0.8268372290829727,0.8268372290829727,0.8268372290829727,0.8268372290829727,0.8268372290829727,0.8268372290829727,0.8268372290829727,0.8268372290829727,0.8268372290829727,0.8268372290829727,0.8268372290829727,0.8268372290829727,0.8243125285496901,0.8141218600973312,0.7718168548303298,0.7480322817684771,0.7258109622677525,0.7130569436873408,0.6996556334070043,0.6881217786699182,0.6881217786699182,0.6881217786699182,0.6881217786699182,0.6881217786699182,0.6881217786699182,0.6863125446993044,0.750947527347217,0.8383488536658502,0.9016960380008242,0.9108729675969888,0.9108729675969888,0.8964396328194664,0.8585074861624654,0.8492042174325837,0.8492042174325837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0.740584457525676,0.7291534418123619,0.7221596166088865,0.7218643218916571,0.7216117960160596,0.7213147577284409,0.718657999254193,0.7184649680066076,0.7184649680066076,0.7184649680066076,0.7184649680066076,0.7184649680066076,0.7184649680066076,0.7184649680066076,0.7184649680066076,0.7184649680066076,0.7184649680066076,0.7180456698052887,0.7180456698052887,0.717819409317652,0.7175820791673984,0.7175820791673984,0.7173336830144519,0.7190788507882436,0.7188031158401559,0.7182183958693334,0.7175893728073827,0.7220822636550666,0.719640252947171,0.7135593067093525,0.7065929678303694,0.6983083512868009,0.6950900784754647,0.6950900784754647,0.6968993229679525,0.6986978204114153,0.6986978204114153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0.6950900784754647,0.6932701148347381,0.6932701148347381,0.6932701148347381,0.6932701148347381,0.6932701148347381,0.6932701148347381,0.6932701148347381,0.6932701148347381,0.6932701148347381,0.6950900784754647,0.6924032122544813,0.6869027605658417,0.685048053026838,0.685048053026838,0.6859785709008807,0.6914558379209352,0.6914558379209352,0.6923488242867993,0.6932204569855674,0.6967445462800045,0.6958511132491935,0.6958511132491935,0.6958511132491935,0.6958511132491935,0.6923429410053052,0.6896855492505944,0.6860762657054397,0.6851781128679867,0.6842744353164071,0.6851991370939244,0.6861132722537457,0.6861132722537457,0.6870168266987767,0.6870168266987767,0.6841383957849747,0.6850360977733437,0.6831192915029577,0.6831192915029577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</t>
  </si>
  <si>
    <t>small steps test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</si>
  <si>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0.6193747845815449,0.6166058343402766,0.6166058343402766,0.6166058343402766,0.6166058343402766,0.6166058343402766,0.6166058343402766,0.6166058343402766,0.6138273752748317,0.6138273752748317,0.6124671580678454,0.6124671580678454,0.6124671580678454,-0.6110974958601864,-0.6083083817455343,-0.6083083817455343,-0.6069298898884121,-0.6069298898884121,-0.6069298898884121,-0.6069298898884121,-0.6027424843142254,-0.6013458240962262,-0.6013458240962262,-0.6013458240962262,-0.6013458240962262,-0.6013458240962262,-0.6013458240962262,-0.6013458240962262,-0.598536488743345,-0.598536488743345,-0.598536488743345,-0.598536488743345,-0.5914740744920257,-0.5914740744920257,-0.5914740744920257,-0.5914740744920257,-0.5914740744920257,-0.5914740744920257,-0.5914740744920257,-0.5914740744920257,-0.5914740744920257,-0.5914740744920257,-0.5914740744920257,-0.5872130244611694,-0.5872130244611694,-0.5872130244611694,-0.5872130244611694,-0.5829331300770807,-0.5829331300770807,-0.5814833622121255,-0.577176856176099,-0.577176856176099,-0.577176856176099,-0.5743195367766628,-0.5699861035238218,-0.5699861035238218,-0.5699861035238218,-0.5656350905581585,-0.5656350905581585,-0.5627508853258193,-0.5612671510462379,-0.5612671510462379,-0.5568819007345083,-0.5539799309270671,-0.5524794748744094,-0.5524794748744094,-0.5524794748744094,-0.5524794748744094,-0.5480600092471154,-0.5451406328761246,-0.5451406328761246,-0.5451406328761246,-0.5436236401593465,-0.540695695433715,-0.540695695433715,-0.5391705044391661,-0.5391705044391661,-0.5391705044391661,-0.5362340816635996,-0.5347007394317599,-0.5347007394317599,-0.5347007394317599,-0.5347007394317599,-0.5347007394317599,-0.5347007394317599,-0.5347007394317599,-0.5347007394317599,-0.5317559291724472,-0.5317559291724472,-0.5317559291724472,-0.5317559291724472,-0.5317559291724472,-0.5272616379740984,-0.5272616379740984,-0.5272616379740984,-0.5272616379740984,-0.5272616379740984,-0.5272616379740984,-0.5257122263425882,-0.5257122263425882,-0.5211933192821012,-0.5196277701213826,-0.5166583373930855,-0.5166583373930855,-0.5166583373930855,-0.5136809371545639,-0.5136809371545639,-0.5106956153210096,-0.5106956153210096,-0.5077024179297759,-0.5077024179297759,-0.5077024179297759,-0.5077024179297759,-0.5047013911396664,-0.5047013911396664,-0.501692581230224,-0.49867603460101695,-0.49867603460101695,-0.49867603460101695,-0.49565179777092283,-0.49261991737741206,-0.49261991737741206,-0.48958044017582825,-0.4865334130386668,-0.4865334130386668,-0.48347888295485314,-0.48347888295485314,-0.48347888295485314,-0.48041689702901663,-0.47734750248076535,-0.47734750248076535,-0.4711866769659715,-0.4711866769659715,-0.4711866769659715,-0.4711866769659715,-0.4711866769659715,-0.4711866769659715,-0.4711866769659715,-0.4711866769659715,-0.4711866769659715,-0.4711866769659715,-0.4711866769659715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</si>
  <si>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-0.03930697374439624,-0.04066340903709975,-0.04066340903709975,-0.04066340903709975,-0.04066340903709975,-0.04066340903709975,-0.04066340903709975,-0.04066340903709975,-0.04201921724977024,-0.04201921724977024,-0.03923570120173779,-0.03923570120173779,-0.03923570120173779,0.036451580090692104,0.03782567317353296,0.03782567317353296,0.035031576965961445,0.035031576965961445,0.035031576965961445,0.035031576965961445,0.0336292125310912,0.030824751604074285,0.030824751604074285,0.030824751604074285,0.030824751604074285,0.030824751604074285,0.030824751604074285,0.030824751604074285,0.032225810892164426,0.032225810892164426,0.032225810892164426,0.032225810892164426,0.025182506210242643,0.025182506210242643,0.025182506210242643,0.025182506210242643,0.025182506210242643,0.025182506210242643,0.025182506210242643,0.025182506210242643,0.025182506210242643,0.025182506210242643,0.025182506210242643,0.02377644850020277,0.02377644850020277,0.02377644850020277,0.02377644850020277,0.02238776850014176,0.02238776850014176,0.019544297246149627,0.01814566891379667,0.01814566891379667,0.01814566891379667,0.019608379877073524,0.018217756976952337,0.018217756976952337,0.018217756976952337,0.01682657219833281,0.01682657219833281,0.01830610847217972,0.015417422931284503,0.015417422931284503,0.014007798154630047,0.01550410222583273,0.012597741344514926,0.012597741344514926,0.012597741344514926,0.012597741344514926,0.01118729599040955,0.012700183262235702,0.012700183262235702,0.012700183262235702,0.009776505593767963,0.011297614601908496,0.011297614601908496,0.008365413666686132,0.008365413666686132,0.008365413666686132,0.009894697496559484,0.0069540637305598695,0.0069540637305598695,0.0069540637305598695,0.0069540637305598695,0.0069540637305598695,0.0069540637305598695,0.0069540637305598695,0.0069540637305598695,0.008491475215453782,0.008491475215453782,0.008491475215453782,0.008491475215453782,0.008491475215453782,0.007071590432993275,0.007071590432993275,0.007071590432993275,0.007071590432993275,0.007071590432993275,0.007071590432993275,0.00411431606201737,0.00411431606201737,0.002718529642838695,-0.0002468983379232304,0.0013226593778081159,0.0013226593778081159,0.0013226593778081159,0.0028921966964968837,0.0028921966964968837,0.004461689413937427,0.004461689413937427,0.00603111332661194,0.00603111332661194,0.00603111332661194,0.00603111332661194,0.007600444232063661,0.007600444232063661,0.009169657929270103,0.010738730219016295,0.010738730219016295,0.010738730219016295,0.012307636904267933,0.01387635379054455,0.01387635379054455,0.015444856686292596,0.017013121403258523,0.017013121403258523,0.018581123756861814,0.018581123756861814,0.018581123756861814,0.020148839566567912,0.021716244656261107,0.021716244656261107,0.024850025995477174,0.024850025995477174,0.024850025995477174,0.024850025995477174,0.024850025995477174,0.024850025995477174,0.024850025995477174,0.024850025995477174,0.024850025995477174,0.024850025995477174,0.024850025995477174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</si>
  <si>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-0.7038930811275057,-0.7063199264441998,-0.7063199264441998,-0.7063199264441998,-0.7063199264441998,-0.7063199264441998,-0.7063199264441998,-0.7063199264441998,-0.7087358794345178,-0.7087358794345178,-0.7088954232940925,-0.7088954232940925,-0.7088954232940925,0.7090440351099463,0.7114383359573158,0.7114383359573158,0.7115813910130192,0.7115813910130192,0.7115813910130192,0.7115813910130192,0.7140859366947944,0.7142124919162994,0.7142124919162994,0.7142124919162994,0.7142124919162994,0.7142124919162994,0.7142124919162994,0.7142124919162994,0.7165684582857713,0.7165684582857713,0.7165684582857713,0.7165684582857713,0.7192432826442675,0.7192432826442675,0.7192432826442675,0.7192432826442675,0.7192432826442675,0.7192432826442675,0.7192432826442675,0.7192432826442675,0.7192432826442675,0.7192432826442675,0.7192432826442675,0.7216593781459831,0.7216593781459831,0.7216593781459831,0.7216593781459831,0.7240419332660005,0.7240419332660005,0.7241242667879165,0.7264790165210099,0.7264790165210099,0.7264790165210099,0.7287399772396863,0.7310553211946225,0.7310553211946225,0.7310553211946225,0.7333481176830072,0.7333481176830072,0.735563701146918,0.735629917229109,0.735629917229109,0.7378890282173519,0.7400702030613505,0.7401253809714368,0.7401253809714368,0.7401253809714368,0.7401253809714368,0.7423389065169815,0.7444854036528818,0.7444854036528818,0.7444854036528818,0.7445295365836494,0.7466585952930654,0.7466585952930654,0.7466972036072536,0.7466972036072536,0.7466972036072536,0.7488087582250044,0.7488418407318415,0.7488418407318415,0.7488418407318415,0.7488418407318415,0.7488418407318415,0.7488418407318415,0.7488418407318415,0.7488418407318415,0.7509358261326134,0.7509358261326134,0.7509358261326134,0.7509358261326134,0.7509358261326134,0.7530518076680502,0.7530518076680502,0.7530518076680502,0.7530518076680502,0.7530518076680502,0.7530518076680502,0.7530737711716641,0.7530737711716641,0.7551366599744225,0.7551415130172332,0.7571762585854692,0.7571762585854692,0.7571762585854692,0.7591993275598219,0.7591993275598219,0.7612106887420671,0.7612106887420671,0.7632103111145289,0.7632103111145289,0.7632103111145289,0.7632103111145289,0.7651981638405584,0.7651981638405584,0.7671742162650096,0.7691384379147111,0.7691384379147111,0.7691384379147111,0.7710907984989374,0.7730312679098746,0.7730312679098746,0.7749598162230857,0.7768764136979721,0.7768764136979721,0.778781030778231,0.778781030778231,0.778781030778231,0.780673638092313,0.782554206453874,0.782554206453874,0.7862791105027793,0.7862791105027793,0.7862791105027793,0.7862791105027793,0.7862791105027793,0.7862791105027793,0.7862791105027793,0.7862791105027793,0.7862791105027793,0.7862791105027793,0.7862791105027793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</si>
  <si>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-0.34549148814471375,-0.3453344664681952,-0.3453344664681952,-0.3453344664681952,-0.3453344664681952,-0.3453344664681952,-0.3453344664681952,-0.3453344664681952,-0.34517211930732195,-0.34517211930732195,-0.3475799460155808,-0.3475799460155808,-0.3475799460155808,0.3499824126114148,0.3498365693825958,0.3498365693825958,0.35222268714450294,0.35222268714450294,0.35222268714450294,0.35222268714450294,0.35447404514572334,0.3568382699785539,0.3568382699785539,0.3568382699785539,0.3568382699785539,0.3568382699785539,0.3568382699785539,0.3568382699785539,0.35671447033318204,0.35671447033318204,0.35671447033318204,0.35671447033318204,0.36361155228604986,0.36361155228604986,0.36361155228604986,0.36361155228604986,0.36361155228604986,0.36361155228604986,0.36361155228604986,0.36361155228604986,0.36361155228604986,0.36361155228604986,0.36361155228604986,0.3658186522497669,0.3658186522497669,0.3658186522497669,0.3658186522497669,0.36803672717889646,0.36803672717889646,0.37032305648514274,0.372512885614728,0.372512885614728,0.372512885614728,0.37243875562021855,0.37462257336349447,0.37462257336349447,0.37462257336349447,0.37679483686498144,0.37679483686498144,0.37672585392120145,0.37893286094516987,0.37893286094516987,0.38105919784415654,0.3810012512905225,0.38317378198070745,0.38317378198070745,0.38317378198070745,0.38317378198070745,0.3852765481360714,0.3852296451213602,0.3852296451213602,0.3852296451213602,0.3873674314559915,0.38732605246580554,0.38732605246580554,0.38944636745270544,0.38944636745270544,0.38944636745270544,0.3894105137632703,0.3915132920069349,0.3915132920069349,0.3915132920069349,0.3915132920069349,0.3915132920069349,0.3915132920069349,0.3915132920069349,0.3915132920069349,0.3914829647240624,0.3914829647240624,0.3914829647240624,0.3914829647240624,0.3914829647240624,0.39352018080080736,0.39352018080080736,0.39352018080080736,0.39352018080080736,0.39352018080080736,0.39352018080080736,0.3955876927440347,0.3955876927440347,0.39764149468454585,0.3996851446800764,0.39968303242556236,0.39968303242556236,0.39968303242556236,0.39967475656462415,0.39967475656462415,0.3996603172248857,0.3996603172248857,0.3996397146290197,0.3996397146290197,0.3996397146290197,0.3996397146290197,0.3996129490947435,0.3996129490947435,0.3995800210348146,0.39954093095702464,0.39954093095702464,0.39954093095702464,0.3994956794641908,0.39944426725414695,0.39944426725414695,0.3993866951197331,0.3993229639487826,0.3993229639487826,0.399253074724109,0.399253074724109,0.399253074724109,0.39917702852349035,0.3990948265196532,0.3990948265196532,0.3989119602678602,0.3989119602678602,0.3989119602678602,0.3989119602678602,0.3989119602678602,0.3989119602678602,0.3989119602678602,0.3989119602678602,0.3989119602678602,0.3989119602678602,0.3989119602678602</t>
  </si>
  <si>
    <t>gamarson@iq.usp.br</t>
  </si>
  <si>
    <t>Guilherme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</si>
  <si>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</si>
  <si>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-0.5746852080779224,-0.5395705243641246,-0.5136494253154001,-0.4948274700361382,-0.45905350862992983,-0.2975798594352975,-0.2892632464131889,-0.27811217884420913,-0.24631564845894233,-0.2261818817706783,-0.23121821817470628,-0.26109367224652574,-0.3015964639124578,-0.38186181583269824,-0.4458941392477519,-0.48667421760820384,-0.5630103623625272,0.6207949185458823,0.6952373352375905,0.7228212309758408,0.7792781347461591,0.7817032449486379,0.7852504534389243,0.7852504534389243,0.7852504534389243,0.7465190601188243,-0.700006554389585,-0.6317266650128885,-0.5519307452143347,-0.4376858193203458,-0.3059342919239519,-0.17003450152050398,-0.01818066985902079,0.016539348995721223,0.09795941822053336,0.10119516945496874,0.12439499705351867,0.1330285256674348,0.015243123192212426,-0.08670447954435463,-0.37917162049178754,-0.4268835701334706,-0.4766336830148724,-0.5077206962631484,-0.5165634304931651,-0.6289921808896233,-0.7242270069480956,0.7852991525501074,0.8213490514776606,0.8213490514776606,0.8213490514776606,-0.5112854414130358,-0.286922059948476,-0.12569759183003104,-0.007448746327801429,0.10908815149152763,0.15452877023890718,0.0682957445859635,0.035532985099591935,0.010545242654799655,0.03702826561854406,0.05865913673441946,0.05865913673441946,0.06313987894211781,0.20287945964684573,0.24428442122574684,0.289781490592875,-0.31087417931709876,-0.2668757772564939,-0.19378163362422665,-0.1406804867121586,-0.08985620769637609,-0.05776186037912447,0.0005353057082804066,0.15043713077628781,0.20342555784523025,0.27819578933822875,0.35688429148592704,0.37008912343907613,0.37323061054364154,0.37323061054364154,0.37323061054364154,0.37323061054364154,0.33149309117216286,0.23555120602970725,0.2189196597224827,0.11539525038042535,-0.02113325596324043,-0.08220388855229024,0.1412081010172329,0.22840629429179182,0.26030608787967346,0.2945694022271894,-0.3283466290146141,-0.3376190481448813,0.3399406072396086,0.3148777267130662,0.3085942838003426,0.3085942838003426,0.3085942838003426,0.3085942838003426,-0.05313314383842644,-0.18978723326594807,-0.34858181050907,-0.3773557434785958,-0.37957261609893084,-0.3255118211264585,-0.1994668932551918,-0.1994668932551918,-0.0541307112016376,0.04515308606326269,0.09103913841344193,0.11718118212286398,0.14211223223502017,-0.23662287652136607,-0.23662287652136607,-0.3477103399798174,-0.37540520602675476,-0.3823790866919529,-0.3823790866919529,-0.3823790866919529,-0.29070684618751746,-0.14075359493188747,-0.10174935337149185,-0.10711812856350188,-0.1810935605516871,-0.2902134552619847,-0.3934545650080598,-0.43997775636842323,0.4422799131174425,0.4422799131174425,0.4402151470869019,0.4402151470869019,-0.45203003130497277,-0.44510803793996917,-0.4107303223065231,-0.30694470168174837,-0.20675181467943385,-0.12180787880820061,-0.05240440099898025,-0.007710198695614259,-0.026263626320117965,-0.03707271146499631,-0.08114752157067952,-0.12550553368954354,-0.12550553368954354,-0.08434568215761952,0.11846331615443749,0.13616399067491633,0.14495747036486725,0.14447420543959721,0.14447420543959721,0.11692471261484993,0.04417275823905521,-0.015967629994694303,-0.13915218246462327,-0.2382415806930954,-0.26227164296022765,-0.3012992451026721,-0.36190353372478457,-0.3876672127760834,-0.4093018382509068,-0.41185332207183756,-0.41506138953280164,-0.420693371607656,-0.4269927834193307,-0.42659765570824737,-0.4359259869006609,-0.44513331583479016,-0.48415695694459215,-0.4976751298172423,-0.532243113078255,-0.5614974973486472,-0.6540851459214154,-0.6631967164734068,-0.6839516896111075,-0.730575802650654,-0.7683073686711713,0.8004772198067187,0.8218882094407237,0.8005651524129364,0.7595984641017659,0.7310611367966408,0.7184329871752223,0.7184329871752223,0.7184329871752223,0.7184329871752223,0.7184329871752223,0.7184329871752223,0.7184329871752223,0.7184329871752223,0.7184329871752223,0.7184329871752223,0.7184329871752223,-0.6175619925307354,-0.574306298351265,-0.5417378711118103,-0.5197403272089782,-0.4879844247090367,-0.4472271656866229,-0.443670737125084,-0.4203885010259642,-0.3860256441716152,-0.382138419531659,-0.3742934951990615,-0.3723177581087028,-0.3723177581087028,-0.3692223175153579,-0.3709260775025996,-0.37576198076920764,-0.3737584691311082,-0.3745183010587703,-0.3772716840916085,-0.3934682823291193,-0.3981783001143695,-0.41334778321174964,-0.42181789066628517,-0.42181789066628517,-0.42181789066628517,-0.42181789066628517,-0.43208258800792576,-0.43486240634802975,-0.43486240634802975,-0.4367107917745166,-0.4431695001718919,-0.4495850549856784,-0.4523669210265331,-0.4523669210265331,-0.4523669210265331,-0.4523669210265331,-0.4523669210265331,-0.46657538021052114,-0.4735077985097976,-0.4926665876547199,-0.494314208190165,-0.494314208190165,-0.5133355893819329,-0.5249516738389804,-0.5249516738389804,-0.5249516738389804,-0.5261710809405182,-0.5257820948091689,-0.5269572413722035,-0.5269572413722035,-0.5281161352920146,-0.5281161352920146,-0.5265109011577095,-0.5265109011577095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-0.48616739483794197,-0.4816619303245589,-0.4816619303245589,-0.4869342413691172,-0.4902519497174517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-0.4995223041696487,-0.49786185616084666,-0.50181374398391,-0.50181374398391,-0.5095974683539927,-0.5095974683539927,-0.5095974683539927,-0.5095974683539927,-0.5095974683539927,-0.5095974683539927,-0.5095974683539927,-0.5095974683539927,-0.5095974683539927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-0.5106887155584746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</si>
  <si>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-0.07153913351998302,-0.12959964950768976,-0.15945380951592203,-0.17854547355478395,-0.20165816823115545,-0.17680296343750002,-0.16948770530345486,-0.15969761218248832,-0.12200869317945551,-0.06961217129935551,-0.03395431123212438,0.044889045676188885,0.10865764173603142,0.20306256309923745,0.2800316268971851,0.31531610183652925,0.3666359604144032,-0.344992140822408,-0.2960111550126683,-0.26989510752224705,-0.20962148500821368,-0.205675981595263,-0.19973401450322928,-0.19973401450322928,-0.19973401450322928,-0.17516449393662092,0.15050538785457654,0.1130978862526908,0.05315442414150271,0.00023150533853165208,0.00864376188160809,0.13041930939023966,0.42254154548941963,0.4872150530693076,0.6202883931010144,0.625452782797328,0.6669415479681704,0.6851562935003777,0.655701588470158,0.5811907651619984,0.15458632836895983,0.04462818462172021,-0.07701766499377923,-0.20650191972485837,-0.2313094290796618,-0.2772304947642936,-0.2707397175409913,0.23147564359863806,0.19162864032564905,0.19162864032564905,0.19162864032564905,0.18674462811025447,0.162027936303675,0.08097382295818784,-0.029956480018749718,-0.1564785563804086,-0.26136932210343333,-0.4483437354639626,-0.516144868218407,0.6248138827998593,0.7014570843284366,0.7618873368573326,0.7618873368573326,0.7642244589118079,0.7247497811729474,0.713979051778875,0.6764501527975214,-0.5576736574995766,-0.46176895087607517,-0.37929350912791504,-0.31606761014804285,-0.24271345302996897,-0.18617220232376397,-0.1718622983771868,-0.21423881484922316,-0.23601902321648358,-0.29283240065983507,-0.4049839053527342,-0.459959294781027,-0.4631440629260446,-0.4631440629260446,-0.4631440629260446,-0.4631440629260446,-0.48107683858959416,-0.5050221934210046,-0.5060902743495987,-0.5210067905380589,-0.555190715736717,-0.5811227281743453,0.6171310629578489,0.6831877182438246,0.6955926526578827,0.6566089081768821,-0.5522735638021866,-0.47144474866039326,0.34931037950771965,0.19313693318227304,0.15994410805475792,0.15994410805475792,0.15994410805475792,0.15994410805475792,0.08042801717901932,0.15949588454497376,0.24470890801200773,0.2575635081435929,0.26025870287146874,0.43928303952361747,0.5838443307652182,0.5838443307652182,0.5853545223777109,0.5422403658054082,0.49237541902741916,0.4544713657556632,0.4223365312944627,0.07936065447091441,0.07936065447091441,-0.03054386724684434,-0.05360816121495523,-0.05561070697319477,-0.05561070697319477,-0.05561070697319477,0.16263990618438795,0.5205323803991528,0.6962126604919113,0.704645073516204,0.7419714432350091,0.6963900089101953,0.587675008460414,0.4892805342580327,-0.4161563292689026,-0.4161563292689026,-0.4138111776837845,-0.4138111776837845,0.47955848691490677,0.5695928651800122,0.6644065797366218,0.7424892394113455,0.7593996268854252,0.7375490258088457,0.6530630274440752,0.5287183568183618,0.46300463399510483,0.4295935555058645,0.37170624850492245,0.3348840453885214,0.3348840453885214,0.3875298149273966,0.6413242136726351,0.7023564282640364,0.7477091459785025,0.7589615939843197,0.7589615939843197,0.7258638363377984,0.6139285781547921,0.5548569323473639,0.45656797790611947,0.35930288774062524,0.32172249384917856,0.24760629565431513,0.1234852416494827,0.06409463331205054,0.019083371038494973,0.008065530872801556,0.004150515024428753,-0.010770655482933917,-0.01861894911191654,-0.022147355262744247,-0.03394998500435021,-0.04574319107088818,-0.0685163982854854,-0.07034344716387894,-0.06481565957162433,-0.06855302781478448,-0.07769101781802201,-0.07583636462018,-0.07239514254798603,-0.07739337351254579,-0.10534547987732765,0.1402820117268959,0.1984706781657855,0.2255791490232126,0.23482302579837896,0.23544897701373904,0.23687340264461576,0.23687340264461576,0.23687340264461576,0.23687340264461576,0.23687340264461576,0.23687340264461576,0.23687340264461576,0.23687340264461576,0.23687340264461576,0.23687340264461576,0.23687340264461576,-0.18284350537438349,-0.15924340635277556,-0.14544069046580455,-0.1448574415252365,-0.15422111187694545,-0.19742447977168645,-0.203282841307493,-0.22117028937698277,-0.24852081349296135,-0.25431522208869456,-0.26585662074175004,-0.26873183189503447,-0.26873183189503447,-0.279314628114756,-0.2889897556519798,-0.3177964720872322,-0.3205659954794354,-0.32532869655012747,-0.3273334136261587,-0.3222640433607077,-0.32146993605107,-0.31155185218558207,-0.3051427946070153,-0.3051427946070153,-0.3051427946070153,-0.3051427946070153,-0.29590576473008007,-0.29775979912658285,-0.29775979912658285,-0.2949810379323195,-0.29124593026045653,-0.28750203422098936,-0.2893085164720723,-0.2893085164720723,-0.2893085164720723,-0.2893085164720723,-0.2893085164720723,-0.2669423349930892,-0.2556590643557266,-0.2363280009300745,-0.23348194411301038,-0.23348194411301038,-0.23313445634139027,-0.2322700493008317,-0.2322700493008317,-0.2322700493008317,-0.23664507453091038,-0.2437985937990886,-0.24816320748520326,-0.24816320748520326,-0.25252016721430637,-0.25252016721430637,-0.25527013484455285,-0.25527013484455285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-0.2720954379231598,-0.2731354376844658,-0.2731354376844658,-0.22625983673500624,-0.22052630991379923,-0.21477917999183552,-0.21477917999183552,-0.21477917999183552,-0.21477917999183552,-0.21477917999183552,-0.21477917999183552,-0.21477917999183552,-0.21477917999183552,-0.21477917999183552,-0.21477917999183552,-0.21477917999183552,-0.21477917999183552,-0.21477917999183552,-0.21477917999183552,-0.21477917999183552,-0.23732690244652618,-0.24014648187201354,-0.2462834736486812,-0.2462834736486812,-0.25850767321604406,-0.25850767321604406,-0.25850767321604406,-0.25850767321604406,-0.25850767321604406,-0.25850767321604406,-0.25850767321604406,-0.25850767321604406,-0.25850767321604406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-0.26291987957352125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</si>
  <si>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0.6891455094453658,0.6785273301299146,0.6737146356200265,0.6703855429288444,0.6688840932809613,0.7041994791746431,0.7076563102847828,0.7121125579498628,0.7265694858397336,0.7410055127163703,0.7471235317720727,0.7531888561744421,0.7491563683832142,0.7252838455088042,0.6943848488657186,0.6683772043044331,0.6078876612223186,-0.5504602783118029,-0.4588283755354673,-0.4158595715678908,-0.3118380384155708,-0.3057080475438843,-0.2964778218860352,-0.2964778218860352,-0.2964778218860352,-0.3074102872443975,0.3202058913675684,0.33181525100048653,0.3254407575516804,0.32432461284900377,0.34464962671868815,0.3873397212518762,0.4207456283564572,0.42081334398090375,0.41237757845485445,0.4115954962209561,0.40184192739412866,0.3956020067922261,0.32109512207120433,0.2615770365230515,0.038185075274969386,-0.016237358306886985,-0.07561474153066233,-0.13943652670740636,-0.1499889088002648,-0.1282922826987272,-0.06816357058909167,-0.010355737876337132,-0.0791603837846508,-0.0791603837846508,-0.0791603837846508,0.6313125823677839,0.7367655999481635,0.7749673637324198,0.7809346735352665,0.7649467816018404,0.7463558337016771,0.7318131262798134,0.7149376752163153,-0.6689324043141529,-0.6201069139250249,-0.5707420542446527,-0.5707420542446527,-0.570263748184126,-0.6426888340174529,-0.6492855586888342,-0.6762248178417891,0.7687740380216855,0.8444845100324201,0.9039339328633811,0.9377292232193407,0.9655811960418019,0.9805310157127249,0.985019461977882,0.9650708183267682,0.9500334320228989,0.9144890944397741,0.8417130315981632,0.8071178003191031,0.8038457779176507,0.8038457779176507,0.8038457779176507,0.8038457779176507,0.8107117372503776,0.8236544690549561,0.8261309943322378,0.8257268703678536,0.7883363186657545,0.7541600323075689,-0.7061130602231623,-0.6065770850768615,-0.5717889962382913,-0.5639646561970781,0.5745273923816028,0.582319827482564,-0.5867858586052054,-0.5849429717741385,-0.5824055058602786,-0.5824055058602786,-0.5824055058602786,-0.5824055058602786,-0.6157956120749705,-0.6049016659521324,-0.5727233108648129,-0.5652643821297747,-0.5637781549055031,-0.45766263678880426,-0.31227361503534606,-0.31227361503534606,-0.2179582823832712,-0.157607220627132,-0.13063605926114466,-0.11450441765562658,-0.09895871752757437,-0.22355059144104528,-0.22355059144104528,-0.25108945563236557,-0.2551851937267333,-0.2547562900423472,-0.2547562900423472,-0.2547562900423472,-0.1771833389564438,-0.028762825601996535,0.016992935379776433,0.01272203972357878,-0.05968847976364639,-0.19932216945748413,-0.3638266844100611,-0.4651952519937344,0.5249213035253524,0.5249213035253524,0.5266540806992622,0.5266540806992622,-0.47404032174744404,-0.38827458327988196,-0.273402551283719,-0.09852627397091121,0.03443310636400605,0.13561832209052002,0.21642115922329874,0.27499862023081784,0.27583761056486067,0.27459384467654707,0.25941868851594707,0.24147160102249696,0.24147160102249696,0.25855113638888266,0.30518730406287237,0.28628397855489746,0.26548275564282603,0.2572837236870609,0.2572837236870609,0.25067561874403443,0.23567186149386954,0.2075073595016438,0.13664739936000045,0.07225982122772998,0.053464772578057713,0.019306265508481888,-0.036875360635094,-0.06346624798267105,-0.08347668973531522,-0.08839503989552569,-0.0900286914926288,-0.09658074972401005,-0.09978030758065626,-0.10145633059255327,-0.1061514140820576,-0.11081703256784577,-0.11685646849489507,-0.11576584342635887,-0.10691341751953161,-0.10455635298170916,-0.09282515340776305,-0.0893457264636846,-0.082085579619805,-0.07740691725731401,-0.09861372437789236,0.128095898362573,0.19056811024043527,0.24536572046020264,0.2948919650914284,0.3217168678654066,0.33396509747581343,0.33396509747581343,0.33396509747581343,0.33396509747581343,0.33396509747581343,0.33396509747581343,0.33396509747581343,0.33396509747581343,0.33396509747581343,0.33396509747581343,0.33396509747581343,-0.37010841791838556,-0.3808589318957972,-0.38961076006204337,-0.39922705322126323,-0.4170870769476214,-0.45106695118648404,-0.4545655169495863,-0.47072014018008707,-0.49342598932505255,-0.49644257796583396,-0.5023837023144634,-0.5038496719225157,-0.5038496719225157,-0.5071303989862989,-0.5078052357582344,-0.5094535678394055,-0.5109252496487804,-0.5111371209401422,-0.5098556202748269,-0.4999971256444218,-0.4971787553419331,-0.4867146994935111,-0.48059508604835494,-0.48059508604835494,-0.48059508604835494,-0.48059508604835494,-0.4727082200547734,-0.4715425589826888,-0.4715425589826888,-0.4698312268617492,-0.4652357961242858,-0.46058263346708356,-0.45945006717750014,-0.45945006717750014,-0.45945006717750014,-0.45945006717750014,-0.45945006717750014,-0.4450141683697753,-0.4376306207509252,-0.42053156475247044,-0.4185936300588401,-0.4185936300588401,-0.4080210874352747,-0.4012131757722946,-0.4012131757722946,-0.4012131757722946,-0.4023563406865696,-0.40554399166437327,-0.40664507857655346,-0.40664507857655346,-0.40773362356528753,-0.40773362356528753,-0.4098043815084822,-0.4098043815084822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-0.4401727040360814,-0.44313271742697036,-0.44313271742697036,-0.42434029825204583,-0.42050287744151066,-0.41663951803429494,-0.41663951803429494,-0.41663951803429494,-0.41663951803429494,-0.41663951803429494,-0.41663951803429494,-0.41663951803429494,-0.41663951803429494,-0.41663951803429494,-0.41663951803429494,-0.41663951803429494,-0.41663951803429494,-0.41663951803429494,-0.41663951803429494,-0.41663951803429494,-0.4218499017337385,-0.4238082634114115,-0.42386094623002557,-0.42386094623002557,-0.4238571742044327,-0.4238571742044327,-0.4238571742044327,-0.4238571742044327,-0.4238571742044327,-0.4238571742044327,-0.4238571742044327,-0.4238571742044327,-0.4238571742044327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-0.4248474919030806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</si>
  <si>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0.4355428001964129,0.4813192727822956,0.5068010854915311,0.523307283154679,0.5488150227134024,0.6199113105181645,0.6219511544643995,0.6245366229868683,0.6297136352021271,0.6284160501527737,0.6222472728789499,0.6020976788077995,0.5796531942107621,0.5356402640956741,0.4905001388252149,0.4658281599519805,0.4231666288084199,-0.438848007719387,-0.46743872925045904,-0.48140099264697683,-0.5015390907263628,-0.5031699683988509,-0.5055580579459685,-0.5055580579459685,-0.5055580579459685,-0.5634941066591124,0.6203282511476201,0.6913963610262572,0.7659212577057265,0.8385968134160177,0.887437957948719,0.8966866857332972,0.8025591702783162,0.7650255365182776,0.6599931776569863,0.6551011384974713,0.6150105053493373,0.5969617383530839,0.6831698153864356,0.7656873263161479,0.9115228188703124,0.9030587416567567,0.8724511575772218,0.8247024352794078,0.8106549805761256,0.7148798356034454,0.6305148494661897,-0.5741228319076981,-0.5314111717707449,-0.5314111717707449,-0.5314111717707449,0.5524111373018822,0.5904228400943826,0.6140593949719269,0.6238494699471945,0.6151996894620879,0.5922498679874195,0.5086974880478903,0.47031479089861117,-0.4025243448245091,-0.34936267930778164,-0.300566630101558,-0.300566630101558,-0.2945735724655553,-0.14327854749561766,-0.09480136309920442,-0.0340862761946577,-0.03665807999331173,-0.04891490402580256,-0.038581827607016235,-0.031211702840212865,-0.025864947461322407,-0.023715096306634417,-0.01413235186061268,0.010426673002413425,0.018696019204218622,0.023790419689406515,0.01186639514189194,-0.0056872018328344345,-0.005334196616347761,-0.005334196616347761,-0.005334196616347761,-0.005334196616347761,-0.037734400250154274,-0.1051738042289258,-0.11599309030871931,-0.1827867499447875,-0.2642773227590067,-0.2945870689217936,0.3171968939348237,0.33637679204776155,0.34849525959753624,0.4050154016019484,-0.5070509612880796,-0.5697866669297889,0.6466103915486425,0.7220746928351632,0.7348409875938825,0.7348409875938825,0.7348409875938825,0.7348409875938825,0.7819871912171623,0.7567270600624809,0.7004257854432785,0.6868332115091135,0.6858164686990375,0.7011543170952776,0.722373826547717,0.722373826547717,0.7790533591335702,0.8240731451250973,0.8556941872159871,0.875564438863191,0.8897433000639212,0.942197767931478,0.942197767931478,0.9028392309348143,0.889425439956497,0.8864496127893713,0.8864496127893713,0.8864496127893713,0.926090629955991,0.8416692737252139,0.710384572331378,0.7013124671697106,0.6427447278149958,0.6253701133230765,0.6061862200813792,0.5921296397071049,-0.5963723779380637,-0.5963723779380637,-0.5980020173728742,-0.5980020173728742,0.5839334566402985,0.5715642137818698,0.5613515334371278,0.5871858758564199,0.615938515599699,0.6502245349892749,0.7238261827137495,0.8029777150522358,0.841932624043897,0.8594610006266793,0.8876663160298449,0.9021044856651315,0.9021044856651315,0.8808278823446262,0.6939239188280683,0.6373353112314141,0.5911321944047763,0.5804391340572199,0.5804391340572199,0.6297714163442174,0.7520633231679372,0.8054933365156278,0.868049445546851,0.8994003014932989,0.9082123872440753,0.9206178117791449,0.9232645531754761,0.9173756294375908,0.9083718800277046,0.9069168127408359,0.9053185355731175,0.9019829482027892,0.8985401425984745,0.8984600980465325,0.8930553228950967,0.8874026577024833,0.8644316687737874,0.8567202192654692,0.8373086169444056,0.8179786133511018,0.7466727653598868,0.7392132995440205,0.721270398139313,0.6740010619267698,0.623603600438059,-0.568461624543858,-0.4987914959681244,-0.4980011520981217,-0.5300066497824751,-0.553725248132731,-0.5623276160086875,-0.5623276160086875,-0.5623276160086875,-0.5623276160086875,-0.5623276160086875,-0.5623276160086875,-0.5623276160086875,-0.5623276160086875,-0.5623276160086875,-0.5623276160086875,-0.5623276160086875,0.6694812894396815,0.7069372583210047,0.7304591297286555,0.7412854199859376,0.751082831741022,0.7466927364091023,0.7451191543969238,0.7434916011165681,0.7387505670801706,0.7367759244943166,0.7326904205107736,0.73164075722093,0.73164075722093,0.7269642200230321,0.7218258853028635,0.7058791669634432,0.704625743615981,0.7018804207057378,0.7004042826687261,0.7009504058812507,0.7006599794265344,0.7036958539103382,0.7056811640389973,0.7056811640389973,0.7056811640389973,0.7056811640389973,0.7087251612808174,0.7070229166281307,0.7070229166281307,0.7081867620011143,0.7087540167284498,0.7092809714075492,0.7075099906208296,0.7075099906208296,0.7075099906208296,0.7075099906208296,0.7075099906208296,0.7162482770101406,0.7203528630777504,0.7242802720162137,0.7252027428441614,0.7252027428441614,0.7180903077945255,0.7137957354300628,0.7137957354300628,0.7137957354300628,0.710811140452548,0.7068589005343203,0.7038258792382631,0.7038258792382631,0.7007711502399323,0.7007711502399323,0.699774105061757,0.699774105061757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0.7041685362748389,0.7050051150897532,0.7050051150897532,0.7291343100844232,0.7308888441462508,0.7325982935440637,0.7325982935440637,0.7325982935440637,0.7325982935440637,0.7325982935440637,0.7325982935440637,0.7325982935440637,0.7325982935440637,0.7325982935440637,0.7325982935440637,0.7325982935440637,0.7325982935440637,0.7325982935440637,0.7325982935440637,0.7325982935440637,0.7184678624819689,0.7175303445073016,0.7126495037656095,0.7126495037656095,0.7027298905063406,0.7027298905063406,0.7027298905063406,0.7027298905063406,0.7027298905063406,0.7027298905063406,0.7027298905063406,0.7027298905063406,0.7027298905063406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0.6996962064710185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</t>
  </si>
  <si>
    <t>Coord correta</t>
  </si>
  <si>
    <t>1673007423790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</si>
  <si>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0.6289868490228794,0.6289868490228794,0.6330083134934796,0.6445791761388681,0.6553993739067785,0.6654563057968492,0.6747382596939134,0.6832344260077101,0.6909349102615308,0.6978307446151429,0.7039138983085689,0.7091772870145592,0.7136147810888677,0.7172212127087214,0.7199923818911697,0.7219250613843065,0.7230170004256673,-0.723266927363426,-0.7226745511373353,-0.7212405616176918,-0.7189666288019244,-0.7158554008697477,-0.7119105010991401,-0.7053618915824447,-0.6994912915903126,-0.6928060770959813,-0.6853140335754714,-0.6770238861228279,-0.6679452892890387,-0.658088815838525,-0.647465944436296,-0.6360890462801118,-0.6239713706932151,-0.6111270296944181,-0.5975709815635091,-0.583319013421118,-0.5683877228433307,-0.5527944985324622,-0.5365575000664976,-0.5196956367507871,-0.5022285455966222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</si>
  <si>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-0.033206902845136,-0.033206902845136,-0.029817202815307784,-0.019626708095124106,-0.00941335647702487,0.0008109577603274668,0.011034327571408601,0.0212448470105555,0.03143062509740838,0.04157979966492471,0.05168055117383707,0.0617211164774685,0.07168980252087334,0.08157499995835064,0.09136519667347168,0.10104899118587579,0.11061510592922152,-0.12005240038483092,-0.1293498840557263,-0.13849672926596268,-0.14748228377033368,-0.15629608315977872,-0.16492786304803816,-0.17613641891391282,-0.18430478219523092,-0.19225850756724835,-0.19998833226985302,-0.2074852542934731,-0.21474054286264985,-0.2217457486037354,-0.22849271338487553,-0.23497357981681827,-0.24118080040348208,-0.24710714633162928,-0.25274571588940703,-0.25808994250395223,-0.26313360238869926,-0.26787082179148625,-0.27229608383501674,-0.27640423494171223,-0.2801904908354724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</si>
  <si>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-0.6919030709079023,-0.6919030709079023,-0.6847097398865853,-0.66260188157602,-0.639722369481618,-0.6160978486561189,-0.5917558317755254,-0.566724667098353,-0.541033505451779,-0.514712266283132,-0.4877916028162628,-0.46030286635337114,-0.4322780697638654,-0.4037498502027714,-0.37475143110211173,-0.34531658347951616,-0.3154795866091254,0.2852751881005886,0.254738563432643,0.2239052749884124,0.1928112306401164,0.16149264193143345,0.12998598190621308,0.08774799109647094,0.055945487899387664,0.024077831631317888,-0.007817865230057635,-0.039704457551506506,-0.07154481080277357,-0.1033018443027617,-0.13493857440300097,-0.16641815755811562,-0.1977039332331285,-0.22875946659763677,-0.25954859095713495,-0.290035449872072,-0.3201845389155922,-0.3499607470213273,-0.3793293973730895,-0.40825628778884426,-0.43670773055193307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</si>
  <si>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-0.35290648311970335,-0.35290648311970335,-0.359977751491472,-0.3809084201608106,-0.4013954899936756,-0.42141510213093025,-0.4409439421059451,-0.45995926699619055,-0.47843893190922004,-0.4963614157721981,-0.5137058463949405,-0.5304520247772777,-0.5465804486324323,-0.5620723350990193,-0.5769096426152155,-0.5910750919296254,-0.6045521862243751,0.6173252303269986,0.6293793489887426,0.6407005042080033,0.6512755115787214,0.6610920556446954,0.6701387042419316,0.6809852082783813,0.6881960350314309,0.6946054015272438,0.7002058435372296,0.7049908388911558,0.7089548150727449,0.7120931557093233,0.7144022059479629,0.7158792767118537,0.7165226478319539,0.7163315700502655,0.7153062658924066,0.713447929408462,0.7107587247824154,0.70724178381178,0.7029012022603669,0.6977420350884339,0.6917702905657737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</t>
  </si>
  <si>
    <t>Teste Raimundo</t>
  </si>
  <si>
    <t>1677682000374,1677682000377,1677682000378,1677682000487,1677682000611,1677682000704,1677682000811,1677682000906,1677682001015,1677682001111,1677682001221,1677682001316,1677682001407,1677682001517,1677682001606,1677682001717,1677682001817,1677682001924,1677682002014,1677682002112,1677682002222,1677682002314,1677682002421,1677682002516,1677682002607,1677682002714,1677682002807,1677682002916,1677682003015,1677682003122,1677682003213,1677682003308,1677682003416,1677682003509,1677682003618,1677682003712,1677682003819,1677682003918,1677682004035,1677682004117,1677682004210,1677682004319,1677682004416,1677682004525,1677682004617,1677682004725,1677682004818,1677682004940,1677682005007,1677682005116,1677682005206,1677682005318,1677682005413,1677682005507,1677682005616,1677682005712,1677682005804,1677682005916,1677682006009,1677682006119,1677682006212,1677682006320,1677682006414,1677682006522,1677682006617,1677682006711,1677682006821,1677682006913,1677682007022,1677682007113,1677682007208,1677682007319,1677682007412,1677682007521,1677682007614,1677682007722,1677682007816,1677682007910,1677682008017,1677682008110,1677682008218,1677682008311,1677682008421,1677682008513,1677682008622,1677682008715,1677682008807,1677682008917,1677682009009,1677682009122,1677682009213,1677682009323,1677682009412,1677682009521,1677682009614,1677682009711,1677682009820,1677682009911,1677682010023,1677682010114,1677682010221,1677682010316,1677682010409,1677682010519,1677682010614,1677682010708,1677682010820,1677682010913,1677682011020,1677682011114,1677682011208,1677682011316,1677682011410,1677682011520,1677682011614,1677682011723,1677682011815,1677682011909,1677682012021,1677682012115,1677682012224,1677682012321,1677682012420,1677682012510,1677682012612,1677682012712,1677682012810,1677682012920,1677682013015,1677682013121,1677682013221,1677682013317,1677682013415,1677682013521,1677682013610,1677682013712,1677682013822,1677682013912,1677682014020,1677682014114,1677682014208,1677682014323,1677682014423,1677682014505,1677682014613,1677682014713,1677682014825,1677682014913,1677682015023,1677682015114,1677682015222,1677682015316,1677682015411,1677682015521,1677682015614,1677682015709,1677682015819,1677682015913,1677682016023,1677682016114,1677682016209,1677682016315,1677682016409,1677682016519,1677682016614,1677682016721,1677682016814,1677682016909,1677682017016,1677682017111,1677682017221,1677682017314,1677682017409,1677682017517,1677682017611,1677682017720,1677682017813,1677682017920,1677682018013,1677682018123,1677682018216,1677682018311,1677682018416,1677682018509,1677682018619,1677682018712,1677682018821,1677682018916,1677682019008,1677682019118,1677682019210,1677682019318,1677682019411,1677682019520,1677682019613,1677682019725,1677682019819,1677682019912,1677682020021,1677682020114,1677682020222,1677682020314,1677682020424,1677682020516,1677682020610,1677682020720,1677682020810,1677682020919,1677682021014,1677682021107,1677682021217,1677682021309,1677682021419,1677682021509,1677682021620,1677682021719,1677682021809,1677682021920,1677682022011,1677682022129,1677682022215,1677682022308,1677682022416,1677682022508,1677682022636,1677682022709,1677682022836,1677682022911,1677682023010,1677682023113,1677682023222,1677682023314,1677682023424,1677682023520,1677682023613,1677682023764,1677682023835,1677682023910,1677682024021,1677682024133,1677682024209,1677682024316,1677682024413,1677682024518,1677682024613,1677682024712,1677682024813,1677682024907,1677682025015,1677682025121,1677682025216,1677682025313,1677682025422,1677682025511,1677682025620,1677682025742,1677682025807,1677682025923,1677682026010,1677682026104,1677682026213,1677682026339,1677682026415,1677682026517,1677682026619,1677682026732,1677682026821,1677682026924,1677682027009,1677682027118,1677682027211,1677682027305,1677682027414,1677682027507,1677682027616,1677682027710,1677682027819,1677682027912,1677682028023,1677682028116,1677682028210,1677682028319,1677682028414,1677682028508,1677682028619,1677682028713,1677682028821,1677682028915,1677682029010,1677682029120,1677682029213,1677682029320,1677682029414,1677682029522,1677682029617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</si>
  <si>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</si>
  <si>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-0.5981766459704413,-0.5435476532273351,-0.4726448209990582,-0.3759937749758555,-0.3187044295714485,-0.23999590709100235,-0.22499197944677757,-0.3406337258182882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-0.3646567717862996,-0.16590192933319436,0.1471363327287388,0.23603232568023003,0.28442683065643853,0.17377738676042412,0.08702415924529462,-0.03523569266975727,0.18501714865065774,0.2879484435237746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-0.38111581898029145,-0.4643805597067937,0.5372096583742416,0.5754396668619329,0.5945832617052732,0.5526169456299523,0.4735304223812775,0.4417098974611088,0.4596297130217509,0.6249213774305743,0.7356238478258116,0.7539510184203487,0.7539510184203487,0.7539510184203487,0.8019793880606775,0.9006621266364158,0.9014499773690643,0.8873279872719273,0.8834461878351055,0.8834461878351055,0.8834461878351055,0.7658382494039849,-0.6034140440882796,-0.5904230068725935,-0.5904230068725935,-0.5986727337078539,0.6461955170960545,0.6537876822505273,0.6666867235240456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0.6685172342423757,-0.5845771843284944,-0.4859384144842554,-0.3933126209160059,-0.2702001410898525,-0.15070379398032693,-0.01813509866022842,0.09889388666501961,0.1280050786000331,0.1170292691710833,0.1170292691710833,0.1170292691710833,0.45499913315844875,0.6787668227473841,0.8501575517295741,0.8668928445178602,0.8675091260145243,0.8675091260145243,0.8675091260145243,0.8675091260145243,0.8675091260145243,0.8675091260145243,0.8675091260145243,0.8363032073606312,0.8248840207032484,0.8248840207032484,0.8248840207032484,0.4419366740626845,0.4285131956624088,0.4285131956624088,0.15812110691490266,-0.07747895147454438,-0.07747895147454438,-0.1415678059718201,-0.4224923145895765,-0.4224923145895765,-0.3494486340100176,-0.2174411008628717,-0.2174411008628717,-0.23651128356566026,-0.32304770969411517,-0.3231242674266571,-0.3231242674266571,-0.6782946338359788,-0.7002525275741645,-0.6337725717000711,-0.6154013569806205,-0.6154013569806205,-0.6154013569806205,0.601004886899441,0.56915246555577,0.6532522485528868,0.7129720031102037,0.6924002342469622,0.5288638942781265,0.525640868036684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</si>
  <si>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-0.026457092789018193,-0.10168579603973425,-0.1498784297460284,-0.1723422948802276,-0.14526842697714756,-0.08798879697476751,-0.07628583309485795,-0.24596369088220027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-0.2885079669584087,-0.42411583959373916,-0.6020734127267698,-0.5232132071439252,-0.36426007662384974,-0.5955136217546643,0.6699660233954849,-0.3925527164561121,-0.380211926143119,-0.5099116375836277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-0.519115107161528,0.5368944132041094,0.533390526032277,-0.4870974975788028,-0.41454352471435857,-0.29101947806751993,-0.24488672573200254,-0.22629031710630154,-0.2517560598230662,-0.3543885168575703,-0.444552170126084,-0.40769142191765323,-0.3985983284803113,-0.3985983284803113,-0.3985983284803113,-0.4031161274188378,-0.4030953701583897,-0.3879602545268001,-0.36110375879932366,-0.35679891815027087,-0.35679891815027087,-0.35679891815027087,-0.23044173658925657,0.18145266279169697,0.18958310784805532,0.18958310784805532,0.16239706228024303,-0.03452769638205711,-0.00750456270255976,0.025691829091346294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0.04009793880085229,-0.07891287802077096,-0.12968000492574758,-0.16792113625583113,-0.16887183136655082,-0.1389032546489459,-0.04862909921666073,0.09034675227174926,0.13613584843500723,0.14763753120813947,0.14763753120813947,0.14763753120813947,0.053667282856970484,0.0730839526841437,0.1770633603884092,0.20251373411076115,0.20418894815132083,0.20418894815132083,0.20418894815132083,0.20418894815132083,0.20418894815132083,0.20418894815132083,0.20418894815132083,-0.03516948711720296,-0.17576860722330145,-0.17576860722330145,-0.17576860722330145,-0.2934356350940794,-0.29030319143174654,-0.29030319143174654,-0.19025614328783338,-0.02487418254318174,-0.02487418254318174,0.004852811644700801,0.2897540818884089,0.2897540818884089,0.32142943534000307,-0.6257088126815814,-0.6257088126815814,-0.5990571997998495,0.024588879189852364,0.058791356115835885,0.058791356115835885,0.24628933001233413,0.2480885812236006,-0.057115747186472866,-0.0961341116957338,-0.0961341116957338,-0.0961341116957338,0.18118455727865088,0.32312862922720603,0.31830925494476714,0.30012706724308363,0.31536262832092865,0.3456015563485565,0.28793166770999856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</si>
  <si>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0.6945677723464591,0.6914504472456344,0.6976163282084472,0.7133957955633756,0.7338936056546185,0.7618366553901365,0.7664018098237265,0.6985339881753501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0.6747270616466435,0.6028835860043936,0.37462975105807444,0.3135899080358897,0.26214389730302323,0.34712733899097786,-0.5284963515377902,0.6727408684616294,0.611580513040728,0.5399559225829914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-0.46227699018990903,-0.383572462114503,0.2977537811451844,0.22642384023783024,0.1293957701014892,0.11618772796804173,0.1350608464619994,0.15826472650525322,0.19350953022128717,0.11918292748903968,-0.011229835099812261,-0.03725395336007146,-0.03725395336007146,-0.03725395336007146,-0.06132049993351325,-0.11522786592186823,-0.18494053247848843,-0.28597053392384475,-0.3020401717752368,-0.3020401717752368,-0.3020401717752368,-0.5108742798119746,0.6557464334167383,0.6674672774730387,0.6674672774730387,0.6552749817705222,-0.5713885871690356,-0.5513233423974266,-0.5226112667026618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0.5116709500290562,0.5270346927072537,0.5283901639539095,0.5239145008186852,0.5297611483220002,0.5352960412552952,0.5408724741726455,0.5324934671557972,0.526254684763865,0.5235191496205504,0.5235191496205504,0.5235191496205504,0.5149598258010979,0.42262151820961147,0.21031538923432985,0.15863734473605406,0.15523185015546484,0.15523185015546484,0.15523185015546484,0.15523185015546484,0.15523185015546484,0.15523185015546484,0.15523185015546484,0.5140837815261976,0.5371258496348715,0.5371258496348715,0.5371258496348715,0.755261163354025,0.7609396286998598,0.7609396286998598,0.8431088491841494,0.8531838534293327,0.8531838534293327,0.8451297492601242,0.7099661999862759,0.7099661999862759,0.7040881374565501,-0.38999927454798816,-0.38999927454798816,-0.3777078896091845,-0.21293309533711172,-0.201114468054229,-0.201114468054229,-0.11142585703376244,-0.11384010192168839,-0.40993832342540726,-0.44370354559744185,-0.44370354559744185,-0.44370354559744185,0.4964861903878716,0.5654598794242649,0.48575415278073986,0.4145067887916153,0.4445808582029927,0.6088058384144246,0.6048796456623499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</si>
  <si>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0.3988236854480738,0.4648787224197663,0.517179647798129,0.5656794617513704,0.5820006411288439,0.5952015177151936,0.5968143318927253,0.5792415687488216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0.5731770966059322,0.6550829612924635,0.6895730961260327,0.7564377374788961,0.8471697301529971,0.7033260671128311,-0.5140660751445614,0.6261633450358629,0.6687128098014563,0.6045853268121605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-0.5939655763881897,-0.593900167379024,0.6208739780467875,0.6676489350633127,0.7382649544472959,0.7881277909276541,0.8404285806755414,0.8464416868110153,0.7910141387741242,0.6305886693095615,0.5408503950339116,0.5208544684599188,0.5208544684599188,0.5208544684599188,0.436538938960275,0.11421206203693943,0.05168925086887171,-0.02177090058448433,-0.03144995771696746,-0.03144995771696746,-0.03144995771696746,-0.31527107703397317,0.415888251365743,0.4122454992803746,0.4122454992803746,0.4310833450078433,-0.5047318835980956,-0.5182160941189049,-0.5307977077099619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0.5382097190883937,0.6117815835149132,0.6839961902582085,0.7366283120126711,0.7860199196295746,0.8194219917382439,0.839501813927949,0.8357680126510151,0.8295406785610702,0.8309241899936595,0.8309241899936595,0.8309241899936595,0.7245081016708563,0.5960917618485271,0.44905249213911413,0.42698849688877943,0.42618993703709207,0.42618993703709207,0.42618993703709207,0.42618993703709207,0.42618993703709207,0.42618993703709207,0.42618993703709207,0.18729099846483385,-0.012944912407452687,-0.012944912407452687,-0.012944912407452687,-0.38492606992053285,-0.3912433765085971,-0.3912433765085971,-0.4774597196797026,-0.5152238342397254,-0.5152238342397254,-0.5154519506675487,-0.48320886893639425,-0.48320886893639425,-0.5280422946871778,0.6396158341068372,0.6396158341068372,0.6652290088691692,0.921789054606164,0.9228690345792881,0.9228690345792881,0.6832585411216433,0.6596505777204383,0.653468201040547,0.6443342036700637,0.6443342036700637,0.6443342036700637,-0.5995554560512814,-0.5019048562098434,-0.4857814539825131,-0.47935246774659146,-0.4727326821711745,-0.47981037576414787,-0.5243258975510969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</t>
  </si>
  <si>
    <t>1677682054553,1677682054660,1677682054754,1677682054848,1677682054941,1677682055051,1677682055159,1677682055251,1677682055346,1677682055456,1677682055552,1677682055661,1677682055757,1677682055850,1677682055978,1677682056059,1677682056152,1677682056258,1677682056350,1677682056442,1677682056546,1677682056647,1677682056756,1677682056849,1677682056958,1677682057060,1677682057149,1677682057260,1677682057356,1677682057447,1677682057590,1677682057653,1677682057744,1677682057862,1677682057948,1677682058057,1677682058151,1677682058244,1677682058351,1677682058446,1677682058557,1677682058650,1677682058759,1677682058852,1677682058945</t>
  </si>
  <si>
    <t>29.5,0.1,0.2,0.3,0.4,0.5,0.6,0.7,0.8,0.9,1,1.1,1.2,1.3,1.4,1.5,1.6,1.7,1.8,1.9,2,2.1,2.2,2.3,2.4,2.5,2.6,2.7,2.8,2.9,3,3.1,3.2,3.3,3.4,3.5,3.6,3.7,3.8,3.9,4,4.1,4.2,4.3,4.4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</si>
  <si>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0.624883987936306,0.624883987936306,0.624883987936306,0.624883987936306,0.624883987936306,0.624883987936306,0.624883987936306,0.624883987936306,0.624883987936306,0.624883987936306,0.624883987936306,0.624883987936306,0.624883987936306,0.624883987936306,0.6193043821686799,-0.5513331611385099,-0.45809406630687133,-0.28373729936352987,-0.15730910703404888,-0.09979513020398817,-0.12145358647753506,-0.1875514285683915,-0.21168136759963693,-0.21168136759963693,-0.21168136759963693,-0.25782376087993425,0.4642919658161554,0.4668605021472061,0.4668605021472061,0.4668605021472061,-0.45022337616734126,-0.4220390060247714,-0.4220390060247714,-0.3582266278495304,0.07598628102352133,0.08057146898853022,0.08057146898853022,0.08057146898853022,0.08057146898853022,0.08057146898853022,0.08057146898853022,0.08057146898853022,0.08057146898853022,0.08057146898853022,0.08057146898853022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</si>
  <si>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-0.01874603922577161,-0.12821972213335317,-0.20980851268943082,-0.21332415946798924,-0.14438122882938112,-0.03612013341956707,-0.13183931708921473,-0.38914432840029367,-0.44834850818157146,-0.44834850818157146,-0.44834850818157146,-0.5323866749378028,0.7499335103274459,0.7494595987161087,0.7494595987161087,0.7494595987161087,-0.34684895993679293,-0.3156539821980243,-0.3156539821980243,-0.34504299165703056,-0.500500883984253,-0.5018728083276455,-0.5018728083276455,-0.5018728083276455,-0.5018728083276455,-0.5018728083276455,-0.5018728083276455,-0.5018728083276455,-0.5018728083276455,-0.5018728083276455,-0.5018728083276455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</si>
  <si>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-0.6972211555273324,0.6720148743325547,0.6601501800834673,0.6818683228466798,0.7054105943867777,0.723768145435921,0.7102487441625258,0.6334128561465943,0.6085539648697792,0.6085539648697792,0.6085539648697792,0.5670260093420963,-0.38681764884350556,-0.38793338956763623,-0.38793338956763623,-0.38793338956763623,0.8112455132626271,0.8388181118901927,0.8388181118901927,0.849322374633503,0.7596189506560991,0.7573433883094527,0.7573433883094527,0.7573433883094527,0.7573433883094527,0.7573433883094527,0.7573433883094527,0.7573433883094527,0.7573433883094527,0.7573433883094527,0.7573433883094527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</si>
  <si>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-0.3605458757566735,0.4774803210194787,0.5570744601516485,0.6395635529292006,0.6758726203455508,0.6818327797939676,0.6807452843881832,0.642011921216463,0.6195455476910299,0.6195455476910299,0.6195455476910299,0.573212736603064,-0.26908141353446785,-0.26430903633003705,-0.26430903633003705,-0.26430903633003705,0.13738787338954805,0.13649108425506887,0.13649108425506887,0.17683472779640233,0.4082940117505066,0.40995477168867106,0.40995477168867106,0.40995477168867106,0.40995477168867106,0.40995477168867106,0.40995477168867106,0.40995477168867106,0.40995477168867106,0.40995477168867106,0.40995477168867106</t>
  </si>
  <si>
    <t>bolaBastao_c</t>
  </si>
  <si>
    <t>16,776,820,603,901,6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</t>
  </si>
  <si>
    <t>4.5,0.1,0.2,0.3,0.4,0.5,0.6,0.7,0.8,0.9,1,1.1,1.2,1.3,1.4,1.5,1.6,1.7,1.8,1.9</t>
  </si>
  <si>
    <t>0.624883987936306,0.624883987936306,0.624883987936306,0.624883987936306,0.624883987936306,0.624883987936306,0.624883987936306,-0.594199213090382,-0.48307520081634603,-0.31522015346316873,-0.2280002664138965,-0.22490038105837104,-0.22490038105837104,-0.22490038105837104,-0.22490038105837104,-0.22490038105837104,-0.22490038105837104,-0.22490038105837104,-0.22490038105837104,-0.22490038105837104</t>
  </si>
  <si>
    <t>-0.03659230559987375,-0.03659230559987375,-0.03659230559987375,-0.03659230559987375,-0.03659230559987375,-0.03659230559987375,-0.03659230559987375,0.017122540061746443,-0.08961526717927651,-0.1222449260989088,-0.11605621929135836,-0.11386137391246542,-0.11386137391246542,-0.11386137391246542,-0.11386137391246542,-0.11386137391246542,-0.11386137391246542,-0.11386137391246542,-0.11386137391246542,-0.11386137391246542</t>
  </si>
  <si>
    <t>-0.699006863382204,-0.699006863382204,-0.699006863382204,-0.699006863382204,-0.699006863382204,-0.699006863382204,-0.699006863382204,0.7145023808850355,0.7353718428615478,0.773162887941105,0.7889336981117367,0.7898229675698651,0.7898229675698651,0.7898229675698651,0.7898229675698651,0.7898229675698651,0.7898229675698651,0.7898229675698651,0.7898229675698651,0.7898229675698651</t>
  </si>
  <si>
    <t>-0.34578954544097623,-0.34578954544097623,-0.34578954544097623,-0.34578954544097623,-0.34578954544097623,-0.34578954544097623,-0.34578954544097623,0.36894506568623514,0.4667287295325249,0.5365739292998672,0.5586863632331893,0.5591378059384794,0.5591378059384794,0.5591378059384794,0.5591378059384794,0.5591378059384794,0.5591378059384794,0.5591378059384794,0.5591378059384794,0.5591378059384794</t>
  </si>
  <si>
    <t>bolaBastao_g</t>
  </si>
  <si>
    <t>1,677,682,063,268,160,000,000,000,000,000,000,000,000,000,000,000,000,000,000,000,000,000,000,000,000,000,000,000,000,000,000,000,000,000,000,000,000,000,000,000,000,000,000,000,000,000,000,000,000,000,000,000,000,000,000,000</t>
  </si>
  <si>
    <t>2,0.1,0.2,0.3,0.4,0.5,0.6,0.7,0.8,0.9,1,1.1,1.2</t>
  </si>
  <si>
    <t>0.624883987936306,0.624883987936306,0.624883987936306,0.624883987936306,-0.5068207636919558,-0.2754052806575647,0.08652894441863303,0.0893429502027513,0.0893429502027513,0.0893429502027513,0.0893429502027513,0.0893429502027513,0.0893429502027513</t>
  </si>
  <si>
    <t>-0.03659230559987375,-0.03659230559987375,-0.03659230559987375,-0.03659230559987375,-0.10444889851728358,-0.2171065656822088,-0.10573457610316263,-0.10304844432262303,-0.10304844432262303,-0.10304844432262303,-0.10304844432262303,-0.10304844432262303,-0.10304844432262303</t>
  </si>
  <si>
    <t>-0.699006863382204,-0.699006863382204,-0.699006863382204,-0.699006863382204,0.7145562781391557,0.7177525672276263,0.7167524512019936,0.7164071271109311,0.7164071271109311,0.7164071271109311,0.7164071271109311,0.7164071271109311,0.7164071271109311</t>
  </si>
  <si>
    <t>-0.34578954544097623,-0.34578954544097623,-0.34578954544097623,-0.34578954544097623,0.4707785747685915,0.6015379645224036,0.6838120099047803,0.6842219549213677,0.6842219549213677,0.6842219549213677,0.6842219549213677,0.6842219549213677,0.6842219549213677</t>
  </si>
  <si>
    <t>bola_c</t>
  </si>
  <si>
    <t>167,768,206,559,616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</t>
  </si>
  <si>
    <t>1.3,0.1,0.2,0.3,0.4,0.5,0.6,0.7,0.8,0.9,1,1.1,1.2,1.3,1.4,1.5,1.6,1.7,1.8,1.9,2</t>
  </si>
  <si>
    <t>0.624883987936306,0.624883987936306,0.624883987936306,0.624883987936306,-0.5899332645421245,-0.32112205720962345,-0.11297776670076178,-0.05837021558798503,-0.05837021558798503,-0.05837021558798503,-0.05837021558798503,-0.05837021558798503,-0.05837021558798503,-0.05837021558798503,-0.05837021558798503,-0.05837021558798503,-0.05837021558798503,-0.05837021558798503,-0.05837021558798503,-0.05837021558798503,-0.05837021558798503</t>
  </si>
  <si>
    <t>-0.03659230559987375,-0.03659230559987375,-0.03659230559987375,-0.03659230559987375,0.015777202755723082,-0.1474792011556066,-0.20935509513360606,-0.22950201313609508,-0.22950201313609508,-0.22950201313609508,-0.22950201313609508,-0.22950201313609508,-0.22950201313609508,-0.22950201313609508,-0.22950201313609508,-0.22950201313609508,-0.22950201313609508,-0.22950201313609508,-0.22950201313609508,-0.22950201313609508,-0.22950201313609508</t>
  </si>
  <si>
    <t>-0.699006863382204,-0.699006863382204,-0.699006863382204,-0.699006863382204,0.7168885390426588,0.770936030431468,0.7682938890880087,0.7596788144698257,0.7596788144698257,0.7596788144698257,0.7596788144698257,0.7596788144698257,0.7596788144698257,0.7596788144698257,0.7596788144698257,0.7596788144698257,0.7596788144698257,0.7596788144698257,0.7596788144698257,0.7596788144698257,0.7596788144698257</t>
  </si>
  <si>
    <t>-0.34578954544097623,-0.34578954544097623,-0.34578954544097623,-0.34578954544097623,0.3712150937787403,0.5298944674013251,0.5942482379973284,0.6056482830359645,0.6056482830359645,0.6056482830359645,0.6056482830359645,0.6056482830359645,0.6056482830359645,0.6056482830359645,0.6056482830359645,0.6056482830359645,0.6056482830359645,0.6056482830359645,0.6056482830359645,0.6056482830359645,0.6056482830359645</t>
  </si>
  <si>
    <t>167768206559616000000000000000000000000000000000000000000000000000000000000000000000000000000000000000000000000000000000000000000000000000000000000000000000000000000000000000000000000000000000000000000000000000000000000000000000000000000000000000000000000000000000000000000.0000000000000000</t>
  </si>
  <si>
    <t>Rai</t>
  </si>
  <si>
    <t>1677683621810,1677683621843,1677683621954,1677683622046,1677683622140,1677683622230,1677683622331,1677683622436,1677683622541,1677683622641,1677683622741,1677683622841,1677683622941,1677683623043,1677683623141,1677683623241,1677683623342,1677683623441,1677683623540,1677683623640,1677683623740,1677683623851,1677683623941,1677683624044,1677683624141,1677683624241,1677683624340,1677683624440,1677683624541,1677683624647,1677683624741,1677683624842,1677683624956,1677683625042,1677683625154,1677683625241,1677683625339,1677683625440,1677683625539,1677683625639,1677683625740,1677683625840,1677683625940,1677683626040,1677683626141,1677683626240,1677683626340,1677683626441,1677683626542,1677683626641,1677683626740,1677683626841,1677683626941,1677683627042,1677683627141,1677683627243,1677683627341,1677683627440,1677683627540,1677683627641,1677683627741,1677683627843,1677683627942,1677683628041,1677683628141,1677683628241,1677683628342,1677683628445,1677683628548,1677683628640,1677683628742,1677683628847,1677683628939,1677683629039,1677683629141,1677683629241,1677683629339,1677683629440,1677683629541,1677683629642,1677683629742,1677683629839,1677683629941,1677683630040,1677683630140,1677683630240,1677683630340,1677683630440,1677683630541,1677683630642,1677683630741,1677683630840,1677683630941,1677683631041,1677683631142,1677683631242,1677683631353,1677683631441,1677683631540,1677683631640,1677683631740,1677683631845,1677683631940,1677683632041,1677683632140,1677683632240,1677683632340,1677683632439,1677683632542,1677683632642,1677683632742,1677683632841,1677683632940,1677683633041,1677683633140,1677683633240,1677683633340,1677683633440,1677683633546,1677683633640,1677683633748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</si>
  <si>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</t>
  </si>
  <si>
    <t>0.624883987936306,0.624883987936306,0.624883987936306,0.624883987936306,0.624883987936306,0.624883987936306,0.624883987936306,0.624883987936306,0.624883987936306,0.624883987936306,0.624883987936306,0.624883987936306,0.6859560865650591,0.7167431242199228,0.7286069649591487,0.7334630657288191,0.7375953270478078,0.7369016670721287,0.7333469752138233,0.7336367624511275,0.7336367624511275,0.7336367624511275,0.7336367624511275,0.7336367624511275,0.7336367624511275,0.7336367624511275,0.7336367624511275,0.7336367624511275,0.691463413798413,-0.44149046777355044,-0.33852448352488124,-0.31049523104414223,-0.1717535724654965,-0.06506520080025732,0.08816701525687247,0.12488224626805217,0.12488224626805217,0.12488224626805217,0.12488224626805217,0.12488224626805217,0.12488224626805217,0.12488224626805217,0.2667068018405133,0.7581652696240885,0.8171948541703078,0.8307221145527659,0.8307221145527659,0.8307221145527659,0.8307221145527659,0.8307221145527659,0.8307221145527659,0.8307221145527659,0.801924908574401,0.7119518877127226,-0.6824387842581239,-0.6809842400749774,0.6950424315600724,0.6800177530037362,0.6730193585186792,0.6714384352943669,0.6606470683308441,0.6457718440720119,0.6380943026449137,0.6318329535733743,0.6217340866559268,0.6217340866559268,0.623690832150192,0.6575951861970857,0.6706703691763185,0.6717230371324523,0.6717230371324523,0.6717230371324523,0.6717230371324523,0.6717230371324523,0.6717230371324523,0.6717230371324523,0.7456246783780954,0.7955709229491161,0.7778066740500587,0.6388789364838878,0.5738444953722849,0.5738444953722849,0.5738444953722849,0.5738444953722849,0.5738444953722849,0.5738444953722849,0.5738444953722849,0.4326130454393961,0.05176304547995769,0.01940059568269362,0.016455851855036785,0.2990180377417093,0.7088446238030459,0.7911821037231802,0.8042973548113566,0.8394947471840156,0.8394947471840156,0.8394947471840156,0.8394947471840156,0.8394947471840156,0.7522028636797761,0.7376176369086221,0.7293574628977375,0.7293574628977375,0.7293574628977375,0.6565846365554927,0.524425406758702,0.4955157943990964,0.4470272020866113,0.409965317564157,0.3762394003336851,0.2775912686993744,0.31483549923153054,0.34904608763097966,0.33957029970272895,0.33957029970272895,0.33957029970272895,0.33957029970272895,0.33957029970272895,0.33957029970272895,0.33957029970272895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</si>
  <si>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-0.09950310969466727,-0.15818588989794485,-0.19839858814479194,-0.21822112194186183,-0.23782829785056073,-0.2627567677003507,-0.2730859990461356,-0.27551090122345523,-0.27551090122345523,-0.27551090122345523,-0.27551090122345523,-0.27551090122345523,-0.27551090122345523,-0.27551090122345523,-0.27551090122345523,-0.27551090122345523,-0.28436246473391114,0.3246416431804361,0.33123021552913284,0.330147895759303,0.2886815874740468,0.2683119795032107,0.31671411616832434,0.3365265526662336,0.3365265526662336,0.3365265526662336,0.3365265526662336,0.3365265526662336,0.3365265526662336,0.3365265526662336,0.26496835382605494,-0.03022558064375637,-0.09365828655942599,-0.10210303081238578,-0.10210303081238578,-0.10210303081238578,-0.10210303081238578,-0.10210303081238578,-0.10210303081238578,-0.10210303081238578,-0.12302518792809024,-0.2205141876508802,0.29751495131624456,0.33052523991528904,-0.4439224307637885,-0.5416785116666794,-0.5538504315251619,-0.5593793515921993,-0.5679021107747928,-0.5625100184523572,-0.5596054447007467,-0.5748399225358538,-0.6230679377519884,-0.6230679377519884,-0.6198881897580651,-0.6051829852055541,-0.5897428683339566,-0.586358228697976,-0.586358228697976,-0.586358228697976,-0.586358228697976,-0.586358228697976,-0.586358228697976,-0.586358228697976,-0.6008202578310933,-0.5193380614859028,-0.46478886527142654,-0.29646211433956887,-0.235968669806851,-0.235968669806851,-0.235968669806851,-0.235968669806851,-0.235968669806851,-0.235968669806851,-0.235968669806851,-0.10027070633904893,0.20781558052352075,0.23473396419262743,0.2371601225013467,0.23816188773746816,0.196226363470682,0.11073432886767912,0.10351683168192634,0.11600790905171855,0.11600790905171855,0.11600790905171855,0.11600790905171855,0.11600790905171855,-0.05775358585227397,-0.006958334135649752,0.012908299640427768,0.012908299640427768,0.012908299640427768,-0.10668363174121583,-0.2441358952188306,-0.272868815925418,-0.3130560687363274,-0.34818140247394475,-0.3261729824678023,-0.15964788452656598,0.03907344606974861,0.13329527426795074,0.11351969677693292,0.11351969677693292,0.11351969677693292,0.11351969677693292,0.11351969677693292,0.11351969677693292,0.11351969677693292</t>
  </si>
  <si>
    <t>-0.699006863382204,-0.699006863382204,-0.699006863382204,-0.699006863382204,-0.699006863382204,-0.699006863382204,-0.699006863382204,-0.699006863382204,-0.699006863382204,-0.699006863382204,-0.699006863382204,-0.699006863382204,-0.6657281571039073,-0.6453974812963487,-0.6341913629565045,-0.6276465777528868,-0.620482381190619,-0.6164677185522113,-0.6180340781270329,-0.6169569092800541,-0.6169569092800541,-0.6169569092800541,-0.6169569092800541,-0.6169569092800541,-0.6169569092800541,-0.6169569092800541,-0.6169569092800541,-0.6169569092800541,-0.6623612427355223,0.8316532664417752,0.8698907516020954,0.8787851982942143,0.9214847858737062,0.9339628547503489,0.9063227478075655,0.8927128589969676,0.8927128589969676,0.8927128589969676,0.8927128589969676,0.8927128589969676,0.8927128589969676,0.8927128589969676,0.8666571608124705,0.49635082554457693,0.3845567828216525,0.3626679108157423,0.3626679108157423,0.3626679108157423,0.3626679108157423,0.3626679108157423,0.3626679108157423,0.3626679108157423,0.3587812485564861,0.2849616295909946,-0.20132903718597442,-0.16448031872353636,0.030896604618249127,-0.1073164985491097,-0.1302315822801414,-0.13815118375727395,-0.16274255164639564,-0.18050048387628698,-0.18931373906857452,-0.20926334998458107,-0.2515846995691374,-0.2515846995691374,-0.2466939023546664,-0.17493045139045033,-0.1366649587053539,-0.13139336518481248,-0.13139336518481248,-0.13139336518481248,-0.13139336518481248,-0.13139336518481248,-0.13139336518481248,-0.13139336518481248,-0.009757384700618021,0.30783040473864365,0.3852828712896436,0.5570859420944044,0.5978909340326432,0.5978909340326432,0.5978909340326432,0.5978909340326432,0.5978909340326432,0.5978909340326432,0.5978909340326432,0.6448902946720806,0.6278385163429783,0.6182786460541027,0.6173520830184557,0.6347036279122886,0.5596035249076741,0.5522142677523909,0.5417613237384774,0.48733002617301235,0.48733002617301235,0.48733002617301235,0.48733002617301235,0.48733002617301235,0.6399051656378034,0.6684805636634439,0.6799213353886343,0.6799213353886343,0.6799213353886343,0.7175352495902455,0.7343843006671208,0.7302240019240008,0.7224020589568523,0.7095061629025518,0.7278321391719739,0.8135194887102785,0.8431803553711301,0.8378088440321609,0.8407166988494681,0.8407166988494681,0.8407166988494681,0.8407166988494681,0.8407166988494681,0.8407166988494681,0.8407166988494681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</si>
  <si>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-0.27635013896228683,-0.21146774992179942,-0.16604579484751278,-0.14307776411869993,-0.11996853291910187,-0.08889525339979056,-0.07523383110927202,-0.07235341166019985,-0.07235341166019985,-0.07235341166019985,-0.07235341166019985,-0.07235341166019985,-0.07235341166019985,-0.07235341166019985,-0.07235341166019985,-0.07235341166019985,-0.047894886476052466,-0.08970404001450388,-0.13775993122776303,-0.14943779201911203,-0.19501138633960158,-0.22691096766456503,-0.2655142610990144,-0.27242990896574953,-0.27242990896574953,-0.27242990896574953,-0.27242990896574953,-0.27242990896574953,-0.27242990896574953,-0.27242990896574953,-0.327970454363169,-0.4217910575057252,-0.41897109263311016,-0.4098142578735532,-0.4098142578735532,-0.4098142578735532,-0.4098142578735532,-0.4098142578735532,-0.4098142578735532,-0.4098142578735532,-0.46158126026458834,-0.6027394729796681,0.6365758228752916,0.6324237150052564,-0.5647072636498442,-0.4823312292786768,-0.47258266740889693,-0.4660251270566929,-0.4631927304772993,-0.4837155981204121,-0.4937992662947731,-0.4759779749010981,-0.4024154686121193,-0.4024154686121193,-0.407296570856294,-0.41318453829305773,-0.42863421960944964,-0.4332527814211195,-0.4332527814211195,-0.4332527814211195,-0.4332527814211195,-0.4332527814211195,-0.4332527814211195,-0.4332527814211195,-0.28803411294001985,0.05094434579419291,0.17477184445354071,0.4399990595436742,0.5074915890949189,0.5074915890949189,0.5074915890949189,0.5074915890949189,0.5074915890949189,0.5074915890949189,0.5074915890949189,0.6220194902120639,0.7482994514300804,0.7498367147420004,0.7499071188004849,0.6715790594184737,0.38194032059406346,0.2383866389902718,0.22109884373990513,0.21047607958650505,0.21047607958650505,0.21047607958650505,0.21047607958650505,0.21047607958650505,-0.1462079142290296,-0.09489752004979177,-0.07468630931505628,-0.07468630931505628,-0.07468630931505628,-0.20653906011517525,-0.3550427528415895,-0.38311827652904973,-0.4246149357204384,-0.455301168644551,-0.47150342133748663,-0.4854293790003139,-0.43404926281711564,-0.3980898635092732,-0.406202809294968,-0.406202809294968,-0.406202809294968,-0.406202809294968,-0.406202809294968,-0.406202809294968,-0.406202809294968</t>
  </si>
  <si>
    <t>1677683634783,1677683634886,1677683634998,1677683635088,1677683635181,1677683635288,1677683635380,1677683635478,1677683635576,1677683635678,1677683635779,1677683635882,1677683635981,1677683636087,1677683636186,1677683636282,1677683636388,1677683636489,1677683636589,1677683636680,1677683636780,1677683636880,1677683636981,1677683637080,1677683637186,1677683637287,1677683637382,1677683637487,1677683637589,1677683637686,1677683637782,1677683637887,1677683637980,1677683638078,1677683638178,1677683638281,1677683638382,1677683638481,1677683638582,1677683638683</t>
  </si>
  <si>
    <t>12.1,0.1,0.2,0.3,0.4,0.5,0.6,0.7,0.8,0.9,1,1.1,1.2,1.3,1.4,1.5,1.6,1.7,1.8,1.9,2,2.1,2.2,2.3,2.4,2.5,2.6,2.7,2.8,2.9,3,3.1,3.2,3.3,3.4,3.5,3.6,3.7,3.8,3.9</t>
  </si>
  <si>
    <t>0.624883987936306,0.624883987936306,0.624883987936306,0.624883987936306,0.624883987936306,0.624883987936306,0.624883987936306,0.624883987936306,0.624883987936306,0.624883987936306,0.624883987936306,0.624883987936306,-0.6054472322450098,-0.21201545068510647,-0.16432983209563812,-0.1529239503762793,-0.1468432201177728,-0.028769699017415946,0.04767934265623621,0.05079931544518951,0.05079931544518951,-0.0009441210477762887,-0.11635446501969648,-0.149169549150893,-0.31016395451829293,-0.4673052142614524,-0.5656172305386356,0.6365403675295381,0.6541667282270078,0.7661465344129991,0.7876526082771721,0.7876526082771721,0.7854315778369999,0.7854315778369999,0.7854315778369999,0.7854315778369999,0.7854315778369999,0.7854315778369999,0.7854315778369999,0.7854315778369999</t>
  </si>
  <si>
    <t>-0.03659230559987375,-0.03659230559987375,-0.03659230559987375,-0.03659230559987375,-0.03659230559987375,-0.03659230559987375,-0.03659230559987375,-0.03659230559987375,-0.03659230559987375,-0.03659230559987375,-0.03659230559987375,-0.03659230559987375,0.018553217079886917,-0.18119174513416447,-0.18806703751077608,-0.18420795675257579,-0.179594650756789,0.059112333673551606,0.1919898922108415,0.1942425566198422,0.1942425566198422,0.2324730583877398,0.3284584668649697,0.3163496971521456,0.32049193095412054,0.3370662207628999,0.37511732337933074,-0.4298282624317296,-0.4362931638582616,-0.28543766233706097,-0.2279219074991388,-0.2279219074991388,-0.2275370181931536,-0.2275370181931536,-0.2275370181931536,-0.2275370181931536,-0.2275370181931536,-0.2275370181931536,-0.2275370181931536,-0.2275370181931536</t>
  </si>
  <si>
    <t>-0.699006863382204,-0.699006863382204,-0.699006863382204,-0.699006863382204,-0.699006863382204,-0.699006863382204,-0.699006863382204,-0.699006863382204,-0.699006863382204,-0.699006863382204,-0.699006863382204,-0.699006863382204,0.7071963010512226,0.7724468631782081,0.7724922594131779,0.773630071360739,0.7748072603026848,0.8037041454413408,0.7945902306559705,0.7943968680202228,0.7943968680202228,0.7816531845897178,0.7356474980265109,0.7272645163979015,0.6603802609567132,0.568019067113881,0.4969052707402163,-0.4375730201224638,-0.41796566529052936,-0.18285177673716516,-0.09756398759427691,-0.09756398759427691,-0.09845828022624967,-0.09845828022624967,-0.09845828022624967,-0.09845828022624967,-0.09845828022624967,-0.09845828022624967,-0.09845828022624967,-0.09845828022624967</t>
  </si>
  <si>
    <t>-0.34578954544097623,-0.34578954544097623,-0.34578954544097623,-0.34578954544097623,-0.34578954544097623,-0.34578954544097623,-0.34578954544097623,-0.34578954544097623,-0.34578954544097623,-0.34578954544097623,-0.34578954544097623,-0.34578954544097623,0.36464067091084673,0.5705653720058499,0.5838511838063387,0.586667032273616,0.5880956890738427,0.5913862384487127,0.5740147445134403,0.5732563779215614,0.5732563779215614,0.5787691118054331,0.5808609408989627,0.5905570572826907,0.6041367017899317,0.5876789420591406,0.5407858116936164,-0.4675402414564831,-0.45499326312547234,-0.5459945571803504,-0.5640356735888478,-0.5640356735888478,-0.5671244210428062,-0.5671244210428062,-0.5671244210428062,-0.5671244210428062,-0.5671244210428062,-0.5671244210428062,-0.5671244210428062,-0.5671244210428062</t>
  </si>
  <si>
    <t>Teste</t>
  </si>
  <si>
    <t>27.110934800342104,27.110934800342118</t>
  </si>
  <si>
    <t>167789411898116000000000000000000000000000000000000000000000000000000000000000000000000000000000000000000000000000000000000000000000000000000000000000000000000000000000000000000000000000000000000000000000000000000000000000000000000000000000000000000000000000000000000000000.0000000000000000</t>
  </si>
  <si>
    <t>7.1,0.1,0.2,0.3,0.4,0.5,0.6,0.7,0.8,0.9,1,1.1,1.2,1.3,1.4,1.5,1.6,1.7,1.8,1.9,2</t>
  </si>
  <si>
    <t>0.624883987936306,0.624883987936306,0.624883987936306,0.624883987936306,-0.33517355092615153,0.3996599367646799,0.45899334030538286,0.45899334030538286,0.6350342152669207,0.6667339474586101,0.6667339474586101,0.6667339474586101,0.6667339474586101,0.6667339474586101,0.6667339474586101,0.6667339474586101,0.6667339474586101,0.6667339474586101,0.6667339474586101,0.6667339474586101,0.6667339474586101</t>
  </si>
  <si>
    <t>-0.03659230559987375,-0.03659230559987375,-0.03659230559987375,-0.03659230559987375,0.024378367764567314,-0.17611738664632495,-0.18328143104561115,-0.18328143104561115,-0.4250844705020561,-0.5382702931432457,-0.5382702931432457,-0.5382702931432457,-0.5382702931432457,-0.5382702931432457,-0.5382702931432457,-0.5382702931432457,-0.5382702931432457,-0.5382702931432457,-0.5382702931432457,-0.5382702931432457,-0.5382702931432457</t>
  </si>
  <si>
    <t>-0.699006863382204,-0.699006863382204,-0.699006863382204,-0.699006863382204,0.8480517801024704,0.7911371994457314,0.7604197299986883,0.7604197299986883,0.6028911825797095,0.5070319106482425,0.5070319106482425,0.5070319106482425,0.5070319106482425,0.5070319106482425,0.5070319106482425,0.5070319106482425,0.5070319106482425,0.5070319106482425,0.5070319106482425,0.5070319106482425,0.5070319106482425</t>
  </si>
  <si>
    <t>-0.34578954544097623,-0.34578954544097623,-0.34578954544097623,-0.34578954544097623,0.4097225454008129,0.4282015094780567,0.4213013942748136,0.4213013942748136,0.22925304871681051,0.09300309892759788,0.09300309892759788,0.09300309892759788,0.09300309892759788,0.09300309892759788,0.09300309892759788,0.09300309892759788,0.09300309892759788,0.09300309892759788,0.09300309892759788,0.09300309892759788,0.09300309892759788</t>
  </si>
  <si>
    <t>27.110934800342118,27.110934800342118</t>
  </si>
  <si>
    <t>1677902653629,1677902653740,1677902653830,1677902653931,1677902654031,1677902654131,1677902654230,1677902654329,1677902654432,1677902654535,1677902654630,1677902654777,1677902654840,1677902654931,1677902655030,1677902655131,1677902655231,1677902655334,1677902655461,1677902655532,1677902655631,1677902655732,1677902655839,1677902655931,1677902656032,1677902656122,1677902656244,1677902656327,1677902656426,1677902656533,1677902656633,1677902656728,1677902656822,1677902656933,1677902657052,1677902657138,1677902657222,1677902657325,1677902657428,1677902657529,1677902657638,1677902657738,1677902657829,1677902657923,1677902658033,1677902658139,1677902658233,1677902658323,1677902658424,1677902658535,1677902658625,1677902658724,1677902658844,1677902658934,1677902659034,1677902659134,1677902659234,1677902659334,1677902659436,1677902659519,1677902659624,1677902659724,1677902659826,1677902659924,1677902660025</t>
  </si>
  <si>
    <t>0,0.1,0.2,0.3,0.4,0.5,0.6,0.7,0.8,0.9,1,1.1,1.2,1.3,1.4,1.5,1.6,1.7,1.8,1.9,2,2.1,2.2,2.3,2.4,2.5,2.6,2.7,2.8,2.9,3,3.1,3.2,3.3,3.4,3.5,3.6,3.7,3.8,3.9,4,4.1,4.2,4.3,4.4,4.5,4.6,4.7,4.8,4.9,5,5.1,5.2,5.3,5.4,5.5,5.6,5.7,5.8,5.9,6,6.1,6.2,6.3,6.4</t>
  </si>
  <si>
    <t>0.624883987936306,0.624883987936306,0.624883987936306,0.624883987936306,0.624883987936306,0.624883987936306,0.624883987936306,0.624883987936306,0.624883987936306,0.624883987936306,0.624883987936306,-0.5793574228645565,-0.4687755645445287,-0.22302972751977895,-0.017498389866772872,-0.017498389866772872,-0.017498389866772872,0.0036438476539799145,0.48212087849533936,0.7143529344980893,0.7650968061985126,0.7650968061985126,0.8107247711569062,0.9573282411656059,0.9608754538394463,0.9608754538394463,0.902521963120901,-0.5987730889170796,0.4628854030277115,0.4628854030277115,0.3994127099375271,-0.056214062289140304,-0.11613412704564413,-0.11613412704564413,-0.2992104363036301,-0.558830721684353,-0.5593807384003209,-0.5518103871760076,-0.4596782937385069,-0.4443873031973266,-0.43210985652952416,-0.4447633335958639,-0.4459710919757425,-0.4385910879279261,-0.4385910879279261,-0.4366504163119672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</t>
  </si>
  <si>
    <t>-0.03659230559987375,-0.03659230559987375,-0.03659230559987375,-0.03659230559987375,-0.03659230559987375,-0.03659230559987375,-0.03659230559987375,-0.03659230559987375,-0.03659230559987375,-0.03659230559987375,-0.03659230559987375,-0.05266232885541429,-0.1562626368462571,-0.14008139736482558,-0.05443737056792729,-0.05443737056792729,-0.05443737056792729,-0.06737978374788975,-0.17628435765800937,-0.12449466333387142,-0.11546629845313261,-0.11546629845313261,-0.10231202335498048,0.0330196945187404,0.06325754942412415,0.06325754942412415,0.07262262918181615,-0.029733689515403748,-0.04451532804043965,-0.04451532804043965,-0.07856150434727714,-0.3754275084301088,-0.3709906441355586,-0.3709906441355586,-0.22687759860194387,0.08940646081911909,0.0925955557126614,-0.005567125219723083,-0.24971479640405173,-0.3167290092890777,-0.3844104928704773,-0.4181530868445865,-0.4042530395646919,-0.29902350821075746,-0.29902350821075746,-0.3168040578962245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</t>
  </si>
  <si>
    <t>-0.699006863382204,-0.699006863382204,-0.699006863382204,-0.699006863382204,-0.699006863382204,-0.699006863382204,-0.699006863382204,-0.699006863382204,-0.699006863382204,-0.699006863382204,-0.699006863382204,0.6956225507883649,0.6966562681892521,0.746737388220787,0.7642062635288381,0.7642062635288381,0.7642062635288381,0.7628254747119089,0.6171784966592716,0.44057367281977255,0.39083537130714663,0.39083537130714663,0.33611083598585983,-0.07864326270501731,-0.16228697848812654,-0.16228697848812654,-0.29075817868883314,0.5472003450704124,-0.5718714906398419,-0.5718714906398419,-0.5737059825946007,-0.45202774082768143,-0.4278812908953344,-0.4278812908953344,-0.3468648381597219,-0.14115823369891445,-0.1389626278751375,-0.20531623427563397,-0.36622743181709855,-0.39572905529754643,-0.42058239682706816,-0.41835609615191044,-0.4145689406425387,-0.39340933303580633,-0.39340933303580633,-0.3995492399985034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</t>
  </si>
  <si>
    <t>-0.34578954544097623,-0.34578954544097623,-0.34578954544097623,-0.34578954544097623,-0.34578954544097623,-0.34578954544097623,-0.34578954544097623,-0.34578954544097623,-0.34578954544097623,-0.34578954544097623,-0.34578954544097623,0.4215221495081276,0.5200975893084278,0.6107521721516582,0.6424322266364078,0.6424322266364078,0.6424322266364078,0.6430738544264673,0.596300249056955,0.5292407794127834,0.4985399919781486,0.4985399919781486,0.46828100670695416,0.2761296356274828,0.2153596556063532,0.2153596556063532,0.30925675633794636,-0.5840877314679034,0.6758095052799202,0.6758095052799202,0.710745399359164,0.807195816786197,0.8159634841100254,0.8159634841100254,0.8594675410438933,0.8122740069241089,0.8119166463517122,0.8082818491493704,0.7695556217111212,0.7386482073525109,0.6990136567623761,0.6725412625732125,0.682511434760762,0.7506343289564171,0.7506343289564171,0.7411693515328929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</t>
  </si>
  <si>
    <t>Teste android</t>
  </si>
  <si>
    <t>27.110934800342456,27.110934800342118</t>
  </si>
  <si>
    <t>1677952080494,1677952080711,1677952080734,1677952080776,1677952080880,1677952080992,1677952081095,1677952081199,1677952081296,1677952081403,1677952081501,1677952081603,1677952081948,1677952081985,1677952082047,1677952082113,1677952082176,1677952082239,1677952082326,1677952082443,1677952082505,1677952082593,1677952082695,1677952082832,1677952082920,1677952083001,1677952083086,1677952083198,1677952083282,1677952083369,1677952083541,1677952083618,1677952083697,1677952083788,1677952083862,1677952084011,1677952084104,1677952084180,1677952084264,1677952084369,1677952084508,1677952084596,1677952084710,1677952084795,1677952084866,1677952084968,1677952085071,1677952085184,1677952085364,1677952085423,1677952085505,1677952085615,1677952085727,1677952085767,1677952085879,1677952086006,1677952086092,1677952086199,1677952086284,1677952086367,1677952086471,1677952086597,1677952086697,1677952086776,1677952086884,1677952087006,1677952087108,1677952087175,1677952087279,1677952087391,1677952087495,1677952087591,1677952087776,1677952087852,1677952087895,1677952087991,1677952088095,1677952088199,1677952088295,1677952088402,1677952088495,1677952088599,1677952088695,1677952088799,1677952088895,1677952088999,1677952089095,1677952089199,1677952089295,1677952089490,1677952089571,1677952089591,1677952089695,1677952089950,1677952090005,1677952090059,1677952090114,1677952090202,1677952090304,1677952090416,1677952090523,1677952090602,1677952090687,1677952090785,1677952090892,1677952091007,1677952091180,1677952091234,1677952091319,1677952091370,1677952091508,1677952091611,1677952091671,1677952091800,1677952091864,1677952091972,1677952092063,1677952092222,1677952092308,1677952092376,1677952092507,1677952092618,1677952092706,1677952092796,1677952092914,1677952093003,1677952093105,1677952093169,1677952093292,1677952093369,1677952093515,1677952093595,1677952093671,1677952093774,1677952093871,1677952093983,1677952094095,1677952094199,1677952094295,1677952094399,1677952094495,1677952094599,1677952094695,1677952094799,1677952094895,1677952095000,1677952095095,1677952095199,1677952095295,1677952095400,1677952095497,1677952095603,1677952095707,1677952095803,1677952095899,1677952096000,1677952096099,1677952096203,1677952096299,1677952096403,1677952096497,1677952096591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</si>
  <si>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</t>
  </si>
  <si>
    <t>0.624883987936306,0.624883987936306,0.624883987936306,0.624883987936306,0.624883987936306,0.624883987936306,0.624883987936306,0.624883987936306,0.624883987936306,0.624883987936306,0.624883987936306,0.624883987936306,-0.46573848226447034,-0.4420087440836244,-0.39475470678904684,-0.3627399822080538,-0.3244465008878386,-0.27454419353309517,-0.1699895672039665,-0.031203883337719805,-0.022776533438497646,-0.022776533438497646,-0.022776533438497646,0.11695606312279451,0.25385226974745434,0.3485535021627641,0.4043709863037897,0.5086655289288795,0.5324380291861988,0.5324380291861988,0.5709575202342855,0.7703653635159566,0.8174649815862107,0.8272106029151272,0.8272106029151272,0.6746625166223528,0.7800780497327071,0.806182390197286,0.806182390197286,0.806182390197286,0.806182390197286,0.806182390197286,0.806182390197286,0.806182390197286,0.806182390197286,0.806182390197286,0.806182390197286,0.806182390197286,0.8293801384082714,0.8302227130605556,0.8302153421636965,0.8278509604918598,0.8241207904533112,0.8241207904533112,0.8241207904533112,0.8262175078250628,0.8767374139570515,0.9087594907671488,0.8940951698750553,0.8913475465592181,0.8913475465592181,0.759029451999788,0.928292772825361,0.9499710598265338,0.9499710598265338,0.9939392480519418,0.9267984202719269,0.920915784674465,0.920915784674465,0.920915784674465,0.920915784674465,0.920915784674465,0.918325775387834,0.9129817858882691,0.9129817858882691,0.9129817858882691,0.9129817858882691,0.9129817858882691,0.9129817858882691,0.9129817858882691,0.9129817858882691,0.9129817858882691,0.9129817858882691,0.9129817858882691,0.9129817858882691,0.9129817858882691,0.9129817858882691,0.9129817858882691,0.9129817858882691,0.7861130888209898,-0.6852808449781574,-0.6852808449781574,-0.6852808449781574,0.8410562344583946,0.8303134311942565,0.8281115964632367,0.8283611605886122,0.8283611605886122,0.8283611605886122,0.8232027873665182,-0.7013582825965151,-0.5766024006730379,-0.48050407587205474,-0.48050407587205474,-0.48050407587205474,-0.6656826683692475,-0.6223386665577831,-0.6006798117654598,-0.5940538112478833,-0.5926506095619513,-0.5926506095619513,-0.496908371169956,-0.4460133445216082,-0.37093281992139776,-0.37093281992139776,-0.37093281992139776,-0.37093281992139776,-0.2776616395617524,-0.21737934058839073,-0.22013939846464253,-0.2545860787036131,-0.3072865569330499,-0.3888714087688074,-0.44640891317743986,-0.45317709026345926,-0.4583993454457453,-0.44550820884753134,-0.4436351981077548,-0.4508634258897958,-0.45724811942055615,-0.4609148164818428,-0.4699566813331731,-0.4699566813331731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</si>
  <si>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-0.18707899615920756,-0.21180416082094528,-0.23119078427079984,-0.23623560223756365,-0.23127767379499242,-0.21623330210397773,-0.1527819844542873,-0.0691067951070491,-0.06672161321172829,-0.06672161321172829,-0.06672161321172829,-0.2121538239964235,-0.3565117796814685,-0.44414717148489485,-0.4368253038153252,-0.2934057399196734,-0.2558673541056543,-0.2558673541056543,-0.24585877252325564,-0.37816810608172635,-0.42963982816954754,-0.44828678377146003,-0.44828678377146003,-0.32181676777224816,-0.2208311726679194,-0.19261850216821866,-0.19261850216821866,-0.19261850216821866,-0.19261850216821866,-0.19261850216821866,-0.19261850216821866,-0.19261850216821866,-0.19261850216821866,-0.19261850216821866,-0.19261850216821866,-0.19261850216821866,-0.0929710014463194,-0.06480428961818704,-0.027849650363398034,0.023304719773551537,0.05220518047258225,0.05220518047258225,0.05220518047258225,0.052899441902236465,0.11494444531781527,0.16423259370118987,0.18643588678909626,0.19071071352946953,0.19071071352946953,0.012174882903071648,0.0848392188941474,0.09376145019658741,0.09376145019658741,0.10585143613238578,0.10918392143433112,0.10835882863081957,0.10835882863081957,0.10835882863081957,0.10835882863081957,0.10835882863081957,-0.0023392487239248107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-0.010171313388460702,-0.08150400656773316,-0.08150400656773316,-0.08150400656773316,0.00002193361508276543,0.062245238704675354,0.07796634040458277,0.08013058635301983,0.08013058635301983,0.08013058635301983,0.09596735519324746,-0.24555914146414531,-0.3193198722084805,-0.31496986251475423,-0.31496986251475423,-0.31496986251475423,-0.30327212350657046,-0.3309384125525567,-0.3417299002680733,-0.3477930629001131,-0.35027182384270233,-0.35027182384270233,-0.32309409124231186,-0.32562066068972706,-0.347499043710455,-0.347499043710455,-0.347499043710455,-0.347499043710455,-0.35148125977880995,-0.35315222556557724,-0.3554171043646806,-0.3466644759622688,-0.30678202630922413,-0.2697562676426671,-0.24998847161961138,-0.25818511928897525,-0.293095444478576,-0.32392348940469107,-0.3266130202129966,-0.327673099567808,-0.3241563829166827,-0.3187837999820514,-0.3052670402037208,-0.3052670402037208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</t>
  </si>
  <si>
    <t>-0.699006863382204,-0.699006863382204,-0.699006863382204,-0.699006863382204,-0.699006863382204,-0.699006863382204,-0.699006863382204,-0.699006863382204,-0.699006863382204,-0.699006863382204,-0.699006863382204,-0.699006863382204,0.6861528470176272,0.6801023668903888,0.6803215582993951,0.68280335347645,0.6893848329194489,0.6993196827405227,0.7230163833593543,0.736823814455988,0.7367794673268974,0.7367794673268974,0.7367794673268974,0.7084571287179261,0.6479352585065158,0.5853428514476839,0.5448329222183506,0.4466053619019818,0.4179793232642177,0.4179793232642177,0.38970402383746827,0.28613848069195413,0.2495526933496853,0.2415792679916184,0.2415792679916184,0.42524850730049846,0.2439706754114331,0.1892780709059668,0.1892780709059668,0.1892780709059668,0.1892780709059668,0.1892780709059668,0.1892780709059668,0.1892780709059668,0.1892780709059668,0.1892780709059668,0.1892780709059668,0.1892780709059668,0.03768666894930271,-0.004684626024353368,-0.060405476064019324,-0.1350903256193153,-0.17689518574544472,-0.17689518574544472,-0.17689518574544472,-0.17668881304293765,-0.22484532273541122,-0.2562807550973633,-0.31386807898943864,-0.3236448044491527,-0.3236448044491527,-0.18084301229390096,-0.16632046663574795,-0.15265188794065473,-0.15265188794065473,-0.014882415880310685,0.13488357390614686,0.14022024545799944,0.14022024545799944,0.14022024545799944,0.14022024545799944,0.14022024545799944,-0.14757002762211477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-0.3044875614002102,0.25561189984769384,0.25561189984769384,0.25561189984769384,-0.1788044544875106,-0.08850652528473395,-0.06517714326640847,-0.06192466253075625,-0.06192466253075625,-0.06192466253075625,-0.038185723704786914,-0.20344831487930742,-0.34455838513885195,-0.40956170427204447,-0.40956170427204447,-0.40956170427204447,-0.2712924345181399,-0.32434948035480365,-0.34775559316050747,-0.3561568807983565,-0.35848697240485344,-0.35848697240485344,-0.41697535838971483,-0.45008934814744006,-0.49850690534274816,-0.49850690534274816,-0.49850690534274816,-0.49850690534274816,-0.5486875892740626,-0.5774415633979215,-0.5760502890255172,-0.5602766617550308,-0.5338477292051779,-0.4892812904468294,-0.45505831879865355,-0.4538424513602238,-0.46062927003858894,-0.4760847539924968,-0.477830585181113,-0.4734943096945589,-0.4686588016798314,-0.4650531658349612,-0.45591406292844394,-0.45591406292844394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</si>
  <si>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0.5265770464648604,0.5451862417217106,0.5726099196217519,0.588550784575529,0.6049740968060028,0.6235548301393932,0.6519267763038867,0.6718193469863805,0.6724473751755178,0.6724473751755178,0.6724473751755178,0.6628729373200146,0.6234085954464479,0.5819084914753648,0.5906139570390824,0.6750674797248737,0.6901702163255637,0.6901702163255637,0.6794790268037418,0.42620518545037556,0.2913487174720637,0.2374890212141745,0.2374890212141745,0.5103216276860261,0.5321561228085395,0.5264426637653707,0.5264426637653707,0.5264426637653707,0.5264426637653707,0.5264426637653707,0.5264426637653707,0.5264426637653707,0.5264426637653707,0.5264426637653707,0.5264426637653707,0.5264426637653707,0.5496041247001802,0.553632283239033,0.5534600808298034,0.5439395933125747,0.5355442419954859,0.5355442419954859,0.5355442419954859,0.5323038062565891,0.4093456513785024,0.2854890850339775,0.2594654433922539,0.2537380845301174,0.2537380845301174,0.6253174139008655,0.32157788673306026,0.255853819704219,0.255853819704219,-0.025666288165951973,-0.3330615273068744,-0.34714660384176266,-0.34714660384176266,-0.34714660384176266,-0.34714660384176266,-0.34714660384176266,-0.36728107100877055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-0.5377825591452643,0.6770596850172681,0.6770596850172681,0.6770596850172681,-0.5105422382653627,-0.5466916235127821,-0.5512752248765187,-0.5509648018970548,-0.5509648018970548,-0.5509648018970548,-0.5582734886364835,0.6374998436465921,0.6684639182344518,0.7086388566622339,0.7086388566622339,0.7086388566622339,0.6255341870032646,0.630850034317066,0.6336169871663545,0.6318958229015347,0.6305251739809891,0.6305251739809891,0.6890746181374662,0.7017569811016114,0.7022422111003266,0.7022422111003266,0.7022422111003266,0.7022422111003266,0.7059085403342263,0.7032716180281985,0.7024125509145386,0.7078839819693353,0.7255800178369808,0.7325396933466107,0.7287981701302295,0.7224942895147514,0.7012743943026405,0.6855212001661637,0.6842438731130248,0.6820232031987,0.682792592453054,0.6853174255506661,0.6914442270058007,0.6914442270058007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</t>
  </si>
  <si>
    <t>27.11093480034214,27.11093480034212</t>
  </si>
  <si>
    <t>1677952099946,1677952100113,1677952100147,1677952100247,1677952100343,1677952100447,1677952100551,1677952100647,1677952100751,1677952100983,1677952101042,1677952101098,1677952101177,1677952101264,1677952101343,1677952101446,1677952101568,1677952101675,1677952101735,1677952101831,1677952101926,1677952102075,1677952102199,1677952102239,1677952102343,1677952102469,1677952102568,1677952102644,1677952102743,1677952102851,1677952103042,1677952103091,1677952103169,1677952103233,1677952103335,1677952103434,1677952103568,1677952103674,1677952103756,1677952103858,1677952103953,1677952104070,1677952104157,1677952104252,1677952104369,1677952104415,1677952104519,1677952104614,1677952104719,1677952105026,1677952105089,1677952105150,1677952105211,1677952105250,1677952105365,1677952105427,1677952105535,1677952105692,1677952105779,1677952105841,1677952105955,1677952106052,1677952106173,1677952106280,1677952106332,1677952106446,1677952106543,1677952106614,1677952106734,1677952106842,1677952106944,1677952107015,1677952107119,1677952107223,1677952107327,1677952107431,1677952107543,1677952107647,1677952107751,1677952107959,1677952108007,1677952108077,1677952108169,1677952108267,1677952108380,1677952108476,1677952108567,1677952108663,1677952108758,1677952108849,1677952108940,1677952109052,1677952109144,1677952109238,1677952109348,1677952109441,1677952109549,1677952109642,1677952109751,1677952109842,1677952109952,1677952110041,1677952110157,1677952110247,1677952110358,1677952110451,1677952110542,1677952110654,1677952110738,1677952110841,1677952110945,1677952111049,1677952111154,1677952111258,1677952111343,1677952111447,1677952111549,1677952111623,1677952111818,1677952111865,1677952111947,1677952112050,1677952112154,1677952112258,1677952112319,1677952112423,1677952112542,1677952112648,1677952112750,1677952112850,1677952112921,1677952113023,1677952113126,1677952113261,1677952113365,1677952113454,1677952113526,1677952113623,1677952113735,1677952113847,1677952114084,1677952114132,1677952114200,1677952114239,1677952114335,1677952114483,1677952114573,1677952114711,1677952114735,1677952114839,1677952114936,1677952115180,1677952115228,1677952115277,1677952115371,1677952115423,1677952115519,1677952115639,1677952115743,1677952115848,1677952116061,1677952116109,1677952116176,1677952116268,1677952116335,1677952116447,1677952116543,1677952116646,1677952116742,1677952116956,1677952116964,1677952117047,1677952117142,1677952117246,1677952117567,1677952117615,1677952117623,1677952117646,1677952117746,1677952117846,1677952117951,1677952118046,1677952118150,1677952118247,1677952118351,1677952118447,1677952118546,1677952118657,1677952118750,1677952118943,1677952118992,1677952119078,1677952119169,1677952119279,1677952119398,1677952119423,1677952119527,1677952119623,1677952119721,1677952119824,1677952119935,1677952120047,1677952120262,1677952120312,1677952120380,1677952120491,1677952120561,1677952120647,1677952120751,1677952120988,1677952120996,1677952121038,1677952121143,1677952121247,1677952121343,1677952121447,1677952121552,1677952121773,1677952121822,1677952121872,1677952121974,1677952122048,1677952122143,1677952122247,1677952122342,1677952122573,1677952122583,1677952122648,1677952122745,1677952122847,1677952122952,1677952123047,1677952123149,1677952123340,1677952123392,1677952123490,1677952123591,1677952123648,1677952123752,1677952123847,1677952123943,1677952124045,1677952124291,1677952124299,1677952124326,1677952124447,1677952124543,1677952124647,1677952124863,1677952124872,1677952124951,1677952125047,1677952125150,1677952125396,1677952125404,1677952125447,1677952125551,1677952125647,1677952125913,1677952125920,1677952125951,1677952126047,1677952126143,1677952126243,1677952126497,1677952126506,1677952126551,1677952126649,1677952126755,1677952126850,1677952127085,1677952127095,1677952127152,1677952127251,1677952127352,1677952127448,1677952127637,1677952127647,1677952127743,1677952127851,1677952127956,1677952128146,1677952128154,1677952128247,1677952128347,1677952128459,1677952128555,1677952128656,1677952128823,1677952128847,1677952128945,1677952129051,1677952129155,1677952129251,1677952129355,1677952129449,1677952129547,1677952129649,1677952129750,1677952129910,1677952129943,1677952130047,1677952130143,1677952130247,1677952130352,1677952130447,1677952130550,1677952130647,1677952130751,1677952130849,1677952131071,1677952131119,1677952131185,1677952131273,1677952131369,1677952131447,1677952131543,1677952131647,1677952131743,1677952131847,1677952131944,1677952132047,1677952132168,1677952132254,1677952132393,1677952132487,1677952132579,1677952132653,1677952132743,1677952132847,1677952132943,1677952133047,1677952133143,1677952133248,1677952133343,1677952133447,1677952133554,1677952133776,1677952133822,1677952133869,1677952133979,1677952134071,1677952134143,1677952134247,1677952134343,1677952134446,1677952134544,1677952134640,1677952134871,1677952134921,1677952134953,1677952135048,1677952135151,1677952135248,1677952135351,1677952135447,1677952135551,1677952135761,1677952135814,1677952135884,1677952135957,1677952136046,1677952136165,1677952136278,1677952136371,1677952136432,1677952136536,1677952136631,1677952136767,1677952136856,1677952136966,1677952137031,1677952137127,1677952137238,1677952137430,1677952137478,1677952137568,1677952137658,1677952137747,1677952137856,1677952137915,1677952138039,1677952138119,1677952138222,1677952138318,1677952138423,1677952138622,1677952138667,1677952138772,1677952138875,1677952138977,1677952139022,1677952139134,1677952139264,1677952139347,1677952139434,1677952139539,1677952139623,1677952139727,1677952139835,1677952140001,1677952140073,1677952140135,1677952140231,1677952140368,1677952140462,1677952140562,1677952140676,1677952140727,1677952140823,1677952140942,1677952141055,1677952141162,1677952141248,1677952141357,1677952141462,1677952141527,1677952141656,1677952141743,1677952141853,1677952141939,1677952142046,1677952142151,1677952142295,1677952142325,1677952142422,1677952142526,1677952142621,1677952142727,1677952142831,1677952142945,1677952143048,1677952143146,1677952143246,1677952143350,1677952143447,1677952143550,1677952143647,1677952143750,1677952143847,1677952143947,1677952144054,1677952144150,1677952144246,1677952144401,1677952144448,1677952144550,1677952144646,1677952144768,1677952144848,1677952144954,1677952145058,1677952145153,1677952145251,1677952145353,1677952145451,1677952145553,1677952145651,1677952145750,1677952145858,1677952145955,1677952146048,1677952146155,1677952146250,1677952146354,1677952146456,1677952146543,1677952146646,1677952146743,1677952146847,1677952146949,1677952147047,1677952147150,1677952147247,1677952147350,1677952147446,1677952147544,1677952147786,1677952147815,1677952147877,1677952147978,1677952148068,1677952148179,1677952148275,1677952148363,1677952148455,1677952148519,1677952148615,1677952148719,1677952148823,1677952148927,1677952149036,1677952149172,1677952149281,1677952149370,1677952149480,1677952149571,1677952149664,1677952149753,1677952149845,1677952149956,1677952150051,1677952150162,1677952150256,1677952150345,1677952150422,1677952150520,1677952150622,1677952150727,1677952150823,1677952150999,1677952151067,1677952151174,1677952151262,1677952151373,1677952151431,1677952151535,1677952151631,1677952151735,1677952151971,1677952152017,1677952152062,1677952152147,1677952152219,1677952152335,1677952152446,1677952152551,1677952152646,1677952152853,1677952152900,1677952152964,1677952153068,1677952153174,1677952153259,1677952153369,1677952153455,1677952153528,1677952153632,1677952153731,1677952153833,1677952153938,1677952154211,1677952154255,1677952154300,1677952154365,1677952154472,1677952154556,1677952154641,1677952154768,1677952154855,1677952154960,1677952155048,1677952155151,1677952155260,1677952155347,1677952155453,1677952155557,1677952155642,1677952155747,1677952155852,1677952155957,1677952156024,1677952156119,1677952156360,1677952156367,1677952156425,1677952156523,1677952156659,1677952156751,1677952156856,1677952156962,1677952157046,1677952157151,1677952157256,1677952157343,1677952157429,1677952157528,1677952157663,1677952157728,1677952157898,1677952157930,1677952158028,1677952158138,1677952158267,1677952158346,1677952158451,1677952158555,1677952158650,1677952158755,1677952158851,1677952158955,1677952159058,1677952159155,1677952159248,1677952159347,1677952159450,1677952159555,1677952159651,1677952159755,1677952159852,1677952159951,1677952160137,1677952160168,1677952160268,1677952160386,1677952160440,1677952160578,1677952160640,1677952160762,1677952160831,1677952160926,1677952161024,1677952161135,1677952161247,1677952161343,1677952161443,1677952161551,1677952161647,1677952161749,1677952161847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</si>
  <si>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</t>
  </si>
  <si>
    <t>0.624883987936306,0.624883987936306,0.624883987936306,0.624883987936306,0.624883987936306,0.624883987936306,0.624883987936306,0.624883987936306,0.624883987936306,-0.5665202206231864,-0.5176750847059113,-0.4701909595494653,-0.3602105606004356,-0.25346982586078076,-0.25346982586078076,0.7381184382579884,0.6305758380616068,-0.38157484693084487,-0.30603027058022664,-0.30603027058022664,-0.30603027058022664,-0.07957497258597339,0.2039917762721615,0.2039917762721615,0.2039917762721615,-0.3522314444423529,-0.026276903270169946,0.21849100236688684,0.21849100236688684,0.21849100236688684,0.5511543196989429,0.628471260037577,0.6939692541171409,0.7044225274844578,0.7044225274844578,0.7044225274844578,0.15265212782447926,0.3745726078337947,0.4494642090307533,0.47939608980779747,0.4857619573462282,0.5370211849832238,0.5994109675742483,0.6291960014756436,0.6353368069311485,0.6353368069311485,0.6353368069311485,0.6353368069311485,0.6353368069311485,0.7593771617331471,0.8113725344596598,0.8567001417591258,0.891460422684743,0.9046987440459037,0.9053835795302659,0.9053835795302659,0.9053835795302659,0.9100232003893233,0.9204613159515772,0.8858578034511403,0.8227935857975694,0.799411818760974,0.7686479054701371,0.8997540346286047,0.9303130934821922,0.8859480506666656,0.8392763736507816,0.814683923398169,0.7871765907824136,0.7654920642614372,0.7537019833928593,0.7537019833928593,0.7537019833928593,0.7537019833928593,0.7537019833928593,0.7537019833928593,0.7537019833928593,0.7537019833928593,0.7537019833928593,0.6105157141449071,0.5608723955374331,0.5090952387492899,0.40566211535386537,0.21380273194945928,-0.13406276219834326,-0.3609016657030312,-0.5536491107197484,0.689941166322415,0.7722007645177326,0.8179243800554171,0.8455776427999104,0.8311500582148154,0.7666454365965549,-0.6168379111791351,-0.3936223140692637,-0.14594604793789617,0.08846849337031087,0.17933543316804434,0.2057207255004902,0.23282135873799786,0.29867561116572666,0.43632803748294763,0.6241341473732626,0.7047843630949219,0.6802743814777586,0.5882826934200895,0.4261991631582338,0.2172900589171373,0.031538196445889004,-0.072307867301228,-0.08978282160137442,-0.08941542961586639,-0.04182428765600961,0.02933151444731113,0.07117136566694651,0.10427694429059216,0.11248980882224253,0.11579076414970661,0.11816496061454759,0.12574742125111782,0.12719082983827865,0.1763820959766927,0.2951801373687841,0.41697526278995495,0.44059740170102485,0.44059740170102485,0.44414873294222157,0.5744417819528789,0.7382570342876708,0.8303067096755531,0.8374837362923842,0.8374837362923842,0.8374837362923842,0.8374837362923842,0.9001608919075558,0.9217353749363241,0.9158737983618104,0.9158737983618104,0.9158737983618104,0.9158737983618104,0.7835451868012625,0.6434862005254294,0.4794400627399617,0.4794400627399617,0.4794400627399617,0.4347475778443485,0.08850552460409031,-0.40063899649139284,-0.40063899649139284,-0.40063899649139284,-0.40063899649139284,0.2086920814056434,0.21981507644199372,0.2255050301648219,0.20775356704391748,0.20775356704391748,0.20775356704391748,0.20775356704391748,0.20775356704391748,0.20775356704391748,0.14406602913127714,0.09708907218298743,-0.04419487554739816,-0.012777354767923245,-0.012777354767923245,-0.012777354767923245,-0.012777354767923245,-0.012777354767923245,-0.012777354767923245,0.12528555031842123,0.12528555031842123,0.12528555031842123,0.12528555031842123,0.12528555031842123,-0.22645525554144155,-0.2744273020471696,-0.2744273020471696,-0.2744273020471696,-0.2744273020471696,-0.2744273020471696,-0.2744273020471696,-0.2744273020471696,-0.2744273020471696,-0.2744273020471696,-0.2744273020471696,-0.2744273020471696,-0.2744273020471696,-0.2744273020471696,-0.2744273020471696,-0.2885405878190324,-0.29348969118505025,-0.2943241722140307,0.27924821378231945,0.254426450075688,0.16120753553927714,0.16120753553927714,0.16120753553927714,0.16120753553927714,0.16120753553927714,0.16120753553927714,0.16120753553927714,0.16120753553927714,0.1554513083421593,0.13993172858069614,0.09339803025944442,0.0467204341754312,0.02804049525167782,0.02804049525167782,0.02804049525167782,0.2596058094293333,0.2596058094293333,0.2596058094293333,0.2596058094293333,0.2596058094293333,0.2596058094293333,0.2596058094293333,0.2596058094293333,-0.3488102920043295,-0.3759013868819802,-0.39643173532432546,-0.4202108893084348,-0.42074081302359434,-0.42074081302359434,-0.42074081302359434,-0.42074081302359434,-0.28472133799115074,-0.28472133799115074,-0.28472133799115074,-0.28472133799115074,-0.28472133799115074,-0.28472133799115074,-0.28472133799115074,-0.28472133799115074,-0.22216975174809245,-0.18767390638378184,-0.11351782600564678,0.02476471509695223,0.07737561411753366,0.07737561411753366,0.07737561411753366,0.07737561411753366,0.07737561411753366,0.4843395694851928,0.4843395694851928,0.4843395694851928,0.4843395694851928,0.4843395694851928,0.4843395694851928,-0.3826031193811267,-0.3826031193811267,-0.3826031193811267,-0.3826031193811267,-0.3826031193811267,0.7896368836088159,0.7896368836088159,0.7896368836088159,0.7896368836088159,0.7896368836088159,0.9114860260723823,0.9114860260723823,0.9114860260723823,0.9114860260723823,0.9114860260723823,0.9114860260723823,0.6954541671339906,0.6954541671339906,0.6954541671339906,0.6954541671339906,0.6954541671339906,0.6954541671339906,0.6906098846833333,0.6906098846833333,0.6906098846833333,0.6906098846833333,0.6906098846833333,0.6906098846833333,-0.1630783483768014,-0.1630783483768014,-0.1630783483768014,-0.1630783483768014,-0.1630783483768014,0.005871089641190071,0.005871089641190071,0.005871089641190071,0.005871089641190071,0.005871089641190071,0.005871089641190071,0.005871089641190071,0.7678611120301595,0.7678611120301595,0.7678611120301595,0.7678611120301595,0.7678611120301595,0.7678611120301595,0.7678611120301595,0.7678611120301595,0.7678611120301595,0.7678611120301595,0.7678611120301595,0.47186823886789875,0.47186823886789875,0.47186823886789875,0.47186823886789875,0.47186823886789875,0.47186823886789875,0.47186823886789875,0.47186823886789875,0.47186823886789875,0.47186823886789875,0.47186823886789875,-0.12617801984557722,-0.18758607937107938,-0.2336832774864681,-0.2926401824814949,0.7307330914577954,0.7307330914577954,0.7307330914577954,0.7307330914577954,0.7307330914577954,0.7307330914577954,0.7307330914577954,0.7307330914577954,0.7307330914577954,0.7307330914577954,0.7673833353361202,0.834344685919932,0.8688484602453226,0.9656178529007728,0.5002583506642053,0.5002583506642053,0.5002583506642053,0.5002583506642053,0.5002583506642053,0.5002583506642053,0.5002583506642053,0.5002583506642053,0.5002583506642053,0.25512841161532934,0.1594453189587952,0.10968195529270106,0.03714208178097921,-0.4828382687034526,-0.4828382687034526,-0.4828382687034526,-0.4828382687034526,-0.4828382687034526,-0.4828382687034526,-0.4828382687034526,0.8290795920704118,0.9850881877357448,0.9653942749474982,0.9653942749474982,0.9653942749474982,0.9653942749474982,0.9653942749474982,0.9653942749474982,0.9653942749474982,0.8485032192339427,0.7692271492242423,0.6706995440816119,-0.5962614358477796,-0.5829249687279723,-0.5602140015754188,0.4672375809129314,0.3733481711574828,0.34545054005454395,0.34545054005454395,0.34545054005454395,0.10606056866922074,-0.2675593624906106,-0.5485190457811585,-0.5758185381346569,-0.5758185381346569,-0.5758185381346569,0.2311410890168533,0.23201993798804602,0.22435214160342865,0.18280859825527537,0.16420291417452884,0.24992454519132584,0.24992454519132584,0.10908814409505994,-0.011169551079470617,-0.011169551079470617,-0.011169551079470617,-0.011169551079470617,-0.3646878215858312,-0.46154738886584334,-0.588222122843704,-0.6321151050562728,-0.6523034451701285,-0.6523034451701285,-0.6523034451701285,-0.6676397695071364,-0.7055909532722161,-0.6445662791860087,-0.4979485004024916,-0.49216421063362126,-0.49216421063362126,-0.678707107435132,-0.5813143145748352,-0.5575228052589315,-0.5577306090649637,-0.5577306090649637,-0.5370794886664269,-0.48411036632922244,-0.4500243210692543,-0.4252388771210535,-0.4242698997562236,-0.4242698997562236,-0.4242698997562236,-0.325647471778013,-0.06000909678944294,0.035236219966080375,0.10151525753298256,0.07873863910035724,0.024559589919561642,-0.0685234559121157,-0.13456228599997663,-0.23677230616530867,-0.28416366943637644,-0.3228935276012861,-0.3889702630297198,-0.41440083243450077,-0.41440083243450077,-0.41440083243450077,-0.41440083243450077,-0.41440083243450077,-0.41440083243450077,-0.41440083243450077,-0.07411867098770834,-0.07411867098770834,-0.07411867098770834,-0.07411867098770834,-0.07411867098770834,-0.07411867098770834,-0.07411867098770834,-0.07411867098770834,-0.07411867098770834,-0.4097140882138726,-0.4097140882138726,-0.4097140882138726,-0.4097140882138726,-0.4097140882138726,-0.4097140882138726,-0.4097140882138726,-0.4097140882138726,-0.4097140882138726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-0.094975008661217,-0.094975008661217,-0.094975008661217,-0.094975008661217,-0.094975008661217,-0.094975008661217,-0.094975008661217,-0.045465883021688754,-0.038364270646441566,-0.027477579338367464,-0.023439341866853234,-0.01558401500703835,0.009438861766419159,0.05571452908179662,0.08672843305707818,0.09294868850244667,0.09294868850244667,0.09294868850244667,0.09294868850244667,0.09294868850244667,0.09294868850244667,0.09294868850244667,-0.11176453234216673,-0.14833929465710538,-0.17481166304182222,-0.19175655013103896,-0.20072632134237267,-0.2083411192844464,-0.22573926062339664,-0.23467361395276493,-0.18837349738373163,-0.0917053346464846,0.01448194174854863,0.09656548532862048,-0.14764544340408728,-0.16089429289693874,-0.16089429289693874,-0.16089429289693874,-0.16089429289693874,-0.16089429289693874,0.024401110411700844,0.1062924825203908,0.23730568921192136,0.37719886986784873,0.4580554526279104,0.4580554526279104,0.4580554526279104,0.4580554526279104,0.4580554526279104,0.5854717147460055,0.6206389715200838,0.6559361069435029,0.7036779731215553,0.725002914431174,0.725002914431174,0.725002914431174,0.725002914431174,0.725002914431174,0.7954195434328659,0.8093933291935024,0.8111397691033776,0.7894968232045462,0.7615192445090142,0.7556769115973668,0.7615867478207452,0.7602473190013251,0.7620528259745339,0.7620528259745339,0.7620528259745339,0.7620528259745339,0.7620528259745339,0.6300742333033944,0.6083885742997679,0.5988577796675335,0.5800392590281905,0.5310153421514243,0.49077264000618903,0.41370354962627026,0.2737641168264787,0.21560977128577655,0.25827331785957053,0.3448599659098482,0.4537177465211402,0.513190540992127,0.5483622553319638,0.5537851446659983,-0.5326000354962019,-0.5009206392930712,-0.48242529560338554,-0.48054241898673383,-0.47858507679420154,-0.47858507679420154,-0.47858507679420154,-0.4493080328398519,-0.4493080328398519,-0.4493080328398519,-0.4493080328398519,-0.45273841836417617,-0.45402195188323535,-0.48208126087982994,-0.5075012917635359,-0.5229818022300111,-0.5076694617295615,-0.44301209662967084,-0.4091083317102922,-0.396709109020028,-0.396709109020028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-0.47715995997541705,-0.4871709929058949,-0.51237703360595,-0.5264392476507834,-0.5264392476507834,-0.5231087866974287,-0.5214314428734053,-0.5214314428734053,-0.5214314428734053,-0.5214314428734053,-0.5214314428734053,-0.5214314428734053,-0.5214314428734053,-0.5214314428734053,-0.5214314428734053,-0.5214314428734053,-0.5214314428734053,-0.5214314428734053,-0.5214314428734053</t>
  </si>
  <si>
    <t>-0.03659230559987375,-0.03659230559987375,-0.03659230559987375,-0.03659230559987375,-0.03659230559987375,-0.03659230559987375,-0.03659230559987375,-0.03659230559987375,-0.03659230559987375,-0.19752957611580704,-0.3230212259044609,-0.3731687566467736,-0.40724479158566107,-0.39160294925592126,-0.39160294925592126,0.14017460247556832,0.27211276103763476,-0.401057533354067,-0.41417008722535403,-0.41417008722535403,-0.41417008722535403,-0.48501166460490347,-0.4136113798646048,-0.4136113798646048,-0.4136113798646048,-0.4977729898697461,-0.49997500905965575,-0.4135803858051188,-0.4135803858051188,-0.4135803858051188,-0.3607430712057607,-0.34031314451789835,-0.3033912825561189,-0.288243034552977,-0.288243034552977,-0.288243034552977,-0.3152672492208425,-0.30442299178194976,-0.28289596082007296,-0.2657919593138721,-0.2642226243010828,-0.24389216998101626,-0.21460084896518922,-0.19108556332749477,-0.1823655975789355,-0.1823655975789355,-0.1823655975789355,-0.1823655975789355,-0.1823655975789355,-0.1253099434736255,-0.09157903352125266,-0.052587162187275105,-0.009640605208147662,0.01698841195712494,0.09231591530364003,0.09231591530364003,0.09231591530364003,0.10301357241075124,0.1778547866885724,0.24371804327355784,0.28909125391698265,0.2673662836501818,0.2023806361075829,0.25517218892740867,0.2991874396077703,0.3473865374835025,0.35078629749195156,0.3478803284641192,0.3401401664631097,0.32883834332017514,0.3184759501979212,0.3184759501979212,0.3184759501979212,0.3184759501979212,0.3184759501979212,0.3184759501979212,0.3184759501979212,0.3184759501979212,0.3184759501979212,0.3204993149144181,0.31804373925761514,0.3081595217049303,0.2850397170472618,0.26595304620695775,0.23608595182918127,0.16619059469702616,0.08345781616148222,0.004684001644887166,0.1009266813172415,0.17461942914558495,0.21982504802594796,0.2424280637422851,0.22915200097380364,-0.07732010963031324,0.32925861158801867,0.5606692734890146,0.4827843929882596,0.23229495535692554,0.007289603487058642,-0.0895214670490705,-0.1268873981232651,-0.11782409993684707,-0.0025830371156025335,0.13208214552693068,0.2944351065919079,0.3748338707199087,0.40557599230217173,0.4531668532280207,0.5195210843527815,0.5775374415203325,0.6182678559777165,0.6599885311724756,0.7332725849043553,0.7910974110832834,0.8038904815560382,0.7992489178832731,0.797689436450359,0.7976763200816748,0.7529133012690349,0.6680637088998528,0.4029079329656026,-0.012502797674839009,-0.2506743913229395,-0.3261050364112303,-0.3383147438562181,-0.3383147438562181,-0.3437761047824889,-0.4423886320834114,-0.3798071382880324,-0.2623629379410368,-0.17650372132191294,-0.17650372132191294,-0.17650372132191294,-0.17650372132191294,-0.10414756291377845,-0.036954934005193986,-0.019948048886612543,-0.019948048886612543,-0.019948048886612543,-0.019948048886612543,-0.0878722996645196,-0.0729515138059084,-0.009599909024305516,-0.009599909024305516,-0.009599909024305516,-0.0015881215776382134,0.13748097860208242,0.3747299568349775,0.3747299568349775,0.3747299568349775,0.3747299568349775,0.05439138650218802,-0.13791468258180348,-0.2700292993362901,-0.3518606940685007,-0.3518606940685007,-0.3518606940685007,-0.3518606940685007,-0.3518606940685007,-0.3518606940685007,-0.6114826819412781,-0.7453081080024117,0.8846860172138985,0.9612665940265259,0.9612665940265259,0.9612665940265259,0.9612665940265259,0.9612665940265259,0.9612665940265259,0.8456017945118658,0.8456017945118658,0.8456017945118658,0.8456017945118658,0.8456017945118658,0.9477273969944308,0.9015201734390988,0.9015201734390988,0.9015201734390988,0.9015201734390988,0.9015201734390988,0.9015201734390988,0.9015201734390988,0.9015201734390988,0.9015201734390988,0.9015201734390988,0.9015201734390988,0.9015201734390988,0.9015201734390988,0.9015201734390988,0.8730060519544836,0.8580258204117479,0.8016689285237055,-0.716132945959099,-0.6215939616022802,-0.2659857017936611,-0.2659857017936611,-0.2659857017936611,-0.2659857017936611,-0.2659857017936611,-0.2659857017936611,-0.2659857017936611,-0.2659857017936611,-0.11972276152397786,-0.030695180225385033,0.09329772511928336,0.2732792696664734,0.3182786105479822,0.3182786105479822,0.3182786105479822,-0.42641012439924564,-0.42641012439924564,-0.42641012439924564,-0.42641012439924564,-0.42641012439924564,-0.42641012439924564,-0.42641012439924564,-0.42641012439924564,0.7094609175644362,0.7754128850843668,0.8273968039778907,0.9027242309432602,0.9053736196170709,0.9053736196170709,0.9053736196170709,0.9053736196170709,0.6763052584673019,0.6763052584673019,0.6763052584673019,0.6763052584673019,0.6763052584673019,0.6763052584673019,0.6763052584673019,0.6763052584673019,0.5268087206741716,0.4439202064002866,0.3112851160060186,0.0992018514390757,0.02618830516697843,0.02618830516697843,0.02618830516697843,0.02618830516697843,0.02618830516697843,0.6343399360129862,0.6343399360129862,0.6343399360129862,0.6343399360129862,0.6343399360129862,0.6343399360129862,-0.20310355099662403,-0.20310355099662403,-0.20310355099662403,-0.20310355099662403,-0.20310355099662403,0.35405373927352196,0.35405373927352196,0.35405373927352196,0.35405373927352196,0.35405373927352196,0.32427001154436114,0.32427001154436114,0.32427001154436114,0.32427001154436114,0.32427001154436114,0.32427001154436114,0.16393743062047242,0.16393743062047242,0.16393743062047242,0.16393743062047242,0.16393743062047242,0.16393743062047242,0.19979957399435422,0.19979957399435422,0.19979957399435422,0.19979957399435422,0.19979957399435422,0.19979957399435422,-0.14821074777346213,-0.14821074777346213,-0.14821074777346213,-0.14821074777346213,-0.14821074777346213,-0.12565669056585158,-0.12565669056585158,-0.12565669056585158,-0.12565669056585158,-0.12565669056585158,-0.12565669056585158,-0.12565669056585158,0.2986604258824628,0.2986604258824628,0.2986604258824628,0.2986604258824628,0.2986604258824628,0.2986604258824628,0.2986604258824628,0.2986604258824628,0.2986604258824628,0.2986604258824628,0.2986604258824628,0.034843787913794846,0.034843787913794846,0.034843787913794846,0.034843787913794846,0.034843787913794846,0.034843787913794846,0.034843787913794846,0.034843787913794846,0.034843787913794846,0.034843787913794846,0.034843787913794846,-0.08514954948149667,-0.10549981553410484,-0.11967717004147368,-0.13391413570840768,0.168052787590617,0.168052787590617,0.168052787590617,0.168052787590617,0.168052787590617,0.168052787590617,0.168052787590617,0.168052787590617,0.168052787590617,0.168052787590617,0.17510401539398027,0.1792630373321874,0.18023433324203272,0.17267944670997995,0.015567454031985511,0.015567454031985511,0.015567454031985511,0.015567454031985511,0.015567454031985511,0.015567454031985511,0.015567454031985511,0.015567454031985511,0.015567454031985511,-0.014066855245573308,-0.021643899112787236,-0.023906918313045932,-0.03012237715296436,-0.08834495533607774,-0.08834495533607774,-0.08834495533607774,-0.08834495533607774,-0.08834495533607774,-0.08834495533607774,-0.08834495533607774,0.159092117730287,0.1646612574825824,0.1506729830502809,0.1506729830502809,0.1506729830502809,0.1506729830502809,0.1506729830502809,0.1506729830502809,0.1506729830502809,0.10684605641472995,0.09011917682832642,0.07131746737630815,-0.05435826910626006,-0.04960103547970486,-0.008453193898686684,-0.1651165672636397,-0.1879604160830678,-0.1851415440728098,-0.1851415440728098,-0.1851415440728098,-0.13450120022837303,-0.06064487869830647,0.03284600274932637,0.05206772078875372,0.05206772078875372,0.05206772078875372,-0.07362207432852844,-0.1874091174624438,-0.2924150511296957,-0.3388510415879516,-0.3757460184131282,-0.46776642206455044,-0.46776642206455044,-0.33408873084741164,-0.22372752393219417,-0.22372752393219417,-0.22372752393219417,-0.22372752393219417,-0.13831361485926666,-0.07998478021441818,0.04875013324573435,0.1166211585640615,0.19291798430497625,0.19291798430497625,0.19291798430497625,0.13446343220569504,-0.024972052313376288,-0.2007737605904908,-0.32150129635334174,-0.32558524746937895,-0.32558524746937895,0.24453078910039985,0.1436809505822429,0.11964711745071462,0.11642718292138637,0.11642718292138637,0.06645308586497119,-0.10399625599983085,-0.296688380652153,-0.4112969670216634,-0.4143089730408636,-0.4143089730408636,-0.4143089730408636,-0.42010311869972766,-0.4038388040504998,-0.38058016557038576,-0.34195453096067596,-0.2947429738264198,-0.2261906744272327,-0.1804617815098265,-0.17581780817914497,-0.2542973368600964,-0.34986428953347903,-0.3982952565640057,-0.4033694210969615,-0.38404535317903554,-0.38404535317903554,-0.38404535317903554,-0.38404535317903554,-0.38404535317903554,-0.38404535317903554,-0.38404535317903554,-0.4298150473429072,-0.4298150473429072,-0.4298150473429072,-0.4298150473429072,-0.4298150473429072,-0.4298150473429072,-0.4298150473429072,-0.4298150473429072,-0.4298150473429072,0.20599210762863823,0.20599210762863823,0.20599210762863823,0.20599210762863823,0.20599210762863823,0.20599210762863823,0.20599210762863823,0.20599210762863823,0.20599210762863823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0.11872123045171087,0.11872123045171087,0.11872123045171087,0.11872123045171087,0.11872123045171087,0.11872123045171087,0.11872123045171087,-0.19422943625060307,-0.2725309717130833,-0.3754446209794791,-0.47289314004085553,-0.5388860905492764,-0.5747932419467736,-0.5949404682932903,-0.6029510659017014,-0.6031966485094905,-0.6031966485094905,-0.6031966485094905,-0.6031966485094905,-0.6031966485094905,-0.6031966485094905,-0.6031966485094905,0.6669418568155329,0.7565595333220938,0.827463323772379,0.9058770766303195,0.9503531533205276,0.9677831469852755,0.9540894524902137,0.8990316495152371,0.8245493879887058,0.76102770766506,0.6715126154007686,0.5998184287810528,-0.5568954187046827,-0.5472461349832953,-0.5472461349832953,-0.5472461349832953,-0.5472461349832953,-0.5472461349832953,-0.3483812758183952,-0.2564466258542884,-0.11379829954000766,0.04711216425673788,0.1382117280976384,0.1382117280976384,0.1382117280976384,0.1382117280976384,0.1382117280976384,0.3749854845309732,0.4303989133586936,0.4847795648788588,0.5427606925138952,0.5629679414543194,0.5629679414543194,0.5629679414543194,0.5629679414543194,0.5629679414543194,0.5394132808710277,0.511058377569237,0.4593689358270624,0.3850260512961626,0.3261739950147932,0.2900268960990642,0.25415146439205866,0.23397312757485672,0.2324276780097094,0.2324276780097094,0.2324276780097094,0.2324276780097094,0.2324276780097094,0.18235140289462484,0.18964904532720972,0.20186399451379977,0.2368378420381767,0.30565710742782937,0.35904586428087953,0.4355423453176225,0.5046596199327766,0.5257718499948552,0.5740872053660462,0.6284062010926135,0.641054583858615,0.6119181716734335,0.5564689970672251,0.4613799270207942,-0.3728520250945079,-0.31640195187699793,-0.29230396459060065,-0.2715090946640352,-0.2624529134827582,-0.2624529134827582,-0.2624529134827582,-0.2827435417436027,-0.2827435417436027,-0.2827435417436027,-0.2827435417436027,-0.30116183352797893,-0.32213885282565213,-0.33821624343784207,-0.32921235158339274,-0.3057230470097755,-0.2886294667805799,-0.2742821033853898,-0.26410601339644196,-0.2640984405803058,-0.2640984405803058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-0.2763747322982895,-0.27887486689787655,-0.28711381863898594,-0.2884589865787485,-0.2884589865787485,-0.2937860175298468,-0.2964427577101115,-0.2964427577101115,-0.2964427577101115,-0.2964427577101115,-0.2964427577101115,-0.2964427577101115,-0.2964427577101115,-0.2964427577101115,-0.2964427577101115,-0.2964427577101115,-0.2964427577101115,-0.2964427577101115,-0.2964427577101115</t>
  </si>
  <si>
    <t>-0.699006863382204,-0.699006863382204,-0.699006863382204,-0.699006863382204,-0.699006863382204,-0.699006863382204,-0.699006863382204,-0.699006863382204,-0.699006863382204,0.6179875278177114,0.5427957725004979,0.5088218755164513,0.47496319182348695,0.46228228807682453,0.46228228807682453,-0.5550379182937406,-0.5004111810700417,0.4026882534487414,0.3769643138711576,0.3769643138711576,0.3769643138711576,0.25378997092040523,0.10015900377157579,0.10015900377157579,0.10015900377157579,0.33998421026887676,0.16701955317552447,0.029454017886299318,0.029454017886299318,0.029454017886299318,-0.13910634060470414,-0.1798979177411201,-0.23178732267292898,-0.24976005080827932,-0.24976005080827932,-0.24976005080827932,-0.08139701277413289,-0.15220408674664945,-0.1824493309934393,-0.19877223202634206,-0.20085360506620217,-0.22186537099164297,-0.24824966341682458,-0.26735208514847775,-0.2744962000841305,-0.2744962000841305,-0.2744962000841305,-0.2744962000841305,-0.2744962000841305,-0.3047995949924903,-0.31909568182876596,-0.33377512748395655,-0.3475949366647518,-0.3579338813632797,-0.40925500938359105,-0.40925500938359105,-0.40925500938359105,-0.3994405555792895,-0.32071924284199926,-0.2417777288769842,-0.1741146236166211,-0.21058511183536385,-0.3101627544472368,-0.14913612618123512,0.003018561773162511,0.29704638979319997,0.4131362947692078,0.46272448258646093,0.5135238555183166,0.551900917601926,0.573177004687101,0.573177004687101,0.573177004687101,0.573177004687101,0.573177004687101,0.573177004687101,0.573177004687101,0.573177004687101,0.573177004687101,0.7237880361366447,0.7629028210699631,0.8010885377336256,0.8632961427929087,0.9272081361061782,0.9290717078420232,0.8665431611948251,0.7570980812119612,-0.6275414576419539,-0.4922153421910659,-0.3745765111357165,-0.28622168984668417,-0.2542226994271181,-0.29532606617098917,0.48436750906423365,0.7197288098214913,0.7766324787686526,0.8662331926914192,0.9556888237811043,0.9782542118100254,0.9673383228517753,0.9447832765870867,0.8918075227496164,0.7783202412490948,0.6755153153747042,0.5847333730956565,0.5535155267165345,0.5476148808386174,0.4877308889292033,0.3852056727173636,0.30875502161336843,0.28868039947082913,0.28099737995794033,0.3034257146618921,0.34364450043920125,0.3752162739662357,0.41026382948374,0.4188325293725911,0.4215103528822061,0.46982337191497076,0.5488821299739487,0.7086936683715643,0.8123254242660618,0.7803776824359845,0.7125876503263604,0.6966978052933193,0.6966978052933193,0.6940192271051325,0.5714220065276217,0.349508985971472,0.1033112253796968,-0.042176077853412,-0.042176077853412,-0.042176077853412,-0.042176077853412,-0.16726029311419813,-0.2825316983096761,-0.3192939076503462,-0.3192939076503462,-0.3192939076503462,-0.3192939076503462,-0.11069445238601425,-0.13270151944988995,-0.18854046475554992,-0.18854046475554992,-0.18854046475554992,-0.1971469475617032,-0.27869222231880886,-0.30466407303816534,-0.30466407303816534,-0.30466407303816534,-0.30466407303816534,0.03921040680024967,0.08042943326960293,0.10699772716818362,0.12941633284562695,0.12941633284562695,0.12941633284562695,0.12941633284562695,0.12941633284562695,0.12941633284562695,0.1939524735687969,0.22249328519941786,-0.22737740173519314,-0.18549352262512575,-0.18549352262512575,-0.18549352262512575,-0.18549352262512575,-0.18549352262512575,-0.18549352262512575,-0.19254685876128172,-0.19254685876128172,-0.19254685876128172,-0.19254685876128172,-0.19254685876128172,-0.17942582469743698,-0.027773529463001687,-0.027773529463001687,-0.027773529463001687,-0.027773529463001687,-0.027773529463001687,-0.027773529463001687,-0.027773529463001687,-0.027773529463001687,-0.027773529463001687,-0.027773529463001687,-0.027773529463001687,-0.027773529463001687,-0.027773529463001687,-0.027773529463001687,0.029242960237907015,0.053108128642544924,0.10768985016440508,-0.15639244922608012,-0.19417864088882567,-0.29282319346300884,-0.29282319346300884,-0.29282319346300884,-0.29282319346300884,-0.29282319346300884,-0.29282319346300884,-0.29282319346300884,-0.29282319346300884,-0.32564314445005865,-0.34020294944348384,-0.355802955886096,-0.36487443891100346,-0.3667831590547759,-0.3667831590547759,-0.3667831590547759,-0.2646112371169921,-0.2646112371169921,-0.2646112371169921,-0.2646112371169921,-0.2646112371169921,-0.2646112371169921,-0.2646112371169921,-0.2646112371169921,0.14516762679558998,0.11411843916844308,0.08289274309987983,0.0022946282535050776,-0.005466678932933321,-0.005466678932933321,-0.005466678932933321,-0.005466678932933321,-0.4132501158820619,-0.4132501158820619,-0.4132501158820619,-0.4132501158820619,-0.4132501158820619,-0.4132501158820619,-0.4132501158820619,-0.4132501158820619,-0.4995597966180546,-0.5341172784109846,-0.5682011164733995,-0.5844012594808061,-0.5797854237013209,-0.5797854237013209,-0.5797854237013209,-0.5797854237013209,-0.5797854237013209,0.24573158434838813,0.24573158434838813,0.24573158434838813,0.24573158434838813,0.24573158434838813,0.24573158434838813,-0.4242205664222288,-0.4242205664222288,-0.4242205664222288,-0.4242205664222288,-0.4242205664222288,0.2065899274326006,0.2065899274326006,0.2065899274326006,0.2065899274326006,0.2065899274326006,0.0442491753286359,0.0442491753286359,0.0442491753286359,0.0442491753286359,0.0442491753286359,0.0442491753286359,-0.488441930577075,-0.488441930577075,-0.488441930577075,-0.488441930577075,-0.488441930577075,-0.488441930577075,-0.438700442775949,-0.438700442775949,-0.438700442775949,-0.438700442775949,-0.438700442775949,-0.438700442775949,-0.5666279688153925,-0.5666279688153925,-0.5666279688153925,-0.5666279688153925,-0.5666279688153925,-0.5687021327033942,-0.5687021327033942,-0.5687021327033942,-0.5687021327033942,-0.5687021327033942,-0.5687021327033942,-0.5687021327033942,0.23422666372468642,0.23422666372468642,0.23422666372468642,0.23422666372468642,0.23422666372468642,0.23422666372468642,0.23422666372468642,0.23422666372468642,0.23422666372468642,0.23422666372468642,0.23422666372468642,-0.5392648369896951,-0.5392648369896951,-0.5392648369896951,-0.5392648369896951,-0.5392648369896951,-0.5392648369896951,-0.5392648369896951,-0.5392648369896951,-0.5392648369896951,-0.5392648369896951,-0.5392648369896951,-0.5774796142306785,-0.5683204443912755,-0.5596801933011535,-0.5458738497957891,0.3347432207904982,0.3347432207904982,0.3347432207904982,0.3347432207904982,0.3347432207904982,0.3347432207904982,0.3347432207904982,0.3347432207904982,0.3347432207904982,0.3347432207904982,0.3104831993005185,0.25096100160018275,0.21289771018384382,0.043187010237496964,-0.5837033929158358,-0.5837033929158358,-0.5837033929158358,-0.5837033929158358,-0.5837033929158358,-0.5837033929158358,-0.5837033929158358,-0.5837033929158358,-0.5837033929158358,-0.6405876886701154,-0.6514042236839224,-0.654760962616652,-0.6563412898560265,-0.5583166528596888,-0.5583166528596888,-0.5583166528596888,-0.5583166528596888,-0.5583166528596888,-0.5583166528596888,-0.5583166528596888,0.34481622371097,-0.018969385155745318,-0.18541390560213264,-0.18541390560213264,-0.18541390560213264,-0.18541390560213264,-0.18541390560213264,-0.18541390560213264,-0.18541390560213264,-0.3884739589185287,-0.46642045919356484,-0.5381900350514731,0.5782663670103768,0.5837309284609048,0.5764976147009286,-0.5137111545044032,-0.5105273601710327,-0.5131771313164395,-0.5131771313164395,-0.5131771313164395,-0.525314079667448,-0.4757893465492057,-0.3688281435492135,-0.3497905040964291,-0.3497905040964291,-0.3497905040964291,-0.2782521460006696,-0.24768614917467155,-0.21461348083629858,-0.18854743500924048,-0.17328763040378428,-0.18006912878214051,-0.18006912878214051,-0.16150743279396357,-0.13816756293769913,-0.13816756293769913,-0.13816756293769913,-0.13816756293769913,-0.03695106715312451,0.002516350389730537,0.0831444335651603,0.12606734813849677,0.17942922165306838,0.17942922165306838,0.17942922165306838,0.12428476268062583,-0.037307012598311595,-0.22082288382723023,-0.3786071833924392,-0.3837659313681713,-0.3837659313681713,0.11125085915039404,0.06565552174168343,0.054011637103727674,0.05182183939651112,0.05182183939651112,0.022118260661600882,-0.08045565342442615,-0.18745379377070354,-0.24591374568619054,-0.24758175436293953,-0.24758175436293953,-0.24758175436293953,-0.31137921660478735,-0.4497679005043972,-0.49053381413915836,-0.5201465894812924,-0.5278925047412245,-0.5305609543391588,-0.5185598313635471,-0.5051852604345913,-0.4808086905228503,-0.46838581448386046,-0.45009886547416406,-0.4083970656248112,-0.38796866161988686,-0.38796866161988686,-0.38796866161988686,-0.38796866161988686,-0.38796866161988686,-0.38796866161988686,-0.38796866161988686,-0.5745172830630768,-0.5745172830630768,-0.5745172830630768,-0.5745172830630768,-0.5745172830630768,-0.5745172830630768,-0.5745172830630768,-0.5745172830630768,-0.5745172830630768,0.7145495494643752,0.7145495494643752,0.7145495494643752,0.7145495494643752,0.7145495494643752,0.7145495494643752,0.7145495494643752,0.7145495494643752,0.7145495494643752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0.9722978667525342,0.9722978667525342,0.9722978667525342,0.9722978667525342,0.9722978667525342,0.9722978667525342,0.9722978667525342,0.9678304401742661,0.9503142350849947,0.9168443065730884,0.8723278471077304,0.8350073498379103,0.8132766475778427,0.799845847204955,0.7923362705879643,0.7916306765755449,0.7916306765755449,0.7916306765755449,0.7916306765755449,0.7916306765755449,0.7916306765755449,0.7916306765755449,-0.7364179613511725,-0.6368713573038495,-0.5333300681529878,-0.37742003870503327,-0.23769355801876957,-0.1391718071516109,-0.10284817843748004,-0.08140263295347745,-0.17015072130630082,-0.3176520940184566,-0.4611846782101364,-0.5507349644792954,0.5975501001133132,0.6078016020348981,0.6078016020348981,0.6078016020348981,0.6078016020348981,0.6078016020348981,0.635278744183844,0.6267985363422433,0.5899649934751868,0.5205869181893306,0.4665106300182292,0.4665106300182292,0.4665106300182292,0.4665106300182292,0.4665106300182292,0.29186537200283874,0.2411993018698993,0.18704710487139248,0.12475848079067714,0.10216927046912334,0.10216927046912334,0.10216927046912334,0.10216927046912334,0.10216927046912334,0.20674561271441086,0.272949186186733,0.36081910167366615,0.44534088136516187,0.49008579429310534,0.49046145196140295,0.46953636888162403,0.46126251471133056,0.45827348161414466,0.45827348161414466,0.45827348161414466,0.45827348161414466,0.45827348161414466,0.5612150882364031,0.5803356658932763,0.5914038385706919,0.6148481193693653,0.6622610798813545,0.6920648767656145,0.7337215752912546,0.7893565058920466,0.8034799633271172,0.755048991251922,0.6649185318201796,0.5546928061817702,0.49618061721569207,0.4623572660276827,0.44961109333655885,-0.44741580367417483,-0.45505809492457916,-0.4599807855960937,-0.45497596941395213,-0.45327388158382975,-0.45327388158382975,-0.45327388158382975,-0.4758108800793878,-0.4758108800793878,-0.4758108800793878,-0.4758108800793878,-0.4783096569312554,-0.48228490024344234,-0.4674071015716807,-0.4470692822010848,-0.4288572475378026,-0.43287478534989604,-0.4670037478825047,-0.48264153718261876,-0.48893994944491986,-0.48893994944491986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-0.4485014651043898,-0.4433372493784654,-0.4305951510907537,-0.42198449837120816,-0.42198449837120816,-0.42610608492799906,-0.4281570374473386,-0.4281570374473386,-0.4281570374473386,-0.4281570374473386,-0.4281570374473386,-0.4281570374473386,-0.4281570374473386,-0.4281570374473386,-0.4281570374473386,-0.4281570374473386,-0.4281570374473386,-0.4281570374473386,-0.4281570374473386</t>
  </si>
  <si>
    <t>-0.34578954544097623,-0.34578954544097623,-0.34578954544097623,-0.34578954544097623,-0.34578954544097623,-0.34578954544097623,-0.34578954544097623,-0.34578954544097623,-0.34578954544097623,0.5080633047626241,0.5770983829863797,0.6170622655912247,0.6919609802374097,0.7541188657251757,0.7541188657251757,-0.35702263398915685,-0.5271787245265719,0.728968903084388,0.7698743523484746,0.7698743523484746,0.7698743523484746,0.8330799238940655,0.8816355004327534,0.8816355004327534,0.8816355004327534,0.7159370062163539,0.8493756433565631,0.8833716133045909,0.8833716133045909,0.8833716133045909,0.7394205694040429,0.6759050067631763,0.6104384007065476,0.5986023494978493,0.5986023494978493,0.5986023494978493,0.9331015034554545,0.8624708224124079,0.8274442831829181,0.8124183794181129,0.8086281932597451,0.7764667497426437,0.7300856608566945,0.7043589722447186,0.6983851134707715,0.6983851134707715,0.6983851134707715,0.6983851134707715,0.6983851134707715,0.5610177815338474,0.48110896560140687,0.38973532269483996,0.29048775107220387,0.23046672851662675,0.06533515893491125,0.06533515893491125,0.06533515893491125,0.041148769250811644,-0.13512145632543865,-0.31209132840679177,-0.4572975616837751,-0.49508577546284727,-0.5215568437848015,-0.3210735850785559,-0.21212098519798064,-0.07862625137944967,-0.043388294133919,-0.03399169368175717,-0.030837183662373834,-0.03595303416065837,-0.044435466388047545,-0.044435466388047545,-0.044435466388047545,-0.044435466388047545,-0.044435466388047545,-0.044435466388047545,-0.044435466388047545,-0.044435466388047545,-0.044435466388047545,0.026108057510674854,0.04743017443174937,0.06416308734149684,0.09439479705539346,0.1544099781837079,0.2512296973452091,0.3020490419013188,0.3366154342063857,-0.3607644190921093,-0.3889008115037153,-0.40025017274352953,-0.3933859968512409,-0.4310325205082138,-0.5220408505427013,0.6155653565153139,0.4675902916815388,0.24736958135200687,0.09344844272311217,0.023167395754433946,-0.02538782890478831,-0.045129712995858697,-0.04557442016806764,-0.020363387428013063,0.06831907540256006,0.17179163851626078,0.329577936608991,0.45502044313113266,0.5949624610640876,0.7138230967232214,0.7620497193649596,0.7522582087269135,0.7254981255464246,0.6909851605672738,0.6070377919632947,0.5051861100183229,0.45596872494020585,0.4266275616614212,0.41906672288073776,0.4154924905840079,0.44544876479520296,0.4864225265085148,0.5650141367864074,0.5557521402209196,0.4909599869578585,0.46044106685963027,0.4539044302529762,0.4539044302529762,0.4504300225504427,0.38442922340284663,0.4342425103043463,0.48071118914921124,0.5154499066467725,0.5154499066467725,0.5154499066467725,0.5154499066467725,0.38844259314172247,0.2630856721562676,0.2425462045823406,0.2425462045823406,0.2425462045823406,0.2425462045823406,0.6050472191516978,0.7503291898243477,0.8570283315832602,0.8570283315832602,0.8570283315832602,0.8787064939417647,0.9463595499894166,0.7786177859133582,0.7786177859133582,0.7786177859133582,0.7786177859133582,0.975680140328534,0.9623886838284677,0.9299371727440284,0.9034843220238802,0.9034843220238802,0.9034843220238802,0.9034843220238802,0.9034843220238802,0.9034843220238802,0.7534695394856995,0.6209559358357742,-0.40457011889376027,-0.2034586628234291,-0.2034586628234291,-0.2034586628234291,-0.2034586628234291,-0.2034586628234291,-0.2034586628234291,0.48185770013654927,0.48185770013654927,0.48185770013654927,0.48185770013654927,0.48185770013654927,-0.135414813279288,-0.3334361465627495,-0.3334361465627495,-0.3334361465627495,-0.3334361465627495,-0.3334361465627495,-0.3334361465627495,-0.3334361465627495,-0.3334361465627495,-0.3334361465627495,-0.3334361465627495,-0.3334361465627495,-0.3334361465627495,-0.3334361465627495,-0.3334361465627495,-0.3921091834022967,-0.4181327771736348,-0.509021715510985,0.6202543354434477,0.7149704775891337,0.9041671937738122,0.9041671937738122,0.9041671937738122,0.9041671937738122,0.9041671937738122,0.9041671937738122,0.9041671937738122,0.9041671937738122,0.9249096677948936,0.9293755271349157,0.9251900340005494,0.8888207274981816,0.8737176723218342,0.8737176723218342,0.8737176723218342,0.8250818884885149,0.8250818884885149,0.8250818884885149,0.8250818884885149,0.8250818884885149,0.8250818884885149,0.8250818884885149,0.8250818884885149,-0.5949142348028138,-0.4943783842636117,-0.3890825119897983,-0.09223072186473735,-0.05697273540186643,-0.05697273540186643,-0.05697273540186643,-0.05697273540186643,0.5392302836316463,0.5392302836316463,0.5392302836316463,0.5392302836316463,0.5392302836316463,0.5392302836316463,0.5392302836316463,0.5392302836316463,0.6508096364012752,0.6945733137077899,0.7532348710531477,0.8049974344521058,0.810663955949624,0.810663955949624,0.810663955949624,0.810663955949624,0.810663955949624,-0.5501309075697969,-0.5501309075697969,-0.5501309075697969,-0.5501309075697969,-0.5501309075697969,-0.5501309075697969,0.7952362615203077,0.7952362615203077,0.7952362615203077,0.7952362615203077,0.7952362615203077,-0.4565524544172171,-0.4565524544172171,-0.4565524544172171,-0.4565524544172171,-0.4565524544172171,-0.2491670009662809,-0.2491670009662809,-0.2491670009662809,-0.2491670009662809,-0.2491670009662809,-0.2491670009662809,0.5008917055728352,0.5008917055728352,0.5008917055728352,0.5008917055728352,0.5008917055728352,0.5008917055728352,0.5391475112782518,0.5391475112782518,0.5391475112782518,0.5391475112782518,0.5391475112782518,0.5391475112782518,0.7939595528055995,0.7939595528055995,0.7939595528055995,0.7939595528055995,0.7939595528055995,0.8128676464720889,0.8128676464720889,0.8128676464720889,0.8128676464720889,0.8128676464720889,0.8128676464720889,0.8128676464720889,-0.5160708600995733,-0.5160708600995733,-0.5160708600995733,-0.5160708600995733,-0.5160708600995733,-0.5160708600995733,-0.5160708600995733,-0.5160708600995733,-0.5160708600995733,-0.5160708600995733,-0.5160708600995733,0.6966489152923453,0.6966489152923453,0.6966489152923453,0.6966489152923453,0.6966489152923453,0.6966489152923453,0.6966489152923453,0.6966489152923453,0.6966489152923453,0.6966489152923453,0.6966489152923453,0.8020884967875633,0.794161900518628,0.786020090087034,0.7735958039983094,-0.5707314480264405,-0.5707314480264405,-0.5707314480264405,-0.5707314480264405,-0.5707314480264405,-0.5707314480264405,-0.5707314480264405,-0.5707314480264405,-0.5707314480264405,-0.5707314480264405,-0.532974280236325,-0.45689417177223857,-0.4090140624093581,-0.18946992634711562,0.6393665506297848,0.6393665506297848,0.6393665506297848,0.6393665506297848,0.6393665506297848,0.6393665506297848,0.6393665506297848,0.6393665506297848,0.6393665506297848,0.7241263911047687,0.741472365810128,0.7474532826693967,0.7529470229609488,0.6688384635184131,0.6688384635184131,0.6688384635184131,0.6688384635184131,0.6688384635184131,0.6688384635184131,0.6688384635184131,-0.4103882307695442,-0.04613128108531675,0.10456208532104948,0.10456208532104948,0.10456208532104948,0.10456208532104948,0.10456208532104948,0.10456208532104948,0.10456208532104948,0.34309501660679975,0.42734070963318366,0.5053982851049655,-0.5541890358759681,-0.5630243522894928,-0.5947598811250695,0.7003759075920974,0.7514278671942087,0.7635677867276667,0.7635677867276667,0.7635677867276667,0.8334900722947028,0.8356785769310855,0.7496757946237544,0.7371353789069517,0.7371353789069517,0.7371353789069517,0.9293703946143798,0.9217896411736203,0.9044891421537897,0.9034438846824611,0.8954461065705256,0.8284367235700483,0.8284367235700483,0.9221712671141749,0.9647439871363324,0.9647439871363324,0.9647439871363324,0.9647439871363324,0.9200580173922658,0.8834987893290445,0.8029353410287131,0.7556037473889327,0.7106954489567647,0.7106954489567647,0.7106954489567647,0.7216162562867746,0.7071958640112725,0.7038902348895603,0.7108732714581926,0.7102762464863981,0.7102762464863981,0.6835090356661486,0.7981972216031561,0.8197167998518267,0.8201803312385483,0.8201803312385483,0.8406190533042514,0.8650715691679219,0.8211669686690576,0.7678106094514405,0.7661895339439431,0.7661895339439431,0.7661895339439431,0.7877246201877521,0.7943689094630043,0.783130719332991,0.7760214408729019,0.7926262104741535,0.8165412904904786,0.8329668557033758,0.8341276533919583,0.8050433172300264,0.7599083607067221,0.7311030500077811,0.720560255212245,0.7281905206606686,0.7281905206606686,0.7281905206606686,0.7281905206606686,0.7281905206606686,0.7281905206606686,0.7281905206606686,0.6926004180986681,0.6926004180986681,0.6926004180986681,0.6926004180986681,0.6926004180986681,0.6926004180986681,0.6926004180986681,0.6926004180986681,0.6926004180986681,-0.5283186149228931,-0.5283186149228931,-0.5283186149228931,-0.5283186149228931,-0.5283186149228931,-0.5283186149228931,-0.5283186149228931,-0.5283186149228931,-0.5283186149228931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-0.17754400997584693,-0.17754400997584693,-0.17754400997584693,-0.17754400997584693,-0.17754400997584693,-0.17754400997584693,-0.17754400997584693,-0.15333629266066173,-0.1454575772853011,-0.13297682773998765,-0.12192949813535367,-0.11009834515307447,-0.09002628174825276,-0.05646548631810361,-0.03363666657414742,-0.028900111368926652,-0.028900111368926652,-0.028900111368926652,-0.028900111368926652,-0.028900111368926652,-0.028900111368926652,-0.028900111368926652,0.019642686607635608,-0.002828505972785329,-0.01744616519602013,-0.013048444406831247,-0.00629288252429152,-0.024919199841374258,-0.16786111834554554,-0.36061613861903136,-0.5056505357357153,-0.5581434465521639,-0.5798014947419698,-0.5723495072399948,0.5576757064121717,0.5524598689704522,0.5524598689704522,0.5524598689704522,0.5524598689704522,0.5524598689704522,0.6888076579554119,0.7280526293385823,0.7633329963805306,0.7645199259401929,0.7439425734652497,0.7439425734652497,0.7439425734652497,0.7439425734652497,0.7439425734652497,0.6568282593258962,0.609415243645595,0.5474942717900296,0.44122948935466416,0.38340489189992877,0.38340489189992877,0.38340489189992877,0.38340489189992877,0.38340489189992877,0.18329570089979366,0.09591931574691712,-0.029017781504428963,-0.173554617795418,-0.2711362746860039,-0.32293090430882987,-0.3673258185707211,-0.3930871176295591,-0.39400289461943017,-0.39400289461943017,-0.39400289461943017,-0.39400289461943017,-0.39400289461943017,-0.5047693048564913,-0.5070572917927311,-0.5008610457746271,-0.478982342756682,-0.4312849419502584,-0.3889402132867523,-0.31749785576278566,-0.21745846259325197,-0.1774720733268613,-0.18335701439068217,-0.2099061608983904,-0.27478194586949484,-0.3405824641867249,-0.41936481824497607,-0.5275418857666618,0.6141153541436335,0.6647484097177356,0.6857418634799851,0.6988266325240673,0.7047109909375809,0.7047109909375809,0.7047109909375809,0.7012719783550058,0.7012719783550058,0.7012719783550058,0.7012719783550058,0.6896008603891629,0.6763814764653756,0.6593466705638747,0.65893150124689,0.6701529036702044,0.6867198619098294,0.7144348182066449,0.72796671160092,0.7306241320544945,0.7306241320544945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0.7034072900834344,0.698817083074899,0.6852906291762899,0.6793984212001348,0.6793984212001348,0.6771119387303897,0.675953025785445,0.675953025785445,0.675953025785445,0.675953025785445,0.675953025785445,0.675953025785445,0.675953025785445,0.675953025785445,0.675953025785445,0.675953025785445,0.675953025785445,0.675953025785445,0.675953025785445</t>
  </si>
  <si>
    <t>teste@blabla.com</t>
  </si>
  <si>
    <t>Rodrigo A Consoli</t>
  </si>
  <si>
    <t>27.110934800342054,27.110934800342118</t>
  </si>
  <si>
    <t>1678751782304,1678751782404,1678751782515,1678751782608,1678751782703,1678751782814,1678751782910,1678751783004,1678751783100,1678751783210,1678751783302,1678751783412,1678751783507,1678751783600,1678751783709,1678751783804,1678751783899,1678751784009,1678751784100,1678751784210,1678751784303,1678751784413,1678751784507,1678751784600,1678751784709,1678751784817,1678751784903,1678751785014,1678751785104,1678751785198,1678751785307,1678751785395,1678751785495,1678751785594,1678751785699,1678751785810,1678751785906,1678751786004,1678751786108,1678751786204,1678751786313,1678751786408,1678751786503,1678751786611,1678751786706,1678751786798,1678751786915,1678751787007,1678751787138,1678751787217,1678751787305,1678751787405,1678751787497,1678751787607,1678751787706,1678751787796,1678751787893,1678751788002,1678751788096,1678751788197,1678751788305,1678751788397,1678751788509,1678751788601,1678751788712,1678751788806,1678751788899,1678751789007,1678751789102,1678751789222,1678751789308,1678751789408,1678751789497,1678751789608,1678751789699,1678751789809,1678751789904,1678751789997,1678751790111,1678751790200,1678751790332,1678751790411,1678751790503,1678751790608,1678751790704,1678751790797,1678751790910,1678751791001,1678751791100,1678751791203,1678751791297,1678751791409,1678751791517,1678751791599,1678751791711,1678751791804,1678751791913,1678751792009,1678751792105,1678751792199,1678751792310,1678751792405,1678751792501,1678751792599,1678751792707,1678751792803,1678751792897,1678751793013,1678751793104,1678751793201,1678751793314,1678751793401,1678751793513,1678751793611,1678751793702,1678751793801,1678751793911,1678751794004,1678751794101,1678751794212,1678751794302,1678751794398,1678751794512,1678751794604,1678751794696,1678751794812,1678751794900,1678751795002,1678751795111,1678751795202,1678751795302,1678751795411,1678751795502,1678751795612,1678751795712,1678751795799,1678751795910,1678751796005,1678751796099,1678751796210,1678751796305,1678751796400,1678751796494,1678751796606,1678751796700,1678751796809,1678751796904,1678751796999,1678751797108,1678751797205,1678751797299,1678751797408,1678751797505,1678751797599,1678751797709,1678751797805,1678751797900,1678751797997,1678751798106,1678751798202,1678751798309,1678751798403,1678751798497,1678751798606,1678751798701,1678751798798,1678751798910,1678751799006,1678751799102,1678751799198,1678751799306,1678751799400,1678751799509,1678751799603,1678751799712,1678751799807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</si>
  <si>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</si>
  <si>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-0.592839763797263,-0.48280902787607677,-0.4001156845307275,-0.37221772871297554,-0.37019787506626056,-0.37019787506626056,-0.37713895418111654,0.6450619916963419,0.7590831805131931,0.7824449485202843,0.7824449485202843,-0.60948008384934,-0.43481529016730464,-0.19735566034313265,-0.13679669759240554,-0.12254790084809682,-0.22960243698152658,-0.2794540011370746,-0.2794540011370746,0.039903608115191995,0.4130585685540941,0.4938007490882244,0.49211010678696143,0.48658445556028407,0.20856730615132688,-0.3121342106953184,-0.2548351092243499,-0.13924504044941255,-0.13278775957212552,-0.11571734427270332,-0.11092622036896749,-0.11092622036896749,-0.11092622036896749,-0.11092622036896749,0.0448337288830091,0.44389433677334217,0.5274376409774437,0.5497766025561243,0.5685658772652176,0.584504105566205,0.5875515551959258,0.5875515551959258,0.5933522885028102,0.5933522885028102,0.5946884089522639,0.6317151529615136,0.43326792142571746,-0.22285583476034834,0.15972776241587958,0.5665519868420311,0.590608529158946,0.8927292655104104,0.8927292655104104,0.8019076159536078,0.72450823486358,0.7108161293347672,0.6795865653765791,0.7225353076960611,0.8994092560794928,0.9014677086853489,0.9014677086853489,0.9870452975565337,0.9699441701924595,0.9774527133195494,0.9774206744992954,0.9774206744992954,0.9774206744992954,0.9654665258833083,0.8172519415387028,0.82211685767746,0.8232989350241113,0.8350571057209024,0.8368544782474068,0.8368544782474068,0.8265647962023216,0.3596305079275383,0.35304856831141285,0.24890723961869154,-0.3511508301565614,-0.3577696810091999,-0.4448264489228566,-0.5574965769694367,-0.5016924515339211,-0.4302924660074067,-0.4302924660074067,-0.4023277957788339,-0.2593787890290841,-0.2185781226209681,-0.16146481876794821,-0.12636854208462595,-0.11164264241875492,-0.11038623207693857,-0.27360759565819504,-0.4440200726671518,-0.5171462914643409,-0.4999193236250344,-0.489333552111271,-0.5068129963751015,-0.5083380151893948,-0.5083380151893948,-0.4828029202722981,-0.4785051847099585,-0.46922386833195073,-0.4734708396355928,-0.5522155521188231,-0.5857425564494203,-0.5207024565154755,-0.4594845192189132,-0.41301734197424184,-0.43506249098588795,-0.4367965000258038,-0.4367965000258038,-0.4402442836430329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</si>
  <si>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-0.03659230559987375,0.021244454557129224,-0.07975438516680891,-0.1175446578269609,-0.12049307440360126,-0.1234908979422179,-0.1234908979422179,-0.13254045828694705,0.2659669877071982,0.17231519894837108,0.10596894173486095,0.10596894173486095,-0.2014120780624182,-0.2474442126959559,-0.13603723109087382,-0.06441276437454219,-0.04256427734222947,-0.11872347807929798,-0.15258887148832306,-0.15258887148832306,-0.19294098329221948,-0.20516032047639574,0.07451804195706453,0.09365686275066536,0.03998264879251916,-0.2856837697291904,-0.31174065053466915,-0.037177118247621425,0.047768555235038,0.053580996310312774,0.05020312791311676,0.04748002364784989,0.04748002364784989,0.04748002364784989,0.04748002364784989,0.012947874531721366,-0.09565522509649227,-0.10580021713718345,-0.11357197346734596,-0.12211244479917245,-0.1475494143105582,-0.14683944827114423,-0.14683944827114423,-0.15831654586026792,-0.15831654586026792,-0.16436033551966872,-0.27779420253594406,-0.3750112477605129,-0.16285046583881863,-0.006976712675866033,-0.013777906111106021,-0.022575147687812935,-0.18025051861714905,-0.18025051861714905,-0.13569368226213074,-0.09501913639754656,-0.08623577730211152,0.09450306037854433,0.17551788004078056,0.16750000518653715,0.16836111597507897,0.16836111597507897,0.11850291156753315,0.09489652565546348,0.08579219358438371,0.0646120187636644,0.0646120187636644,0.0646120187636644,0.06468218394896137,0.008874624884516718,-0.00708480660137101,-0.008978231300503934,0.0010837687407759858,0.002272845166204353,0.002272845166204353,0.005868687951019243,-0.16248389605244515,-0.1654624040919048,-0.1671162738467,-0.3509141970428652,-0.35249374023386887,-0.31205329510246976,-0.2298479843714727,-0.17570527706985317,-0.06095703504224563,-0.06095703504224563,-0.1141213996645509,-0.3994347332894618,-0.5632912512808946,-0.6527857965225851,-0.6393130184936352,-0.4528517501089809,-0.24266825042587598,-0.1185871737009419,-0.04463351593556953,-0.2131485809987959,-0.3370623794980232,-0.39790617347851814,-0.3066834768006022,-0.26231202196601683,-0.26231202196601683,-0.27298891536451136,-0.2747195087093701,-0.19947142706011942,-0.11383980106626154,-0.08364373440053768,-0.16633210050833955,-0.31069457974114345,-0.35832846280157254,-0.35830579913350113,-0.29327760158268407,-0.2904192185208221,-0.2904192185208221,-0.28468906067591904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</si>
  <si>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-0.699006863382204,0.7168337547767868,0.741685957617254,0.7568657648418604,0.7636280682124498,0.7631490062016292,0.7631490062016292,0.7582361114456158,-0.5931569398295597,-0.5843740242749536,-0.5972826559492919,-0.5972826559492919,0.7018908223464304,0.7532011946117976,0.8348844983726129,0.8528065043737798,0.8564767702381592,0.8318737638694189,0.8153431041734849,0.8153431041734849,0.8145213119364376,0.6871110814132565,0.5605243875978033,0.5514291916155067,0.5788021782748624,0.7502798922916212,0.830645671089798,0.9261374879320734,0.9533212723778259,0.95419054132862,0.9565539617378827,0.9571867184427212,0.9571867184427212,0.9571867184427212,0.9571867184427212,0.9638385540619063,0.8634241557433017,0.8159840966422872,0.8015761504384805,0.7887358209227983,0.777176366070949,0.7748750372736523,0.7748750372736523,0.770148844523428,0.770148844523428,0.7688816888974269,0.7197733063953091,0.8129634297983065,0.9041738681916685,0.9314305600868078,0.7747696313119159,0.7565915018572184,0.3294548751574208,0.3294548751574208,0.46918893770654485,0.5726289903611472,0.5895392889915875,0.6866401220179523,0.6497062331114613,0.3723919638556976,0.3681941160060049,0.3681941160060049,-0.06288167046355067,-0.2240147034737106,-0.18931915605473162,-0.14313720118408896,-0.14313720118408896,-0.14313720118408896,-0.1836301451864301,-0.3249609724814265,-0.3026285318766014,-0.2993977614669361,-0.30279874056169664,-0.30279214985742875,-0.30279214985742875,-0.3159049927737075,-0.3798774082273267,-0.37858955953647216,-0.37525274145647336,-0.20249380283563112,-0.19973151220829433,-0.1432839985191417,-0.04741726006249152,-0.0282042682695344,0.020605875381964726,0.020605875381964726,-0.007385830240921154,-0.14256157499816244,-0.1932399029684809,-0.24381947294629447,-0.27762221480367183,-0.30821279595965817,-0.3147695294252853,-0.2655425028668831,-0.21547860340967714,-0.28101383341063274,-0.34688796690043355,-0.3749235526177323,-0.3285006871202654,-0.3080653790696287,-0.3080653790696287,-0.32579003852573324,-0.3287411640378668,-0.30148835165544247,-0.2623816644606378,-0.22655866143322448,-0.269071242586949,-0.3811841343571892,-0.43782702530277323,-0.4689239153464814,-0.44241716844825546,-0.4407052751735857,-0.4407052751735857,-0.437261126468213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</si>
  <si>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-0.34578954544097623,0.36638648395374657,0.45873371461164597,0.5032344447861209,0.5136219961125532,0.5150797275716792,0.5150797275716792,0.5150507115382824,-0.40164839480662556,-0.22936258854933994,-0.140726382831517,-0.140726382831517,0.3087336646811143,0.42707725937511787,0.4954921689237522,0.4998587054470646,0.4996176901736664,0.4910941841140293,0.4835676995242186,0.4835676995242186,0.5456523723278077,0.5614002348103978,0.6606211414501508,0.6670696226722486,0.6531653648402594,0.5585378641963049,0.3397319096252364,0.2755835307711326,0.26364281798092043,0.26271067466169695,0.2628567299229227,0.2631246986238821,0.2631246986238821,0.2631246986238821,0.2631246986238821,0.26236907402247023,0.2197876770232127,0.21162656487488446,0.20572498431839364,0.199291743000158,0.18050212445734498,0.18108015636294764,0.18108015636294764,0.17245199423195662,0.17245199423195662,0.16778654547944458,0.07545020846222307,-0.1036143529011022,-0.32601321870234384,-0.32691815356481624,-0.28028741303407934,-0.27971633364717274,-0.24900541013098207,-0.24900541013098207,-0.3440830434699554,-0.3716923737865698,-0.3738278316630951,-0.24032605887402805,-0.15817083667560702,-0.15598385684659163,-0.15311302284184547,-0.15311302284184547,-0.08800304563628777,-0.004513175796090276,0.03720416502157291,0.1413713327722762,0.1413713327722762,0.1413713327722762,0.1731201093380446,0.47583702193955346,0.4821718049950356,0.4821402652542765,0.45933797833903744,0.4560551834995685,0.4560551834995685,0.4657899008366213,0.8366349478774393,0.839433646368411,0.8770990349501001,0.8441259269844051,0.8413419884193936,0.8271770470236324,0.7963159386800543,0.8465440679226736,0.9003932648992127,0.9003932648992127,0.9083248870277632,0.8676697153743602,0.7730361637353238,0.6988217804067042,0.7058581740006017,0.8291357459570287,0.9109594630654441,0.9168223083034972,0.8685752677785034,0.7798452545696082,0.7184277003381059,0.6794524866231225,0.7356447038647773,0.7601845747343793,0.7601845747343793,0.7656626169939644,0.7664797628164722,0.8056952804815728,0.8330796635753523,0.7979554389959489,0.7462170973096853,0.697879993704204,0.6846767012677931,0.6936454361934178,0.7273073122204163,0.7284533996853421,0.7284533996853421,0.7307118561586644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</t>
  </si>
  <si>
    <t>teste epoch</t>
  </si>
  <si>
    <t>27.11093480034211,27.110934800342108</t>
  </si>
  <si>
    <t>1680361665997</t>
  </si>
  <si>
    <t>10,103,215,308,389,500,609,700,794,909,997,1096,1205,1296,1406,1506,1596,1705,1800,1892,1999,2097,2203,2299,2406,2507,2597,2708,2802,2895,3009,3107,3197,3291,3407,3497,3608,3703,3811,3893,4000,4098,4205,4300,4395,4520,4599,4699,4809,4898,4991,5101,5202,5309,5401,5500,5610,5701,5797,5890,6002,6093,6204,6300,6403,6504,6598,6705,6799,6894,6989,7099,7195,7306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</si>
  <si>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</t>
  </si>
  <si>
    <t>0.624883987936306,0.624883987936306,0.624883987936306,0.624883987936306,0.624883987936306,0.624883987936306,0.624883987936306,0.624883987936306,0.624883987936306,0.6140056696199874,-0.4355415136445032,-0.21152661941594558,0.16538988088843184,0.16538988088843184,0.16538988088843184,0.49597931539052037,0.6858615008059833,0.686906985862523,0.686906985862523,0.686906985862523,0.7218830864834989,0.76376527221117,0.73422433842715,0.73422433842715,0.73422433842715,0.6214004216718073,-0.5327278671093069,-0.5327278671093069,-0.5327278671093069,-0.5327278671093069,-0.3740791694524759,0.06470901122058619,0.026826640843919995,0.242764079140815,-0.46795425055006173,-0.491292899629984,-0.491292899629984,-0.491292899629984,-0.46787890400698556,-0.4570272838883539,-0.417698354688313,-0.3545284301935015,-0.35056510181079914,-0.3512359975738315,-0.3512359975738315,-0.4121139727775247,-0.45867306989500833,-0.5236501168744445,-0.5413009755121388,-0.5388110344909636,-0.5372492626485066,-0.4927578873556175,0.44950040664369834,-0.38598046594942154,-0.39427569050660377,-0.4337158302233419,-0.48224187874445074,-0.4691711326293285,-0.4748028340694149,-0.48036863776737254,-0.4669515228738822,-0.46503959880065804,-0.46503959880065804,-0.46695152287388214,-0.461859394569698,-0.4591368354414566,-0.4591368354414566,-0.4591368354414566,-0.4591368354414566,-0.4591368354414566,-0.4591368354414566,-0.4591368354414566,-0.4591368354414566,-0.4591368354414566</t>
  </si>
  <si>
    <t>-0.03659230559987375,-0.03659230559987375,-0.03659230559987375,-0.03659230559987375,-0.03659230559987375,-0.03659230559987375,-0.03659230559987375,-0.03659230559987375,-0.03659230559987375,0.016713811039113406,-0.22718262686186233,-0.20205838249622946,-0.023838791839824368,-0.023838791839824368,-0.023838791839824368,0.27159049940574553,0.497022888312069,0.4988227514688926,0.4988227514688926,0.4988227514688926,0.4907363653610046,0.1299858299796438,0.07499121078926255,0.07499121078926255,0.07499121078926255,-0.08021690702324297,0.1523398962882773,0.1523398962882773,0.1523398962882773,0.1523398962882773,-0.13726423004417312,0.571428824002818,0.6571278285680809,0.597279935415689,-0.18420045736390592,-0.12782979710402237,-0.12782979710402237,-0.12782979710402237,-0.18451803220552163,-0.21680745514197272,-0.2879835950990523,-0.35698516955331633,-0.35047961622867174,-0.3428707992522521,-0.3428707992522521,-0.22678993428630392,-0.15289279626545138,-0.2267007909606569,-0.2894034722617698,-0.33718483251677384,-0.3397831326468252,-0.39127566408525294,0.4385083982946679,-0.3964068867110835,-0.29988495904947965,-0.23881509033900247,-0.23887399410801666,-0.2699257679429545,-0.2617805582915874,-0.2535990161954942,-0.2845168146003093,-0.28719205343601134,-0.28719205343601134,-0.2845168146003093,-0.268826312963527,-0.2669205013469478,-0.2669205013469478,-0.2669205013469478,-0.2669205013469478,-0.2669205013469478,-0.2669205013469478,-0.2669205013469478,-0.2669205013469478,-0.2669205013469478</t>
  </si>
  <si>
    <t>-0.699006863382204,-0.699006863382204,-0.699006863382204,-0.699006863382204,-0.699006863382204,-0.699006863382204,-0.699006863382204,-0.699006863382204,-0.699006863382204,-0.6873921725913403,0.6520225438183654,0.6805619582093427,0.6596712515771284,0.6596712515771284,0.6596712515771284,0.5117445511978992,0.2675779632821412,0.264882535278033,0.264882535278033,0.264882535278033,0.2813615762702691,0.5175729445287733,0.5154654736133186,0.5154654736133186,0.5154654736133186,0.4828342707464836,-0.46197677247199037,-0.46197677247199037,-0.46197677247199037,-0.46197677247199037,-0.6328931088533933,0.6961783450135764,0.6555487122728465,0.5404676761439928,-0.34699522353358914,-0.31307850858236524,-0.31307850858236524,-0.31307850858236524,-0.34647291251664547,-0.3638716933895361,-0.4061753004610815,-0.45508883826895113,-0.4565506180404099,-0.45515606116908935,-0.45515606116908935,-0.39929013219418236,-0.35495023372182216,-0.358567954722873,-0.37538317387736064,-0.39664501364054294,-0.3987578557455199,-0.4470507940985561,0.48955271340550566,-0.535507878926279,-0.5213011910504549,-0.48961005701804605,-0.4640912990519385,-0.4808084153932911,-0.4752478855979753,-0.4696213962919633,-0.4859518748475938,-0.48778183743293707,-0.48778183743293707,-0.48595187484759367,-0.4847843649257479,-0.48583630265627425,-0.48583630265627425,-0.48583630265627425,-0.48583630265627425,-0.48583630265627425,-0.48583630265627425,-0.48583630265627425,-0.48583630265627425,-0.48583630265627425</t>
  </si>
  <si>
    <t>-0.34578954544097623,-0.34578954544097623,-0.34578954544097623,-0.34578954544097623,-0.34578954544097623,-0.34578954544097623,-0.34578954544097623,-0.34578954544097623,-0.34578954544097623,-0.3875689451635883,0.5775450166844369,0.6717621010296235,0.7327426145284529,0.7327426145284529,0.7327426145284529,0.6468080346258458,0.4593084843238515,0.45735314352800555,0.45735314352800555,0.45735314352800555,0.3986204868794844,-0.36315911121781835,-0.43541507171682897,-0.43541507171682897,-0.43541507171682897,-0.6117988482879282,0.6925106766688931,0.6925106766688931,0.6925106766688931,0.6925106766688931,0.6638295104151462,-0.4296714499472452,-0.3711054218141288,-0.5405709682107005,0.7916333278380415,0.802665981096339,0.802665981096339,0.802665981096339,0.7918326514286063,0.7821240182517901,0.7600099727897333,0.7346872329001894,0.7388028703026985,0.7429036606515522,0.7429036606515522,0.7869534862241168,0.8001581964736991,0.7388006011915853,0.694497197202549,0.6623154769333911,0.6609862517734996,0.6357976145278639,-0.6049776110315974,0.6380532671191098,0.6948818312639986,0.7177324872867574,0.7035632533526661,0.6898128701283485,0.6929449150508633,0.6959807863576271,0.6818043948432436,0.680681845696707,0.680681845696707,0.6818043948432436,0.6923889316198553,0.6941973057588003,0.6941973057588003,0.6941973057588003,0.6941973057588003,0.6941973057588003,0.6941973057588003,0.6941973057588003,0.6941973057588003,0.6941973057588003</t>
  </si>
  <si>
    <t>27.110934800342108,27.110934800342086</t>
  </si>
  <si>
    <t>1680361743599</t>
  </si>
  <si>
    <t>8,116,195,307,401,504,608,701,796,892,1003,1097,1193,1304,1399,1492,1601,1700,1805,1897,2011,2101,2196,2305,2400,2501,2604,2700,2801,2910,3001,3101,3194,3304,3401,3492,3604,3702,3796,3905,3998,4095,4206,4301,4396,4512,4601,4767,4811,4901,5006,5115,5204,5298,5393,5506,5600,5695,5798,5904,5995,6093,6205,6296,6408,6502,6595,6707,6801,6896,7016,7103,7196,7305,7401,7503,7605,7702,7795,7907,8004,8098,8193,8301,8397,8492,8602,8696,8806,8900,8995,9105,9198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</si>
  <si>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</t>
  </si>
  <si>
    <t>0.624883987936306,0.624883987936306,0.624883987936306,0.624883987936306,0.624883987936306,0.624883987936306,0.624883987936306,0.624883987936306,-0.5403362729324834,-0.02161293922507603,0.16932075662181523,0.22583183444094235,0.22583183444094235,0.4669907502240143,0.7291157714067613,0.7510820900040499,0.7510820900040499,0.8384371458564296,0.8150511732108069,0.8150511732108069,0.7254876903080808,-0.4367132166146299,-0.43437853104645613,-0.43437853104645613,0.33261454654242883,-0.08583407620422373,-0.09407657123141998,-0.09407657123141998,-0.35595077816407433,-0.5121483202123578,-0.5196866965800887,-0.42468031476330503,-0.3723023954051781,-0.3460344400191391,-0.37731238659485505,-0.38549415454767055,-0.38549415454767055,0.6801101763233387,0.8684199015382004,0.869680458670674,0.869680458670674,0.8839677376132544,0.8642244506144052,0.8642244506144052,0.8642244506144052,0.7657543731957767,0.7140973360053738,0.4523426224209212,0.43047031356090837,0.43047031356090837,0.43047031356090837,0.2626310202179109,0.25740942871312456,0.06478332724184183,-0.10250040863807625,-0.14733132525636747,-0.16044827855410795,-0.16044827855410795,-0.17162730923501673,-0.3014718342060958,-0.3420326031640874,-0.4828759310718804,-0.5323952315740635,-0.4926032740851991,-0.42395029447453414,-0.4117482322342861,-0.4390122720927159,-0.4390122720927159,-0.4413274093614152,-0.4413274093614152,-0.45906862093733347,-0.4617461006921034,-0.4597681700030258,-0.4397394679889866,-0.4336227919640507,-0.43291921131098565,-0.4339288073546237,-0.4339288073546237,-0.4339288073546237,-0.42865414583905664,-0.43313643954377457,-0.43313643954377457,-0.4430234443794402,-0.44779230292305555,-0.44779230292305555,-0.44779230292305555,-0.44779230292305555,-0.44779230292305555,-0.44779230292305555,-0.44779230292305555,-0.44779230292305555,-0.44779230292305555,-0.44779230292305555</t>
  </si>
  <si>
    <t>-0.03659230559987375,-0.03659230559987375,-0.03659230559987375,-0.03659230559987375,-0.03659230559987375,-0.03659230559987375,-0.03659230559987375,-0.03659230559987375,-0.0025630924284569382,-0.24297088740362313,-0.18770501791395658,-0.13702960030752664,-0.13702960030752664,-0.013251183875993916,0.2803031072572504,0.31422789137337503,0.31422789137337503,0.5010557693726233,0.511453841275064,0.511453841275064,0.36251335819083796,-0.05391208351546734,-0.05126587730575245,-0.05126587730575245,-0.12482254169430577,-0.296084173233391,-0.29735278718775454,-0.29735278718775454,-0.38780048677997586,-0.45855157437815414,-0.46249916607767816,-0.3349577852868737,-0.2953907812425154,-0.25222959195955313,-0.24301915348991887,-0.25046193456845894,-0.25046193456845894,0.41997351853597864,0.34088665428741455,0.3370885247313263,0.3370885247313263,0.1811720539081885,0.16438780950538218,0.16438780950538218,0.16438780950538218,0.09615017302785436,0.08091966726545961,-0.061031648918311227,-0.07283495792942656,-0.07283495792942656,-0.07283495792942656,-0.11741692935214262,-0.1163822095346705,-0.2587707032757592,-0.30334483302015636,-0.29662080332704044,-0.28651295671393295,-0.28651295671393295,-0.26300260335737335,-0.000030331596038704986,0.13105435078180103,0.1623412799362676,0.03088213243747066,-0.11511395980250484,-0.22518930710322108,-0.241893411873309,-0.22776279935671828,-0.22776279935671828,-0.2420022765308024,-0.2420022765308024,-0.263304907296233,-0.26528132312044655,-0.26795319704442494,-0.2611665952831251,-0.25237507944698256,-0.24761190115591283,-0.22301350066260262,-0.22301350066260262,-0.22301350066260262,-0.2361508998867514,-0.21821992278776037,-0.21821992278776037,-0.20419947254073478,-0.20333780487677855,-0.20333780487677855,-0.20333780487677855,-0.20333780487677855,-0.20333780487677855,-0.20333780487677855,-0.20333780487677855,-0.20333780487677855,-0.20333780487677855,-0.20333780487677855</t>
  </si>
  <si>
    <t>-0.699006863382204,-0.699006863382204,-0.699006863382204,-0.699006863382204,-0.699006863382204,-0.699006863382204,-0.699006863382204,-0.699006863382204,0.7419440165217122,0.7616712226675738,0.7269143027871225,0.7113887156629007,0.7113887156629007,0.6062195188057525,0.28801471791211036,0.24082406087591454,0.24082406087591454,-0.19607364838476232,-0.2718967725953546,-0.2718967725953546,-0.5141663518266574,0.6737467737005928,0.6739532904029832,0.6739532904029832,-0.6419350313738521,-0.5505402850128535,-0.5478326766305739,-0.5478326766305739,-0.43838467812816745,-0.33779087463240226,-0.33236537534324995,-0.3583883852841251,-0.3755303664148583,-0.3771878896190014,-0.3620225764910173,-0.3606385916060613,-0.3606385916060613,0.22170038822468383,-0.15680121998178384,-0.16628922369965135,-0.16628922369965135,-0.3653908623727471,-0.3886267301973197,-0.3886267301973197,-0.3886267301973197,-0.4567244516835934,-0.4920723862562546,-0.5317068294997233,-0.5316225494547395,-0.5316225494547395,-0.5316225494547395,-0.5328066883689587,-0.5333687232947567,-0.4828979844929673,-0.4288941975219488,-0.4136902457228625,-0.40893047496422236,-0.40893047496422236,-0.40436598542680263,-0.32631990542976436,-0.27950583556845315,-0.2758860120087122,-0.35720793146097773,-0.44468425561127395,-0.512924763966131,-0.5227705605011588,-0.5057382679651988,-0.5057382679651988,-0.5081784774646779,-0.5081784774646779,-0.5038084640280233,-0.502770586088744,-0.5045799773994702,-0.5145774716380777,-0.5158982745948663,-0.5151892758235423,-0.5086506444382483,-0.5086506444382483,-0.5086506444382483,-0.5144803576965129,-0.5078258365796636,-0.5078258365796636,-0.49922388092785586,-0.49668561326541444,-0.49668561326541444,-0.49668561326541444,-0.49668561326541444,-0.49668561326541444,-0.49668561326541444,-0.49668561326541444,-0.49668561326541444,-0.49668561326541444,-0.49668561326541444</t>
  </si>
  <si>
    <t>-0.34578954544097623,-0.34578954544097623,-0.34578954544097623,-0.34578954544097623,-0.34578954544097623,-0.34578954544097623,-0.34578954544097623,-0.34578954544097623,0.3969247020006003,0.600295741524486,0.6385083429607235,0.6512672004792557,0.6512672004792557,0.6436162990089817,0.5539565706929213,0.5283372957320205,0.5283372957320205,0.08672596402244008,0.01336781002629447,0.01336781002629447,0.2790781951244374,-0.5936668582742067,-0.5953772450681893,-0.5953772450681893,0.6794897438581388,0.7758041430031377,0.7762797672957827,0.7762797672957827,0.7285112902076856,0.6429089179301006,0.6368308378588992,0.7609255401297096,0.795683452531737,0.8212001553734156,0.817016957027174,0.8115435184795685,0.8115435184795685,-0.5584991760521861,-0.32412426776367553,-0.31996112323560655,-0.31996112323560655,0.22862030407663453,0.2739744725743457,0.2739744725743457,0.2739744725743457,0.4424682580621769,0.4913061864497029,0.713406712356302,0.7257877396025882,0.7257877396025882,0.7257877396025882,0.795836192158987,0.7973163564886473,0.8340565809405709,0.8447042949109493,0.8480388907506429,0.851435577239757,0.851435577239757,0.8589888516050731,0.8958962281317605,0.8875330660866324,0.8150846903224516,0.766814257167068,0.7391526929062597,0.7116629190084408,0.7061599759385496,0.7068388334668247,0.7068388334668247,0.6988702676047474,0.6988702676047474,0.6827177737822118,0.6809097560345881,0.6798627511882739,0.6882087150592798,0.6943537022537354,0.6970289183098796,0.7093978366069056,0.7093978366069056,0.7093978366069056,0.7041294890019395,0.7119591348806537,0.7119591348806537,0.7161063607143778,0.715149769017593,0.715149769017593,0.715149769017593,0.715149769017593,0.715149769017593,0.715149769017593,0.715149769017593,0.715149769017593,0.715149769017593,0.715149769017593</t>
  </si>
  <si>
    <t>teste orientation data size</t>
  </si>
  <si>
    <t>27.110934800342147,27.11093480034212</t>
  </si>
  <si>
    <t>1680363720425</t>
  </si>
  <si>
    <t>10,102,213,309,403,536,602,702,792,902,995,1089,1202,1291,1401,1492,1601,1699,1807,1947,2012,2103,2202,2290,2399,2493,2604,2703,2791,2903,2996,3106,3200,3296,3405,3503,3597,3697,3804,3895,4004,4104,4194,4294,4404,4495,4636,4701,4794,4902,4995,5104,5198,5306,5400,5495,5603,5697,5806,5899</t>
  </si>
  <si>
    <t>0.624884,0.624884,0.624884,0.624884,0.624884,-0.589569,-0.467536,-0.314362,-0.164222,0.099508,0.265314,0.265314,0.273399,0.584129,0.879777,0.95747,0.962319,0.962319,0.962319,0.942238,0.810581,0.687438,0.515996,0.513225,0.513225,0.513225,0.435868,0.168427,0.075667,0.169204,0.229545,-0.212208,-0.301447,-0.301447,-0.301447,-0.462378,-0.622217,-0.644368,-0.604688,0.522224,0.513845,-0.559625,-0.562144,-0.514807,-0.490618,-0.494389,-0.478424,-0.458103,-0.46472,-0.462347,-0.462347,-0.462347,-0.462347,-0.462347,-0.462347,-0.462347,-0.462347,-0.462347,-0.462347,-0.462347</t>
  </si>
  <si>
    <t>-0.036592,-0.036592,-0.036592,-0.036592,-0.036592,-0.029352,-0.163991,-0.162847,-0.108148,0.045257,0.169326,0.169326,0.171297,0.167483,0.219448,0.251138,0.254969,0.254969,0.254969,0.266238,0.216078,0.176962,0.200585,0.19884,0.19884,0.19884,0.0745,-0.061182,-0.082992,-0.034937,-0.027561,-0.16108,-0.170424,-0.170424,-0.170424,-0.169192,-0.000263,0.060871,-0.293562,0.39667,0.397083,-0.253421,-0.243935,-0.257773,-0.180926,-0.155711,-0.181461,-0.212621,-0.26207,-0.276695,-0.276695,-0.276695,-0.276695,-0.276695,-0.276695,-0.276695,-0.276695,-0.276695,-0.276695,-0.276695</t>
  </si>
  <si>
    <t>-0.699007,-0.699007,-0.699007,-0.699007,-0.699007,0.699348,0.693515,0.725534,0.755967,0.762794,0.724281,0.724281,0.722844,0.636991,0.343794,0.096866,0.050835,0.050835,0.050835,-0.090117,-0.260033,-0.321552,-0.443877,-0.444661,-0.444661,-0.444661,-0.428063,-0.419726,-0.415604,-0.421526,-0.419642,-0.379182,-0.356393,-0.356393,-0.356393,-0.301075,-0.149377,-0.097806,-0.40179,0.50305,0.51027,-0.436291,-0.43067,-0.465918,-0.454673,-0.44306,-0.460253,-0.480484,-0.491097,-0.496273,-0.496273,-0.496273,-0.496273,-0.496273,-0.496273,-0.496273,-0.496273,-0.496273,-0.496273,-0.496273</t>
  </si>
  <si>
    <t>-0.34579,-0.34579,-0.34579,-0.34579,-0.34579,0.403062,0.523024,0.590134,0.624379,0.637335,0.613477,0.613477,0.61107,0.474327,0.244215,0.103912,0.079677,0.079677,0.079677,0.182165,0.478175,0.626673,0.704619,0.706639,0.706639,0.706639,0.788182,0.889786,0.902585,0.890205,0.877753,0.886139,0.867796,0.867796,0.867796,0.816661,0.768461,0.755988,0.621883,-0.562917,-0.563837,0.657455,0.662581,0.671898,0.720994,0.731458,0.725499,0.716986,0.688606,0.680726,0.680726,0.680726,0.680726,0.680726,0.680726,0.680726,0.680726,0.680726,0.680726,0.680726</t>
  </si>
  <si>
    <t>teste online</t>
  </si>
  <si>
    <t>27.110934800342136,27.110934800342115</t>
  </si>
  <si>
    <t>1680367535809</t>
  </si>
  <si>
    <t>158,625,627,628,628,640,654,671,767,879,990,1102,1201,1299,1409,1500,1598,1706,1800,1910,2010,2101,2209,2305,2399,2500,2610,2701,2796,2896,3001,3094,3203,3300,3393,3501,3593,3702,3823,3906,4001,4093,4202,4297,4390,4498,4592,4701,4797,4905,5000</t>
  </si>
  <si>
    <t>0,0.1,0.2,0.3,0.4,0.5,0.6,0.7,0.8,0.9,1,1.1,1.2,1.3,1.4,1.5,1.6,1.7,1.8,1.9,2,2.1,2.2,2.3,2.4,2.5,2.6,2.7,2.8,2.9,3,3.1,3.2,3.3,3.4,3.5,3.6,3.7,3.8,3.9,4,4.1,4.2,4.3,4.4,4.5,4.6,4.7,4.8,4.9,5</t>
  </si>
  <si>
    <t>0.624884,0.624884,0.624884,0.624884,0.624884,0.624884,0.624884,0.624884,0.624884,0.624884,0.624884,0.624884,-0.588465,-0.445549,-0.266536,-0.115947,-0.010344,-0.007124,-0.007124,0.273514,0.581221,0.712535,0.842962,0.842962,0.842962,0.829252,0.410979,0.351775,0.351775,0.320181,-0.507471,-0.532057,-0.532057,-0.603452,-0.645551,-0.610111,-0.605429,0.587581,-0.569754,-0.570676,-0.540586,-0.524568,-0.512464,-0.515271,-0.515271,-0.515271,-0.515271,-0.515271,-0.515271,-0.515271,-0.515271</t>
  </si>
  <si>
    <t>-0.036592,-0.036592,-0.036592,-0.036592,-0.036592,-0.036592,-0.036592,-0.036592,-0.036592,-0.036592,-0.036592,-0.036592,0.013085,-0.093141,-0.125234,-0.053051,-0.012894,-0.010648,-0.010648,-0.148788,-0.286181,-0.242339,0.038973,0.038973,0.038973,0.133067,0.057616,0.019515,0.019515,0.019584,-0.055323,-0.046474,-0.046474,-0.047598,-0.065939,-0.175247,-0.255486,0.331833,-0.281043,-0.218747,-0.247649,-0.259687,-0.243355,-0.233523,-0.233523,-0.233523,-0.233523,-0.233523,-0.233523,-0.233523,-0.233523</t>
  </si>
  <si>
    <t>-0.699007,-0.699007,-0.699007,-0.699007,-0.699007,-0.699007,-0.699007,-0.699007,-0.699007,-0.699007,-0.699007,-0.699007,0.716874,0.751626,0.785162,0.814548,0.820159,0.820193,0.820193,0.77595,0.610248,0.469768,0.029988,0.029988,0.029988,-0.136782,-0.330243,-0.327155,-0.327155,-0.33166,-0.295937,-0.284445,-0.284445,-0.265358,-0.264633,-0.356756,-0.403977,0.451474,-0.447279,-0.420134,-0.451346,-0.465908,-0.467845,-0.462717,-0.462717,-0.462717,-0.462717,-0.462717,-0.462717,-0.462717,-0.462717</t>
  </si>
  <si>
    <t>-0.34579,-0.34579,-0.34579,-0.34579,-0.34579,-0.34579,-0.34579,-0.34579,-0.34579,-0.34579,-0.34579,-0.34579,0.37367,0.477357,0.544789,0.56591,0.571897,0.571943,0.571943,0.548592,0.455939,0.461393,0.535721,0.535721,0.535721,0.525286,0.847771,0.876837,0.876837,0.887188,0.807362,0.796145,0.796145,0.750443,0.713362,0.685404,0.636385,-0.583787,0.629553,0.670795,0.665375,0.663567,0.677702,0.682536,0.682536,0.682536,0.682536,0.682536,0.682536,0.682536,0.682536</t>
  </si>
  <si>
    <t>27.110934800342132,27.110934800342125</t>
  </si>
  <si>
    <t>1680367542121</t>
  </si>
  <si>
    <t>0,104,198,324,402,501,608,702,795,904,999,1094,1218,1301,1394,1504,1603,1694,1805,1903,1994,2090,2207,2293,2404,2495,2608,2703,2803,2893,3004,3103,3193,3303,3398,3494,3590,3703,3796,3906,4006,4095,4205,4304,4394,4504,4600,4696,4791,4900,4992,5109,5198,5291,5401,5496,5607,5702,5797,5893,6005,6099,6221,6301,6397,6505,6601,6694,6803,6896,6991,7102,7201,7307,7402,7496,7604,7697,7806,7908,7994,8104,8198,8292,8402,8496,8591,8702,8796,8905,8998,9106,9200,9309,9404,9498,9608,9702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</si>
  <si>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</t>
  </si>
  <si>
    <t>0.624884,0.624884,0.624884,-0.609713,-0.372235,-0.0545,0.004101,0.004101,0.004101,0.507389,0.622605,0.622605,0.77446,0.926273,0.933175,0.933175,0.688779,0.48429,0.48429,0.171243,-0.250637,-0.250637,-0.254179,-0.52295,-0.523492,-0.482016,-0.46961,-0.462073,-0.464204,-0.472319,-0.471948,-0.462213,-0.457983,-0.483437,-0.486078,-0.486078,-0.486078,-0.497953,-0.503835,-0.503835,-0.508624,-0.563884,-0.577889,-0.593863,-0.557179,-0.472441,-0.459989,-0.444004,-0.435737,-0.435737,-0.435737,-0.449621,-0.459602,-0.467506,-0.486877,-0.488594,-0.488594,-0.488594,-0.486877,-0.486877,-0.486877,-0.486877,-0.511205,-0.512816,-0.498036,-0.472607,-0.471658,-0.473882,-0.477967,-0.483029,-0.483029,-0.485827,-0.486946,-0.487427,-0.487427,-0.487427,-0.488576,-0.488576,-0.488576,-0.489087,-0.48401,-0.486752,-0.486752,-0.486752,-0.486752,-0.486752,-0.488447,-0.488447,-0.488447,-0.488447,-0.488447,-0.488447,-0.488447,-0.488447,-0.488447,-0.488447,-0.488447,-0.488447</t>
  </si>
  <si>
    <t>-0.036592,-0.036592,-0.036592,0.033753,-0.119256,-0.271671,-0.247332,-0.247332,-0.247332,-0.194933,-0.056079,-0.056079,0.037009,0.209715,0.218431,0.218431,0.172108,0.169998,0.169998,0.054856,-0.152251,-0.152251,-0.145631,-0.18757,-0.148216,-0.100801,-0.185374,-0.26485,-0.281268,-0.293484,-0.319646,-0.347573,-0.360043,-0.361374,-0.363047,-0.363047,-0.363047,-0.355791,-0.352117,-0.352117,-0.344151,-0.189902,-0.114004,-0.189611,-0.308751,-0.356899,-0.363719,-0.364146,-0.370096,-0.370096,-0.370096,-0.356238,-0.347512,-0.35294,-0.323756,-0.321072,-0.321072,-0.321072,-0.323756,-0.323756,-0.323756,-0.323756,-0.290304,-0.287566,-0.312042,-0.322234,-0.317765,-0.296098,-0.283254,-0.274868,-0.274868,-0.276542,-0.280996,-0.29268,-0.29268,-0.29268,-0.278279,-0.278279,-0.278279,-0.289969,-0.298224,-0.299925,-0.299925,-0.299925,-0.299925,-0.299925,-0.297185,-0.297185,-0.297185,-0.297185,-0.297185,-0.297185,-0.297185,-0.297185,-0.297185,-0.297185,-0.297185,-0.297185</t>
  </si>
  <si>
    <t>-0.699007,-0.699007,-0.699007,0.709134,0.775673,0.742407,0.738674,0.738674,0.738674,0.521849,0.390045,0.390045,0.240993,-0.093513,-0.105027,-0.105027,-0.311983,-0.419825,-0.419825,-0.483772,-0.452036,-0.452036,-0.450054,-0.367564,-0.347862,-0.340149,-0.380529,-0.41282,-0.416878,-0.416064,-0.424228,-0.438203,-0.444062,-0.426751,-0.425328,-0.425328,-0.425328,-0.414766,-0.409442,-0.409442,-0.403478,-0.299944,-0.2487,-0.289085,-0.377925,-0.455333,-0.465476,-0.476518,-0.483131,-0.483131,-0.483131,-0.471315,-0.462803,-0.458677,-0.43806,-0.436145,-0.436145,-0.436145,-0.43806,-0.43806,-0.43806,-0.43806,-0.411235,-0.409225,-0.42709,-0.446839,-0.446252,-0.438761,-0.432466,-0.426805,-0.426805,-0.425722,-0.426549,-0.430014,-0.430014,-0.430014,-0.424536,-0.424536,-0.424536,-0.428031,-0.433763,-0.432588,-0.432588,-0.432588,-0.432588,-0.432588,-0.430673,-0.430673,-0.430673,-0.430673,-0.430673,-0.430673,-0.430673,-0.430673,-0.430673,-0.430673,-0.430673,-0.430673</t>
  </si>
  <si>
    <t>-0.34579,-0.34579,-0.34579,0.352477,0.49553,0.609965,0.627033,0.627033,0.627033,0.657443,0.676079,0.676079,0.58375,0.298818,0.265409,0.265409,0.631371,0.748539,0.748539,0.856523,0.842415,0.842415,0.843585,0.745814,0.763531,0.801124,0.77479,0.738865,0.72912,0.719494,0.703649,0.688135,0.680757,0.673484,0.67158,0.67158,0.67158,0.673368,0.674181,0.674181,0.678283,0.745658,0.768892,0.726501,0.671861,0.664902,0.662911,0.665724,0.663134,0.663134,0.663134,0.669923,0.673658,0.668197,0.682815,0.684081,0.684081,0.684081,0.682815,0.682815,0.682815,0.682815,0.696619,0.697754,0.687157,0.687854,0.690958,0.70374,0.710132,0.71342,0.71342,0.711518,0.708506,0.701314,0.701314,0.701314,0.709664,0.709664,0.709664,0.702497,0.699032,0.697126,0.697126,0.697126,0.697126,0.697126,0.698299,0.698299,0.698299,0.698299,0.698299,0.698299,0.698299,0.698299,0.698299,0.698299,0.698299,0.698299</t>
  </si>
  <si>
    <t>27.110934800342108,27.110934800342115</t>
  </si>
  <si>
    <t>1680367573282</t>
  </si>
  <si>
    <t>1,113,193,302,398,491,606,697,798,907,997,1098,1207,1298,1407,1508,1597,1707,1801,1898,2008,2101,2194,2304,2398,2491,2600,2699,2809,2898,2993,3109,3199,3304,3402,3496,3606,3700,3799,3909,4007,4094,4205,4300,4393,4504,4599,4692,4804,4898,4993,5103,5201,5293,5402,5523,5610,5700,5794,5903,5998,6110,6203,6296,6390,6500,6594,6715,6800,6897,7005,7101,7197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</si>
  <si>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</t>
  </si>
  <si>
    <t>0.624884,0.624884,0.624884,0.624884,0.624884,0.624884,-0.573556,-0.5332,-0.473495,-0.393604,-0.346127,-0.310555,-0.229574,-0.202873,-0.189478,-0.218218,-0.277928,-0.319743,-0.393557,-0.497255,0.659481,0.708945,0.708945,0.708945,0.708945,0.708945,0.844902,0.88644,0.879034,0.849358,0.821849,0.689931,-0.543296,-0.506373,-0.433295,-0.564933,-0.564933,-0.564933,0.655661,0.755919,0.765398,0.765398,0.765398,0.556265,0.166447,0.166447,0.101738,-0.292736,-0.391566,-0.391566,-0.513005,-0.688288,-0.653151,-0.64268,-0.639494,-0.637805,-0.583116,-0.559323,-0.543155,-0.494119,-0.494119,-0.512542,-0.516562,-0.515028,-0.515028,-0.515028,-0.521528,-0.518446,-0.518446,-0.518446,-0.518446,-0.518446,-0.518446</t>
  </si>
  <si>
    <t>-0.036592,-0.036592,-0.036592,-0.036592,-0.036592,-0.036592,-0.00691,-0.025586,-0.034097,-0.044774,-0.046178,-0.055101,-0.071936,-0.100305,-0.205025,-0.269312,-0.348435,-0.397432,-0.434334,-0.450445,0.391568,0.349787,0.349787,0.349787,0.349787,0.349787,0.364038,0.300007,0.219641,0.179873,0.189092,0.273623,-0.427247,-0.448708,-0.328704,-0.214322,-0.214322,-0.214322,0.112832,-0.084059,-0.107414,-0.107414,-0.107414,-0.134072,-0.132623,-0.132623,-0.106847,0.007484,0.044717,0.044717,0.153527,0.179226,-0.018563,-0.105541,-0.124176,-0.133173,-0.182699,-0.223228,-0.234752,-0.246123,-0.246123,-0.264638,-0.28006,-0.286982,-0.286982,-0.286982,-0.263557,-0.257125,-0.257125,-0.257125,-0.257125,-0.257125,-0.257125</t>
  </si>
  <si>
    <t>-0.699007,-0.699007,-0.699007,-0.699007,-0.699007,-0.699007,0.718651,0.735337,0.761545,0.790181,0.804846,0.812518,0.825753,0.824101,0.800234,0.778494,0.742036,0.713609,0.683718,0.65069,-0.617422,-0.605024,-0.605024,-0.605024,-0.605024,-0.605024,-0.391817,-0.290762,-0.198317,-0.169254,-0.206581,-0.405132,0.587126,0.619993,0.689299,0.590929,0.590929,0.590929,-0.48366,-0.256269,-0.226394,-0.226394,-0.226394,-0.228811,-0.203254,-0.203254,-0.201954,-0.148463,-0.132196,-0.132196,-0.084958,-0.099636,-0.281612,-0.350652,-0.364795,-0.372078,-0.430848,-0.463637,-0.478514,-0.512356,-0.512356,-0.506359,-0.508182,-0.511129,-0.511129,-0.511129,-0.500232,-0.500215,-0.500215,-0.500215,-0.500215,-0.500215,-0.500215</t>
  </si>
  <si>
    <t>-0.34579,-0.34579,-0.34579,-0.34579,-0.34579,-0.34579,0.393098,0.417519,0.441236,0.467638,0.479882,0.490238,0.51015,0.519268,0.530743,0.523258,0.500731,0.480182,0.434737,0.355583,-0.174786,-0.09483,-0.09483,-0.09483,-0.09483,-0.09483,0.00984,0.199192,0.373802,0.466465,0.496117,0.533848,-0.421393,-0.397311,-0.47862,-0.534527,-0.534527,-0.534527,0.568728,0.596529,0.592769,0.592769,0.592769,0.787553,0.955717,0.955717,0.968219,0.944568,0.909506,0.909506,0.840261,0.695853,0.702669,0.672953,0.665246,0.661081,0.664053,0.649898,0.648767,0.657846,0.657846,0.64099,0.629667,0.625407,0.625407,0.625407,0.638995,0.644116,0.644116,0.644116,0.644116,0.644116,0.644116</t>
  </si>
  <si>
    <t>27.110934800342644,27.11093480034212</t>
  </si>
  <si>
    <t>1680367749841</t>
  </si>
  <si>
    <t>14,111,205,298,392,502,621,698,808,899,997,1103,1199,1299,1408,1499,1594,1706,1799,1898,2001,2094,2206,2301,2399,2506,2602,2698,2799,2905,2998,3109,3203,3301,3410,3503,3594,3702,3800,3891,4002,4130,4203,4301,4391,4500,4600,4704,4802,4891,5000,5095,5203,5298,5393</t>
  </si>
  <si>
    <t>0,0.1,0.2,0.3,0.4,0.5,0.6,0.7,0.8,0.9,1,1.1,1.2,1.3,1.4,1.5,1.6,1.7,1.8,1.9,2,2.1,2.2,2.3,2.4,2.5,2.6,2.7,2.8,2.9,3,3.1,3.2,3.3,3.4,3.5,3.6,3.7,3.8,3.9,4,4.1,4.2,4.3,4.4,4.5,4.6,4.7,4.8,4.9,5,5.1,5.2,5.3,5.4</t>
  </si>
  <si>
    <t>0.624884,0.624884,0.624884,0.624884,0.624884,0.624884,-0.607901,-0.515713,-0.352465,-0.119171,0.175886,0.17312,0.17312,0.35483,0.866912,0.934565,0.940094,0.940094,0.938826,0.83677,0.72126,0.72126,0.72126,0.610119,0.152392,0.075451,0.075451,0.075451,-0.314051,-0.497077,-0.497077,-0.497077,-0.497077,0.486763,0.428447,0.558481,-0.587684,-0.411252,-0.350056,-0.313991,-0.313991,-0.338876,-0.395899,-0.558316,-0.558413,-0.396192,-0.380834,-0.451935,-0.447818,-0.444217,-0.444217,-0.444217,-0.444217,-0.444217,-0.444217</t>
  </si>
  <si>
    <t>-0.036592,-0.036592,-0.036592,-0.036592,-0.036592,-0.036592,0.003624,-0.132528,-0.217006,-0.181758,-0.001072,0.001631,0.001631,0.009146,-0.048442,-0.038392,-0.032386,-0.032386,-0.021072,0.114384,0.149988,0.149988,0.149988,0.264925,0.166209,0.061589,0.061589,0.061589,-0.169992,-0.32093,-0.32093,-0.32093,-0.32093,0.430597,0.551939,0.565355,-0.411666,-0.301004,-0.316092,-0.324423,-0.324423,-0.213495,-0.044822,-0.104455,-0.247875,-0.320691,-0.312705,-0.234178,-0.251831,-0.274085,-0.274085,-0.274085,-0.274085,-0.274085,-0.274085</t>
  </si>
  <si>
    <t>-0.699007,-0.699007,-0.699007,-0.699007,-0.699007,-0.699007,0.699955,0.691239,0.692245,0.712245,0.688142,0.688141,0.688141,0.652087,0.37444,0.245682,0.223596,0.223596,0.202092,-0.083444,-0.182547,-0.182547,-0.182547,-0.35367,-0.574552,-0.586581,-0.586581,-0.586581,-0.566676,-0.50366,-0.50366,-0.50366,-0.50366,0.528746,0.571735,0.417619,-0.310127,-0.373926,-0.408974,-0.428201,-0.428201,-0.396622,-0.329181,-0.324992,-0.409482,-0.535147,-0.542996,-0.489036,-0.496026,-0.503427,-0.503427,-0.503427,-0.503427,-0.503427,-0.503427</t>
  </si>
  <si>
    <t>-0.34579,-0.34579,-0.34579,-0.34579,-0.34579,-0.34579,0.374842,0.488533,0.591163,0.667435,0.703934,0.704619,0.704619,0.669921,0.325441,0.254468,0.255302,0.255302,0.278066,0.528933,0.651125,0.651125,0.651125,0.657638,0.786792,0.804013,0.804013,0.804013,0.742531,0.629479,0.629479,0.629479,0.629479,-0.545964,-0.430018,-0.440531,0.623683,0.774886,0.781208,0.782817,0.782817,0.825999,0.856093,0.756143,0.677538,0.673652,0.679953,0.708349,0.699999,0.688556,0.688556,0.688556,0.688556,0.688556,0.688556</t>
  </si>
  <si>
    <t>source &gt;</t>
  </si>
  <si>
    <t>func</t>
  </si>
  <si>
    <t>Tabela de dados "crús"</t>
  </si>
  <si>
    <t>Tabela com precisão alterada</t>
  </si>
  <si>
    <t>precision</t>
  </si>
  <si>
    <t>decimals</t>
  </si>
  <si>
    <t>extra char</t>
  </si>
  <si>
    <t>cell char limit</t>
  </si>
  <si>
    <t>char/cell unit</t>
  </si>
  <si>
    <t>Max rows</t>
  </si>
  <si>
    <t>Max minutes @10Hz</t>
  </si>
  <si>
    <t>Dados "idênticos"</t>
  </si>
  <si>
    <t>X</t>
  </si>
  <si>
    <t>Shets: 50000. Excel/odp/csv: 32767. JSON/XML: 2mi</t>
  </si>
  <si>
    <t>Excel é + prático. No futuro usaremos json/xml</t>
  </si>
  <si>
    <t>Epoch (1673007423790)</t>
  </si>
  <si>
    <t>O tempo de sistema (numeros inteiros) tem 13 caracteres+1 da vírgula.</t>
  </si>
  <si>
    <t>Os seis primeiros caracteres determinam anos, meses, dias horas e dezenas de minutos.</t>
  </si>
  <si>
    <t>Na prática, os 6 primeiros caracteres não mudam durante um teste,</t>
  </si>
  <si>
    <t xml:space="preserve">então podemos registrar uma vez o epoch inicial completo </t>
  </si>
  <si>
    <t>e o array registra como uma sequência para somar com o epoch inicial</t>
  </si>
  <si>
    <t>Quaternion</t>
  </si>
  <si>
    <t xml:space="preserve">O tamanho mínimo encontrado sem juntar estados diferentes como um só é de 6 decimais. </t>
  </si>
  <si>
    <t>Com os outro 4 caracteres fixos {,-0.} cada dado vai ter um total de 6+4 = 10 caracteres</t>
  </si>
  <si>
    <t>&lt;---</t>
  </si>
  <si>
    <t xml:space="preserve">5~6 decimals </t>
  </si>
  <si>
    <t>Excel limit</t>
  </si>
  <si>
    <t>lines</t>
  </si>
  <si>
    <t>columns</t>
  </si>
  <si>
    <t>Como estruturar os dados?</t>
  </si>
  <si>
    <t>Max subjects estimated in sheet</t>
  </si>
  <si>
    <t>thing</t>
  </si>
  <si>
    <t>times</t>
  </si>
  <si>
    <t>Char limit</t>
  </si>
  <si>
    <t>Tudo na mesma planilha</t>
  </si>
  <si>
    <t>Task amount</t>
  </si>
  <si>
    <t>id_subject</t>
  </si>
  <si>
    <t>id_task</t>
  </si>
  <si>
    <t>expected subjects</t>
  </si>
  <si>
    <t>Mean task duration</t>
  </si>
  <si>
    <t>Separado por tasks (em abas)</t>
  </si>
  <si>
    <t>Max task duration</t>
  </si>
  <si>
    <t>Data/second</t>
  </si>
  <si>
    <t>Lines limit</t>
  </si>
  <si>
    <t>Separado por subjects</t>
  </si>
  <si>
    <t>line/(subject * task)</t>
  </si>
  <si>
    <t>NOPE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</si>
</sst>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0.0000000000000000"/>
    <numFmt numFmtId="166" formatCode="#,##0.0000000"/>
    <numFmt numFmtId="167" formatCode="0.0"/>
    <numFmt numFmtId="168" formatCode="0.0 &quot;s&quot;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nsolas"/>
    </font>
    <font>
      <color rgb="FF000000"/>
      <name val="Roboto"/>
    </font>
    <font>
      <color rgb="FF000000"/>
      <name val="Arial"/>
    </font>
    <font>
      <sz val="11.0"/>
      <color rgb="FF000000"/>
      <name val="Calibri"/>
    </font>
    <font>
      <color theme="1"/>
      <name val="Arial"/>
    </font>
    <font>
      <sz val="9.0"/>
      <color rgb="FF000000"/>
      <name val="&quot;Google Sans Mono&quot;"/>
    </font>
    <font>
      <sz val="9.0"/>
      <color rgb="FF1155CC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164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2" fontId="3" numFmtId="49" xfId="0" applyAlignment="1" applyFill="1" applyFont="1" applyNumberFormat="1">
      <alignment readingOrder="0"/>
    </xf>
    <xf borderId="0" fillId="2" fontId="4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 shrinkToFit="0" wrapText="0"/>
    </xf>
    <xf borderId="0" fillId="0" fontId="5" numFmtId="164" xfId="0" applyAlignment="1" applyFont="1" applyNumberFormat="1">
      <alignment readingOrder="0" shrinkToFit="0" vertical="bottom" wrapText="0"/>
    </xf>
    <xf borderId="0" fillId="3" fontId="1" numFmtId="0" xfId="0" applyAlignment="1" applyFill="1" applyFont="1">
      <alignment readingOrder="0"/>
    </xf>
    <xf borderId="0" fillId="3" fontId="1" numFmtId="165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3" fontId="1" numFmtId="0" xfId="0" applyFont="1"/>
    <xf borderId="0" fillId="3" fontId="1" numFmtId="1" xfId="0" applyAlignment="1" applyFont="1" applyNumberFormat="1">
      <alignment readingOrder="0"/>
    </xf>
    <xf borderId="0" fillId="3" fontId="1" numFmtId="1" xfId="0" applyFont="1" applyNumberFormat="1"/>
    <xf borderId="0" fillId="4" fontId="1" numFmtId="11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5" fontId="1" numFmtId="11" xfId="0" applyBorder="1" applyFill="1" applyFont="1" applyNumberFormat="1"/>
    <xf borderId="0" fillId="3" fontId="1" numFmtId="2" xfId="0" applyFont="1" applyNumberFormat="1"/>
    <xf borderId="0" fillId="4" fontId="1" numFmtId="11" xfId="0" applyFont="1" applyNumberFormat="1"/>
    <xf borderId="0" fillId="3" fontId="1" numFmtId="165" xfId="0" applyAlignment="1" applyFont="1" applyNumberFormat="1">
      <alignment readingOrder="0"/>
    </xf>
    <xf borderId="0" fillId="3" fontId="1" numFmtId="166" xfId="0" applyFont="1" applyNumberFormat="1"/>
    <xf borderId="0" fillId="0" fontId="1" numFmtId="11" xfId="0" applyFont="1" applyNumberFormat="1"/>
    <xf borderId="0" fillId="0" fontId="1" numFmtId="11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0" fontId="6" numFmtId="20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 shrinkToFit="0" wrapText="1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5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readingOrder="0" vertical="bottom"/>
    </xf>
    <xf borderId="0" fillId="0" fontId="6" numFmtId="167" xfId="0" applyAlignment="1" applyFont="1" applyNumberFormat="1">
      <alignment vertical="bottom"/>
    </xf>
    <xf borderId="5" fillId="0" fontId="6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/>
    </xf>
    <xf borderId="5" fillId="0" fontId="6" numFmtId="168" xfId="0" applyAlignment="1" applyBorder="1" applyFont="1" applyNumberFormat="1">
      <alignment horizontal="right" readingOrder="0" vertical="bottom"/>
    </xf>
    <xf borderId="4" fillId="0" fontId="6" numFmtId="0" xfId="0" applyAlignment="1" applyBorder="1" applyFont="1">
      <alignment readingOrder="0" shrinkToFit="0" vertical="bottom" wrapText="0"/>
    </xf>
    <xf borderId="0" fillId="2" fontId="7" numFmtId="167" xfId="0" applyFont="1" applyNumberFormat="1"/>
    <xf borderId="0" fillId="2" fontId="8" numFmtId="0" xfId="0" applyAlignment="1" applyFont="1">
      <alignment horizontal="left"/>
    </xf>
    <xf borderId="5" fillId="0" fontId="6" numFmtId="3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readingOrder="0" vertical="bottom"/>
    </xf>
    <xf borderId="7" fillId="7" fontId="6" numFmtId="0" xfId="0" applyAlignment="1" applyBorder="1" applyFill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0" fillId="0" fontId="1" numFmtId="167" xfId="0" applyFont="1" applyNumberFormat="1"/>
    <xf borderId="0" fillId="0" fontId="6" numFmtId="3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bla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'expandir cellArray'!$B$3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'expandir cellArray'!$B$4:$B$2115</c:f>
              <c:numCache/>
            </c:numRef>
          </c:val>
          <c:smooth val="0"/>
        </c:ser>
        <c:axId val="1430623274"/>
        <c:axId val="103143014"/>
      </c:lineChart>
      <c:catAx>
        <c:axId val="1430623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43014"/>
      </c:catAx>
      <c:valAx>
        <c:axId val="1031430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-0.5746852080779224,-0.5395705243641246,-0.5136494253154001,-0.4948274700361382,-0.45905350862992983,-0.2975798594352975,-0.2892632464131889,-0.27811217884420913,-0.24631564845894233,-0.2261818817706783,-0.23121821817470628,-0.26109367224652574,-0.3015964639124578,-0.38186181583269824,-0.4458941392477519,-0.48667421760820384,-0.5630103623625272,0.6207949185458823,0.6952373352375905,0.7228212309758408,0.7792781347461591,0.7817032449486379,0.7852504534389243,0.7852504534389243,0.7852504534389243,0.7465190601188243,-0.700006554389585,-0.6317266650128885,-0.5519307452143347,-0.4376858193203458,-0.3059342919239519,-0.17003450152050398,-0.01818066985902079,0.016539348995721223,0.09795941822053336,0.10119516945496874,0.12439499705351867,0.1330285256674348,0.015243123192212426,-0.08670447954435463,-0.37917162049178754,-0.4268835701334706,-0.4766336830148724,-0.5077206962631484,-0.5165634304931651,-0.6289921808896233,-0.7242270069480956,0.7852991525501074,0.8213490514776606,0.8213490514776606,0.8213490514776606,-0.5112854414130358,-0.286922059948476,-0.12569759183003104,-0.007448746327801429,0.10908815149152763,0.15452877023890718,0.0682957445859635,0.035532985099591935,0.010545242654799655,0.03702826561854406,0.05865913673441946,0.05865913673441946,0.06313987894211781,0.20287945964684573,0.24428442122574684,0.289781490592875,-0.31087417931709876,-0.2668757772564939,-0.19378163362422665,-0.1406804867121586,-0.08985620769637609,-0.05776186037912447,0.0005353057082804066,0.15043713077628781,0.20342555784523025,0.27819578933822875,0.35688429148592704,0.37008912343907613,0.37323061054364154,0.37323061054364154,0.37323061054364154,0.37323061054364154,0.33149309117216286,0.23555120602970725,0.2189196597224827,0.11539525038042535,-0.02113325596324043,-0.08220388855229024,0.1412081010172329,0.22840629429179182,0.26030608787967346,0.2945694022271894,-0.3283466290146141,-0.3376190481448813,0.3399406072396086,0.3148777267130662,0.3085942838003426,0.3085942838003426,0.3085942838003426,0.3085942838003426,-0.05313314383842644,-0.18978723326594807,-0.34858181050907,-0.3773557434785958,-0.37957261609893084,-0.3255118211264585,-0.1994668932551918,-0.1994668932551918,-0.0541307112016376,0.04515308606326269,0.09103913841344193,0.11718118212286398,0.14211223223502017,-0.23662287652136607,-0.23662287652136607,-0.3477103399798174,-0.37540520602675476,-0.3823790866919529,-0.3823790866919529,-0.3823790866919529,-0.29070684618751746,-0.14075359493188747,-0.10174935337149185,-0.10711812856350188,-0.1810935605516871,-0.2902134552619847,-0.3934545650080598,-0.43997775636842323,0.4422799131174425,0.4422799131174425,0.4402151470869019,0.4402151470869019,-0.45203003130497277,-0.44510803793996917,-0.4107303223065231,-0.30694470168174837,-0.20675181467943385,-0.12180787880820061,-0.05240440099898025,-0.007710198695614259,-0.026263626320117965,-0.03707271146499631,-0.08114752157067952,-0.12550553368954354,-0.12550553368954354,-0.08434568215761952,0.11846331615443749,0.13616399067491633,0.14495747036486725,0.14447420543959721,0.14447420543959721,0.11692471261484993,0.04417275823905521,-0.015967629994694303,-0.13915218246462327,-0.2382415806930954,-0.26227164296022765,-0.3012992451026721,-0.36190353372478457,-0.3876672127760834,-0.4093018382509068,-0.41185332207183756,-0.41506138953280164,-0.420693371607656,-0.4269927834193307,-0.42659765570824737,-0.4359259869006609,-0.44513331583479016,-0.48415695694459215,-0.4976751298172423,-0.532243113078255,-0.5614974973486472,-0.6540851459214154,-0.6631967164734068,-0.6839516896111075,-0.730575802650654,-0.7683073686711713,0.8004772198067187,0.8218882094407237,0.8005651524129364,0.7595984641017659,0.7310611367966408,0.7184329871752223,0.7184329871752223,0.7184329871752223,0.7184329871752223,0.7184329871752223,0.7184329871752223,0.7184329871752223,0.7184329871752223,0.7184329871752223,0.7184329871752223,0.7184329871752223,-0.6175619925307354,-0.574306298351265,-0.5417378711118103,-0.5197403272089782,-0.4879844247090367,-0.4472271656866229,-0.443670737125084,-0.4203885010259642,-0.3860256441716152,-0.382138419531659,-0.3742934951990615,-0.3723177581087028,-0.3723177581087028,-0.3692223175153579,-0.3709260775025996,-0.37576198076920764,-0.3737584691311082,-0.3745183010587703,-0.3772716840916085,-0.3934682823291193,-0.3981783001143695,-0.41334778321174964,-0.42181789066628517,-0.42181789066628517,-0.42181789066628517,-0.42181789066628517,-0.43208258800792576,-0.43486240634802975,-0.43486240634802975,-0.4367107917745166,-0.4431695001718919,-0.4495850549856784,-0.4523669210265331,-0.4523669210265331,-0.4523669210265331,-0.4523669210265331,-0.4523669210265331,-0.46657538021052114,-0.4735077985097976,-0.4926665876547199,-0.494314208190165,-0.494314208190165,-0.5133355893819329,-0.5249516738389804,-0.5249516738389804,-0.5249516738389804,-0.5261710809405182,-0.5257820948091689,-0.5269572413722035,-0.5269572413722035,-0.5281161352920146,-0.5281161352920146,-0.5265109011577095,-0.5265109011577095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-0.48616739483794197,-0.4816619303245589,-0.4816619303245589,-0.4869342413691172,-0.4902519497174517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-0.4995223041696487,-0.49786185616084666,-0.50181374398391,-0.50181374398391,-0.5095974683539927,-0.5095974683539927,-0.5095974683539927,-0.5095974683539927,-0.5095974683539927,-0.5095974683539927,-0.5095974683539927,-0.5095974683539927,-0.5095974683539927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-0.5106887155584746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0623274"/>
      </c:valAx>
      <c:lineChart>
        <c:varyColors val="0"/>
        <c:ser>
          <c:idx val="1"/>
          <c:order val="1"/>
          <c:tx>
            <c:strRef>
              <c:f>'expandir cellArray'!$H$3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'expandir cellArray'!$H$4:$H$2115</c:f>
              <c:numCache/>
            </c:numRef>
          </c:val>
          <c:smooth val="0"/>
        </c:ser>
        <c:axId val="1518970834"/>
        <c:axId val="699433205"/>
      </c:lineChart>
      <c:catAx>
        <c:axId val="151897083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9433205"/>
      </c:catAx>
      <c:valAx>
        <c:axId val="69943320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897083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7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7.88"/>
    <col customWidth="1" min="3" max="3" width="10.63"/>
    <col customWidth="1" min="4" max="4" width="11.13"/>
    <col customWidth="1" min="5" max="5" width="11.0"/>
    <col customWidth="1" min="6" max="6" width="7.0"/>
    <col customWidth="1" min="7" max="7" width="12.88"/>
    <col customWidth="1" min="8" max="8" width="18.25"/>
    <col customWidth="1" min="10" max="13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</row>
    <row r="2">
      <c r="A2" s="5">
        <v>45017.59558109954</v>
      </c>
      <c r="B2" s="6"/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4"/>
      <c r="O2" s="4"/>
      <c r="P2" s="4"/>
      <c r="Q2" s="4"/>
      <c r="R2" s="4"/>
    </row>
    <row r="3">
      <c r="A3" s="5">
        <v>45017.595671874995</v>
      </c>
      <c r="B3" s="6"/>
      <c r="C3" s="7" t="s">
        <v>13</v>
      </c>
      <c r="D3" s="7" t="s">
        <v>14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4"/>
      <c r="O3" s="4"/>
      <c r="P3" s="4"/>
      <c r="Q3" s="4"/>
      <c r="R3" s="4"/>
    </row>
    <row r="4">
      <c r="A4" s="5">
        <v>45017.59721792824</v>
      </c>
      <c r="B4" s="6"/>
      <c r="C4" s="7" t="s">
        <v>13</v>
      </c>
      <c r="D4" s="7" t="s">
        <v>33</v>
      </c>
      <c r="E4" s="7" t="s">
        <v>15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4"/>
      <c r="O4" s="4"/>
      <c r="P4" s="4"/>
      <c r="Q4" s="4"/>
      <c r="R4" s="4"/>
    </row>
    <row r="5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4"/>
      <c r="O5" s="4"/>
      <c r="P5" s="4"/>
      <c r="Q5" s="4"/>
      <c r="R5" s="4"/>
    </row>
    <row r="6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4"/>
      <c r="R6" s="4"/>
    </row>
    <row r="7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4"/>
      <c r="O7" s="4"/>
      <c r="P7" s="4"/>
      <c r="Q7" s="4"/>
      <c r="R7" s="4"/>
    </row>
    <row r="8">
      <c r="A8" s="5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4"/>
      <c r="P8" s="4"/>
      <c r="Q8" s="4"/>
      <c r="R8" s="4"/>
    </row>
    <row r="9">
      <c r="A9" s="5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4"/>
      <c r="P9" s="4"/>
      <c r="Q9" s="4"/>
      <c r="R9" s="4"/>
    </row>
    <row r="10">
      <c r="A10" s="5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4"/>
      <c r="O10" s="4"/>
      <c r="P10" s="4"/>
      <c r="Q10" s="4"/>
      <c r="R10" s="4"/>
    </row>
    <row r="11">
      <c r="A11" s="5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  <c r="O11" s="4"/>
      <c r="P11" s="4"/>
      <c r="Q11" s="4"/>
      <c r="R11" s="4"/>
    </row>
    <row r="12">
      <c r="A12" s="5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4"/>
      <c r="O12" s="4"/>
      <c r="P12" s="4"/>
      <c r="Q12" s="4"/>
      <c r="R12" s="4"/>
    </row>
    <row r="13">
      <c r="A13" s="5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4"/>
      <c r="O13" s="4"/>
      <c r="P13" s="4"/>
      <c r="Q13" s="4"/>
      <c r="R13" s="4"/>
    </row>
    <row r="14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4"/>
      <c r="O14" s="4"/>
      <c r="P14" s="4"/>
      <c r="Q14" s="4"/>
      <c r="R14" s="4"/>
    </row>
    <row r="15">
      <c r="A15" s="5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4"/>
      <c r="O15" s="4"/>
      <c r="P15" s="4"/>
      <c r="Q15" s="4"/>
      <c r="R15" s="4"/>
    </row>
    <row r="16">
      <c r="A16" s="5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4"/>
      <c r="O16" s="4"/>
      <c r="P16" s="4"/>
      <c r="Q16" s="4"/>
      <c r="R16" s="4"/>
    </row>
    <row r="17">
      <c r="A17" s="5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4"/>
      <c r="O17" s="4"/>
      <c r="P17" s="4"/>
      <c r="Q17" s="4"/>
      <c r="R17" s="4"/>
    </row>
    <row r="18">
      <c r="A18" s="5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4"/>
      <c r="O18" s="4"/>
      <c r="P18" s="4"/>
      <c r="Q18" s="4"/>
      <c r="R18" s="4"/>
    </row>
    <row r="19">
      <c r="A19" s="5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4"/>
      <c r="O19" s="4"/>
      <c r="P19" s="4"/>
      <c r="Q19" s="4"/>
      <c r="R19" s="4"/>
    </row>
    <row r="20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4"/>
      <c r="O20" s="4"/>
      <c r="P20" s="4"/>
      <c r="Q20" s="4"/>
      <c r="R20" s="4"/>
    </row>
    <row r="21">
      <c r="A21" s="5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4"/>
      <c r="O21" s="4"/>
      <c r="P21" s="4"/>
      <c r="Q21" s="4"/>
      <c r="R21" s="4"/>
    </row>
    <row r="22">
      <c r="A22" s="5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4"/>
      <c r="O22" s="4"/>
      <c r="P22" s="4"/>
      <c r="Q22" s="4"/>
      <c r="R22" s="4"/>
    </row>
    <row r="23">
      <c r="A23" s="5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4"/>
      <c r="O23" s="4"/>
      <c r="P23" s="4"/>
      <c r="Q23" s="4"/>
      <c r="R23" s="4"/>
    </row>
    <row r="24">
      <c r="A24" s="5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4"/>
      <c r="P24" s="4"/>
      <c r="Q24" s="4"/>
      <c r="R24" s="4"/>
    </row>
    <row r="25">
      <c r="A25" s="5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4"/>
      <c r="O25" s="4"/>
      <c r="P25" s="4"/>
      <c r="Q25" s="4"/>
      <c r="R25" s="4"/>
    </row>
    <row r="26">
      <c r="A26" s="5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4"/>
      <c r="O26" s="4"/>
      <c r="P26" s="4"/>
      <c r="Q26" s="4"/>
      <c r="R26" s="4"/>
    </row>
    <row r="27">
      <c r="A27" s="5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4"/>
      <c r="O27" s="4"/>
      <c r="P27" s="4"/>
      <c r="Q27" s="4"/>
      <c r="R27" s="4"/>
    </row>
    <row r="28">
      <c r="A28" s="5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4"/>
      <c r="O28" s="4"/>
      <c r="P28" s="4"/>
      <c r="Q28" s="4"/>
      <c r="R28" s="4"/>
    </row>
    <row r="29">
      <c r="A29" s="5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4"/>
      <c r="O29" s="4"/>
      <c r="P29" s="4"/>
      <c r="Q29" s="4"/>
      <c r="R29" s="4"/>
    </row>
    <row r="30">
      <c r="A30" s="5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4"/>
      <c r="O30" s="4"/>
      <c r="P30" s="4"/>
      <c r="Q30" s="4"/>
      <c r="R30" s="4"/>
    </row>
    <row r="31">
      <c r="A31" s="5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4"/>
      <c r="O31" s="4"/>
      <c r="P31" s="4"/>
      <c r="Q31" s="4"/>
      <c r="R31" s="4"/>
    </row>
    <row r="32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4"/>
      <c r="O32" s="4"/>
      <c r="P32" s="4"/>
      <c r="Q32" s="4"/>
      <c r="R32" s="4"/>
    </row>
    <row r="33">
      <c r="A33" s="5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4"/>
      <c r="O33" s="4"/>
      <c r="P33" s="4"/>
      <c r="Q33" s="4"/>
      <c r="R33" s="4"/>
    </row>
    <row r="34">
      <c r="A34" s="5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5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2"/>
    </row>
    <row r="36">
      <c r="A36" s="5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4"/>
      <c r="O36" s="4"/>
      <c r="P36" s="4"/>
      <c r="Q36" s="4"/>
      <c r="R36" s="4"/>
    </row>
    <row r="37">
      <c r="A37" s="5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4"/>
      <c r="O37" s="4"/>
      <c r="P37" s="4"/>
      <c r="Q37" s="4"/>
      <c r="R37" s="4"/>
    </row>
    <row r="38">
      <c r="A38" s="5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4"/>
      <c r="O38" s="4"/>
      <c r="P38" s="4"/>
      <c r="Q38" s="4"/>
      <c r="R38" s="4"/>
    </row>
    <row r="39">
      <c r="A39" s="5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4"/>
      <c r="O39" s="4"/>
      <c r="P39" s="4"/>
      <c r="Q39" s="4"/>
      <c r="R39" s="4"/>
    </row>
    <row r="40">
      <c r="A40" s="5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</row>
    <row r="41">
      <c r="A41" s="5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4"/>
      <c r="O41" s="4"/>
      <c r="P41" s="4"/>
      <c r="Q41" s="4"/>
      <c r="R41" s="4"/>
    </row>
    <row r="42">
      <c r="A42" s="5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4"/>
      <c r="O42" s="4"/>
      <c r="P42" s="4"/>
      <c r="Q42" s="4"/>
      <c r="R42" s="4"/>
    </row>
    <row r="43">
      <c r="A43" s="5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4"/>
      <c r="O43" s="4"/>
      <c r="P43" s="4"/>
      <c r="Q43" s="4"/>
      <c r="R43" s="4"/>
    </row>
    <row r="44">
      <c r="A44" s="5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4"/>
      <c r="O44" s="4"/>
      <c r="P44" s="4"/>
      <c r="Q44" s="4"/>
      <c r="R44" s="4"/>
    </row>
    <row r="45">
      <c r="A45" s="5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4"/>
      <c r="O45" s="4"/>
      <c r="P45" s="4"/>
      <c r="Q45" s="4"/>
      <c r="R45" s="4"/>
    </row>
    <row r="46">
      <c r="A46" s="5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4"/>
      <c r="O46" s="4"/>
      <c r="P46" s="4"/>
      <c r="Q46" s="4"/>
      <c r="R46" s="4"/>
    </row>
    <row r="47">
      <c r="A47" s="5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4"/>
      <c r="O47" s="4"/>
      <c r="P47" s="4"/>
      <c r="Q47" s="4"/>
      <c r="R47" s="4"/>
    </row>
    <row r="48">
      <c r="A48" s="5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4"/>
      <c r="O48" s="4"/>
      <c r="P48" s="4"/>
      <c r="Q48" s="4"/>
      <c r="R48" s="4"/>
    </row>
    <row r="49">
      <c r="A49" s="5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4"/>
      <c r="O49" s="4"/>
      <c r="P49" s="4"/>
      <c r="Q49" s="4"/>
      <c r="R49" s="4"/>
    </row>
    <row r="50">
      <c r="A50" s="5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4"/>
      <c r="O50" s="4"/>
      <c r="P50" s="4"/>
      <c r="Q50" s="4"/>
      <c r="R50" s="4"/>
    </row>
    <row r="51">
      <c r="A51" s="5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4"/>
      <c r="O51" s="4"/>
      <c r="P51" s="4"/>
      <c r="Q51" s="4"/>
      <c r="R51" s="4"/>
    </row>
    <row r="52">
      <c r="A52" s="5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4"/>
      <c r="O52" s="4"/>
      <c r="P52" s="4"/>
      <c r="Q52" s="4"/>
      <c r="R52" s="4"/>
    </row>
    <row r="53">
      <c r="A53" s="5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4"/>
      <c r="O53" s="4"/>
      <c r="P53" s="4"/>
      <c r="Q53" s="4"/>
      <c r="R53" s="4"/>
    </row>
    <row r="54">
      <c r="A54" s="5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4"/>
      <c r="O54" s="4"/>
      <c r="P54" s="4"/>
      <c r="Q54" s="4"/>
      <c r="R54" s="4"/>
    </row>
    <row r="55">
      <c r="A55" s="5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4"/>
      <c r="O55" s="4"/>
      <c r="P55" s="4"/>
      <c r="Q55" s="4"/>
      <c r="R55" s="4"/>
    </row>
    <row r="56">
      <c r="A56" s="5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4"/>
      <c r="O56" s="4"/>
      <c r="P56" s="4"/>
      <c r="Q56" s="4"/>
      <c r="R56" s="4"/>
    </row>
    <row r="57">
      <c r="A57" s="5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4"/>
      <c r="O57" s="4"/>
      <c r="P57" s="4"/>
      <c r="Q57" s="4"/>
      <c r="R57" s="4"/>
    </row>
    <row r="58">
      <c r="A58" s="5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4"/>
      <c r="O58" s="4"/>
      <c r="P58" s="4"/>
      <c r="Q58" s="4"/>
      <c r="R58" s="4"/>
    </row>
    <row r="59">
      <c r="A59" s="5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4"/>
      <c r="O59" s="4"/>
      <c r="P59" s="4"/>
      <c r="Q59" s="4"/>
      <c r="R59" s="4"/>
    </row>
    <row r="60">
      <c r="A60" s="5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4"/>
      <c r="O60" s="4"/>
      <c r="P60" s="4"/>
      <c r="Q60" s="4"/>
      <c r="R60" s="4"/>
    </row>
    <row r="61">
      <c r="A61" s="5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4"/>
      <c r="O61" s="4"/>
      <c r="P61" s="4"/>
      <c r="Q61" s="4"/>
      <c r="R61" s="4"/>
    </row>
    <row r="62">
      <c r="A62" s="5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4"/>
      <c r="O62" s="4"/>
      <c r="P62" s="4"/>
      <c r="Q62" s="4"/>
      <c r="R62" s="4"/>
    </row>
    <row r="63">
      <c r="A63" s="5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4"/>
      <c r="O63" s="4"/>
      <c r="P63" s="4"/>
      <c r="Q63" s="4"/>
      <c r="R63" s="4"/>
    </row>
    <row r="64">
      <c r="A64" s="5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4"/>
      <c r="O64" s="4"/>
      <c r="P64" s="4"/>
      <c r="Q64" s="4"/>
      <c r="R64" s="4"/>
    </row>
    <row r="65">
      <c r="A65" s="5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4"/>
      <c r="O65" s="4"/>
      <c r="P65" s="4"/>
      <c r="Q65" s="4"/>
      <c r="R65" s="4"/>
    </row>
    <row r="66">
      <c r="A66" s="5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4"/>
      <c r="O66" s="4"/>
      <c r="P66" s="4"/>
      <c r="Q66" s="4"/>
      <c r="R66" s="4"/>
    </row>
    <row r="67">
      <c r="A67" s="5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4"/>
      <c r="O67" s="4"/>
      <c r="P67" s="4"/>
      <c r="Q67" s="4"/>
      <c r="R67" s="4"/>
    </row>
    <row r="68">
      <c r="A68" s="5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4"/>
      <c r="O68" s="4"/>
      <c r="P68" s="4"/>
      <c r="Q68" s="4"/>
      <c r="R68" s="4"/>
    </row>
    <row r="69">
      <c r="A69" s="5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4"/>
      <c r="O69" s="4"/>
      <c r="P69" s="4"/>
      <c r="Q69" s="4"/>
      <c r="R69" s="4"/>
    </row>
    <row r="70">
      <c r="A70" s="5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4"/>
      <c r="O70" s="4"/>
      <c r="P70" s="4"/>
      <c r="Q70" s="4"/>
      <c r="R70" s="4"/>
    </row>
    <row r="71">
      <c r="A71" s="5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4"/>
      <c r="O71" s="4"/>
      <c r="P71" s="4"/>
      <c r="Q71" s="4"/>
      <c r="R71" s="4"/>
    </row>
    <row r="72">
      <c r="A72" s="5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4"/>
      <c r="O72" s="4"/>
      <c r="P72" s="4"/>
      <c r="Q72" s="4"/>
      <c r="R72" s="4"/>
    </row>
    <row r="73">
      <c r="A73" s="5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4"/>
      <c r="O73" s="4"/>
      <c r="P73" s="4"/>
      <c r="Q73" s="4"/>
      <c r="R73" s="4"/>
    </row>
    <row r="74">
      <c r="A74" s="5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4"/>
      <c r="O74" s="4"/>
      <c r="P74" s="4"/>
      <c r="Q74" s="4"/>
      <c r="R74" s="4"/>
    </row>
    <row r="75">
      <c r="A75" s="5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4"/>
      <c r="O75" s="4"/>
      <c r="P75" s="4"/>
      <c r="Q75" s="4"/>
      <c r="R75" s="4"/>
    </row>
    <row r="76">
      <c r="A76" s="5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4"/>
      <c r="O76" s="4"/>
      <c r="P76" s="4"/>
      <c r="Q76" s="4"/>
      <c r="R76" s="4"/>
    </row>
    <row r="77">
      <c r="A77" s="5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4"/>
      <c r="O77" s="4"/>
      <c r="P77" s="4"/>
      <c r="Q77" s="4"/>
      <c r="R77" s="4"/>
    </row>
    <row r="78">
      <c r="A78" s="5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4"/>
      <c r="O78" s="4"/>
      <c r="P78" s="4"/>
      <c r="Q78" s="4"/>
      <c r="R78" s="4"/>
    </row>
    <row r="79">
      <c r="A79" s="5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4"/>
      <c r="O79" s="4"/>
      <c r="P79" s="4"/>
      <c r="Q79" s="4"/>
      <c r="R79" s="4"/>
    </row>
    <row r="80">
      <c r="A80" s="5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4"/>
      <c r="O80" s="4"/>
      <c r="P80" s="4"/>
      <c r="Q80" s="4"/>
      <c r="R80" s="4"/>
    </row>
    <row r="81">
      <c r="A81" s="5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4"/>
      <c r="O81" s="4"/>
      <c r="P81" s="4"/>
      <c r="Q81" s="4"/>
      <c r="R81" s="4"/>
    </row>
    <row r="82">
      <c r="A82" s="5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4"/>
      <c r="O82" s="4"/>
      <c r="P82" s="4"/>
      <c r="Q82" s="4"/>
      <c r="R82" s="4"/>
    </row>
    <row r="83">
      <c r="A83" s="5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4"/>
      <c r="O83" s="4"/>
      <c r="P83" s="4"/>
      <c r="Q83" s="4"/>
      <c r="R83" s="4"/>
    </row>
    <row r="84">
      <c r="A84" s="5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4"/>
      <c r="O84" s="4"/>
      <c r="P84" s="4"/>
      <c r="Q84" s="4"/>
      <c r="R84" s="4"/>
    </row>
    <row r="85">
      <c r="A85" s="5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4"/>
      <c r="O85" s="4"/>
      <c r="P85" s="4"/>
      <c r="Q85" s="4"/>
      <c r="R85" s="4"/>
    </row>
    <row r="86">
      <c r="A86" s="5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4"/>
      <c r="O86" s="4"/>
      <c r="P86" s="4"/>
      <c r="Q86" s="4"/>
      <c r="R86" s="4"/>
    </row>
    <row r="87">
      <c r="A87" s="5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4"/>
      <c r="O87" s="4"/>
      <c r="P87" s="4"/>
      <c r="Q87" s="4"/>
      <c r="R87" s="4"/>
    </row>
    <row r="88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4"/>
      <c r="O88" s="4"/>
      <c r="P88" s="4"/>
      <c r="Q88" s="4"/>
      <c r="R88" s="4"/>
    </row>
    <row r="89">
      <c r="A89" s="5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4"/>
      <c r="O89" s="4"/>
      <c r="P89" s="4"/>
      <c r="Q89" s="4"/>
      <c r="R89" s="4"/>
    </row>
    <row r="90">
      <c r="A90" s="5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4"/>
      <c r="O90" s="4"/>
      <c r="P90" s="4"/>
      <c r="Q90" s="4"/>
      <c r="R90" s="4"/>
    </row>
    <row r="91">
      <c r="A91" s="5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4"/>
      <c r="O91" s="4"/>
      <c r="P91" s="4"/>
      <c r="Q91" s="4"/>
      <c r="R91" s="4"/>
    </row>
    <row r="92">
      <c r="A92" s="5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4"/>
      <c r="O92" s="4"/>
      <c r="P92" s="4"/>
      <c r="Q92" s="4"/>
      <c r="R92" s="4"/>
    </row>
    <row r="93">
      <c r="A93" s="5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4"/>
      <c r="O93" s="4"/>
      <c r="P93" s="4"/>
      <c r="Q93" s="4"/>
      <c r="R93" s="4"/>
    </row>
    <row r="94">
      <c r="A94" s="5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4"/>
      <c r="O94" s="4"/>
      <c r="P94" s="4"/>
      <c r="Q94" s="4"/>
      <c r="R94" s="4"/>
    </row>
    <row r="95">
      <c r="A95" s="5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4"/>
      <c r="O95" s="4"/>
      <c r="P95" s="4"/>
      <c r="Q95" s="4"/>
      <c r="R95" s="4"/>
    </row>
    <row r="96">
      <c r="A96" s="5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4"/>
      <c r="O96" s="4"/>
      <c r="P96" s="4"/>
      <c r="Q96" s="4"/>
      <c r="R96" s="4"/>
    </row>
    <row r="97">
      <c r="A97" s="5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4"/>
      <c r="O97" s="4"/>
      <c r="P97" s="4"/>
      <c r="Q97" s="4"/>
      <c r="R97" s="4"/>
    </row>
    <row r="98">
      <c r="A98" s="5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4"/>
      <c r="O98" s="4"/>
      <c r="P98" s="4"/>
      <c r="Q98" s="4"/>
      <c r="R98" s="4"/>
    </row>
    <row r="99">
      <c r="A99" s="5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4"/>
      <c r="O99" s="4"/>
      <c r="P99" s="4"/>
      <c r="Q99" s="4"/>
      <c r="R99" s="4"/>
    </row>
    <row r="100">
      <c r="A100" s="5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"/>
      <c r="O100" s="4"/>
      <c r="P100" s="4"/>
      <c r="Q100" s="4"/>
      <c r="R100" s="4"/>
    </row>
    <row r="101">
      <c r="A101" s="5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"/>
      <c r="O101" s="4"/>
      <c r="P101" s="4"/>
      <c r="Q101" s="4"/>
      <c r="R101" s="4"/>
    </row>
    <row r="102">
      <c r="A102" s="5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"/>
      <c r="O102" s="4"/>
      <c r="P102" s="4"/>
      <c r="Q102" s="4"/>
      <c r="R102" s="4"/>
    </row>
    <row r="103">
      <c r="A103" s="5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4"/>
      <c r="O103" s="4"/>
      <c r="P103" s="4"/>
      <c r="Q103" s="4"/>
      <c r="R103" s="4"/>
    </row>
    <row r="104">
      <c r="A104" s="5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4"/>
      <c r="O104" s="4"/>
      <c r="P104" s="4"/>
      <c r="Q104" s="4"/>
      <c r="R104" s="4"/>
    </row>
    <row r="105">
      <c r="A105" s="5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4"/>
      <c r="O105" s="4"/>
      <c r="P105" s="4"/>
      <c r="Q105" s="4"/>
      <c r="R105" s="4"/>
    </row>
    <row r="106">
      <c r="A106" s="5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4"/>
      <c r="O106" s="4"/>
      <c r="P106" s="4"/>
      <c r="Q106" s="4"/>
      <c r="R106" s="4"/>
    </row>
    <row r="107">
      <c r="A107" s="5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4"/>
      <c r="O107" s="4"/>
      <c r="P107" s="4"/>
      <c r="Q107" s="4"/>
      <c r="R107" s="4"/>
    </row>
    <row r="108">
      <c r="A108" s="5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4"/>
      <c r="O108" s="4"/>
      <c r="P108" s="4"/>
      <c r="Q108" s="4"/>
      <c r="R108" s="4"/>
    </row>
    <row r="109">
      <c r="A109" s="5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4"/>
      <c r="O109" s="4"/>
      <c r="P109" s="4"/>
      <c r="Q109" s="4"/>
      <c r="R109" s="4"/>
    </row>
    <row r="110">
      <c r="A110" s="5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4"/>
      <c r="O110" s="4"/>
      <c r="P110" s="4"/>
      <c r="Q110" s="4"/>
      <c r="R110" s="4"/>
    </row>
    <row r="111">
      <c r="A111" s="5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4"/>
      <c r="O111" s="4"/>
      <c r="P111" s="4"/>
      <c r="Q111" s="4"/>
      <c r="R111" s="4"/>
    </row>
    <row r="112">
      <c r="A112" s="5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4"/>
      <c r="O112" s="4"/>
      <c r="P112" s="4"/>
      <c r="Q112" s="4"/>
      <c r="R112" s="4"/>
    </row>
    <row r="113">
      <c r="A113" s="5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4"/>
      <c r="O113" s="4"/>
      <c r="P113" s="4"/>
      <c r="Q113" s="4"/>
      <c r="R113" s="4"/>
    </row>
    <row r="114">
      <c r="A114" s="5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4"/>
      <c r="O114" s="4"/>
      <c r="P114" s="4"/>
      <c r="Q114" s="4"/>
      <c r="R114" s="4"/>
    </row>
    <row r="115">
      <c r="A115" s="5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4"/>
      <c r="O115" s="4"/>
      <c r="P115" s="4"/>
      <c r="Q115" s="4"/>
      <c r="R115" s="4"/>
    </row>
    <row r="116">
      <c r="A116" s="5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4"/>
      <c r="O116" s="4"/>
      <c r="P116" s="4"/>
      <c r="Q116" s="4"/>
      <c r="R116" s="4"/>
    </row>
    <row r="117">
      <c r="A117" s="5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4"/>
      <c r="O117" s="4"/>
      <c r="P117" s="4"/>
      <c r="Q117" s="4"/>
      <c r="R117" s="4"/>
    </row>
    <row r="118">
      <c r="A118" s="5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4"/>
      <c r="O118" s="4"/>
      <c r="P118" s="4"/>
      <c r="Q118" s="4"/>
      <c r="R118" s="4"/>
    </row>
    <row r="119">
      <c r="A119" s="5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4"/>
      <c r="O119" s="4"/>
      <c r="P119" s="4"/>
      <c r="Q119" s="4"/>
      <c r="R119" s="4"/>
    </row>
    <row r="120">
      <c r="A120" s="5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4"/>
      <c r="O120" s="4"/>
      <c r="P120" s="4"/>
      <c r="Q120" s="4"/>
      <c r="R120" s="4"/>
    </row>
    <row r="121">
      <c r="A121" s="5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4"/>
      <c r="O121" s="4"/>
      <c r="P121" s="4"/>
      <c r="Q121" s="4"/>
      <c r="R121" s="4"/>
    </row>
    <row r="122">
      <c r="A122" s="5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4"/>
      <c r="O122" s="4"/>
      <c r="P122" s="4"/>
      <c r="Q122" s="4"/>
      <c r="R122" s="4"/>
    </row>
    <row r="123">
      <c r="A123" s="5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4"/>
      <c r="O123" s="4"/>
      <c r="P123" s="4"/>
      <c r="Q123" s="4"/>
      <c r="R123" s="4"/>
    </row>
    <row r="124">
      <c r="A124" s="5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4"/>
      <c r="O124" s="4"/>
      <c r="P124" s="4"/>
      <c r="Q124" s="4"/>
      <c r="R124" s="4"/>
    </row>
    <row r="125">
      <c r="A125" s="5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4"/>
      <c r="O125" s="4"/>
      <c r="P125" s="4"/>
      <c r="Q125" s="4"/>
      <c r="R125" s="4"/>
    </row>
    <row r="126">
      <c r="A126" s="5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4"/>
      <c r="O126" s="4"/>
      <c r="P126" s="4"/>
      <c r="Q126" s="4"/>
      <c r="R126" s="4"/>
    </row>
    <row r="127">
      <c r="A127" s="5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4"/>
      <c r="O127" s="4"/>
      <c r="P127" s="4"/>
      <c r="Q127" s="4"/>
      <c r="R127" s="4"/>
    </row>
    <row r="128">
      <c r="A128" s="5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4"/>
      <c r="O128" s="4"/>
      <c r="P128" s="4"/>
      <c r="Q128" s="4"/>
      <c r="R128" s="4"/>
    </row>
    <row r="129">
      <c r="A129" s="5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4"/>
      <c r="O129" s="4"/>
      <c r="P129" s="4"/>
      <c r="Q129" s="4"/>
      <c r="R129" s="4"/>
    </row>
    <row r="130">
      <c r="A130" s="5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4"/>
      <c r="O130" s="4"/>
      <c r="P130" s="4"/>
      <c r="Q130" s="4"/>
      <c r="R130" s="4"/>
    </row>
    <row r="131">
      <c r="A131" s="5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4"/>
      <c r="O131" s="4"/>
      <c r="P131" s="4"/>
      <c r="Q131" s="4"/>
      <c r="R131" s="4"/>
    </row>
    <row r="132">
      <c r="A132" s="5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4"/>
      <c r="O132" s="4"/>
      <c r="P132" s="4"/>
      <c r="Q132" s="4"/>
      <c r="R132" s="4"/>
    </row>
    <row r="133">
      <c r="A133" s="5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4"/>
      <c r="O133" s="4"/>
      <c r="P133" s="4"/>
      <c r="Q133" s="4"/>
      <c r="R133" s="4"/>
    </row>
    <row r="134">
      <c r="A134" s="5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4"/>
      <c r="O134" s="4"/>
      <c r="P134" s="4"/>
      <c r="Q134" s="4"/>
      <c r="R134" s="4"/>
    </row>
    <row r="135">
      <c r="A135" s="5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4"/>
      <c r="O135" s="4"/>
      <c r="P135" s="4"/>
      <c r="Q135" s="4"/>
      <c r="R135" s="4"/>
    </row>
    <row r="136">
      <c r="A136" s="5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4"/>
      <c r="O136" s="4"/>
      <c r="P136" s="4"/>
      <c r="Q136" s="4"/>
      <c r="R136" s="4"/>
    </row>
    <row r="137">
      <c r="A137" s="5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4"/>
      <c r="O137" s="4"/>
      <c r="P137" s="4"/>
      <c r="Q137" s="4"/>
      <c r="R137" s="4"/>
    </row>
    <row r="138">
      <c r="A138" s="5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4"/>
      <c r="O138" s="4"/>
      <c r="P138" s="4"/>
      <c r="Q138" s="4"/>
      <c r="R138" s="4"/>
    </row>
    <row r="139">
      <c r="A139" s="5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4"/>
      <c r="O139" s="4"/>
      <c r="P139" s="4"/>
      <c r="Q139" s="4"/>
      <c r="R139" s="4"/>
    </row>
    <row r="140">
      <c r="A140" s="5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4"/>
      <c r="O140" s="4"/>
      <c r="P140" s="4"/>
      <c r="Q140" s="4"/>
      <c r="R140" s="4"/>
    </row>
    <row r="141">
      <c r="A141" s="5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4"/>
      <c r="O141" s="4"/>
      <c r="P141" s="4"/>
      <c r="Q141" s="4"/>
      <c r="R141" s="4"/>
    </row>
    <row r="142">
      <c r="A142" s="5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4"/>
      <c r="O142" s="4"/>
      <c r="P142" s="4"/>
      <c r="Q142" s="4"/>
      <c r="R142" s="4"/>
    </row>
    <row r="143">
      <c r="A143" s="5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4"/>
      <c r="O143" s="4"/>
      <c r="P143" s="4"/>
      <c r="Q143" s="4"/>
      <c r="R143" s="4"/>
    </row>
    <row r="144">
      <c r="A144" s="5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4"/>
      <c r="O144" s="4"/>
      <c r="P144" s="4"/>
      <c r="Q144" s="4"/>
      <c r="R144" s="4"/>
    </row>
    <row r="145">
      <c r="A145" s="5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4"/>
      <c r="O145" s="4"/>
      <c r="P145" s="4"/>
      <c r="Q145" s="4"/>
      <c r="R145" s="4"/>
    </row>
    <row r="146">
      <c r="A146" s="5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4"/>
      <c r="O146" s="4"/>
      <c r="P146" s="4"/>
      <c r="Q146" s="4"/>
      <c r="R146" s="4"/>
    </row>
    <row r="147">
      <c r="A147" s="5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4"/>
      <c r="O147" s="4"/>
      <c r="P147" s="4"/>
      <c r="Q147" s="4"/>
      <c r="R147" s="4"/>
    </row>
    <row r="148">
      <c r="A148" s="5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4"/>
      <c r="O148" s="4"/>
      <c r="P148" s="4"/>
      <c r="Q148" s="4"/>
      <c r="R148" s="4"/>
    </row>
    <row r="149">
      <c r="A149" s="5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4"/>
      <c r="O149" s="4"/>
      <c r="P149" s="4"/>
      <c r="Q149" s="4"/>
      <c r="R149" s="4"/>
    </row>
    <row r="150">
      <c r="A150" s="5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4"/>
      <c r="O150" s="4"/>
      <c r="P150" s="4"/>
      <c r="Q150" s="4"/>
      <c r="R150" s="4"/>
    </row>
    <row r="151">
      <c r="A151" s="5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4"/>
      <c r="O151" s="4"/>
      <c r="P151" s="4"/>
      <c r="Q151" s="4"/>
      <c r="R151" s="4"/>
    </row>
    <row r="152">
      <c r="A152" s="5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4"/>
      <c r="O152" s="4"/>
      <c r="P152" s="4"/>
      <c r="Q152" s="4"/>
      <c r="R152" s="4"/>
    </row>
    <row r="153">
      <c r="A153" s="5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4"/>
      <c r="O153" s="4"/>
      <c r="P153" s="4"/>
      <c r="Q153" s="4"/>
      <c r="R153" s="4"/>
    </row>
    <row r="154">
      <c r="A154" s="5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4"/>
      <c r="O154" s="4"/>
      <c r="P154" s="4"/>
      <c r="Q154" s="4"/>
      <c r="R154" s="4"/>
    </row>
    <row r="155">
      <c r="A155" s="5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4"/>
      <c r="O155" s="4"/>
      <c r="P155" s="4"/>
      <c r="Q155" s="4"/>
      <c r="R155" s="4"/>
    </row>
    <row r="156">
      <c r="A156" s="5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4"/>
      <c r="O156" s="4"/>
      <c r="P156" s="4"/>
      <c r="Q156" s="4"/>
      <c r="R156" s="4"/>
    </row>
    <row r="157">
      <c r="A157" s="5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4"/>
      <c r="O157" s="4"/>
      <c r="P157" s="4"/>
      <c r="Q157" s="4"/>
      <c r="R157" s="4"/>
    </row>
    <row r="158">
      <c r="A158" s="5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4"/>
      <c r="O158" s="4"/>
      <c r="P158" s="4"/>
      <c r="Q158" s="4"/>
      <c r="R158" s="4"/>
    </row>
    <row r="159">
      <c r="A159" s="5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4"/>
      <c r="O159" s="4"/>
      <c r="P159" s="4"/>
      <c r="Q159" s="4"/>
      <c r="R159" s="4"/>
    </row>
    <row r="160">
      <c r="A160" s="5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4"/>
      <c r="O160" s="4"/>
      <c r="P160" s="4"/>
      <c r="Q160" s="4"/>
      <c r="R160" s="4"/>
    </row>
    <row r="161">
      <c r="A161" s="5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4"/>
      <c r="O161" s="4"/>
      <c r="P161" s="4"/>
      <c r="Q161" s="4"/>
      <c r="R161" s="4"/>
    </row>
    <row r="162">
      <c r="A162" s="5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4"/>
      <c r="O162" s="4"/>
      <c r="P162" s="4"/>
      <c r="Q162" s="4"/>
      <c r="R162" s="4"/>
    </row>
    <row r="163">
      <c r="A163" s="5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4"/>
      <c r="O163" s="4"/>
      <c r="P163" s="4"/>
      <c r="Q163" s="4"/>
      <c r="R163" s="4"/>
    </row>
    <row r="164">
      <c r="A164" s="5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4"/>
      <c r="O164" s="4"/>
      <c r="P164" s="4"/>
      <c r="Q164" s="4"/>
      <c r="R164" s="4"/>
    </row>
    <row r="165">
      <c r="A165" s="5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4"/>
      <c r="O165" s="4"/>
      <c r="P165" s="4"/>
      <c r="Q165" s="4"/>
      <c r="R165" s="4"/>
    </row>
    <row r="166">
      <c r="A166" s="5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4"/>
      <c r="O166" s="4"/>
      <c r="P166" s="4"/>
      <c r="Q166" s="4"/>
      <c r="R166" s="4"/>
    </row>
    <row r="167">
      <c r="A167" s="5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4"/>
      <c r="O167" s="4"/>
      <c r="P167" s="4"/>
      <c r="Q167" s="4"/>
      <c r="R167" s="4"/>
    </row>
    <row r="168">
      <c r="A168" s="5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4"/>
      <c r="O168" s="4"/>
      <c r="P168" s="4"/>
      <c r="Q168" s="4"/>
      <c r="R168" s="4"/>
    </row>
    <row r="169">
      <c r="A169" s="5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4"/>
      <c r="O169" s="4"/>
      <c r="P169" s="4"/>
      <c r="Q169" s="4"/>
      <c r="R169" s="4"/>
    </row>
    <row r="170">
      <c r="A170" s="5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4"/>
      <c r="O170" s="4"/>
      <c r="P170" s="4"/>
      <c r="Q170" s="4"/>
      <c r="R170" s="4"/>
    </row>
    <row r="171">
      <c r="A171" s="5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4"/>
      <c r="O171" s="4"/>
      <c r="P171" s="4"/>
      <c r="Q171" s="4"/>
      <c r="R171" s="4"/>
    </row>
    <row r="172">
      <c r="A172" s="5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4"/>
      <c r="O172" s="4"/>
      <c r="P172" s="4"/>
      <c r="Q172" s="4"/>
      <c r="R172" s="4"/>
    </row>
    <row r="173">
      <c r="A173" s="5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4"/>
      <c r="O173" s="4"/>
      <c r="P173" s="4"/>
      <c r="Q173" s="4"/>
      <c r="R173" s="4"/>
    </row>
    <row r="174">
      <c r="A174" s="5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4"/>
      <c r="O174" s="4"/>
      <c r="P174" s="4"/>
      <c r="Q174" s="4"/>
      <c r="R174" s="4"/>
    </row>
    <row r="175">
      <c r="A175" s="5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4"/>
      <c r="O175" s="4"/>
      <c r="P175" s="4"/>
      <c r="Q175" s="4"/>
      <c r="R175" s="4"/>
    </row>
    <row r="176">
      <c r="A176" s="5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4"/>
      <c r="O176" s="4"/>
      <c r="P176" s="4"/>
      <c r="Q176" s="4"/>
      <c r="R176" s="4"/>
    </row>
    <row r="177">
      <c r="A177" s="5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4"/>
      <c r="O177" s="4"/>
      <c r="P177" s="4"/>
      <c r="Q177" s="4"/>
      <c r="R177" s="4"/>
    </row>
    <row r="178">
      <c r="A178" s="5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4"/>
      <c r="O178" s="4"/>
      <c r="P178" s="4"/>
      <c r="Q178" s="4"/>
      <c r="R178" s="4"/>
    </row>
    <row r="179">
      <c r="A179" s="5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4"/>
      <c r="O179" s="4"/>
      <c r="P179" s="4"/>
      <c r="Q179" s="4"/>
      <c r="R179" s="4"/>
    </row>
    <row r="180">
      <c r="A180" s="5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4"/>
      <c r="O180" s="4"/>
      <c r="P180" s="4"/>
      <c r="Q180" s="4"/>
      <c r="R180" s="4"/>
    </row>
    <row r="181">
      <c r="A181" s="5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4"/>
      <c r="O181" s="4"/>
      <c r="P181" s="4"/>
      <c r="Q181" s="4"/>
      <c r="R181" s="4"/>
    </row>
    <row r="182">
      <c r="A182" s="5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4"/>
      <c r="O182" s="4"/>
      <c r="P182" s="4"/>
      <c r="Q182" s="4"/>
      <c r="R182" s="4"/>
    </row>
    <row r="183">
      <c r="A183" s="5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4"/>
      <c r="O183" s="4"/>
      <c r="P183" s="4"/>
      <c r="Q183" s="4"/>
      <c r="R183" s="4"/>
    </row>
    <row r="184">
      <c r="A184" s="5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4"/>
      <c r="O184" s="4"/>
      <c r="P184" s="4"/>
      <c r="Q184" s="4"/>
      <c r="R184" s="4"/>
    </row>
    <row r="185">
      <c r="A185" s="5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4"/>
      <c r="O185" s="4"/>
      <c r="P185" s="4"/>
      <c r="Q185" s="4"/>
      <c r="R185" s="4"/>
    </row>
    <row r="186">
      <c r="A186" s="5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4"/>
      <c r="O186" s="4"/>
      <c r="P186" s="4"/>
      <c r="Q186" s="4"/>
      <c r="R186" s="4"/>
    </row>
    <row r="187">
      <c r="A187" s="5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4"/>
      <c r="O187" s="4"/>
      <c r="P187" s="4"/>
      <c r="Q187" s="4"/>
      <c r="R187" s="4"/>
    </row>
    <row r="188">
      <c r="A188" s="5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4"/>
      <c r="O188" s="4"/>
      <c r="P188" s="4"/>
      <c r="Q188" s="4"/>
      <c r="R188" s="4"/>
    </row>
    <row r="189">
      <c r="A189" s="5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4"/>
      <c r="O189" s="4"/>
      <c r="P189" s="4"/>
      <c r="Q189" s="4"/>
      <c r="R189" s="4"/>
    </row>
    <row r="190">
      <c r="A190" s="5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4"/>
      <c r="O190" s="4"/>
      <c r="P190" s="4"/>
      <c r="Q190" s="4"/>
      <c r="R190" s="4"/>
    </row>
    <row r="191">
      <c r="A191" s="5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4"/>
      <c r="O191" s="4"/>
      <c r="P191" s="4"/>
      <c r="Q191" s="4"/>
      <c r="R191" s="4"/>
    </row>
    <row r="192">
      <c r="A192" s="5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4"/>
      <c r="O192" s="4"/>
      <c r="P192" s="4"/>
      <c r="Q192" s="4"/>
      <c r="R192" s="4"/>
    </row>
    <row r="193">
      <c r="A193" s="5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4"/>
      <c r="O193" s="4"/>
      <c r="P193" s="4"/>
      <c r="Q193" s="4"/>
      <c r="R193" s="4"/>
    </row>
    <row r="194">
      <c r="A194" s="5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4"/>
      <c r="O194" s="4"/>
      <c r="P194" s="4"/>
      <c r="Q194" s="4"/>
      <c r="R194" s="4"/>
    </row>
    <row r="195">
      <c r="A195" s="5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4"/>
      <c r="O195" s="4"/>
      <c r="P195" s="4"/>
      <c r="Q195" s="4"/>
      <c r="R195" s="4"/>
    </row>
    <row r="196">
      <c r="A196" s="5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4"/>
      <c r="O196" s="4"/>
      <c r="P196" s="4"/>
      <c r="Q196" s="4"/>
      <c r="R196" s="4"/>
    </row>
    <row r="197">
      <c r="A197" s="5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4"/>
      <c r="O197" s="4"/>
      <c r="P197" s="4"/>
      <c r="Q197" s="4"/>
      <c r="R197" s="4"/>
    </row>
    <row r="198">
      <c r="A198" s="5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4"/>
      <c r="O198" s="4"/>
      <c r="P198" s="4"/>
      <c r="Q198" s="4"/>
      <c r="R198" s="4"/>
    </row>
    <row r="199">
      <c r="A199" s="5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4"/>
      <c r="O199" s="4"/>
      <c r="P199" s="4"/>
      <c r="Q199" s="4"/>
      <c r="R199" s="4"/>
    </row>
    <row r="200">
      <c r="A200" s="5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4"/>
      <c r="O200" s="4"/>
      <c r="P200" s="4"/>
      <c r="Q200" s="4"/>
      <c r="R200" s="4"/>
    </row>
    <row r="201">
      <c r="A201" s="5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4"/>
      <c r="O201" s="4"/>
      <c r="P201" s="4"/>
      <c r="Q201" s="4"/>
      <c r="R201" s="4"/>
    </row>
    <row r="202">
      <c r="A202" s="5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4"/>
      <c r="O202" s="4"/>
      <c r="P202" s="4"/>
      <c r="Q202" s="4"/>
      <c r="R202" s="4"/>
    </row>
    <row r="203">
      <c r="A203" s="5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4"/>
      <c r="O203" s="4"/>
      <c r="P203" s="4"/>
      <c r="Q203" s="4"/>
      <c r="R203" s="4"/>
    </row>
    <row r="204">
      <c r="A204" s="5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4"/>
      <c r="O204" s="4"/>
      <c r="P204" s="4"/>
      <c r="Q204" s="4"/>
      <c r="R204" s="4"/>
    </row>
    <row r="205">
      <c r="A205" s="5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4"/>
      <c r="O205" s="4"/>
      <c r="P205" s="4"/>
      <c r="Q205" s="4"/>
      <c r="R205" s="4"/>
    </row>
    <row r="206">
      <c r="A206" s="5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4"/>
      <c r="O206" s="4"/>
      <c r="P206" s="4"/>
      <c r="Q206" s="4"/>
      <c r="R206" s="4"/>
    </row>
    <row r="207">
      <c r="A207" s="5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4"/>
      <c r="O207" s="4"/>
      <c r="P207" s="4"/>
      <c r="Q207" s="4"/>
      <c r="R207" s="4"/>
    </row>
    <row r="208">
      <c r="A208" s="5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4"/>
      <c r="O208" s="4"/>
      <c r="P208" s="4"/>
      <c r="Q208" s="4"/>
      <c r="R208" s="4"/>
    </row>
    <row r="209">
      <c r="A209" s="5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4"/>
      <c r="O209" s="4"/>
      <c r="P209" s="4"/>
      <c r="Q209" s="4"/>
      <c r="R209" s="4"/>
    </row>
    <row r="210">
      <c r="A210" s="5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4"/>
      <c r="O210" s="4"/>
      <c r="P210" s="4"/>
      <c r="Q210" s="4"/>
      <c r="R210" s="4"/>
    </row>
    <row r="211">
      <c r="A211" s="5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4"/>
      <c r="O211" s="4"/>
      <c r="P211" s="4"/>
      <c r="Q211" s="4"/>
      <c r="R211" s="4"/>
    </row>
    <row r="212">
      <c r="A212" s="5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4"/>
      <c r="O212" s="4"/>
      <c r="P212" s="4"/>
      <c r="Q212" s="4"/>
      <c r="R212" s="4"/>
    </row>
    <row r="213">
      <c r="A213" s="5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4"/>
      <c r="O213" s="4"/>
      <c r="P213" s="4"/>
      <c r="Q213" s="4"/>
      <c r="R213" s="4"/>
    </row>
    <row r="214">
      <c r="A214" s="5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4"/>
      <c r="O214" s="4"/>
      <c r="P214" s="4"/>
      <c r="Q214" s="4"/>
      <c r="R214" s="4"/>
    </row>
    <row r="215">
      <c r="A215" s="5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4"/>
      <c r="O215" s="4"/>
      <c r="P215" s="4"/>
      <c r="Q215" s="4"/>
      <c r="R215" s="4"/>
    </row>
    <row r="216">
      <c r="A216" s="5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4"/>
      <c r="O216" s="4"/>
      <c r="P216" s="4"/>
      <c r="Q216" s="4"/>
      <c r="R216" s="4"/>
    </row>
    <row r="217">
      <c r="A217" s="5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4"/>
      <c r="O217" s="4"/>
      <c r="P217" s="4"/>
      <c r="Q217" s="4"/>
      <c r="R217" s="4"/>
    </row>
    <row r="218">
      <c r="A218" s="5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4"/>
      <c r="O218" s="4"/>
      <c r="P218" s="4"/>
      <c r="Q218" s="4"/>
      <c r="R218" s="4"/>
    </row>
    <row r="219">
      <c r="A219" s="5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4"/>
      <c r="O219" s="4"/>
      <c r="P219" s="4"/>
      <c r="Q219" s="4"/>
      <c r="R219" s="4"/>
    </row>
    <row r="220">
      <c r="A220" s="5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4"/>
      <c r="O220" s="4"/>
      <c r="P220" s="4"/>
      <c r="Q220" s="4"/>
      <c r="R220" s="4"/>
    </row>
    <row r="221">
      <c r="A221" s="5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4"/>
      <c r="O221" s="4"/>
      <c r="P221" s="4"/>
      <c r="Q221" s="4"/>
      <c r="R221" s="4"/>
    </row>
    <row r="222">
      <c r="A222" s="5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4"/>
      <c r="O222" s="4"/>
      <c r="P222" s="4"/>
      <c r="Q222" s="4"/>
      <c r="R222" s="4"/>
    </row>
    <row r="223">
      <c r="A223" s="5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4"/>
      <c r="O223" s="4"/>
      <c r="P223" s="4"/>
      <c r="Q223" s="4"/>
      <c r="R223" s="4"/>
    </row>
    <row r="224">
      <c r="A224" s="5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4"/>
      <c r="O224" s="4"/>
      <c r="P224" s="4"/>
      <c r="Q224" s="4"/>
      <c r="R224" s="4"/>
    </row>
    <row r="225">
      <c r="A225" s="5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4"/>
      <c r="O225" s="4"/>
      <c r="P225" s="4"/>
      <c r="Q225" s="4"/>
      <c r="R225" s="4"/>
    </row>
    <row r="226">
      <c r="A226" s="5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4"/>
      <c r="O226" s="4"/>
      <c r="P226" s="4"/>
      <c r="Q226" s="4"/>
      <c r="R226" s="4"/>
    </row>
    <row r="227">
      <c r="A227" s="5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4"/>
      <c r="O227" s="4"/>
      <c r="P227" s="4"/>
      <c r="Q227" s="4"/>
      <c r="R227" s="4"/>
    </row>
    <row r="228">
      <c r="A228" s="5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4"/>
      <c r="O228" s="4"/>
      <c r="P228" s="4"/>
      <c r="Q228" s="4"/>
      <c r="R228" s="4"/>
    </row>
    <row r="229">
      <c r="A229" s="5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4"/>
      <c r="O229" s="4"/>
      <c r="P229" s="4"/>
      <c r="Q229" s="4"/>
      <c r="R229" s="4"/>
    </row>
    <row r="230">
      <c r="A230" s="5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4"/>
      <c r="O230" s="4"/>
      <c r="P230" s="4"/>
      <c r="Q230" s="4"/>
      <c r="R230" s="4"/>
    </row>
    <row r="231">
      <c r="A231" s="5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4"/>
      <c r="O231" s="4"/>
      <c r="P231" s="4"/>
      <c r="Q231" s="4"/>
      <c r="R231" s="4"/>
    </row>
    <row r="232">
      <c r="A232" s="5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4"/>
      <c r="O232" s="4"/>
      <c r="P232" s="4"/>
      <c r="Q232" s="4"/>
      <c r="R232" s="4"/>
    </row>
    <row r="233">
      <c r="A233" s="5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4"/>
      <c r="O233" s="4"/>
      <c r="P233" s="4"/>
      <c r="Q233" s="4"/>
      <c r="R233" s="4"/>
    </row>
    <row r="234">
      <c r="A234" s="5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4"/>
      <c r="O234" s="4"/>
      <c r="P234" s="4"/>
      <c r="Q234" s="4"/>
      <c r="R234" s="4"/>
    </row>
    <row r="235">
      <c r="A235" s="5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4"/>
      <c r="O235" s="4"/>
      <c r="P235" s="4"/>
      <c r="Q235" s="4"/>
      <c r="R235" s="4"/>
    </row>
    <row r="236">
      <c r="A236" s="5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4"/>
      <c r="O236" s="4"/>
      <c r="P236" s="4"/>
      <c r="Q236" s="4"/>
      <c r="R236" s="4"/>
    </row>
    <row r="237">
      <c r="A237" s="5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4"/>
      <c r="O237" s="4"/>
      <c r="P237" s="4"/>
      <c r="Q237" s="4"/>
      <c r="R237" s="4"/>
    </row>
    <row r="238">
      <c r="A238" s="5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4"/>
      <c r="O238" s="4"/>
      <c r="P238" s="4"/>
      <c r="Q238" s="4"/>
      <c r="R238" s="4"/>
    </row>
    <row r="239">
      <c r="A239" s="5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4"/>
      <c r="O239" s="4"/>
      <c r="P239" s="4"/>
      <c r="Q239" s="4"/>
      <c r="R239" s="4"/>
    </row>
    <row r="240">
      <c r="A240" s="5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4"/>
      <c r="O240" s="4"/>
      <c r="P240" s="4"/>
      <c r="Q240" s="4"/>
      <c r="R240" s="4"/>
    </row>
    <row r="241">
      <c r="A241" s="5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4"/>
      <c r="O241" s="4"/>
      <c r="P241" s="4"/>
      <c r="Q241" s="4"/>
      <c r="R241" s="4"/>
    </row>
    <row r="242">
      <c r="A242" s="5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4"/>
      <c r="O242" s="4"/>
      <c r="P242" s="4"/>
      <c r="Q242" s="4"/>
      <c r="R242" s="4"/>
    </row>
    <row r="243">
      <c r="A243" s="5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4"/>
      <c r="O243" s="4"/>
      <c r="P243" s="4"/>
      <c r="Q243" s="4"/>
      <c r="R243" s="4"/>
    </row>
    <row r="244">
      <c r="A244" s="5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4"/>
      <c r="O244" s="4"/>
      <c r="P244" s="4"/>
      <c r="Q244" s="4"/>
      <c r="R244" s="4"/>
    </row>
    <row r="245">
      <c r="A245" s="5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4"/>
      <c r="O245" s="4"/>
      <c r="P245" s="4"/>
      <c r="Q245" s="4"/>
      <c r="R245" s="4"/>
    </row>
    <row r="246">
      <c r="A246" s="5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4"/>
      <c r="O246" s="4"/>
      <c r="P246" s="4"/>
      <c r="Q246" s="4"/>
      <c r="R246" s="4"/>
    </row>
    <row r="247">
      <c r="A247" s="5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4"/>
      <c r="O247" s="4"/>
      <c r="P247" s="4"/>
      <c r="Q247" s="4"/>
      <c r="R247" s="4"/>
    </row>
    <row r="248">
      <c r="A248" s="5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4"/>
      <c r="O248" s="4"/>
      <c r="P248" s="4"/>
      <c r="Q248" s="4"/>
      <c r="R248" s="4"/>
    </row>
    <row r="249">
      <c r="A249" s="5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4"/>
      <c r="O249" s="4"/>
      <c r="P249" s="4"/>
      <c r="Q249" s="4"/>
      <c r="R249" s="4"/>
    </row>
    <row r="250">
      <c r="A250" s="5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4"/>
      <c r="O250" s="4"/>
      <c r="P250" s="4"/>
      <c r="Q250" s="4"/>
      <c r="R250" s="4"/>
    </row>
    <row r="251">
      <c r="A251" s="5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4"/>
      <c r="O251" s="4"/>
      <c r="P251" s="4"/>
      <c r="Q251" s="4"/>
      <c r="R251" s="4"/>
    </row>
    <row r="252">
      <c r="A252" s="5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4"/>
      <c r="O252" s="4"/>
      <c r="P252" s="4"/>
      <c r="Q252" s="4"/>
      <c r="R252" s="4"/>
    </row>
    <row r="253">
      <c r="A253" s="5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4"/>
      <c r="O253" s="4"/>
      <c r="P253" s="4"/>
      <c r="Q253" s="4"/>
      <c r="R253" s="4"/>
    </row>
    <row r="254">
      <c r="A254" s="5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4"/>
      <c r="O254" s="4"/>
      <c r="P254" s="4"/>
      <c r="Q254" s="4"/>
      <c r="R254" s="4"/>
    </row>
    <row r="255">
      <c r="A255" s="5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4"/>
      <c r="O255" s="4"/>
      <c r="P255" s="4"/>
      <c r="Q255" s="4"/>
      <c r="R255" s="4"/>
    </row>
    <row r="256">
      <c r="A256" s="5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4"/>
      <c r="O256" s="4"/>
      <c r="P256" s="4"/>
      <c r="Q256" s="4"/>
      <c r="R256" s="4"/>
    </row>
    <row r="257">
      <c r="A257" s="5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4"/>
      <c r="O257" s="4"/>
      <c r="P257" s="4"/>
      <c r="Q257" s="4"/>
      <c r="R257" s="4"/>
    </row>
    <row r="258">
      <c r="A258" s="5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4"/>
      <c r="O258" s="4"/>
      <c r="P258" s="4"/>
      <c r="Q258" s="4"/>
      <c r="R258" s="4"/>
    </row>
    <row r="259">
      <c r="A259" s="5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4"/>
      <c r="O259" s="4"/>
      <c r="P259" s="4"/>
      <c r="Q259" s="4"/>
      <c r="R259" s="4"/>
    </row>
    <row r="260">
      <c r="A260" s="5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4"/>
      <c r="O260" s="4"/>
      <c r="P260" s="4"/>
      <c r="Q260" s="4"/>
      <c r="R260" s="4"/>
    </row>
    <row r="261">
      <c r="A261" s="5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4"/>
      <c r="O261" s="4"/>
      <c r="P261" s="4"/>
      <c r="Q261" s="4"/>
      <c r="R261" s="4"/>
    </row>
    <row r="262">
      <c r="A262" s="5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4"/>
      <c r="O262" s="4"/>
      <c r="P262" s="4"/>
      <c r="Q262" s="4"/>
      <c r="R262" s="4"/>
    </row>
    <row r="263">
      <c r="A263" s="5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4"/>
      <c r="O263" s="4"/>
      <c r="P263" s="4"/>
      <c r="Q263" s="4"/>
      <c r="R263" s="4"/>
    </row>
    <row r="264">
      <c r="A264" s="5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4"/>
      <c r="O264" s="4"/>
      <c r="P264" s="4"/>
      <c r="Q264" s="4"/>
      <c r="R264" s="4"/>
    </row>
    <row r="265">
      <c r="A265" s="5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4"/>
      <c r="O265" s="4"/>
      <c r="P265" s="4"/>
      <c r="Q265" s="4"/>
      <c r="R265" s="4"/>
    </row>
    <row r="266">
      <c r="A266" s="5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4"/>
      <c r="O266" s="4"/>
      <c r="P266" s="4"/>
      <c r="Q266" s="4"/>
      <c r="R266" s="4"/>
    </row>
    <row r="267">
      <c r="A267" s="5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4"/>
      <c r="O267" s="4"/>
      <c r="P267" s="4"/>
      <c r="Q267" s="4"/>
      <c r="R267" s="4"/>
    </row>
    <row r="268">
      <c r="A268" s="5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4"/>
      <c r="O268" s="4"/>
      <c r="P268" s="4"/>
      <c r="Q268" s="4"/>
      <c r="R268" s="4"/>
    </row>
    <row r="269">
      <c r="A269" s="5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4"/>
      <c r="O269" s="4"/>
      <c r="P269" s="4"/>
      <c r="Q269" s="4"/>
      <c r="R269" s="4"/>
    </row>
    <row r="270">
      <c r="A270" s="5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4"/>
      <c r="O270" s="4"/>
      <c r="P270" s="4"/>
      <c r="Q270" s="4"/>
      <c r="R270" s="4"/>
    </row>
    <row r="271">
      <c r="A271" s="5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4"/>
      <c r="O271" s="4"/>
      <c r="P271" s="4"/>
      <c r="Q271" s="4"/>
      <c r="R271" s="4"/>
    </row>
    <row r="272">
      <c r="A272" s="5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4"/>
      <c r="O272" s="4"/>
      <c r="P272" s="4"/>
      <c r="Q272" s="4"/>
      <c r="R272" s="4"/>
    </row>
    <row r="273">
      <c r="A273" s="5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4"/>
      <c r="O273" s="4"/>
      <c r="P273" s="4"/>
      <c r="Q273" s="4"/>
      <c r="R273" s="4"/>
    </row>
    <row r="274">
      <c r="A274" s="5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4"/>
      <c r="O274" s="4"/>
      <c r="P274" s="4"/>
      <c r="Q274" s="4"/>
      <c r="R274" s="4"/>
    </row>
    <row r="275">
      <c r="A275" s="5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4"/>
      <c r="O275" s="4"/>
      <c r="P275" s="4"/>
      <c r="Q275" s="4"/>
      <c r="R275" s="4"/>
    </row>
    <row r="276">
      <c r="A276" s="5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4"/>
      <c r="O276" s="4"/>
      <c r="P276" s="4"/>
      <c r="Q276" s="4"/>
      <c r="R276" s="4"/>
    </row>
    <row r="277">
      <c r="A277" s="5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4"/>
      <c r="O277" s="4"/>
      <c r="P277" s="4"/>
      <c r="Q277" s="4"/>
      <c r="R277" s="4"/>
    </row>
    <row r="278">
      <c r="A278" s="5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4"/>
      <c r="O278" s="4"/>
      <c r="P278" s="4"/>
      <c r="Q278" s="4"/>
      <c r="R278" s="4"/>
    </row>
    <row r="279">
      <c r="A279" s="5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4"/>
      <c r="O279" s="4"/>
      <c r="P279" s="4"/>
      <c r="Q279" s="4"/>
      <c r="R279" s="4"/>
    </row>
    <row r="280">
      <c r="A280" s="5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4"/>
      <c r="O280" s="4"/>
      <c r="P280" s="4"/>
      <c r="Q280" s="4"/>
      <c r="R280" s="4"/>
    </row>
    <row r="281">
      <c r="A281" s="5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4"/>
      <c r="O281" s="4"/>
      <c r="P281" s="4"/>
      <c r="Q281" s="4"/>
      <c r="R281" s="4"/>
    </row>
    <row r="282">
      <c r="A282" s="5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4"/>
      <c r="O282" s="4"/>
      <c r="P282" s="4"/>
      <c r="Q282" s="4"/>
      <c r="R282" s="4"/>
    </row>
    <row r="283">
      <c r="A283" s="5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4"/>
      <c r="O283" s="4"/>
      <c r="P283" s="4"/>
      <c r="Q283" s="4"/>
      <c r="R283" s="4"/>
    </row>
    <row r="284">
      <c r="A284" s="5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4"/>
      <c r="O284" s="4"/>
      <c r="P284" s="4"/>
      <c r="Q284" s="4"/>
      <c r="R284" s="4"/>
    </row>
    <row r="285">
      <c r="A285" s="5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4"/>
      <c r="O285" s="4"/>
      <c r="P285" s="4"/>
      <c r="Q285" s="4"/>
      <c r="R285" s="4"/>
    </row>
    <row r="286">
      <c r="A286" s="5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4"/>
      <c r="O286" s="4"/>
      <c r="P286" s="4"/>
      <c r="Q286" s="4"/>
      <c r="R286" s="4"/>
    </row>
    <row r="287">
      <c r="A287" s="5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4"/>
      <c r="O287" s="4"/>
      <c r="P287" s="4"/>
      <c r="Q287" s="4"/>
      <c r="R287" s="4"/>
    </row>
    <row r="288">
      <c r="A288" s="5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4"/>
      <c r="O288" s="4"/>
      <c r="P288" s="4"/>
      <c r="Q288" s="4"/>
      <c r="R288" s="4"/>
    </row>
    <row r="289">
      <c r="A289" s="5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4"/>
      <c r="O289" s="4"/>
      <c r="P289" s="4"/>
      <c r="Q289" s="4"/>
      <c r="R289" s="4"/>
    </row>
    <row r="290">
      <c r="A290" s="5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4"/>
      <c r="O290" s="4"/>
      <c r="P290" s="4"/>
      <c r="Q290" s="4"/>
      <c r="R290" s="4"/>
    </row>
    <row r="291">
      <c r="A291" s="5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4"/>
      <c r="O291" s="4"/>
      <c r="P291" s="4"/>
      <c r="Q291" s="4"/>
      <c r="R291" s="4"/>
    </row>
    <row r="292">
      <c r="A292" s="5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4"/>
      <c r="O292" s="4"/>
      <c r="P292" s="4"/>
      <c r="Q292" s="4"/>
      <c r="R292" s="4"/>
    </row>
    <row r="293">
      <c r="A293" s="5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4"/>
      <c r="O293" s="4"/>
      <c r="P293" s="4"/>
      <c r="Q293" s="4"/>
      <c r="R293" s="4"/>
    </row>
    <row r="294">
      <c r="A294" s="5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4"/>
      <c r="O294" s="4"/>
      <c r="P294" s="4"/>
      <c r="Q294" s="4"/>
      <c r="R294" s="4"/>
    </row>
    <row r="295">
      <c r="A295" s="5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4"/>
      <c r="O295" s="4"/>
      <c r="P295" s="4"/>
      <c r="Q295" s="4"/>
      <c r="R295" s="4"/>
    </row>
    <row r="296">
      <c r="A296" s="5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4"/>
      <c r="O296" s="4"/>
      <c r="P296" s="4"/>
      <c r="Q296" s="4"/>
      <c r="R296" s="4"/>
    </row>
    <row r="297">
      <c r="A297" s="5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4"/>
      <c r="O297" s="4"/>
      <c r="P297" s="4"/>
      <c r="Q297" s="4"/>
      <c r="R297" s="4"/>
    </row>
    <row r="298">
      <c r="A298" s="5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4"/>
      <c r="O298" s="4"/>
      <c r="P298" s="4"/>
      <c r="Q298" s="4"/>
      <c r="R298" s="4"/>
    </row>
    <row r="299">
      <c r="A299" s="5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4"/>
      <c r="O299" s="4"/>
      <c r="P299" s="4"/>
      <c r="Q299" s="4"/>
      <c r="R299" s="4"/>
    </row>
    <row r="300">
      <c r="A300" s="5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4"/>
      <c r="O300" s="4"/>
      <c r="P300" s="4"/>
      <c r="Q300" s="4"/>
      <c r="R300" s="4"/>
    </row>
    <row r="301">
      <c r="A301" s="5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4"/>
      <c r="O301" s="4"/>
      <c r="P301" s="4"/>
      <c r="Q301" s="4"/>
      <c r="R301" s="4"/>
    </row>
    <row r="302">
      <c r="A302" s="5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4"/>
      <c r="O302" s="4"/>
      <c r="P302" s="4"/>
      <c r="Q302" s="4"/>
      <c r="R302" s="4"/>
    </row>
    <row r="303">
      <c r="A303" s="5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4"/>
      <c r="O303" s="4"/>
      <c r="P303" s="4"/>
      <c r="Q303" s="4"/>
      <c r="R303" s="4"/>
    </row>
    <row r="304">
      <c r="A304" s="5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4"/>
      <c r="O304" s="4"/>
      <c r="P304" s="4"/>
      <c r="Q304" s="4"/>
      <c r="R304" s="4"/>
    </row>
    <row r="305">
      <c r="A305" s="5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4"/>
      <c r="O305" s="4"/>
      <c r="P305" s="4"/>
      <c r="Q305" s="4"/>
      <c r="R305" s="4"/>
    </row>
    <row r="306">
      <c r="A306" s="5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4"/>
      <c r="O306" s="4"/>
      <c r="P306" s="4"/>
      <c r="Q306" s="4"/>
      <c r="R306" s="4"/>
    </row>
    <row r="307">
      <c r="A307" s="5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4"/>
      <c r="O307" s="4"/>
      <c r="P307" s="4"/>
      <c r="Q307" s="4"/>
      <c r="R307" s="4"/>
    </row>
    <row r="308">
      <c r="A308" s="5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4"/>
      <c r="O308" s="4"/>
      <c r="P308" s="4"/>
      <c r="Q308" s="4"/>
      <c r="R308" s="4"/>
    </row>
    <row r="309">
      <c r="A309" s="5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4"/>
      <c r="O309" s="4"/>
      <c r="P309" s="4"/>
      <c r="Q309" s="4"/>
      <c r="R309" s="4"/>
    </row>
    <row r="310">
      <c r="A310" s="5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4"/>
      <c r="O310" s="4"/>
      <c r="P310" s="4"/>
      <c r="Q310" s="4"/>
      <c r="R310" s="4"/>
    </row>
    <row r="311">
      <c r="A311" s="5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4"/>
      <c r="O311" s="4"/>
      <c r="P311" s="4"/>
      <c r="Q311" s="4"/>
      <c r="R311" s="4"/>
    </row>
    <row r="312">
      <c r="A312" s="5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4"/>
      <c r="O312" s="4"/>
      <c r="P312" s="4"/>
      <c r="Q312" s="4"/>
      <c r="R312" s="4"/>
    </row>
    <row r="313">
      <c r="A313" s="5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4"/>
      <c r="O313" s="4"/>
      <c r="P313" s="4"/>
      <c r="Q313" s="4"/>
      <c r="R313" s="4"/>
    </row>
    <row r="314">
      <c r="A314" s="5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4"/>
      <c r="O314" s="4"/>
      <c r="P314" s="4"/>
      <c r="Q314" s="4"/>
      <c r="R314" s="4"/>
    </row>
    <row r="315">
      <c r="A315" s="5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4"/>
      <c r="O315" s="4"/>
      <c r="P315" s="4"/>
      <c r="Q315" s="4"/>
      <c r="R315" s="4"/>
    </row>
    <row r="316">
      <c r="A316" s="5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4"/>
      <c r="O316" s="4"/>
      <c r="P316" s="4"/>
      <c r="Q316" s="4"/>
      <c r="R316" s="4"/>
    </row>
    <row r="317">
      <c r="A317" s="5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4"/>
      <c r="O317" s="4"/>
      <c r="P317" s="4"/>
      <c r="Q317" s="4"/>
      <c r="R317" s="4"/>
    </row>
    <row r="318">
      <c r="A318" s="5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4"/>
      <c r="O318" s="4"/>
      <c r="P318" s="4"/>
      <c r="Q318" s="4"/>
      <c r="R318" s="4"/>
    </row>
    <row r="319">
      <c r="A319" s="5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4"/>
      <c r="O319" s="4"/>
      <c r="P319" s="4"/>
      <c r="Q319" s="4"/>
      <c r="R319" s="4"/>
    </row>
    <row r="320">
      <c r="A320" s="5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4"/>
      <c r="O320" s="4"/>
      <c r="P320" s="4"/>
      <c r="Q320" s="4"/>
      <c r="R320" s="4"/>
    </row>
    <row r="321">
      <c r="A321" s="5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4"/>
      <c r="O321" s="4"/>
      <c r="P321" s="4"/>
      <c r="Q321" s="4"/>
      <c r="R321" s="4"/>
    </row>
    <row r="322">
      <c r="A322" s="5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4"/>
      <c r="O322" s="4"/>
      <c r="P322" s="4"/>
      <c r="Q322" s="4"/>
      <c r="R322" s="4"/>
    </row>
    <row r="323">
      <c r="A323" s="5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4"/>
      <c r="O323" s="4"/>
      <c r="P323" s="4"/>
      <c r="Q323" s="4"/>
      <c r="R323" s="4"/>
    </row>
    <row r="324">
      <c r="A324" s="5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4"/>
      <c r="O324" s="4"/>
      <c r="P324" s="4"/>
      <c r="Q324" s="4"/>
      <c r="R324" s="4"/>
    </row>
    <row r="325">
      <c r="A325" s="5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4"/>
      <c r="O325" s="4"/>
      <c r="P325" s="4"/>
      <c r="Q325" s="4"/>
      <c r="R325" s="4"/>
    </row>
    <row r="326">
      <c r="A326" s="5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4"/>
      <c r="O326" s="4"/>
      <c r="P326" s="4"/>
      <c r="Q326" s="4"/>
      <c r="R326" s="4"/>
    </row>
    <row r="327">
      <c r="A327" s="5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4"/>
      <c r="O327" s="4"/>
      <c r="P327" s="4"/>
      <c r="Q327" s="4"/>
      <c r="R327" s="4"/>
    </row>
    <row r="328">
      <c r="A328" s="5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4"/>
      <c r="O328" s="4"/>
      <c r="P328" s="4"/>
      <c r="Q328" s="4"/>
      <c r="R328" s="4"/>
    </row>
    <row r="329">
      <c r="A329" s="5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4"/>
      <c r="O329" s="4"/>
      <c r="P329" s="4"/>
      <c r="Q329" s="4"/>
      <c r="R329" s="4"/>
    </row>
    <row r="330">
      <c r="A330" s="5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4"/>
      <c r="O330" s="4"/>
      <c r="P330" s="4"/>
      <c r="Q330" s="4"/>
      <c r="R330" s="4"/>
    </row>
    <row r="331">
      <c r="A331" s="5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4"/>
      <c r="O331" s="4"/>
      <c r="P331" s="4"/>
      <c r="Q331" s="4"/>
      <c r="R331" s="4"/>
    </row>
    <row r="332">
      <c r="A332" s="5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4"/>
      <c r="O332" s="4"/>
      <c r="P332" s="4"/>
      <c r="Q332" s="4"/>
      <c r="R332" s="4"/>
    </row>
    <row r="333">
      <c r="A333" s="5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4"/>
      <c r="O333" s="4"/>
      <c r="P333" s="4"/>
      <c r="Q333" s="4"/>
      <c r="R333" s="4"/>
    </row>
    <row r="334">
      <c r="A334" s="5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4"/>
      <c r="O334" s="4"/>
      <c r="P334" s="4"/>
      <c r="Q334" s="4"/>
      <c r="R334" s="4"/>
    </row>
    <row r="335">
      <c r="A335" s="5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4"/>
      <c r="O335" s="4"/>
      <c r="P335" s="4"/>
      <c r="Q335" s="4"/>
      <c r="R335" s="4"/>
    </row>
    <row r="336">
      <c r="A336" s="5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4"/>
      <c r="O336" s="4"/>
      <c r="P336" s="4"/>
      <c r="Q336" s="4"/>
      <c r="R336" s="4"/>
    </row>
    <row r="337">
      <c r="A337" s="5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4"/>
      <c r="O337" s="4"/>
      <c r="P337" s="4"/>
      <c r="Q337" s="4"/>
      <c r="R337" s="4"/>
    </row>
    <row r="338">
      <c r="A338" s="5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4"/>
      <c r="O338" s="4"/>
      <c r="P338" s="4"/>
      <c r="Q338" s="4"/>
      <c r="R338" s="4"/>
    </row>
    <row r="339">
      <c r="A339" s="5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4"/>
      <c r="O339" s="4"/>
      <c r="P339" s="4"/>
      <c r="Q339" s="4"/>
      <c r="R339" s="4"/>
    </row>
    <row r="340">
      <c r="A340" s="5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4"/>
      <c r="O340" s="4"/>
      <c r="P340" s="4"/>
      <c r="Q340" s="4"/>
      <c r="R340" s="4"/>
    </row>
    <row r="341">
      <c r="A341" s="5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4"/>
      <c r="O341" s="4"/>
      <c r="P341" s="4"/>
      <c r="Q341" s="4"/>
      <c r="R341" s="4"/>
    </row>
    <row r="342">
      <c r="A342" s="5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4"/>
      <c r="O342" s="4"/>
      <c r="P342" s="4"/>
      <c r="Q342" s="4"/>
      <c r="R342" s="4"/>
    </row>
    <row r="343">
      <c r="A343" s="5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4"/>
      <c r="O343" s="4"/>
      <c r="P343" s="4"/>
      <c r="Q343" s="4"/>
      <c r="R343" s="4"/>
    </row>
    <row r="344">
      <c r="A344" s="5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4"/>
      <c r="O344" s="4"/>
      <c r="P344" s="4"/>
      <c r="Q344" s="4"/>
      <c r="R344" s="4"/>
    </row>
    <row r="345">
      <c r="A345" s="5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4"/>
      <c r="O345" s="4"/>
      <c r="P345" s="4"/>
      <c r="Q345" s="4"/>
      <c r="R345" s="4"/>
    </row>
    <row r="346">
      <c r="A346" s="5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4"/>
      <c r="O346" s="4"/>
      <c r="P346" s="4"/>
      <c r="Q346" s="4"/>
      <c r="R346" s="4"/>
    </row>
    <row r="347">
      <c r="A347" s="5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4"/>
      <c r="O347" s="4"/>
      <c r="P347" s="4"/>
      <c r="Q347" s="4"/>
      <c r="R347" s="4"/>
    </row>
    <row r="348">
      <c r="A348" s="5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4"/>
      <c r="O348" s="4"/>
      <c r="P348" s="4"/>
      <c r="Q348" s="4"/>
      <c r="R348" s="4"/>
    </row>
    <row r="349">
      <c r="A349" s="5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4"/>
      <c r="O349" s="4"/>
      <c r="P349" s="4"/>
      <c r="Q349" s="4"/>
      <c r="R349" s="4"/>
    </row>
    <row r="350">
      <c r="A350" s="5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4"/>
      <c r="O350" s="4"/>
      <c r="P350" s="4"/>
      <c r="Q350" s="4"/>
      <c r="R350" s="4"/>
    </row>
    <row r="351">
      <c r="A351" s="5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4"/>
      <c r="O351" s="4"/>
      <c r="P351" s="4"/>
      <c r="Q351" s="4"/>
      <c r="R351" s="4"/>
    </row>
    <row r="352">
      <c r="A352" s="5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4"/>
      <c r="O352" s="4"/>
      <c r="P352" s="4"/>
      <c r="Q352" s="4"/>
      <c r="R352" s="4"/>
    </row>
    <row r="353">
      <c r="A353" s="5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4"/>
      <c r="O353" s="4"/>
      <c r="P353" s="4"/>
      <c r="Q353" s="4"/>
      <c r="R353" s="4"/>
    </row>
    <row r="354">
      <c r="A354" s="5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4"/>
      <c r="O354" s="4"/>
      <c r="P354" s="4"/>
      <c r="Q354" s="4"/>
      <c r="R354" s="4"/>
    </row>
    <row r="355">
      <c r="A355" s="5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4"/>
      <c r="O355" s="4"/>
      <c r="P355" s="4"/>
      <c r="Q355" s="4"/>
      <c r="R355" s="4"/>
    </row>
    <row r="356">
      <c r="A356" s="5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4"/>
      <c r="O356" s="4"/>
      <c r="P356" s="4"/>
      <c r="Q356" s="4"/>
      <c r="R356" s="4"/>
    </row>
    <row r="357">
      <c r="A357" s="5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4"/>
      <c r="O357" s="4"/>
      <c r="P357" s="4"/>
      <c r="Q357" s="4"/>
      <c r="R357" s="4"/>
    </row>
    <row r="358">
      <c r="A358" s="5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4"/>
      <c r="O358" s="4"/>
      <c r="P358" s="4"/>
      <c r="Q358" s="4"/>
      <c r="R358" s="4"/>
    </row>
    <row r="359">
      <c r="A359" s="5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4"/>
      <c r="O359" s="4"/>
      <c r="P359" s="4"/>
      <c r="Q359" s="4"/>
      <c r="R359" s="4"/>
    </row>
    <row r="360">
      <c r="A360" s="5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4"/>
      <c r="O360" s="4"/>
      <c r="P360" s="4"/>
      <c r="Q360" s="4"/>
      <c r="R360" s="4"/>
    </row>
    <row r="361">
      <c r="A361" s="5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4"/>
      <c r="O361" s="4"/>
      <c r="P361" s="4"/>
      <c r="Q361" s="4"/>
      <c r="R361" s="4"/>
    </row>
    <row r="362">
      <c r="A362" s="5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4"/>
      <c r="O362" s="4"/>
      <c r="P362" s="4"/>
      <c r="Q362" s="4"/>
      <c r="R362" s="4"/>
    </row>
    <row r="363">
      <c r="A363" s="5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4"/>
      <c r="O363" s="4"/>
      <c r="P363" s="4"/>
      <c r="Q363" s="4"/>
      <c r="R363" s="4"/>
    </row>
    <row r="364">
      <c r="A364" s="5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4"/>
      <c r="O364" s="4"/>
      <c r="P364" s="4"/>
      <c r="Q364" s="4"/>
      <c r="R364" s="4"/>
    </row>
    <row r="365">
      <c r="A365" s="5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4"/>
      <c r="O365" s="4"/>
      <c r="P365" s="4"/>
      <c r="Q365" s="4"/>
      <c r="R365" s="4"/>
    </row>
    <row r="366">
      <c r="A366" s="5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4"/>
      <c r="O366" s="4"/>
      <c r="P366" s="4"/>
      <c r="Q366" s="4"/>
      <c r="R366" s="4"/>
    </row>
    <row r="367">
      <c r="A367" s="5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4"/>
      <c r="O367" s="4"/>
      <c r="P367" s="4"/>
      <c r="Q367" s="4"/>
      <c r="R367" s="4"/>
    </row>
    <row r="368">
      <c r="A368" s="5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4"/>
      <c r="O368" s="4"/>
      <c r="P368" s="4"/>
      <c r="Q368" s="4"/>
      <c r="R368" s="4"/>
    </row>
    <row r="369">
      <c r="A369" s="5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4"/>
      <c r="O369" s="4"/>
      <c r="P369" s="4"/>
      <c r="Q369" s="4"/>
      <c r="R369" s="4"/>
    </row>
    <row r="370">
      <c r="A370" s="5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4"/>
      <c r="O370" s="4"/>
      <c r="P370" s="4"/>
      <c r="Q370" s="4"/>
      <c r="R370" s="4"/>
    </row>
    <row r="371">
      <c r="A371" s="5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4"/>
      <c r="O371" s="4"/>
      <c r="P371" s="4"/>
      <c r="Q371" s="4"/>
      <c r="R371" s="4"/>
    </row>
    <row r="372">
      <c r="A372" s="5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4"/>
      <c r="O372" s="4"/>
      <c r="P372" s="4"/>
      <c r="Q372" s="4"/>
      <c r="R372" s="4"/>
    </row>
    <row r="373">
      <c r="A373" s="5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4"/>
      <c r="O373" s="4"/>
      <c r="P373" s="4"/>
      <c r="Q373" s="4"/>
      <c r="R373" s="4"/>
    </row>
    <row r="374">
      <c r="A374" s="5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4"/>
      <c r="O374" s="4"/>
      <c r="P374" s="4"/>
      <c r="Q374" s="4"/>
      <c r="R374" s="4"/>
    </row>
    <row r="375">
      <c r="A375" s="5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4"/>
      <c r="O375" s="4"/>
      <c r="P375" s="4"/>
      <c r="Q375" s="4"/>
      <c r="R375" s="4"/>
    </row>
    <row r="376">
      <c r="A376" s="5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4"/>
      <c r="O376" s="4"/>
      <c r="P376" s="4"/>
      <c r="Q376" s="4"/>
      <c r="R376" s="4"/>
    </row>
    <row r="377">
      <c r="A377" s="5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4"/>
      <c r="O377" s="4"/>
      <c r="P377" s="4"/>
      <c r="Q377" s="4"/>
      <c r="R377" s="4"/>
    </row>
    <row r="378">
      <c r="A378" s="5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4"/>
      <c r="O378" s="4"/>
      <c r="P378" s="4"/>
      <c r="Q378" s="4"/>
      <c r="R378" s="4"/>
    </row>
    <row r="379">
      <c r="A379" s="5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4"/>
      <c r="O379" s="4"/>
      <c r="P379" s="4"/>
      <c r="Q379" s="4"/>
      <c r="R379" s="4"/>
    </row>
    <row r="380">
      <c r="A380" s="5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4"/>
      <c r="O380" s="4"/>
      <c r="P380" s="4"/>
      <c r="Q380" s="4"/>
      <c r="R380" s="4"/>
    </row>
    <row r="381">
      <c r="A381" s="5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4"/>
      <c r="O381" s="4"/>
      <c r="P381" s="4"/>
      <c r="Q381" s="4"/>
      <c r="R381" s="4"/>
    </row>
    <row r="382">
      <c r="A382" s="5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4"/>
      <c r="O382" s="4"/>
      <c r="P382" s="4"/>
      <c r="Q382" s="4"/>
      <c r="R382" s="4"/>
    </row>
    <row r="383">
      <c r="A383" s="5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4"/>
      <c r="O383" s="4"/>
      <c r="P383" s="4"/>
      <c r="Q383" s="4"/>
      <c r="R383" s="4"/>
    </row>
    <row r="384">
      <c r="A384" s="5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4"/>
      <c r="O384" s="4"/>
      <c r="P384" s="4"/>
      <c r="Q384" s="4"/>
      <c r="R384" s="4"/>
    </row>
    <row r="385">
      <c r="A385" s="5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4"/>
      <c r="O385" s="4"/>
      <c r="P385" s="4"/>
      <c r="Q385" s="4"/>
      <c r="R385" s="4"/>
    </row>
    <row r="386">
      <c r="A386" s="5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4"/>
      <c r="O386" s="4"/>
      <c r="P386" s="4"/>
      <c r="Q386" s="4"/>
      <c r="R386" s="4"/>
    </row>
    <row r="387">
      <c r="A387" s="5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4"/>
      <c r="O387" s="4"/>
      <c r="P387" s="4"/>
      <c r="Q387" s="4"/>
      <c r="R387" s="4"/>
    </row>
    <row r="388">
      <c r="A388" s="5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4"/>
      <c r="O388" s="4"/>
      <c r="P388" s="4"/>
      <c r="Q388" s="4"/>
      <c r="R388" s="4"/>
    </row>
    <row r="389">
      <c r="A389" s="5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4"/>
      <c r="O389" s="4"/>
      <c r="P389" s="4"/>
      <c r="Q389" s="4"/>
      <c r="R389" s="4"/>
    </row>
    <row r="390">
      <c r="A390" s="5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4"/>
      <c r="O390" s="4"/>
      <c r="P390" s="4"/>
      <c r="Q390" s="4"/>
      <c r="R390" s="4"/>
    </row>
    <row r="391">
      <c r="A391" s="5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4"/>
      <c r="O391" s="4"/>
      <c r="P391" s="4"/>
      <c r="Q391" s="4"/>
      <c r="R391" s="4"/>
    </row>
    <row r="392">
      <c r="A392" s="5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4"/>
      <c r="O392" s="4"/>
      <c r="P392" s="4"/>
      <c r="Q392" s="4"/>
      <c r="R392" s="4"/>
    </row>
    <row r="393">
      <c r="A393" s="5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4"/>
      <c r="O393" s="4"/>
      <c r="P393" s="4"/>
      <c r="Q393" s="4"/>
      <c r="R393" s="4"/>
    </row>
    <row r="394">
      <c r="A394" s="5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4"/>
      <c r="O394" s="4"/>
      <c r="P394" s="4"/>
      <c r="Q394" s="4"/>
      <c r="R394" s="4"/>
    </row>
    <row r="395">
      <c r="A395" s="5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4"/>
      <c r="O395" s="4"/>
      <c r="P395" s="4"/>
      <c r="Q395" s="4"/>
      <c r="R395" s="4"/>
    </row>
    <row r="396">
      <c r="A396" s="5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4"/>
      <c r="O396" s="4"/>
      <c r="P396" s="4"/>
      <c r="Q396" s="4"/>
      <c r="R396" s="4"/>
    </row>
    <row r="397">
      <c r="A397" s="5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4"/>
      <c r="O397" s="4"/>
      <c r="P397" s="4"/>
      <c r="Q397" s="4"/>
      <c r="R397" s="4"/>
    </row>
    <row r="398">
      <c r="A398" s="5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4"/>
      <c r="O398" s="4"/>
      <c r="P398" s="4"/>
      <c r="Q398" s="4"/>
      <c r="R398" s="4"/>
    </row>
    <row r="399">
      <c r="A399" s="5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4"/>
      <c r="O399" s="4"/>
      <c r="P399" s="4"/>
      <c r="Q399" s="4"/>
      <c r="R399" s="4"/>
    </row>
    <row r="400">
      <c r="A400" s="5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4"/>
      <c r="O400" s="4"/>
      <c r="P400" s="4"/>
      <c r="Q400" s="4"/>
      <c r="R400" s="4"/>
    </row>
    <row r="401">
      <c r="A401" s="5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4"/>
      <c r="O401" s="4"/>
      <c r="P401" s="4"/>
      <c r="Q401" s="4"/>
      <c r="R401" s="4"/>
    </row>
    <row r="402">
      <c r="A402" s="5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4"/>
      <c r="O402" s="4"/>
      <c r="P402" s="4"/>
      <c r="Q402" s="4"/>
      <c r="R402" s="4"/>
    </row>
    <row r="403">
      <c r="A403" s="5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4"/>
      <c r="O403" s="4"/>
      <c r="P403" s="4"/>
      <c r="Q403" s="4"/>
      <c r="R403" s="4"/>
    </row>
    <row r="404">
      <c r="A404" s="5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4"/>
      <c r="O404" s="4"/>
      <c r="P404" s="4"/>
      <c r="Q404" s="4"/>
      <c r="R404" s="4"/>
    </row>
    <row r="405">
      <c r="A405" s="5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4"/>
      <c r="O405" s="4"/>
      <c r="P405" s="4"/>
      <c r="Q405" s="4"/>
      <c r="R405" s="4"/>
    </row>
    <row r="406">
      <c r="A406" s="5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4"/>
      <c r="O406" s="4"/>
      <c r="P406" s="4"/>
      <c r="Q406" s="4"/>
      <c r="R406" s="4"/>
    </row>
    <row r="407">
      <c r="A407" s="5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4"/>
      <c r="O407" s="4"/>
      <c r="P407" s="4"/>
      <c r="Q407" s="4"/>
      <c r="R407" s="4"/>
    </row>
    <row r="408">
      <c r="A408" s="5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4"/>
      <c r="O408" s="4"/>
      <c r="P408" s="4"/>
      <c r="Q408" s="4"/>
      <c r="R408" s="4"/>
    </row>
    <row r="409">
      <c r="A409" s="5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4"/>
      <c r="O409" s="4"/>
      <c r="P409" s="4"/>
      <c r="Q409" s="4"/>
      <c r="R409" s="4"/>
    </row>
    <row r="410">
      <c r="A410" s="5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4"/>
      <c r="O410" s="4"/>
      <c r="P410" s="4"/>
      <c r="Q410" s="4"/>
      <c r="R410" s="4"/>
    </row>
    <row r="411">
      <c r="A411" s="5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4"/>
      <c r="O411" s="4"/>
      <c r="P411" s="4"/>
      <c r="Q411" s="4"/>
      <c r="R411" s="4"/>
    </row>
    <row r="412">
      <c r="A412" s="5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4"/>
      <c r="O412" s="4"/>
      <c r="P412" s="4"/>
      <c r="Q412" s="4"/>
      <c r="R412" s="4"/>
    </row>
    <row r="413">
      <c r="A413" s="5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4"/>
      <c r="O413" s="4"/>
      <c r="P413" s="4"/>
      <c r="Q413" s="4"/>
      <c r="R413" s="4"/>
    </row>
    <row r="414">
      <c r="A414" s="5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4"/>
      <c r="O414" s="4"/>
      <c r="P414" s="4"/>
      <c r="Q414" s="4"/>
      <c r="R414" s="4"/>
    </row>
    <row r="415">
      <c r="A415" s="5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4"/>
      <c r="O415" s="4"/>
      <c r="P415" s="4"/>
      <c r="Q415" s="4"/>
      <c r="R415" s="4"/>
    </row>
    <row r="416">
      <c r="A416" s="5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4"/>
      <c r="O416" s="4"/>
      <c r="P416" s="4"/>
      <c r="Q416" s="4"/>
      <c r="R416" s="4"/>
    </row>
    <row r="417">
      <c r="A417" s="5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4"/>
      <c r="O417" s="4"/>
      <c r="P417" s="4"/>
      <c r="Q417" s="4"/>
      <c r="R417" s="4"/>
    </row>
    <row r="418">
      <c r="A418" s="5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4"/>
      <c r="O418" s="4"/>
      <c r="P418" s="4"/>
      <c r="Q418" s="4"/>
      <c r="R418" s="4"/>
    </row>
    <row r="419">
      <c r="A419" s="5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4"/>
      <c r="O419" s="4"/>
      <c r="P419" s="4"/>
      <c r="Q419" s="4"/>
      <c r="R419" s="4"/>
    </row>
    <row r="420">
      <c r="A420" s="5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4"/>
      <c r="O420" s="4"/>
      <c r="P420" s="4"/>
      <c r="Q420" s="4"/>
      <c r="R420" s="4"/>
    </row>
    <row r="421">
      <c r="A421" s="5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4"/>
      <c r="O421" s="4"/>
      <c r="P421" s="4"/>
      <c r="Q421" s="4"/>
      <c r="R421" s="4"/>
    </row>
    <row r="422">
      <c r="A422" s="5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4"/>
      <c r="O422" s="4"/>
      <c r="P422" s="4"/>
      <c r="Q422" s="4"/>
      <c r="R422" s="4"/>
    </row>
    <row r="423">
      <c r="A423" s="5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4"/>
      <c r="O423" s="4"/>
      <c r="P423" s="4"/>
      <c r="Q423" s="4"/>
      <c r="R423" s="4"/>
    </row>
    <row r="424">
      <c r="A424" s="5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4"/>
      <c r="O424" s="4"/>
      <c r="P424" s="4"/>
      <c r="Q424" s="4"/>
      <c r="R424" s="4"/>
    </row>
    <row r="425">
      <c r="A425" s="5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4"/>
      <c r="O425" s="4"/>
      <c r="P425" s="4"/>
      <c r="Q425" s="4"/>
      <c r="R425" s="4"/>
    </row>
    <row r="426">
      <c r="A426" s="5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4"/>
      <c r="O426" s="4"/>
      <c r="P426" s="4"/>
      <c r="Q426" s="4"/>
      <c r="R426" s="4"/>
    </row>
    <row r="427">
      <c r="A427" s="5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4"/>
      <c r="O427" s="4"/>
      <c r="P427" s="4"/>
      <c r="Q427" s="4"/>
      <c r="R427" s="4"/>
    </row>
    <row r="428">
      <c r="A428" s="5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4"/>
      <c r="O428" s="4"/>
      <c r="P428" s="4"/>
      <c r="Q428" s="4"/>
      <c r="R428" s="4"/>
    </row>
    <row r="429">
      <c r="A429" s="5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4"/>
      <c r="O429" s="4"/>
      <c r="P429" s="4"/>
      <c r="Q429" s="4"/>
      <c r="R429" s="4"/>
    </row>
    <row r="430">
      <c r="A430" s="5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4"/>
      <c r="O430" s="4"/>
      <c r="P430" s="4"/>
      <c r="Q430" s="4"/>
      <c r="R430" s="4"/>
    </row>
    <row r="431">
      <c r="A431" s="5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4"/>
      <c r="O431" s="4"/>
      <c r="P431" s="4"/>
      <c r="Q431" s="4"/>
      <c r="R431" s="4"/>
    </row>
    <row r="432">
      <c r="A432" s="5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4"/>
      <c r="O432" s="4"/>
      <c r="P432" s="4"/>
      <c r="Q432" s="4"/>
      <c r="R432" s="4"/>
    </row>
    <row r="433">
      <c r="A433" s="5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4"/>
      <c r="O433" s="4"/>
      <c r="P433" s="4"/>
      <c r="Q433" s="4"/>
      <c r="R433" s="4"/>
    </row>
    <row r="434">
      <c r="A434" s="5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4"/>
      <c r="O434" s="4"/>
      <c r="P434" s="4"/>
      <c r="Q434" s="4"/>
      <c r="R434" s="4"/>
    </row>
    <row r="435">
      <c r="A435" s="5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4"/>
      <c r="O435" s="4"/>
      <c r="P435" s="4"/>
      <c r="Q435" s="4"/>
      <c r="R435" s="4"/>
    </row>
    <row r="436">
      <c r="A436" s="5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4"/>
      <c r="O436" s="4"/>
      <c r="P436" s="4"/>
      <c r="Q436" s="4"/>
      <c r="R436" s="4"/>
    </row>
    <row r="437">
      <c r="A437" s="5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4"/>
      <c r="O437" s="4"/>
      <c r="P437" s="4"/>
      <c r="Q437" s="4"/>
      <c r="R437" s="4"/>
    </row>
    <row r="438">
      <c r="A438" s="5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4"/>
      <c r="O438" s="4"/>
      <c r="P438" s="4"/>
      <c r="Q438" s="4"/>
      <c r="R438" s="4"/>
    </row>
    <row r="439">
      <c r="A439" s="5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4"/>
      <c r="O439" s="4"/>
      <c r="P439" s="4"/>
      <c r="Q439" s="4"/>
      <c r="R439" s="4"/>
    </row>
    <row r="440">
      <c r="A440" s="5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4"/>
      <c r="O440" s="4"/>
      <c r="P440" s="4"/>
      <c r="Q440" s="4"/>
      <c r="R440" s="4"/>
    </row>
    <row r="441">
      <c r="A441" s="5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4"/>
      <c r="O441" s="4"/>
      <c r="P441" s="4"/>
      <c r="Q441" s="4"/>
      <c r="R441" s="4"/>
    </row>
    <row r="442">
      <c r="A442" s="5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4"/>
      <c r="O442" s="4"/>
      <c r="P442" s="4"/>
      <c r="Q442" s="4"/>
      <c r="R442" s="4"/>
    </row>
    <row r="443">
      <c r="A443" s="5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4"/>
      <c r="O443" s="4"/>
      <c r="P443" s="4"/>
      <c r="Q443" s="4"/>
      <c r="R443" s="4"/>
    </row>
    <row r="444">
      <c r="A444" s="5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4"/>
      <c r="O444" s="4"/>
      <c r="P444" s="4"/>
      <c r="Q444" s="4"/>
      <c r="R444" s="4"/>
    </row>
    <row r="445">
      <c r="A445" s="5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4"/>
      <c r="O445" s="4"/>
      <c r="P445" s="4"/>
      <c r="Q445" s="4"/>
      <c r="R445" s="4"/>
    </row>
    <row r="446">
      <c r="A446" s="5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4"/>
      <c r="O446" s="4"/>
      <c r="P446" s="4"/>
      <c r="Q446" s="4"/>
      <c r="R446" s="4"/>
    </row>
    <row r="447">
      <c r="A447" s="5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4"/>
      <c r="O447" s="4"/>
      <c r="P447" s="4"/>
      <c r="Q447" s="4"/>
      <c r="R447" s="4"/>
    </row>
    <row r="448">
      <c r="A448" s="5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4"/>
      <c r="O448" s="4"/>
      <c r="P448" s="4"/>
      <c r="Q448" s="4"/>
      <c r="R448" s="4"/>
    </row>
    <row r="449">
      <c r="A449" s="5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4"/>
      <c r="O449" s="4"/>
      <c r="P449" s="4"/>
      <c r="Q449" s="4"/>
      <c r="R449" s="4"/>
    </row>
    <row r="450">
      <c r="A450" s="5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4"/>
      <c r="O450" s="4"/>
      <c r="P450" s="4"/>
      <c r="Q450" s="4"/>
      <c r="R450" s="4"/>
    </row>
    <row r="451">
      <c r="A451" s="5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4"/>
      <c r="O451" s="4"/>
      <c r="P451" s="4"/>
      <c r="Q451" s="4"/>
      <c r="R451" s="4"/>
    </row>
    <row r="452">
      <c r="A452" s="5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4"/>
      <c r="O452" s="4"/>
      <c r="P452" s="4"/>
      <c r="Q452" s="4"/>
      <c r="R452" s="4"/>
    </row>
    <row r="453">
      <c r="A453" s="5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4"/>
      <c r="O453" s="4"/>
      <c r="P453" s="4"/>
      <c r="Q453" s="4"/>
      <c r="R453" s="4"/>
    </row>
    <row r="454">
      <c r="A454" s="5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4"/>
      <c r="O454" s="4"/>
      <c r="P454" s="4"/>
      <c r="Q454" s="4"/>
      <c r="R454" s="4"/>
    </row>
    <row r="455">
      <c r="A455" s="5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4"/>
      <c r="O455" s="4"/>
      <c r="P455" s="4"/>
      <c r="Q455" s="4"/>
      <c r="R455" s="4"/>
    </row>
    <row r="456">
      <c r="A456" s="5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4"/>
      <c r="O456" s="4"/>
      <c r="P456" s="4"/>
      <c r="Q456" s="4"/>
      <c r="R456" s="4"/>
    </row>
    <row r="457">
      <c r="A457" s="5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4"/>
      <c r="O457" s="4"/>
      <c r="P457" s="4"/>
      <c r="Q457" s="4"/>
      <c r="R457" s="4"/>
    </row>
    <row r="458">
      <c r="A458" s="5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4"/>
      <c r="O458" s="4"/>
      <c r="P458" s="4"/>
      <c r="Q458" s="4"/>
      <c r="R458" s="4"/>
    </row>
    <row r="459">
      <c r="A459" s="5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4"/>
      <c r="O459" s="4"/>
      <c r="P459" s="4"/>
      <c r="Q459" s="4"/>
      <c r="R459" s="4"/>
    </row>
    <row r="460">
      <c r="A460" s="5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4"/>
      <c r="O460" s="4"/>
      <c r="P460" s="4"/>
      <c r="Q460" s="4"/>
      <c r="R460" s="4"/>
    </row>
    <row r="461">
      <c r="A461" s="5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4"/>
      <c r="O461" s="4"/>
      <c r="P461" s="4"/>
      <c r="Q461" s="4"/>
      <c r="R461" s="4"/>
    </row>
    <row r="462">
      <c r="A462" s="5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4"/>
      <c r="O462" s="4"/>
      <c r="P462" s="4"/>
      <c r="Q462" s="4"/>
      <c r="R462" s="4"/>
    </row>
    <row r="463">
      <c r="A463" s="5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4"/>
      <c r="O463" s="4"/>
      <c r="P463" s="4"/>
      <c r="Q463" s="4"/>
      <c r="R463" s="4"/>
    </row>
    <row r="464">
      <c r="A464" s="5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4"/>
      <c r="O464" s="4"/>
      <c r="P464" s="4"/>
      <c r="Q464" s="4"/>
      <c r="R464" s="4"/>
    </row>
    <row r="465">
      <c r="A465" s="5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4"/>
      <c r="O465" s="4"/>
      <c r="P465" s="4"/>
      <c r="Q465" s="4"/>
      <c r="R465" s="4"/>
    </row>
    <row r="466">
      <c r="A466" s="5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4"/>
      <c r="O466" s="4"/>
      <c r="P466" s="4"/>
      <c r="Q466" s="4"/>
      <c r="R466" s="4"/>
    </row>
    <row r="467">
      <c r="A467" s="5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4"/>
      <c r="O467" s="4"/>
      <c r="P467" s="4"/>
      <c r="Q467" s="4"/>
      <c r="R467" s="4"/>
    </row>
    <row r="468">
      <c r="A468" s="5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4"/>
      <c r="O468" s="4"/>
      <c r="P468" s="4"/>
      <c r="Q468" s="4"/>
      <c r="R468" s="4"/>
    </row>
    <row r="469">
      <c r="A469" s="5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4"/>
      <c r="O469" s="4"/>
      <c r="P469" s="4"/>
      <c r="Q469" s="4"/>
      <c r="R469" s="4"/>
    </row>
    <row r="470">
      <c r="A470" s="5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4"/>
      <c r="O470" s="4"/>
      <c r="P470" s="4"/>
      <c r="Q470" s="4"/>
      <c r="R470" s="4"/>
    </row>
    <row r="471">
      <c r="A471" s="5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4"/>
      <c r="O471" s="4"/>
      <c r="P471" s="4"/>
      <c r="Q471" s="4"/>
      <c r="R471" s="4"/>
    </row>
    <row r="472">
      <c r="A472" s="5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4"/>
      <c r="O472" s="4"/>
      <c r="P472" s="4"/>
      <c r="Q472" s="4"/>
      <c r="R472" s="4"/>
    </row>
    <row r="473">
      <c r="A473" s="5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4"/>
      <c r="O473" s="4"/>
      <c r="P473" s="4"/>
      <c r="Q473" s="4"/>
      <c r="R473" s="4"/>
    </row>
    <row r="474">
      <c r="A474" s="5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4"/>
      <c r="O474" s="4"/>
      <c r="P474" s="4"/>
      <c r="Q474" s="4"/>
      <c r="R474" s="4"/>
    </row>
    <row r="475">
      <c r="A475" s="5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4"/>
      <c r="O475" s="4"/>
      <c r="P475" s="4"/>
      <c r="Q475" s="4"/>
      <c r="R475" s="4"/>
    </row>
    <row r="476">
      <c r="A476" s="5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4"/>
      <c r="O476" s="4"/>
      <c r="P476" s="4"/>
      <c r="Q476" s="4"/>
      <c r="R476" s="4"/>
    </row>
    <row r="477">
      <c r="A477" s="5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4"/>
      <c r="O477" s="4"/>
      <c r="P477" s="4"/>
      <c r="Q477" s="4"/>
      <c r="R477" s="4"/>
    </row>
    <row r="478">
      <c r="A478" s="5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4"/>
      <c r="O478" s="4"/>
      <c r="P478" s="4"/>
      <c r="Q478" s="4"/>
      <c r="R478" s="4"/>
    </row>
    <row r="479">
      <c r="A479" s="5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4"/>
      <c r="O479" s="4"/>
      <c r="P479" s="4"/>
      <c r="Q479" s="4"/>
      <c r="R479" s="4"/>
    </row>
    <row r="480">
      <c r="A480" s="5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4"/>
      <c r="O480" s="4"/>
      <c r="P480" s="4"/>
      <c r="Q480" s="4"/>
      <c r="R480" s="4"/>
    </row>
    <row r="481">
      <c r="A481" s="5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4"/>
      <c r="O481" s="4"/>
      <c r="P481" s="4"/>
      <c r="Q481" s="4"/>
      <c r="R481" s="4"/>
    </row>
    <row r="482">
      <c r="A482" s="5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4"/>
      <c r="O482" s="4"/>
      <c r="P482" s="4"/>
      <c r="Q482" s="4"/>
      <c r="R482" s="4"/>
    </row>
    <row r="483">
      <c r="A483" s="5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4"/>
      <c r="O483" s="4"/>
      <c r="P483" s="4"/>
      <c r="Q483" s="4"/>
      <c r="R483" s="4"/>
    </row>
    <row r="484">
      <c r="A484" s="5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4"/>
      <c r="O484" s="4"/>
      <c r="P484" s="4"/>
      <c r="Q484" s="4"/>
      <c r="R484" s="4"/>
    </row>
    <row r="485">
      <c r="A485" s="5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4"/>
      <c r="O485" s="4"/>
      <c r="P485" s="4"/>
      <c r="Q485" s="4"/>
      <c r="R485" s="4"/>
    </row>
    <row r="486">
      <c r="A486" s="5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4"/>
      <c r="O486" s="4"/>
      <c r="P486" s="4"/>
      <c r="Q486" s="4"/>
      <c r="R486" s="4"/>
    </row>
    <row r="487">
      <c r="A487" s="5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4"/>
      <c r="O487" s="4"/>
      <c r="P487" s="4"/>
      <c r="Q487" s="4"/>
      <c r="R487" s="4"/>
    </row>
    <row r="488">
      <c r="A488" s="5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4"/>
      <c r="O488" s="4"/>
      <c r="P488" s="4"/>
      <c r="Q488" s="4"/>
      <c r="R488" s="4"/>
    </row>
    <row r="489">
      <c r="A489" s="5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4"/>
      <c r="O489" s="4"/>
      <c r="P489" s="4"/>
      <c r="Q489" s="4"/>
      <c r="R489" s="4"/>
    </row>
    <row r="490">
      <c r="A490" s="5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4"/>
      <c r="O490" s="4"/>
      <c r="P490" s="4"/>
      <c r="Q490" s="4"/>
      <c r="R490" s="4"/>
    </row>
    <row r="491">
      <c r="A491" s="5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4"/>
      <c r="O491" s="4"/>
      <c r="P491" s="4"/>
      <c r="Q491" s="4"/>
      <c r="R491" s="4"/>
    </row>
    <row r="492">
      <c r="A492" s="5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4"/>
      <c r="O492" s="4"/>
      <c r="P492" s="4"/>
      <c r="Q492" s="4"/>
      <c r="R492" s="4"/>
    </row>
    <row r="493">
      <c r="A493" s="5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4"/>
      <c r="O493" s="4"/>
      <c r="P493" s="4"/>
      <c r="Q493" s="4"/>
      <c r="R493" s="4"/>
    </row>
    <row r="494">
      <c r="A494" s="5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4"/>
      <c r="O494" s="4"/>
      <c r="P494" s="4"/>
      <c r="Q494" s="4"/>
      <c r="R494" s="4"/>
    </row>
    <row r="495">
      <c r="A495" s="5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4"/>
      <c r="O495" s="4"/>
      <c r="P495" s="4"/>
      <c r="Q495" s="4"/>
      <c r="R495" s="4"/>
    </row>
    <row r="496">
      <c r="A496" s="5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4"/>
      <c r="O496" s="4"/>
      <c r="P496" s="4"/>
      <c r="Q496" s="4"/>
      <c r="R496" s="4"/>
    </row>
    <row r="497">
      <c r="A497" s="5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4"/>
      <c r="O497" s="4"/>
      <c r="P497" s="4"/>
      <c r="Q497" s="4"/>
      <c r="R497" s="4"/>
    </row>
    <row r="498">
      <c r="A498" s="5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4"/>
      <c r="O498" s="4"/>
      <c r="P498" s="4"/>
      <c r="Q498" s="4"/>
      <c r="R498" s="4"/>
    </row>
    <row r="499">
      <c r="A499" s="5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4"/>
      <c r="O499" s="4"/>
      <c r="P499" s="4"/>
      <c r="Q499" s="4"/>
      <c r="R499" s="4"/>
    </row>
    <row r="500">
      <c r="A500" s="5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4"/>
      <c r="O500" s="4"/>
      <c r="P500" s="4"/>
      <c r="Q500" s="4"/>
      <c r="R500" s="4"/>
    </row>
    <row r="501">
      <c r="A501" s="5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4"/>
      <c r="O501" s="4"/>
      <c r="P501" s="4"/>
      <c r="Q501" s="4"/>
      <c r="R501" s="4"/>
    </row>
    <row r="502">
      <c r="A502" s="5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4"/>
      <c r="O502" s="4"/>
      <c r="P502" s="4"/>
      <c r="Q502" s="4"/>
      <c r="R502" s="4"/>
    </row>
    <row r="503">
      <c r="A503" s="5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4"/>
      <c r="O503" s="4"/>
      <c r="P503" s="4"/>
      <c r="Q503" s="4"/>
      <c r="R503" s="4"/>
    </row>
    <row r="504">
      <c r="A504" s="5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4"/>
      <c r="O504" s="4"/>
      <c r="P504" s="4"/>
      <c r="Q504" s="4"/>
      <c r="R504" s="4"/>
    </row>
    <row r="505">
      <c r="A505" s="5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4"/>
      <c r="O505" s="4"/>
      <c r="P505" s="4"/>
      <c r="Q505" s="4"/>
      <c r="R505" s="4"/>
    </row>
    <row r="506">
      <c r="A506" s="5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4"/>
      <c r="O506" s="4"/>
      <c r="P506" s="4"/>
      <c r="Q506" s="4"/>
      <c r="R506" s="4"/>
    </row>
    <row r="507">
      <c r="A507" s="5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4"/>
      <c r="O507" s="4"/>
      <c r="P507" s="4"/>
      <c r="Q507" s="4"/>
      <c r="R507" s="4"/>
    </row>
    <row r="508">
      <c r="A508" s="5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4"/>
      <c r="O508" s="4"/>
      <c r="P508" s="4"/>
      <c r="Q508" s="4"/>
      <c r="R508" s="4"/>
    </row>
    <row r="509">
      <c r="A509" s="5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4"/>
      <c r="O509" s="4"/>
      <c r="P509" s="4"/>
      <c r="Q509" s="4"/>
      <c r="R509" s="4"/>
    </row>
    <row r="510">
      <c r="A510" s="5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4"/>
      <c r="O510" s="4"/>
      <c r="P510" s="4"/>
      <c r="Q510" s="4"/>
      <c r="R510" s="4"/>
    </row>
    <row r="511">
      <c r="A511" s="5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4"/>
      <c r="O511" s="4"/>
      <c r="P511" s="4"/>
      <c r="Q511" s="4"/>
      <c r="R511" s="4"/>
    </row>
    <row r="512">
      <c r="A512" s="5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4"/>
      <c r="O512" s="4"/>
      <c r="P512" s="4"/>
      <c r="Q512" s="4"/>
      <c r="R512" s="4"/>
    </row>
    <row r="513">
      <c r="A513" s="5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4"/>
      <c r="O513" s="4"/>
      <c r="P513" s="4"/>
      <c r="Q513" s="4"/>
      <c r="R513" s="4"/>
    </row>
    <row r="514">
      <c r="A514" s="5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4"/>
      <c r="O514" s="4"/>
      <c r="P514" s="4"/>
      <c r="Q514" s="4"/>
      <c r="R514" s="4"/>
    </row>
    <row r="515">
      <c r="A515" s="5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4"/>
      <c r="O515" s="4"/>
      <c r="P515" s="4"/>
      <c r="Q515" s="4"/>
      <c r="R515" s="4"/>
    </row>
    <row r="516">
      <c r="A516" s="5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4"/>
      <c r="O516" s="4"/>
      <c r="P516" s="4"/>
      <c r="Q516" s="4"/>
      <c r="R516" s="4"/>
    </row>
    <row r="517">
      <c r="A517" s="5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4"/>
      <c r="O517" s="4"/>
      <c r="P517" s="4"/>
      <c r="Q517" s="4"/>
      <c r="R517" s="4"/>
    </row>
    <row r="518">
      <c r="A518" s="5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4"/>
      <c r="O518" s="4"/>
      <c r="P518" s="4"/>
      <c r="Q518" s="4"/>
      <c r="R518" s="4"/>
    </row>
    <row r="519">
      <c r="A519" s="5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4"/>
      <c r="O519" s="4"/>
      <c r="P519" s="4"/>
      <c r="Q519" s="4"/>
      <c r="R519" s="4"/>
    </row>
    <row r="520">
      <c r="A520" s="5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4"/>
      <c r="O520" s="4"/>
      <c r="P520" s="4"/>
      <c r="Q520" s="4"/>
      <c r="R520" s="4"/>
    </row>
    <row r="521">
      <c r="A521" s="5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4"/>
      <c r="O521" s="4"/>
      <c r="P521" s="4"/>
      <c r="Q521" s="4"/>
      <c r="R521" s="4"/>
    </row>
    <row r="522">
      <c r="A522" s="5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4"/>
      <c r="O522" s="4"/>
      <c r="P522" s="4"/>
      <c r="Q522" s="4"/>
      <c r="R522" s="4"/>
    </row>
    <row r="523">
      <c r="A523" s="5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4"/>
      <c r="O523" s="4"/>
      <c r="P523" s="4"/>
      <c r="Q523" s="4"/>
      <c r="R523" s="4"/>
    </row>
    <row r="524">
      <c r="A524" s="5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4"/>
      <c r="O524" s="4"/>
      <c r="P524" s="4"/>
      <c r="Q524" s="4"/>
      <c r="R524" s="4"/>
    </row>
    <row r="525">
      <c r="A525" s="5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4"/>
      <c r="O525" s="4"/>
      <c r="P525" s="4"/>
      <c r="Q525" s="4"/>
      <c r="R525" s="4"/>
    </row>
    <row r="526">
      <c r="A526" s="5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4"/>
      <c r="O526" s="4"/>
      <c r="P526" s="4"/>
      <c r="Q526" s="4"/>
      <c r="R526" s="4"/>
    </row>
    <row r="527">
      <c r="A527" s="5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4"/>
      <c r="O527" s="4"/>
      <c r="P527" s="4"/>
      <c r="Q527" s="4"/>
      <c r="R527" s="4"/>
    </row>
    <row r="528">
      <c r="A528" s="5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4"/>
      <c r="O528" s="4"/>
      <c r="P528" s="4"/>
      <c r="Q528" s="4"/>
      <c r="R528" s="4"/>
    </row>
    <row r="529">
      <c r="A529" s="5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4"/>
      <c r="O529" s="4"/>
      <c r="P529" s="4"/>
      <c r="Q529" s="4"/>
      <c r="R529" s="4"/>
    </row>
    <row r="530">
      <c r="A530" s="5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4"/>
      <c r="O530" s="4"/>
      <c r="P530" s="4"/>
      <c r="Q530" s="4"/>
      <c r="R530" s="4"/>
    </row>
    <row r="531">
      <c r="A531" s="5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4"/>
      <c r="O531" s="4"/>
      <c r="P531" s="4"/>
      <c r="Q531" s="4"/>
      <c r="R531" s="4"/>
    </row>
    <row r="532">
      <c r="A532" s="5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4"/>
      <c r="O532" s="4"/>
      <c r="P532" s="4"/>
      <c r="Q532" s="4"/>
      <c r="R532" s="4"/>
    </row>
    <row r="533">
      <c r="A533" s="5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4"/>
      <c r="O533" s="4"/>
      <c r="P533" s="4"/>
      <c r="Q533" s="4"/>
      <c r="R533" s="4"/>
    </row>
    <row r="534">
      <c r="A534" s="5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4"/>
      <c r="O534" s="4"/>
      <c r="P534" s="4"/>
      <c r="Q534" s="4"/>
      <c r="R534" s="4"/>
    </row>
    <row r="535">
      <c r="A535" s="5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4"/>
      <c r="O535" s="4"/>
      <c r="P535" s="4"/>
      <c r="Q535" s="4"/>
      <c r="R535" s="4"/>
    </row>
    <row r="536">
      <c r="A536" s="5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4"/>
      <c r="O536" s="4"/>
      <c r="P536" s="4"/>
      <c r="Q536" s="4"/>
      <c r="R536" s="4"/>
    </row>
    <row r="537">
      <c r="A537" s="5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4"/>
      <c r="O537" s="4"/>
      <c r="P537" s="4"/>
      <c r="Q537" s="4"/>
      <c r="R537" s="4"/>
    </row>
    <row r="538">
      <c r="A538" s="5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4"/>
      <c r="O538" s="4"/>
      <c r="P538" s="4"/>
      <c r="Q538" s="4"/>
      <c r="R538" s="4"/>
    </row>
    <row r="539">
      <c r="A539" s="5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4"/>
      <c r="O539" s="4"/>
      <c r="P539" s="4"/>
      <c r="Q539" s="4"/>
      <c r="R539" s="4"/>
    </row>
    <row r="540">
      <c r="A540" s="5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4"/>
      <c r="O540" s="4"/>
      <c r="P540" s="4"/>
      <c r="Q540" s="4"/>
      <c r="R540" s="4"/>
    </row>
    <row r="541">
      <c r="A541" s="5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4"/>
      <c r="O541" s="4"/>
      <c r="P541" s="4"/>
      <c r="Q541" s="4"/>
      <c r="R541" s="4"/>
    </row>
    <row r="542">
      <c r="A542" s="5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4"/>
      <c r="O542" s="4"/>
      <c r="P542" s="4"/>
      <c r="Q542" s="4"/>
      <c r="R542" s="4"/>
    </row>
    <row r="543">
      <c r="A543" s="5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4"/>
      <c r="O543" s="4"/>
      <c r="P543" s="4"/>
      <c r="Q543" s="4"/>
      <c r="R543" s="4"/>
    </row>
    <row r="544">
      <c r="A544" s="5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4"/>
      <c r="O544" s="4"/>
      <c r="P544" s="4"/>
      <c r="Q544" s="4"/>
      <c r="R544" s="4"/>
    </row>
    <row r="545">
      <c r="A545" s="5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4"/>
      <c r="O545" s="4"/>
      <c r="P545" s="4"/>
      <c r="Q545" s="4"/>
      <c r="R545" s="4"/>
    </row>
    <row r="546">
      <c r="A546" s="5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4"/>
      <c r="O546" s="4"/>
      <c r="P546" s="4"/>
      <c r="Q546" s="4"/>
      <c r="R546" s="4"/>
    </row>
    <row r="547">
      <c r="A547" s="5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4"/>
      <c r="O547" s="4"/>
      <c r="P547" s="4"/>
      <c r="Q547" s="4"/>
      <c r="R547" s="4"/>
    </row>
    <row r="548">
      <c r="A548" s="5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4"/>
      <c r="O548" s="4"/>
      <c r="P548" s="4"/>
      <c r="Q548" s="4"/>
      <c r="R548" s="4"/>
    </row>
    <row r="549">
      <c r="A549" s="5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4"/>
      <c r="O549" s="4"/>
      <c r="P549" s="4"/>
      <c r="Q549" s="4"/>
      <c r="R549" s="4"/>
    </row>
    <row r="550">
      <c r="A550" s="5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4"/>
      <c r="O550" s="4"/>
      <c r="P550" s="4"/>
      <c r="Q550" s="4"/>
      <c r="R550" s="4"/>
    </row>
    <row r="551">
      <c r="A551" s="5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4"/>
      <c r="O551" s="4"/>
      <c r="P551" s="4"/>
      <c r="Q551" s="4"/>
      <c r="R551" s="4"/>
    </row>
    <row r="552">
      <c r="A552" s="5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4"/>
      <c r="O552" s="4"/>
      <c r="P552" s="4"/>
      <c r="Q552" s="4"/>
      <c r="R552" s="4"/>
    </row>
    <row r="553">
      <c r="A553" s="5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4"/>
      <c r="O553" s="4"/>
      <c r="P553" s="4"/>
      <c r="Q553" s="4"/>
      <c r="R553" s="4"/>
    </row>
    <row r="554">
      <c r="A554" s="5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4"/>
      <c r="O554" s="4"/>
      <c r="P554" s="4"/>
      <c r="Q554" s="4"/>
      <c r="R554" s="4"/>
    </row>
    <row r="555">
      <c r="A555" s="5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4"/>
      <c r="O555" s="4"/>
      <c r="P555" s="4"/>
      <c r="Q555" s="4"/>
      <c r="R555" s="4"/>
    </row>
    <row r="556">
      <c r="A556" s="5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4"/>
      <c r="O556" s="4"/>
      <c r="P556" s="4"/>
      <c r="Q556" s="4"/>
      <c r="R556" s="4"/>
    </row>
    <row r="557">
      <c r="A557" s="5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4"/>
      <c r="O557" s="4"/>
      <c r="P557" s="4"/>
      <c r="Q557" s="4"/>
      <c r="R557" s="4"/>
    </row>
    <row r="558">
      <c r="A558" s="5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4"/>
      <c r="O558" s="4"/>
      <c r="P558" s="4"/>
      <c r="Q558" s="4"/>
      <c r="R558" s="4"/>
    </row>
    <row r="559">
      <c r="A559" s="5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4"/>
      <c r="O559" s="4"/>
      <c r="P559" s="4"/>
      <c r="Q559" s="4"/>
      <c r="R559" s="4"/>
    </row>
    <row r="560">
      <c r="A560" s="5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4"/>
      <c r="O560" s="4"/>
      <c r="P560" s="4"/>
      <c r="Q560" s="4"/>
      <c r="R560" s="4"/>
    </row>
    <row r="561">
      <c r="A561" s="5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4"/>
      <c r="O561" s="4"/>
      <c r="P561" s="4"/>
      <c r="Q561" s="4"/>
      <c r="R561" s="4"/>
    </row>
    <row r="562">
      <c r="A562" s="5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4"/>
      <c r="O562" s="4"/>
      <c r="P562" s="4"/>
      <c r="Q562" s="4"/>
      <c r="R562" s="4"/>
    </row>
    <row r="563">
      <c r="A563" s="5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4"/>
      <c r="O563" s="4"/>
      <c r="P563" s="4"/>
      <c r="Q563" s="4"/>
      <c r="R563" s="4"/>
    </row>
    <row r="564">
      <c r="A564" s="5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4"/>
      <c r="O564" s="4"/>
      <c r="P564" s="4"/>
      <c r="Q564" s="4"/>
      <c r="R564" s="4"/>
    </row>
    <row r="565">
      <c r="A565" s="5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4"/>
      <c r="O565" s="4"/>
      <c r="P565" s="4"/>
      <c r="Q565" s="4"/>
      <c r="R565" s="4"/>
    </row>
    <row r="566">
      <c r="A566" s="5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4"/>
      <c r="O566" s="4"/>
      <c r="P566" s="4"/>
      <c r="Q566" s="4"/>
      <c r="R566" s="4"/>
    </row>
    <row r="567">
      <c r="A567" s="5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4"/>
      <c r="O567" s="4"/>
      <c r="P567" s="4"/>
      <c r="Q567" s="4"/>
      <c r="R567" s="4"/>
    </row>
    <row r="568">
      <c r="A568" s="5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4"/>
      <c r="O568" s="4"/>
      <c r="P568" s="4"/>
      <c r="Q568" s="4"/>
      <c r="R568" s="4"/>
    </row>
    <row r="569">
      <c r="A569" s="5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4"/>
      <c r="O569" s="4"/>
      <c r="P569" s="4"/>
      <c r="Q569" s="4"/>
      <c r="R569" s="4"/>
    </row>
    <row r="570">
      <c r="A570" s="5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4"/>
      <c r="O570" s="4"/>
      <c r="P570" s="4"/>
      <c r="Q570" s="4"/>
      <c r="R570" s="4"/>
    </row>
    <row r="571">
      <c r="A571" s="5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4"/>
      <c r="O571" s="4"/>
      <c r="P571" s="4"/>
      <c r="Q571" s="4"/>
      <c r="R571" s="4"/>
    </row>
    <row r="572">
      <c r="A572" s="5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4"/>
      <c r="O572" s="4"/>
      <c r="P572" s="4"/>
      <c r="Q572" s="4"/>
      <c r="R572" s="4"/>
    </row>
    <row r="573">
      <c r="A573" s="5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4"/>
      <c r="O573" s="4"/>
      <c r="P573" s="4"/>
      <c r="Q573" s="4"/>
      <c r="R573" s="4"/>
    </row>
    <row r="574">
      <c r="A574" s="5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4"/>
      <c r="O574" s="4"/>
      <c r="P574" s="4"/>
      <c r="Q574" s="4"/>
      <c r="R574" s="4"/>
    </row>
    <row r="575">
      <c r="A575" s="5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4"/>
      <c r="O575" s="4"/>
      <c r="P575" s="4"/>
      <c r="Q575" s="4"/>
      <c r="R575" s="4"/>
    </row>
    <row r="576">
      <c r="A576" s="5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4"/>
      <c r="O576" s="4"/>
      <c r="P576" s="4"/>
      <c r="Q576" s="4"/>
      <c r="R576" s="4"/>
    </row>
    <row r="577">
      <c r="A577" s="5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4"/>
      <c r="O577" s="4"/>
      <c r="P577" s="4"/>
      <c r="Q577" s="4"/>
      <c r="R577" s="4"/>
    </row>
    <row r="578">
      <c r="A578" s="5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4"/>
      <c r="O578" s="4"/>
      <c r="P578" s="4"/>
      <c r="Q578" s="4"/>
      <c r="R578" s="4"/>
    </row>
    <row r="579">
      <c r="A579" s="5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4"/>
      <c r="O579" s="4"/>
      <c r="P579" s="4"/>
      <c r="Q579" s="4"/>
      <c r="R579" s="4"/>
    </row>
    <row r="580">
      <c r="A580" s="5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4"/>
      <c r="O580" s="4"/>
      <c r="P580" s="4"/>
      <c r="Q580" s="4"/>
      <c r="R580" s="4"/>
    </row>
    <row r="581">
      <c r="A581" s="5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4"/>
      <c r="O581" s="4"/>
      <c r="P581" s="4"/>
      <c r="Q581" s="4"/>
      <c r="R581" s="4"/>
    </row>
    <row r="582">
      <c r="A582" s="5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4"/>
      <c r="O582" s="4"/>
      <c r="P582" s="4"/>
      <c r="Q582" s="4"/>
      <c r="R582" s="4"/>
    </row>
    <row r="583">
      <c r="A583" s="5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4"/>
      <c r="O583" s="4"/>
      <c r="P583" s="4"/>
      <c r="Q583" s="4"/>
      <c r="R583" s="4"/>
    </row>
    <row r="584">
      <c r="A584" s="5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4"/>
      <c r="O584" s="4"/>
      <c r="P584" s="4"/>
      <c r="Q584" s="4"/>
      <c r="R584" s="4"/>
    </row>
    <row r="585">
      <c r="A585" s="5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4"/>
      <c r="O585" s="4"/>
      <c r="P585" s="4"/>
      <c r="Q585" s="4"/>
      <c r="R585" s="4"/>
    </row>
    <row r="586">
      <c r="A586" s="5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4"/>
      <c r="O586" s="4"/>
      <c r="P586" s="4"/>
      <c r="Q586" s="4"/>
      <c r="R586" s="4"/>
    </row>
    <row r="587">
      <c r="A587" s="5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4"/>
      <c r="O587" s="4"/>
      <c r="P587" s="4"/>
      <c r="Q587" s="4"/>
      <c r="R587" s="4"/>
    </row>
    <row r="588">
      <c r="A588" s="5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4"/>
      <c r="O588" s="4"/>
      <c r="P588" s="4"/>
      <c r="Q588" s="4"/>
      <c r="R588" s="4"/>
    </row>
    <row r="589">
      <c r="A589" s="5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4"/>
      <c r="O589" s="4"/>
      <c r="P589" s="4"/>
      <c r="Q589" s="4"/>
      <c r="R589" s="4"/>
    </row>
    <row r="590">
      <c r="A590" s="5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4"/>
      <c r="O590" s="4"/>
      <c r="P590" s="4"/>
      <c r="Q590" s="4"/>
      <c r="R590" s="4"/>
    </row>
    <row r="591">
      <c r="A591" s="5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4"/>
      <c r="O591" s="4"/>
      <c r="P591" s="4"/>
      <c r="Q591" s="4"/>
      <c r="R591" s="4"/>
    </row>
    <row r="592">
      <c r="A592" s="5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4"/>
      <c r="O592" s="4"/>
      <c r="P592" s="4"/>
      <c r="Q592" s="4"/>
      <c r="R592" s="4"/>
    </row>
    <row r="593">
      <c r="A593" s="5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4"/>
      <c r="O593" s="4"/>
      <c r="P593" s="4"/>
      <c r="Q593" s="4"/>
      <c r="R593" s="4"/>
    </row>
    <row r="594">
      <c r="A594" s="5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4"/>
      <c r="O594" s="4"/>
      <c r="P594" s="4"/>
      <c r="Q594" s="4"/>
      <c r="R594" s="4"/>
    </row>
    <row r="595">
      <c r="A595" s="5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4"/>
      <c r="O595" s="4"/>
      <c r="P595" s="4"/>
      <c r="Q595" s="4"/>
      <c r="R595" s="4"/>
    </row>
    <row r="596">
      <c r="A596" s="5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4"/>
      <c r="O596" s="4"/>
      <c r="P596" s="4"/>
      <c r="Q596" s="4"/>
      <c r="R596" s="4"/>
    </row>
    <row r="597">
      <c r="A597" s="5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4"/>
      <c r="O597" s="4"/>
      <c r="P597" s="4"/>
      <c r="Q597" s="4"/>
      <c r="R597" s="4"/>
    </row>
    <row r="598">
      <c r="A598" s="5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4"/>
      <c r="O598" s="4"/>
      <c r="P598" s="4"/>
      <c r="Q598" s="4"/>
      <c r="R598" s="4"/>
    </row>
    <row r="599">
      <c r="A599" s="5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4"/>
      <c r="O599" s="4"/>
      <c r="P599" s="4"/>
      <c r="Q599" s="4"/>
      <c r="R599" s="4"/>
    </row>
    <row r="600">
      <c r="A600" s="5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4"/>
      <c r="O600" s="4"/>
      <c r="P600" s="4"/>
      <c r="Q600" s="4"/>
      <c r="R600" s="4"/>
    </row>
    <row r="601">
      <c r="A601" s="5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4"/>
      <c r="O601" s="4"/>
      <c r="P601" s="4"/>
      <c r="Q601" s="4"/>
      <c r="R601" s="4"/>
    </row>
    <row r="602">
      <c r="A602" s="5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4"/>
      <c r="O602" s="4"/>
      <c r="P602" s="4"/>
      <c r="Q602" s="4"/>
      <c r="R602" s="4"/>
    </row>
    <row r="603">
      <c r="A603" s="5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4"/>
      <c r="O603" s="4"/>
      <c r="P603" s="4"/>
      <c r="Q603" s="4"/>
      <c r="R603" s="4"/>
    </row>
    <row r="604">
      <c r="A604" s="5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4"/>
      <c r="O604" s="4"/>
      <c r="P604" s="4"/>
      <c r="Q604" s="4"/>
      <c r="R604" s="4"/>
    </row>
    <row r="605">
      <c r="A605" s="5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4"/>
      <c r="O605" s="4"/>
      <c r="P605" s="4"/>
      <c r="Q605" s="4"/>
      <c r="R605" s="4"/>
    </row>
    <row r="606">
      <c r="A606" s="5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4"/>
      <c r="O606" s="4"/>
      <c r="P606" s="4"/>
      <c r="Q606" s="4"/>
      <c r="R606" s="4"/>
    </row>
    <row r="607">
      <c r="A607" s="5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4"/>
      <c r="O607" s="4"/>
      <c r="P607" s="4"/>
      <c r="Q607" s="4"/>
      <c r="R607" s="4"/>
    </row>
    <row r="608">
      <c r="A608" s="5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4"/>
      <c r="O608" s="4"/>
      <c r="P608" s="4"/>
      <c r="Q608" s="4"/>
      <c r="R608" s="4"/>
    </row>
    <row r="609">
      <c r="A609" s="5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4"/>
      <c r="O609" s="4"/>
      <c r="P609" s="4"/>
      <c r="Q609" s="4"/>
      <c r="R609" s="4"/>
    </row>
    <row r="610">
      <c r="A610" s="5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4"/>
      <c r="O610" s="4"/>
      <c r="P610" s="4"/>
      <c r="Q610" s="4"/>
      <c r="R610" s="4"/>
    </row>
    <row r="611">
      <c r="A611" s="5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4"/>
      <c r="O611" s="4"/>
      <c r="P611" s="4"/>
      <c r="Q611" s="4"/>
      <c r="R611" s="4"/>
    </row>
    <row r="612">
      <c r="A612" s="5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4"/>
      <c r="O612" s="4"/>
      <c r="P612" s="4"/>
      <c r="Q612" s="4"/>
      <c r="R612" s="4"/>
    </row>
    <row r="613">
      <c r="A613" s="5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4"/>
      <c r="O613" s="4"/>
      <c r="P613" s="4"/>
      <c r="Q613" s="4"/>
      <c r="R613" s="4"/>
    </row>
    <row r="614">
      <c r="A614" s="5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4"/>
      <c r="O614" s="4"/>
      <c r="P614" s="4"/>
      <c r="Q614" s="4"/>
      <c r="R614" s="4"/>
    </row>
    <row r="615">
      <c r="A615" s="5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4"/>
      <c r="O615" s="4"/>
      <c r="P615" s="4"/>
      <c r="Q615" s="4"/>
      <c r="R615" s="4"/>
    </row>
    <row r="616">
      <c r="A616" s="5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4"/>
      <c r="O616" s="4"/>
      <c r="P616" s="4"/>
      <c r="Q616" s="4"/>
      <c r="R616" s="4"/>
    </row>
    <row r="617">
      <c r="A617" s="5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4"/>
      <c r="O617" s="4"/>
      <c r="P617" s="4"/>
      <c r="Q617" s="4"/>
      <c r="R617" s="4"/>
    </row>
    <row r="618">
      <c r="A618" s="5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4"/>
      <c r="O618" s="4"/>
      <c r="P618" s="4"/>
      <c r="Q618" s="4"/>
      <c r="R618" s="4"/>
    </row>
    <row r="619">
      <c r="A619" s="5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4"/>
      <c r="O619" s="4"/>
      <c r="P619" s="4"/>
      <c r="Q619" s="4"/>
      <c r="R619" s="4"/>
    </row>
    <row r="620">
      <c r="A620" s="5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4"/>
      <c r="O620" s="4"/>
      <c r="P620" s="4"/>
      <c r="Q620" s="4"/>
      <c r="R620" s="4"/>
    </row>
    <row r="621">
      <c r="A621" s="5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4"/>
      <c r="O621" s="4"/>
      <c r="P621" s="4"/>
      <c r="Q621" s="4"/>
      <c r="R621" s="4"/>
    </row>
    <row r="622">
      <c r="A622" s="5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4"/>
      <c r="O622" s="4"/>
      <c r="P622" s="4"/>
      <c r="Q622" s="4"/>
      <c r="R622" s="4"/>
    </row>
    <row r="623">
      <c r="A623" s="5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4"/>
      <c r="O623" s="4"/>
      <c r="P623" s="4"/>
      <c r="Q623" s="4"/>
      <c r="R623" s="4"/>
    </row>
    <row r="624">
      <c r="A624" s="5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4"/>
      <c r="O624" s="4"/>
      <c r="P624" s="4"/>
      <c r="Q624" s="4"/>
      <c r="R624" s="4"/>
    </row>
    <row r="625">
      <c r="A625" s="5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4"/>
      <c r="O625" s="4"/>
      <c r="P625" s="4"/>
      <c r="Q625" s="4"/>
      <c r="R625" s="4"/>
    </row>
    <row r="626">
      <c r="A626" s="5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4"/>
      <c r="O626" s="4"/>
      <c r="P626" s="4"/>
      <c r="Q626" s="4"/>
      <c r="R626" s="4"/>
    </row>
    <row r="627">
      <c r="A627" s="5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4"/>
      <c r="O627" s="4"/>
      <c r="P627" s="4"/>
      <c r="Q627" s="4"/>
      <c r="R627" s="4"/>
    </row>
    <row r="628">
      <c r="A628" s="5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4"/>
      <c r="O628" s="4"/>
      <c r="P628" s="4"/>
      <c r="Q628" s="4"/>
      <c r="R628" s="4"/>
    </row>
    <row r="629">
      <c r="A629" s="5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4"/>
      <c r="O629" s="4"/>
      <c r="P629" s="4"/>
      <c r="Q629" s="4"/>
      <c r="R629" s="4"/>
    </row>
    <row r="630">
      <c r="A630" s="5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4"/>
      <c r="O630" s="4"/>
      <c r="P630" s="4"/>
      <c r="Q630" s="4"/>
      <c r="R630" s="4"/>
    </row>
    <row r="631">
      <c r="A631" s="5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4"/>
      <c r="O631" s="4"/>
      <c r="P631" s="4"/>
      <c r="Q631" s="4"/>
      <c r="R631" s="4"/>
    </row>
    <row r="632">
      <c r="A632" s="5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4"/>
      <c r="O632" s="4"/>
      <c r="P632" s="4"/>
      <c r="Q632" s="4"/>
      <c r="R632" s="4"/>
    </row>
    <row r="633">
      <c r="A633" s="5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4"/>
      <c r="O633" s="4"/>
      <c r="P633" s="4"/>
      <c r="Q633" s="4"/>
      <c r="R633" s="4"/>
    </row>
    <row r="634">
      <c r="A634" s="5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4"/>
      <c r="O634" s="4"/>
      <c r="P634" s="4"/>
      <c r="Q634" s="4"/>
      <c r="R634" s="4"/>
    </row>
    <row r="635">
      <c r="A635" s="5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4"/>
      <c r="O635" s="4"/>
      <c r="P635" s="4"/>
      <c r="Q635" s="4"/>
      <c r="R635" s="4"/>
    </row>
    <row r="636">
      <c r="A636" s="5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4"/>
      <c r="O636" s="4"/>
      <c r="P636" s="4"/>
      <c r="Q636" s="4"/>
      <c r="R636" s="4"/>
    </row>
    <row r="637">
      <c r="A637" s="5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4"/>
      <c r="O637" s="4"/>
      <c r="P637" s="4"/>
      <c r="Q637" s="4"/>
      <c r="R637" s="4"/>
    </row>
    <row r="638">
      <c r="A638" s="5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4"/>
      <c r="O638" s="4"/>
      <c r="P638" s="4"/>
      <c r="Q638" s="4"/>
      <c r="R638" s="4"/>
    </row>
    <row r="639">
      <c r="A639" s="5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4"/>
      <c r="O639" s="4"/>
      <c r="P639" s="4"/>
      <c r="Q639" s="4"/>
      <c r="R639" s="4"/>
    </row>
    <row r="640">
      <c r="A640" s="5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4"/>
      <c r="O640" s="4"/>
      <c r="P640" s="4"/>
      <c r="Q640" s="4"/>
      <c r="R640" s="4"/>
    </row>
    <row r="641">
      <c r="A641" s="5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4"/>
      <c r="O641" s="4"/>
      <c r="P641" s="4"/>
      <c r="Q641" s="4"/>
      <c r="R641" s="4"/>
    </row>
    <row r="642">
      <c r="A642" s="5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4"/>
      <c r="O642" s="4"/>
      <c r="P642" s="4"/>
      <c r="Q642" s="4"/>
      <c r="R642" s="4"/>
    </row>
    <row r="643">
      <c r="A643" s="5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4"/>
      <c r="O643" s="4"/>
      <c r="P643" s="4"/>
      <c r="Q643" s="4"/>
      <c r="R643" s="4"/>
    </row>
    <row r="644">
      <c r="A644" s="5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4"/>
      <c r="O644" s="4"/>
      <c r="P644" s="4"/>
      <c r="Q644" s="4"/>
      <c r="R644" s="4"/>
    </row>
    <row r="645">
      <c r="A645" s="5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4"/>
      <c r="O645" s="4"/>
      <c r="P645" s="4"/>
      <c r="Q645" s="4"/>
      <c r="R645" s="4"/>
    </row>
    <row r="646">
      <c r="A646" s="5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4"/>
      <c r="O646" s="4"/>
      <c r="P646" s="4"/>
      <c r="Q646" s="4"/>
      <c r="R646" s="4"/>
    </row>
    <row r="647">
      <c r="A647" s="5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4"/>
      <c r="O647" s="4"/>
      <c r="P647" s="4"/>
      <c r="Q647" s="4"/>
      <c r="R647" s="4"/>
    </row>
    <row r="648">
      <c r="A648" s="5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4"/>
      <c r="O648" s="4"/>
      <c r="P648" s="4"/>
      <c r="Q648" s="4"/>
      <c r="R648" s="4"/>
    </row>
    <row r="649">
      <c r="A649" s="5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4"/>
      <c r="O649" s="4"/>
      <c r="P649" s="4"/>
      <c r="Q649" s="4"/>
      <c r="R649" s="4"/>
    </row>
    <row r="650">
      <c r="A650" s="5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4"/>
      <c r="O650" s="4"/>
      <c r="P650" s="4"/>
      <c r="Q650" s="4"/>
      <c r="R650" s="4"/>
    </row>
    <row r="651">
      <c r="A651" s="5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4"/>
      <c r="O651" s="4"/>
      <c r="P651" s="4"/>
      <c r="Q651" s="4"/>
      <c r="R651" s="4"/>
    </row>
    <row r="652">
      <c r="A652" s="5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4"/>
      <c r="O652" s="4"/>
      <c r="P652" s="4"/>
      <c r="Q652" s="4"/>
      <c r="R652" s="4"/>
    </row>
    <row r="653">
      <c r="A653" s="5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4"/>
      <c r="O653" s="4"/>
      <c r="P653" s="4"/>
      <c r="Q653" s="4"/>
      <c r="R653" s="4"/>
    </row>
    <row r="654">
      <c r="A654" s="5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4"/>
      <c r="O654" s="4"/>
      <c r="P654" s="4"/>
      <c r="Q654" s="4"/>
      <c r="R654" s="4"/>
    </row>
    <row r="655">
      <c r="A655" s="5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4"/>
      <c r="O655" s="4"/>
      <c r="P655" s="4"/>
      <c r="Q655" s="4"/>
      <c r="R655" s="4"/>
    </row>
    <row r="656">
      <c r="A656" s="5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4"/>
      <c r="O656" s="4"/>
      <c r="P656" s="4"/>
      <c r="Q656" s="4"/>
      <c r="R656" s="4"/>
    </row>
    <row r="657">
      <c r="A657" s="5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4"/>
      <c r="O657" s="4"/>
      <c r="P657" s="4"/>
      <c r="Q657" s="4"/>
      <c r="R657" s="4"/>
    </row>
    <row r="658">
      <c r="A658" s="5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4"/>
      <c r="O658" s="4"/>
      <c r="P658" s="4"/>
      <c r="Q658" s="4"/>
      <c r="R658" s="4"/>
    </row>
    <row r="659">
      <c r="A659" s="5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4"/>
      <c r="O659" s="4"/>
      <c r="P659" s="4"/>
      <c r="Q659" s="4"/>
      <c r="R659" s="4"/>
    </row>
    <row r="660">
      <c r="A660" s="5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4"/>
      <c r="O660" s="4"/>
      <c r="P660" s="4"/>
      <c r="Q660" s="4"/>
      <c r="R660" s="4"/>
    </row>
    <row r="661">
      <c r="A661" s="5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4"/>
      <c r="O661" s="4"/>
      <c r="P661" s="4"/>
      <c r="Q661" s="4"/>
      <c r="R661" s="4"/>
    </row>
    <row r="662">
      <c r="A662" s="5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4"/>
      <c r="O662" s="4"/>
      <c r="P662" s="4"/>
      <c r="Q662" s="4"/>
      <c r="R662" s="4"/>
    </row>
    <row r="663">
      <c r="A663" s="5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4"/>
      <c r="O663" s="4"/>
      <c r="P663" s="4"/>
      <c r="Q663" s="4"/>
      <c r="R663" s="4"/>
    </row>
    <row r="664">
      <c r="A664" s="5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4"/>
      <c r="O664" s="4"/>
      <c r="P664" s="4"/>
      <c r="Q664" s="4"/>
      <c r="R664" s="4"/>
    </row>
    <row r="665">
      <c r="A665" s="5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4"/>
      <c r="O665" s="4"/>
      <c r="P665" s="4"/>
      <c r="Q665" s="4"/>
      <c r="R665" s="4"/>
    </row>
    <row r="666">
      <c r="A666" s="5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4"/>
      <c r="O666" s="4"/>
      <c r="P666" s="4"/>
      <c r="Q666" s="4"/>
      <c r="R666" s="4"/>
    </row>
    <row r="667">
      <c r="A667" s="5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4"/>
      <c r="O667" s="4"/>
      <c r="P667" s="4"/>
      <c r="Q667" s="4"/>
      <c r="R667" s="4"/>
    </row>
    <row r="668">
      <c r="A668" s="5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4"/>
      <c r="O668" s="4"/>
      <c r="P668" s="4"/>
      <c r="Q668" s="4"/>
      <c r="R668" s="4"/>
    </row>
    <row r="669">
      <c r="A669" s="5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4"/>
      <c r="O669" s="4"/>
      <c r="P669" s="4"/>
      <c r="Q669" s="4"/>
      <c r="R669" s="4"/>
    </row>
    <row r="670">
      <c r="A670" s="5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4"/>
      <c r="O670" s="4"/>
      <c r="P670" s="4"/>
      <c r="Q670" s="4"/>
      <c r="R670" s="4"/>
    </row>
    <row r="671">
      <c r="A671" s="5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4"/>
      <c r="O671" s="4"/>
      <c r="P671" s="4"/>
      <c r="Q671" s="4"/>
      <c r="R671" s="4"/>
    </row>
    <row r="672">
      <c r="A672" s="5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4"/>
      <c r="O672" s="4"/>
      <c r="P672" s="4"/>
      <c r="Q672" s="4"/>
      <c r="R672" s="4"/>
    </row>
    <row r="673">
      <c r="A673" s="5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4"/>
      <c r="O673" s="4"/>
      <c r="P673" s="4"/>
      <c r="Q673" s="4"/>
      <c r="R673" s="4"/>
    </row>
    <row r="674">
      <c r="A674" s="5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4"/>
      <c r="O674" s="4"/>
      <c r="P674" s="4"/>
      <c r="Q674" s="4"/>
      <c r="R674" s="4"/>
    </row>
    <row r="675">
      <c r="A675" s="5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4"/>
      <c r="O675" s="4"/>
      <c r="P675" s="4"/>
      <c r="Q675" s="4"/>
      <c r="R675" s="4"/>
    </row>
    <row r="676">
      <c r="A676" s="5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4"/>
      <c r="O676" s="4"/>
      <c r="P676" s="4"/>
      <c r="Q676" s="4"/>
      <c r="R676" s="4"/>
    </row>
    <row r="677">
      <c r="A677" s="5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4"/>
      <c r="O677" s="4"/>
      <c r="P677" s="4"/>
      <c r="Q677" s="4"/>
      <c r="R677" s="4"/>
    </row>
    <row r="678">
      <c r="A678" s="5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4"/>
      <c r="O678" s="4"/>
      <c r="P678" s="4"/>
      <c r="Q678" s="4"/>
      <c r="R678" s="4"/>
    </row>
    <row r="679">
      <c r="A679" s="5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4"/>
      <c r="O679" s="4"/>
      <c r="P679" s="4"/>
      <c r="Q679" s="4"/>
      <c r="R679" s="4"/>
    </row>
    <row r="680">
      <c r="A680" s="5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4"/>
      <c r="O680" s="4"/>
      <c r="P680" s="4"/>
      <c r="Q680" s="4"/>
      <c r="R680" s="4"/>
    </row>
    <row r="681">
      <c r="A681" s="5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4"/>
      <c r="O681" s="4"/>
      <c r="P681" s="4"/>
      <c r="Q681" s="4"/>
      <c r="R681" s="4"/>
    </row>
    <row r="682">
      <c r="A682" s="5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4"/>
      <c r="O682" s="4"/>
      <c r="P682" s="4"/>
      <c r="Q682" s="4"/>
      <c r="R682" s="4"/>
    </row>
    <row r="683">
      <c r="A683" s="5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4"/>
      <c r="O683" s="4"/>
      <c r="P683" s="4"/>
      <c r="Q683" s="4"/>
      <c r="R683" s="4"/>
    </row>
    <row r="684">
      <c r="A684" s="5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4"/>
      <c r="O684" s="4"/>
      <c r="P684" s="4"/>
      <c r="Q684" s="4"/>
      <c r="R684" s="4"/>
    </row>
    <row r="685">
      <c r="A685" s="5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4"/>
      <c r="O685" s="4"/>
      <c r="P685" s="4"/>
      <c r="Q685" s="4"/>
      <c r="R685" s="4"/>
    </row>
    <row r="686">
      <c r="A686" s="5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4"/>
      <c r="O686" s="4"/>
      <c r="P686" s="4"/>
      <c r="Q686" s="4"/>
      <c r="R686" s="4"/>
    </row>
    <row r="687">
      <c r="A687" s="5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4"/>
      <c r="O687" s="4"/>
      <c r="P687" s="4"/>
      <c r="Q687" s="4"/>
      <c r="R687" s="4"/>
    </row>
    <row r="688">
      <c r="A688" s="5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4"/>
      <c r="O688" s="4"/>
      <c r="P688" s="4"/>
      <c r="Q688" s="4"/>
      <c r="R688" s="4"/>
    </row>
    <row r="689">
      <c r="A689" s="5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4"/>
      <c r="O689" s="4"/>
      <c r="P689" s="4"/>
      <c r="Q689" s="4"/>
      <c r="R689" s="4"/>
    </row>
    <row r="690">
      <c r="A690" s="5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4"/>
      <c r="O690" s="4"/>
      <c r="P690" s="4"/>
      <c r="Q690" s="4"/>
      <c r="R690" s="4"/>
    </row>
    <row r="691">
      <c r="A691" s="5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4"/>
      <c r="O691" s="4"/>
      <c r="P691" s="4"/>
      <c r="Q691" s="4"/>
      <c r="R691" s="4"/>
    </row>
    <row r="692">
      <c r="A692" s="5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4"/>
      <c r="O692" s="4"/>
      <c r="P692" s="4"/>
      <c r="Q692" s="4"/>
      <c r="R692" s="4"/>
    </row>
    <row r="693">
      <c r="A693" s="5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4"/>
      <c r="O693" s="4"/>
      <c r="P693" s="4"/>
      <c r="Q693" s="4"/>
      <c r="R693" s="4"/>
    </row>
    <row r="694">
      <c r="A694" s="5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4"/>
      <c r="O694" s="4"/>
      <c r="P694" s="4"/>
      <c r="Q694" s="4"/>
      <c r="R694" s="4"/>
    </row>
    <row r="695">
      <c r="A695" s="5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4"/>
      <c r="O695" s="4"/>
      <c r="P695" s="4"/>
      <c r="Q695" s="4"/>
      <c r="R695" s="4"/>
    </row>
    <row r="696">
      <c r="A696" s="5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4"/>
      <c r="O696" s="4"/>
      <c r="P696" s="4"/>
      <c r="Q696" s="4"/>
      <c r="R696" s="4"/>
    </row>
    <row r="697">
      <c r="A697" s="5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4"/>
      <c r="O697" s="4"/>
      <c r="P697" s="4"/>
      <c r="Q697" s="4"/>
      <c r="R697" s="4"/>
    </row>
    <row r="698">
      <c r="A698" s="5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4"/>
      <c r="O698" s="4"/>
      <c r="P698" s="4"/>
      <c r="Q698" s="4"/>
      <c r="R698" s="4"/>
    </row>
    <row r="699">
      <c r="A699" s="5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4"/>
      <c r="O699" s="4"/>
      <c r="P699" s="4"/>
      <c r="Q699" s="4"/>
      <c r="R699" s="4"/>
    </row>
    <row r="700">
      <c r="A700" s="5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4"/>
      <c r="O700" s="4"/>
      <c r="P700" s="4"/>
      <c r="Q700" s="4"/>
      <c r="R700" s="4"/>
    </row>
    <row r="701">
      <c r="A701" s="5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4"/>
      <c r="O701" s="4"/>
      <c r="P701" s="4"/>
      <c r="Q701" s="4"/>
      <c r="R701" s="4"/>
    </row>
    <row r="702">
      <c r="A702" s="5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4"/>
      <c r="O702" s="4"/>
      <c r="P702" s="4"/>
      <c r="Q702" s="4"/>
      <c r="R702" s="4"/>
    </row>
    <row r="703">
      <c r="A703" s="5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4"/>
      <c r="O703" s="4"/>
      <c r="P703" s="4"/>
      <c r="Q703" s="4"/>
      <c r="R703" s="4"/>
    </row>
    <row r="704">
      <c r="A704" s="5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4"/>
      <c r="O704" s="4"/>
      <c r="P704" s="4"/>
      <c r="Q704" s="4"/>
      <c r="R704" s="4"/>
    </row>
    <row r="705">
      <c r="A705" s="5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4"/>
      <c r="O705" s="4"/>
      <c r="P705" s="4"/>
      <c r="Q705" s="4"/>
      <c r="R705" s="4"/>
    </row>
    <row r="706">
      <c r="A706" s="5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4"/>
      <c r="O706" s="4"/>
      <c r="P706" s="4"/>
      <c r="Q706" s="4"/>
      <c r="R706" s="4"/>
    </row>
    <row r="707">
      <c r="A707" s="5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4"/>
      <c r="O707" s="4"/>
      <c r="P707" s="4"/>
      <c r="Q707" s="4"/>
      <c r="R707" s="4"/>
    </row>
    <row r="708">
      <c r="A708" s="5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4"/>
      <c r="O708" s="4"/>
      <c r="P708" s="4"/>
      <c r="Q708" s="4"/>
      <c r="R708" s="4"/>
    </row>
    <row r="709">
      <c r="A709" s="5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4"/>
      <c r="O709" s="4"/>
      <c r="P709" s="4"/>
      <c r="Q709" s="4"/>
      <c r="R709" s="4"/>
    </row>
    <row r="710">
      <c r="A710" s="5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4"/>
      <c r="O710" s="4"/>
      <c r="P710" s="4"/>
      <c r="Q710" s="4"/>
      <c r="R710" s="4"/>
    </row>
    <row r="711">
      <c r="A711" s="5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4"/>
      <c r="O711" s="4"/>
      <c r="P711" s="4"/>
      <c r="Q711" s="4"/>
      <c r="R711" s="4"/>
    </row>
    <row r="712">
      <c r="A712" s="5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4"/>
      <c r="O712" s="4"/>
      <c r="P712" s="4"/>
      <c r="Q712" s="4"/>
      <c r="R712" s="4"/>
    </row>
    <row r="713">
      <c r="A713" s="5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4"/>
      <c r="O713" s="4"/>
      <c r="P713" s="4"/>
      <c r="Q713" s="4"/>
      <c r="R713" s="4"/>
    </row>
    <row r="714">
      <c r="A714" s="5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4"/>
      <c r="O714" s="4"/>
      <c r="P714" s="4"/>
      <c r="Q714" s="4"/>
      <c r="R714" s="4"/>
    </row>
    <row r="715">
      <c r="A715" s="5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4"/>
      <c r="O715" s="4"/>
      <c r="P715" s="4"/>
      <c r="Q715" s="4"/>
      <c r="R715" s="4"/>
    </row>
    <row r="716">
      <c r="A716" s="5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4"/>
      <c r="O716" s="4"/>
      <c r="P716" s="4"/>
      <c r="Q716" s="4"/>
      <c r="R716" s="4"/>
    </row>
    <row r="717">
      <c r="A717" s="5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4"/>
      <c r="O717" s="4"/>
      <c r="P717" s="4"/>
      <c r="Q717" s="4"/>
      <c r="R717" s="4"/>
    </row>
    <row r="718">
      <c r="A718" s="5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4"/>
      <c r="O718" s="4"/>
      <c r="P718" s="4"/>
      <c r="Q718" s="4"/>
      <c r="R718" s="4"/>
    </row>
    <row r="719">
      <c r="A719" s="5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4"/>
      <c r="O719" s="4"/>
      <c r="P719" s="4"/>
      <c r="Q719" s="4"/>
      <c r="R719" s="4"/>
    </row>
    <row r="720">
      <c r="A720" s="5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4"/>
      <c r="O720" s="4"/>
      <c r="P720" s="4"/>
      <c r="Q720" s="4"/>
      <c r="R720" s="4"/>
    </row>
    <row r="721">
      <c r="A721" s="5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4"/>
      <c r="O721" s="4"/>
      <c r="P721" s="4"/>
      <c r="Q721" s="4"/>
      <c r="R721" s="4"/>
    </row>
    <row r="722">
      <c r="A722" s="5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4"/>
      <c r="O722" s="4"/>
      <c r="P722" s="4"/>
      <c r="Q722" s="4"/>
      <c r="R722" s="4"/>
    </row>
    <row r="723">
      <c r="A723" s="5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4"/>
      <c r="O723" s="4"/>
      <c r="P723" s="4"/>
      <c r="Q723" s="4"/>
      <c r="R723" s="4"/>
    </row>
    <row r="724">
      <c r="A724" s="5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4"/>
      <c r="O724" s="4"/>
      <c r="P724" s="4"/>
      <c r="Q724" s="4"/>
      <c r="R724" s="4"/>
    </row>
    <row r="725">
      <c r="A725" s="5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4"/>
      <c r="O725" s="4"/>
      <c r="P725" s="4"/>
      <c r="Q725" s="4"/>
      <c r="R725" s="4"/>
    </row>
    <row r="726">
      <c r="A726" s="5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4"/>
      <c r="O726" s="4"/>
      <c r="P726" s="4"/>
      <c r="Q726" s="4"/>
      <c r="R726" s="4"/>
    </row>
    <row r="727">
      <c r="A727" s="5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4"/>
      <c r="O727" s="4"/>
      <c r="P727" s="4"/>
      <c r="Q727" s="4"/>
      <c r="R727" s="4"/>
    </row>
    <row r="728">
      <c r="A728" s="5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4"/>
      <c r="O728" s="4"/>
      <c r="P728" s="4"/>
      <c r="Q728" s="4"/>
      <c r="R728" s="4"/>
    </row>
    <row r="729">
      <c r="A729" s="5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4"/>
      <c r="O729" s="4"/>
      <c r="P729" s="4"/>
      <c r="Q729" s="4"/>
      <c r="R729" s="4"/>
    </row>
    <row r="730">
      <c r="A730" s="5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4"/>
      <c r="O730" s="4"/>
      <c r="P730" s="4"/>
      <c r="Q730" s="4"/>
      <c r="R730" s="4"/>
    </row>
    <row r="731">
      <c r="A731" s="5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4"/>
      <c r="O731" s="4"/>
      <c r="P731" s="4"/>
      <c r="Q731" s="4"/>
      <c r="R731" s="4"/>
    </row>
    <row r="732">
      <c r="A732" s="5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4"/>
      <c r="O732" s="4"/>
      <c r="P732" s="4"/>
      <c r="Q732" s="4"/>
      <c r="R732" s="4"/>
    </row>
    <row r="733">
      <c r="A733" s="5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4"/>
      <c r="O733" s="4"/>
      <c r="P733" s="4"/>
      <c r="Q733" s="4"/>
      <c r="R733" s="4"/>
    </row>
    <row r="734">
      <c r="A734" s="5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4"/>
      <c r="O734" s="4"/>
      <c r="P734" s="4"/>
      <c r="Q734" s="4"/>
      <c r="R734" s="4"/>
    </row>
    <row r="735">
      <c r="A735" s="5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4"/>
      <c r="O735" s="4"/>
      <c r="P735" s="4"/>
      <c r="Q735" s="4"/>
      <c r="R735" s="4"/>
    </row>
    <row r="736">
      <c r="A736" s="5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4"/>
      <c r="O736" s="4"/>
      <c r="P736" s="4"/>
      <c r="Q736" s="4"/>
      <c r="R736" s="4"/>
    </row>
    <row r="737">
      <c r="A737" s="5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4"/>
      <c r="O737" s="4"/>
      <c r="P737" s="4"/>
      <c r="Q737" s="4"/>
      <c r="R737" s="4"/>
    </row>
    <row r="738">
      <c r="A738" s="5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4"/>
      <c r="O738" s="4"/>
      <c r="P738" s="4"/>
      <c r="Q738" s="4"/>
      <c r="R738" s="4"/>
    </row>
    <row r="739">
      <c r="A739" s="5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4"/>
      <c r="O739" s="4"/>
      <c r="P739" s="4"/>
      <c r="Q739" s="4"/>
      <c r="R739" s="4"/>
    </row>
    <row r="740">
      <c r="A740" s="5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4"/>
      <c r="O740" s="4"/>
      <c r="P740" s="4"/>
      <c r="Q740" s="4"/>
      <c r="R740" s="4"/>
    </row>
    <row r="741">
      <c r="A741" s="5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4"/>
      <c r="O741" s="4"/>
      <c r="P741" s="4"/>
      <c r="Q741" s="4"/>
      <c r="R741" s="4"/>
    </row>
    <row r="742">
      <c r="A742" s="5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4"/>
      <c r="O742" s="4"/>
      <c r="P742" s="4"/>
      <c r="Q742" s="4"/>
      <c r="R742" s="4"/>
    </row>
    <row r="743">
      <c r="A743" s="5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4"/>
      <c r="O743" s="4"/>
      <c r="P743" s="4"/>
      <c r="Q743" s="4"/>
      <c r="R743" s="4"/>
    </row>
    <row r="744">
      <c r="A744" s="5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4"/>
      <c r="O744" s="4"/>
      <c r="P744" s="4"/>
      <c r="Q744" s="4"/>
      <c r="R744" s="4"/>
    </row>
    <row r="745">
      <c r="A745" s="5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4"/>
      <c r="O745" s="4"/>
      <c r="P745" s="4"/>
      <c r="Q745" s="4"/>
      <c r="R745" s="4"/>
    </row>
    <row r="746">
      <c r="A746" s="5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4"/>
      <c r="O746" s="4"/>
      <c r="P746" s="4"/>
      <c r="Q746" s="4"/>
      <c r="R746" s="4"/>
    </row>
    <row r="747">
      <c r="A747" s="5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4"/>
      <c r="O747" s="4"/>
      <c r="P747" s="4"/>
      <c r="Q747" s="4"/>
      <c r="R747" s="4"/>
    </row>
    <row r="748">
      <c r="A748" s="5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4"/>
      <c r="O748" s="4"/>
      <c r="P748" s="4"/>
      <c r="Q748" s="4"/>
      <c r="R748" s="4"/>
    </row>
    <row r="749">
      <c r="A749" s="5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4"/>
      <c r="O749" s="4"/>
      <c r="P749" s="4"/>
      <c r="Q749" s="4"/>
      <c r="R749" s="4"/>
    </row>
    <row r="750">
      <c r="A750" s="5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4"/>
      <c r="O750" s="4"/>
      <c r="P750" s="4"/>
      <c r="Q750" s="4"/>
      <c r="R750" s="4"/>
    </row>
    <row r="751">
      <c r="A751" s="5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4"/>
      <c r="O751" s="4"/>
      <c r="P751" s="4"/>
      <c r="Q751" s="4"/>
      <c r="R751" s="4"/>
    </row>
    <row r="752">
      <c r="A752" s="5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4"/>
      <c r="O752" s="4"/>
      <c r="P752" s="4"/>
      <c r="Q752" s="4"/>
      <c r="R752" s="4"/>
    </row>
    <row r="753">
      <c r="A753" s="5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4"/>
      <c r="O753" s="4"/>
      <c r="P753" s="4"/>
      <c r="Q753" s="4"/>
      <c r="R753" s="4"/>
    </row>
    <row r="754">
      <c r="A754" s="5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4"/>
      <c r="O754" s="4"/>
      <c r="P754" s="4"/>
      <c r="Q754" s="4"/>
      <c r="R754" s="4"/>
    </row>
    <row r="755">
      <c r="A755" s="5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4"/>
      <c r="O755" s="4"/>
      <c r="P755" s="4"/>
      <c r="Q755" s="4"/>
      <c r="R755" s="4"/>
    </row>
    <row r="756">
      <c r="A756" s="5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4"/>
      <c r="O756" s="4"/>
      <c r="P756" s="4"/>
      <c r="Q756" s="4"/>
      <c r="R756" s="4"/>
    </row>
    <row r="757">
      <c r="A757" s="5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4"/>
      <c r="O757" s="4"/>
      <c r="P757" s="4"/>
      <c r="Q757" s="4"/>
      <c r="R757" s="4"/>
    </row>
    <row r="758">
      <c r="A758" s="5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4"/>
      <c r="O758" s="4"/>
      <c r="P758" s="4"/>
      <c r="Q758" s="4"/>
      <c r="R758" s="4"/>
    </row>
    <row r="759">
      <c r="A759" s="5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4"/>
      <c r="O759" s="4"/>
      <c r="P759" s="4"/>
      <c r="Q759" s="4"/>
      <c r="R759" s="4"/>
    </row>
    <row r="760">
      <c r="A760" s="5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4"/>
      <c r="O760" s="4"/>
      <c r="P760" s="4"/>
      <c r="Q760" s="4"/>
      <c r="R760" s="4"/>
    </row>
    <row r="761">
      <c r="A761" s="5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4"/>
      <c r="O761" s="4"/>
      <c r="P761" s="4"/>
      <c r="Q761" s="4"/>
      <c r="R761" s="4"/>
    </row>
    <row r="762">
      <c r="A762" s="5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4"/>
      <c r="O762" s="4"/>
      <c r="P762" s="4"/>
      <c r="Q762" s="4"/>
      <c r="R762" s="4"/>
    </row>
    <row r="763">
      <c r="A763" s="5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4"/>
      <c r="O763" s="4"/>
      <c r="P763" s="4"/>
      <c r="Q763" s="4"/>
      <c r="R763" s="4"/>
    </row>
    <row r="764">
      <c r="A764" s="5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4"/>
      <c r="O764" s="4"/>
      <c r="P764" s="4"/>
      <c r="Q764" s="4"/>
      <c r="R764" s="4"/>
    </row>
    <row r="765">
      <c r="A765" s="5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4"/>
      <c r="O765" s="4"/>
      <c r="P765" s="4"/>
      <c r="Q765" s="4"/>
      <c r="R765" s="4"/>
    </row>
    <row r="766">
      <c r="A766" s="5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4"/>
      <c r="O766" s="4"/>
      <c r="P766" s="4"/>
      <c r="Q766" s="4"/>
      <c r="R766" s="4"/>
    </row>
    <row r="767">
      <c r="A767" s="5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4"/>
      <c r="O767" s="4"/>
      <c r="P767" s="4"/>
      <c r="Q767" s="4"/>
      <c r="R767" s="4"/>
    </row>
    <row r="768">
      <c r="A768" s="5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4"/>
      <c r="O768" s="4"/>
      <c r="P768" s="4"/>
      <c r="Q768" s="4"/>
      <c r="R768" s="4"/>
    </row>
    <row r="769">
      <c r="A769" s="5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4"/>
      <c r="O769" s="4"/>
      <c r="P769" s="4"/>
      <c r="Q769" s="4"/>
      <c r="R769" s="4"/>
    </row>
    <row r="770">
      <c r="A770" s="5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4"/>
      <c r="O770" s="4"/>
      <c r="P770" s="4"/>
      <c r="Q770" s="4"/>
      <c r="R770" s="4"/>
    </row>
    <row r="771">
      <c r="A771" s="5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4"/>
      <c r="O771" s="4"/>
      <c r="P771" s="4"/>
      <c r="Q771" s="4"/>
      <c r="R771" s="4"/>
    </row>
    <row r="772">
      <c r="A772" s="5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4"/>
      <c r="O772" s="4"/>
      <c r="P772" s="4"/>
      <c r="Q772" s="4"/>
      <c r="R772" s="4"/>
    </row>
    <row r="773">
      <c r="A773" s="5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4"/>
      <c r="O773" s="4"/>
      <c r="P773" s="4"/>
      <c r="Q773" s="4"/>
      <c r="R773" s="4"/>
    </row>
    <row r="774">
      <c r="A774" s="5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4"/>
      <c r="O774" s="4"/>
      <c r="P774" s="4"/>
      <c r="Q774" s="4"/>
      <c r="R774" s="4"/>
    </row>
    <row r="775">
      <c r="A775" s="5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4"/>
      <c r="O775" s="4"/>
      <c r="P775" s="4"/>
      <c r="Q775" s="4"/>
      <c r="R775" s="4"/>
    </row>
    <row r="776">
      <c r="A776" s="5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4"/>
      <c r="O776" s="4"/>
      <c r="P776" s="4"/>
      <c r="Q776" s="4"/>
      <c r="R776" s="4"/>
    </row>
    <row r="777">
      <c r="A777" s="5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4"/>
      <c r="O777" s="4"/>
      <c r="P777" s="4"/>
      <c r="Q777" s="4"/>
      <c r="R777" s="4"/>
    </row>
    <row r="778">
      <c r="A778" s="5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4"/>
      <c r="O778" s="4"/>
      <c r="P778" s="4"/>
      <c r="Q778" s="4"/>
      <c r="R778" s="4"/>
    </row>
    <row r="779">
      <c r="A779" s="5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4"/>
      <c r="O779" s="4"/>
      <c r="P779" s="4"/>
      <c r="Q779" s="4"/>
      <c r="R779" s="4"/>
    </row>
    <row r="780">
      <c r="A780" s="5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4"/>
      <c r="O780" s="4"/>
      <c r="P780" s="4"/>
      <c r="Q780" s="4"/>
      <c r="R780" s="4"/>
    </row>
    <row r="781">
      <c r="A781" s="5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4"/>
      <c r="O781" s="4"/>
      <c r="P781" s="4"/>
      <c r="Q781" s="4"/>
      <c r="R781" s="4"/>
    </row>
    <row r="782">
      <c r="A782" s="5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4"/>
      <c r="O782" s="4"/>
      <c r="P782" s="4"/>
      <c r="Q782" s="4"/>
      <c r="R782" s="4"/>
    </row>
    <row r="783">
      <c r="A783" s="5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4"/>
      <c r="O783" s="4"/>
      <c r="P783" s="4"/>
      <c r="Q783" s="4"/>
      <c r="R783" s="4"/>
    </row>
    <row r="784">
      <c r="A784" s="5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4"/>
      <c r="O784" s="4"/>
      <c r="P784" s="4"/>
      <c r="Q784" s="4"/>
      <c r="R784" s="4"/>
    </row>
    <row r="785">
      <c r="A785" s="5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4"/>
      <c r="O785" s="4"/>
      <c r="P785" s="4"/>
      <c r="Q785" s="4"/>
      <c r="R785" s="4"/>
    </row>
    <row r="786">
      <c r="A786" s="5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4"/>
      <c r="O786" s="4"/>
      <c r="P786" s="4"/>
      <c r="Q786" s="4"/>
      <c r="R786" s="4"/>
    </row>
    <row r="787">
      <c r="A787" s="5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4"/>
      <c r="O787" s="4"/>
      <c r="P787" s="4"/>
      <c r="Q787" s="4"/>
      <c r="R787" s="4"/>
    </row>
    <row r="788">
      <c r="A788" s="5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4"/>
      <c r="O788" s="4"/>
      <c r="P788" s="4"/>
      <c r="Q788" s="4"/>
      <c r="R788" s="4"/>
    </row>
    <row r="789">
      <c r="A789" s="5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4"/>
      <c r="O789" s="4"/>
      <c r="P789" s="4"/>
      <c r="Q789" s="4"/>
      <c r="R789" s="4"/>
    </row>
    <row r="790">
      <c r="A790" s="5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4"/>
      <c r="O790" s="4"/>
      <c r="P790" s="4"/>
      <c r="Q790" s="4"/>
      <c r="R790" s="4"/>
    </row>
    <row r="791">
      <c r="A791" s="5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4"/>
      <c r="O791" s="4"/>
      <c r="P791" s="4"/>
      <c r="Q791" s="4"/>
      <c r="R791" s="4"/>
    </row>
    <row r="792">
      <c r="A792" s="5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4"/>
      <c r="O792" s="4"/>
      <c r="P792" s="4"/>
      <c r="Q792" s="4"/>
      <c r="R792" s="4"/>
    </row>
    <row r="793">
      <c r="A793" s="5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4"/>
      <c r="O793" s="4"/>
      <c r="P793" s="4"/>
      <c r="Q793" s="4"/>
      <c r="R793" s="4"/>
    </row>
    <row r="794">
      <c r="A794" s="5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4"/>
      <c r="O794" s="4"/>
      <c r="P794" s="4"/>
      <c r="Q794" s="4"/>
      <c r="R794" s="4"/>
    </row>
    <row r="795">
      <c r="A795" s="5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4"/>
      <c r="O795" s="4"/>
      <c r="P795" s="4"/>
      <c r="Q795" s="4"/>
      <c r="R795" s="4"/>
    </row>
    <row r="796">
      <c r="A796" s="5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4"/>
      <c r="O796" s="4"/>
      <c r="P796" s="4"/>
      <c r="Q796" s="4"/>
      <c r="R796" s="4"/>
    </row>
    <row r="797">
      <c r="A797" s="5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4"/>
      <c r="O797" s="4"/>
      <c r="P797" s="4"/>
      <c r="Q797" s="4"/>
      <c r="R797" s="4"/>
    </row>
    <row r="798">
      <c r="A798" s="5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4"/>
      <c r="O798" s="4"/>
      <c r="P798" s="4"/>
      <c r="Q798" s="4"/>
      <c r="R798" s="4"/>
    </row>
    <row r="799">
      <c r="A799" s="5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4"/>
      <c r="O799" s="4"/>
      <c r="P799" s="4"/>
      <c r="Q799" s="4"/>
      <c r="R799" s="4"/>
    </row>
    <row r="800">
      <c r="A800" s="5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4"/>
      <c r="O800" s="4"/>
      <c r="P800" s="4"/>
      <c r="Q800" s="4"/>
      <c r="R800" s="4"/>
    </row>
    <row r="801">
      <c r="A801" s="5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4"/>
      <c r="O801" s="4"/>
      <c r="P801" s="4"/>
      <c r="Q801" s="4"/>
      <c r="R801" s="4"/>
    </row>
    <row r="802">
      <c r="A802" s="5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4"/>
      <c r="O802" s="4"/>
      <c r="P802" s="4"/>
      <c r="Q802" s="4"/>
      <c r="R802" s="4"/>
    </row>
    <row r="803">
      <c r="A803" s="5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4"/>
      <c r="O803" s="4"/>
      <c r="P803" s="4"/>
      <c r="Q803" s="4"/>
      <c r="R803" s="4"/>
    </row>
    <row r="804">
      <c r="A804" s="5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4"/>
      <c r="O804" s="4"/>
      <c r="P804" s="4"/>
      <c r="Q804" s="4"/>
      <c r="R804" s="4"/>
    </row>
    <row r="805">
      <c r="A805" s="5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4"/>
      <c r="O805" s="4"/>
      <c r="P805" s="4"/>
      <c r="Q805" s="4"/>
      <c r="R805" s="4"/>
    </row>
    <row r="806">
      <c r="A806" s="5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4"/>
      <c r="O806" s="4"/>
      <c r="P806" s="4"/>
      <c r="Q806" s="4"/>
      <c r="R806" s="4"/>
    </row>
    <row r="807">
      <c r="A807" s="5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4"/>
      <c r="O807" s="4"/>
      <c r="P807" s="4"/>
      <c r="Q807" s="4"/>
      <c r="R807" s="4"/>
    </row>
    <row r="808">
      <c r="A808" s="5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4"/>
      <c r="O808" s="4"/>
      <c r="P808" s="4"/>
      <c r="Q808" s="4"/>
      <c r="R808" s="4"/>
    </row>
    <row r="809">
      <c r="A809" s="5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4"/>
      <c r="O809" s="4"/>
      <c r="P809" s="4"/>
      <c r="Q809" s="4"/>
      <c r="R809" s="4"/>
    </row>
    <row r="810">
      <c r="A810" s="5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4"/>
      <c r="O810" s="4"/>
      <c r="P810" s="4"/>
      <c r="Q810" s="4"/>
      <c r="R810" s="4"/>
    </row>
    <row r="811">
      <c r="A811" s="5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4"/>
      <c r="O811" s="4"/>
      <c r="P811" s="4"/>
      <c r="Q811" s="4"/>
      <c r="R811" s="4"/>
    </row>
    <row r="812">
      <c r="A812" s="5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4"/>
      <c r="O812" s="4"/>
      <c r="P812" s="4"/>
      <c r="Q812" s="4"/>
      <c r="R812" s="4"/>
    </row>
    <row r="813">
      <c r="A813" s="5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4"/>
      <c r="O813" s="4"/>
      <c r="P813" s="4"/>
      <c r="Q813" s="4"/>
      <c r="R813" s="4"/>
    </row>
    <row r="814">
      <c r="A814" s="5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4"/>
      <c r="O814" s="4"/>
      <c r="P814" s="4"/>
      <c r="Q814" s="4"/>
      <c r="R814" s="4"/>
    </row>
    <row r="815">
      <c r="A815" s="5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4"/>
      <c r="O815" s="4"/>
      <c r="P815" s="4"/>
      <c r="Q815" s="4"/>
      <c r="R815" s="4"/>
    </row>
    <row r="816">
      <c r="A816" s="5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4"/>
      <c r="O816" s="4"/>
      <c r="P816" s="4"/>
      <c r="Q816" s="4"/>
      <c r="R816" s="4"/>
    </row>
    <row r="817">
      <c r="A817" s="5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4"/>
      <c r="O817" s="4"/>
      <c r="P817" s="4"/>
      <c r="Q817" s="4"/>
      <c r="R817" s="4"/>
    </row>
    <row r="818">
      <c r="A818" s="5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4"/>
      <c r="O818" s="4"/>
      <c r="P818" s="4"/>
      <c r="Q818" s="4"/>
      <c r="R818" s="4"/>
    </row>
    <row r="819">
      <c r="A819" s="5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4"/>
      <c r="O819" s="4"/>
      <c r="P819" s="4"/>
      <c r="Q819" s="4"/>
      <c r="R819" s="4"/>
    </row>
    <row r="820">
      <c r="A820" s="5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4"/>
      <c r="O820" s="4"/>
      <c r="P820" s="4"/>
      <c r="Q820" s="4"/>
      <c r="R820" s="4"/>
    </row>
    <row r="821">
      <c r="A821" s="5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4"/>
      <c r="O821" s="4"/>
      <c r="P821" s="4"/>
      <c r="Q821" s="4"/>
      <c r="R821" s="4"/>
    </row>
    <row r="822">
      <c r="A822" s="5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4"/>
      <c r="O822" s="4"/>
      <c r="P822" s="4"/>
      <c r="Q822" s="4"/>
      <c r="R822" s="4"/>
    </row>
    <row r="823">
      <c r="A823" s="5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4"/>
      <c r="O823" s="4"/>
      <c r="P823" s="4"/>
      <c r="Q823" s="4"/>
      <c r="R823" s="4"/>
    </row>
    <row r="824">
      <c r="A824" s="5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4"/>
      <c r="O824" s="4"/>
      <c r="P824" s="4"/>
      <c r="Q824" s="4"/>
      <c r="R824" s="4"/>
    </row>
    <row r="825">
      <c r="A825" s="5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4"/>
      <c r="O825" s="4"/>
      <c r="P825" s="4"/>
      <c r="Q825" s="4"/>
      <c r="R825" s="4"/>
    </row>
    <row r="826">
      <c r="A826" s="5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4"/>
      <c r="O826" s="4"/>
      <c r="P826" s="4"/>
      <c r="Q826" s="4"/>
      <c r="R826" s="4"/>
    </row>
    <row r="827">
      <c r="A827" s="5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4"/>
      <c r="O827" s="4"/>
      <c r="P827" s="4"/>
      <c r="Q827" s="4"/>
      <c r="R827" s="4"/>
    </row>
    <row r="828">
      <c r="A828" s="5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4"/>
      <c r="O828" s="4"/>
      <c r="P828" s="4"/>
      <c r="Q828" s="4"/>
      <c r="R828" s="4"/>
    </row>
    <row r="829">
      <c r="A829" s="5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4"/>
      <c r="O829" s="4"/>
      <c r="P829" s="4"/>
      <c r="Q829" s="4"/>
      <c r="R829" s="4"/>
    </row>
    <row r="830">
      <c r="A830" s="5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4"/>
      <c r="O830" s="4"/>
      <c r="P830" s="4"/>
      <c r="Q830" s="4"/>
      <c r="R830" s="4"/>
    </row>
    <row r="831">
      <c r="A831" s="5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4"/>
      <c r="O831" s="4"/>
      <c r="P831" s="4"/>
      <c r="Q831" s="4"/>
      <c r="R831" s="4"/>
    </row>
    <row r="832">
      <c r="A832" s="5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4"/>
      <c r="O832" s="4"/>
      <c r="P832" s="4"/>
      <c r="Q832" s="4"/>
      <c r="R832" s="4"/>
    </row>
    <row r="833">
      <c r="A833" s="5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4"/>
      <c r="O833" s="4"/>
      <c r="P833" s="4"/>
      <c r="Q833" s="4"/>
      <c r="R833" s="4"/>
    </row>
    <row r="834">
      <c r="A834" s="5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4"/>
      <c r="O834" s="4"/>
      <c r="P834" s="4"/>
      <c r="Q834" s="4"/>
      <c r="R834" s="4"/>
    </row>
    <row r="835">
      <c r="A835" s="5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4"/>
      <c r="O835" s="4"/>
      <c r="P835" s="4"/>
      <c r="Q835" s="4"/>
      <c r="R835" s="4"/>
    </row>
    <row r="836">
      <c r="A836" s="5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4"/>
      <c r="O836" s="4"/>
      <c r="P836" s="4"/>
      <c r="Q836" s="4"/>
      <c r="R836" s="4"/>
    </row>
    <row r="837">
      <c r="A837" s="5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4"/>
      <c r="O837" s="4"/>
      <c r="P837" s="4"/>
      <c r="Q837" s="4"/>
      <c r="R837" s="4"/>
    </row>
    <row r="838">
      <c r="A838" s="5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4"/>
      <c r="O838" s="4"/>
      <c r="P838" s="4"/>
      <c r="Q838" s="4"/>
      <c r="R838" s="4"/>
    </row>
    <row r="839">
      <c r="A839" s="5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4"/>
      <c r="O839" s="4"/>
      <c r="P839" s="4"/>
      <c r="Q839" s="4"/>
      <c r="R839" s="4"/>
    </row>
    <row r="840">
      <c r="A840" s="5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4"/>
      <c r="O840" s="4"/>
      <c r="P840" s="4"/>
      <c r="Q840" s="4"/>
      <c r="R840" s="4"/>
    </row>
    <row r="841">
      <c r="A841" s="5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4"/>
      <c r="O841" s="4"/>
      <c r="P841" s="4"/>
      <c r="Q841" s="4"/>
      <c r="R841" s="4"/>
    </row>
    <row r="842">
      <c r="A842" s="5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4"/>
      <c r="O842" s="4"/>
      <c r="P842" s="4"/>
      <c r="Q842" s="4"/>
      <c r="R842" s="4"/>
    </row>
    <row r="843">
      <c r="A843" s="5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4"/>
      <c r="O843" s="4"/>
      <c r="P843" s="4"/>
      <c r="Q843" s="4"/>
      <c r="R843" s="4"/>
    </row>
    <row r="844">
      <c r="A844" s="5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4"/>
      <c r="O844" s="4"/>
      <c r="P844" s="4"/>
      <c r="Q844" s="4"/>
      <c r="R844" s="4"/>
    </row>
    <row r="845">
      <c r="A845" s="5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4"/>
      <c r="O845" s="4"/>
      <c r="P845" s="4"/>
      <c r="Q845" s="4"/>
      <c r="R845" s="4"/>
    </row>
    <row r="846">
      <c r="A846" s="5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4"/>
      <c r="O846" s="4"/>
      <c r="P846" s="4"/>
      <c r="Q846" s="4"/>
      <c r="R846" s="4"/>
    </row>
    <row r="847">
      <c r="A847" s="5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4"/>
      <c r="O847" s="4"/>
      <c r="P847" s="4"/>
      <c r="Q847" s="4"/>
      <c r="R847" s="4"/>
    </row>
    <row r="848">
      <c r="A848" s="5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4"/>
      <c r="O848" s="4"/>
      <c r="P848" s="4"/>
      <c r="Q848" s="4"/>
      <c r="R848" s="4"/>
    </row>
    <row r="849">
      <c r="A849" s="5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4"/>
      <c r="O849" s="4"/>
      <c r="P849" s="4"/>
      <c r="Q849" s="4"/>
      <c r="R849" s="4"/>
    </row>
    <row r="850">
      <c r="A850" s="5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4"/>
      <c r="O850" s="4"/>
      <c r="P850" s="4"/>
      <c r="Q850" s="4"/>
      <c r="R850" s="4"/>
    </row>
    <row r="851">
      <c r="A851" s="5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4"/>
      <c r="O851" s="4"/>
      <c r="P851" s="4"/>
      <c r="Q851" s="4"/>
      <c r="R851" s="4"/>
    </row>
    <row r="852">
      <c r="A852" s="5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4"/>
      <c r="O852" s="4"/>
      <c r="P852" s="4"/>
      <c r="Q852" s="4"/>
      <c r="R852" s="4"/>
    </row>
    <row r="853">
      <c r="A853" s="5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4"/>
      <c r="O853" s="4"/>
      <c r="P853" s="4"/>
      <c r="Q853" s="4"/>
      <c r="R853" s="4"/>
    </row>
    <row r="854">
      <c r="A854" s="5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4"/>
      <c r="O854" s="4"/>
      <c r="P854" s="4"/>
      <c r="Q854" s="4"/>
      <c r="R854" s="4"/>
    </row>
    <row r="855">
      <c r="A855" s="5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4"/>
      <c r="O855" s="4"/>
      <c r="P855" s="4"/>
      <c r="Q855" s="4"/>
      <c r="R855" s="4"/>
    </row>
    <row r="856">
      <c r="A856" s="5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4"/>
      <c r="O856" s="4"/>
      <c r="P856" s="4"/>
      <c r="Q856" s="4"/>
      <c r="R856" s="4"/>
    </row>
    <row r="857">
      <c r="A857" s="5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4"/>
      <c r="O857" s="4"/>
      <c r="P857" s="4"/>
      <c r="Q857" s="4"/>
      <c r="R857" s="4"/>
    </row>
    <row r="858">
      <c r="A858" s="5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4"/>
      <c r="O858" s="4"/>
      <c r="P858" s="4"/>
      <c r="Q858" s="4"/>
      <c r="R858" s="4"/>
    </row>
    <row r="859">
      <c r="A859" s="5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4"/>
      <c r="O859" s="4"/>
      <c r="P859" s="4"/>
      <c r="Q859" s="4"/>
      <c r="R859" s="4"/>
    </row>
    <row r="860">
      <c r="A860" s="5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4"/>
      <c r="O860" s="4"/>
      <c r="P860" s="4"/>
      <c r="Q860" s="4"/>
      <c r="R860" s="4"/>
    </row>
    <row r="861">
      <c r="A861" s="5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4"/>
      <c r="O861" s="4"/>
      <c r="P861" s="4"/>
      <c r="Q861" s="4"/>
      <c r="R861" s="4"/>
    </row>
    <row r="862">
      <c r="A862" s="5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4"/>
      <c r="O862" s="4"/>
      <c r="P862" s="4"/>
      <c r="Q862" s="4"/>
      <c r="R862" s="4"/>
    </row>
    <row r="863">
      <c r="A863" s="5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4"/>
      <c r="O863" s="4"/>
      <c r="P863" s="4"/>
      <c r="Q863" s="4"/>
      <c r="R863" s="4"/>
    </row>
    <row r="864">
      <c r="A864" s="5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4"/>
      <c r="O864" s="4"/>
      <c r="P864" s="4"/>
      <c r="Q864" s="4"/>
      <c r="R864" s="4"/>
    </row>
    <row r="865">
      <c r="A865" s="5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4"/>
      <c r="O865" s="4"/>
      <c r="P865" s="4"/>
      <c r="Q865" s="4"/>
      <c r="R865" s="4"/>
    </row>
    <row r="866">
      <c r="A866" s="5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4"/>
      <c r="O866" s="4"/>
      <c r="P866" s="4"/>
      <c r="Q866" s="4"/>
      <c r="R866" s="4"/>
    </row>
    <row r="867">
      <c r="A867" s="5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4"/>
      <c r="O867" s="4"/>
      <c r="P867" s="4"/>
      <c r="Q867" s="4"/>
      <c r="R867" s="4"/>
    </row>
    <row r="868">
      <c r="A868" s="5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4"/>
      <c r="O868" s="4"/>
      <c r="P868" s="4"/>
      <c r="Q868" s="4"/>
      <c r="R868" s="4"/>
    </row>
    <row r="869">
      <c r="A869" s="5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4"/>
      <c r="O869" s="4"/>
      <c r="P869" s="4"/>
      <c r="Q869" s="4"/>
      <c r="R869" s="4"/>
    </row>
    <row r="870">
      <c r="A870" s="5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4"/>
      <c r="O870" s="4"/>
      <c r="P870" s="4"/>
      <c r="Q870" s="4"/>
      <c r="R870" s="4"/>
    </row>
    <row r="871">
      <c r="A871" s="5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4"/>
      <c r="O871" s="4"/>
      <c r="P871" s="4"/>
      <c r="Q871" s="4"/>
      <c r="R871" s="4"/>
    </row>
    <row r="872">
      <c r="A872" s="5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4"/>
      <c r="O872" s="4"/>
      <c r="P872" s="4"/>
      <c r="Q872" s="4"/>
      <c r="R872" s="4"/>
    </row>
    <row r="873">
      <c r="A873" s="5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4"/>
      <c r="O873" s="4"/>
      <c r="P873" s="4"/>
      <c r="Q873" s="4"/>
      <c r="R873" s="4"/>
    </row>
    <row r="874">
      <c r="A874" s="5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4"/>
      <c r="O874" s="4"/>
      <c r="P874" s="4"/>
      <c r="Q874" s="4"/>
      <c r="R874" s="4"/>
    </row>
    <row r="875">
      <c r="A875" s="5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4"/>
      <c r="O875" s="4"/>
      <c r="P875" s="4"/>
      <c r="Q875" s="4"/>
      <c r="R875" s="4"/>
    </row>
    <row r="876">
      <c r="A876" s="5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4"/>
      <c r="O876" s="4"/>
      <c r="P876" s="4"/>
      <c r="Q876" s="4"/>
      <c r="R876" s="4"/>
    </row>
    <row r="877">
      <c r="A877" s="5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4"/>
      <c r="O877" s="4"/>
      <c r="P877" s="4"/>
      <c r="Q877" s="4"/>
      <c r="R877" s="4"/>
    </row>
    <row r="878">
      <c r="A878" s="5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4"/>
      <c r="O878" s="4"/>
      <c r="P878" s="4"/>
      <c r="Q878" s="4"/>
      <c r="R878" s="4"/>
    </row>
    <row r="879">
      <c r="A879" s="5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4"/>
      <c r="O879" s="4"/>
      <c r="P879" s="4"/>
      <c r="Q879" s="4"/>
      <c r="R879" s="4"/>
    </row>
    <row r="880">
      <c r="A880" s="5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4"/>
      <c r="O880" s="4"/>
      <c r="P880" s="4"/>
      <c r="Q880" s="4"/>
      <c r="R880" s="4"/>
    </row>
    <row r="881">
      <c r="A881" s="5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4"/>
      <c r="O881" s="4"/>
      <c r="P881" s="4"/>
      <c r="Q881" s="4"/>
      <c r="R881" s="4"/>
    </row>
    <row r="882">
      <c r="A882" s="5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4"/>
      <c r="O882" s="4"/>
      <c r="P882" s="4"/>
      <c r="Q882" s="4"/>
      <c r="R882" s="4"/>
    </row>
    <row r="883">
      <c r="A883" s="5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4"/>
      <c r="O883" s="4"/>
      <c r="P883" s="4"/>
      <c r="Q883" s="4"/>
      <c r="R883" s="4"/>
    </row>
    <row r="884">
      <c r="A884" s="5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4"/>
      <c r="O884" s="4"/>
      <c r="P884" s="4"/>
      <c r="Q884" s="4"/>
      <c r="R884" s="4"/>
    </row>
    <row r="885">
      <c r="A885" s="5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4"/>
      <c r="O885" s="4"/>
      <c r="P885" s="4"/>
      <c r="Q885" s="4"/>
      <c r="R885" s="4"/>
    </row>
    <row r="886">
      <c r="A886" s="5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4"/>
      <c r="O886" s="4"/>
      <c r="P886" s="4"/>
      <c r="Q886" s="4"/>
      <c r="R886" s="4"/>
    </row>
    <row r="887">
      <c r="A887" s="5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4"/>
      <c r="O887" s="4"/>
      <c r="P887" s="4"/>
      <c r="Q887" s="4"/>
      <c r="R887" s="4"/>
    </row>
    <row r="888">
      <c r="A888" s="5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4"/>
      <c r="O888" s="4"/>
      <c r="P888" s="4"/>
      <c r="Q888" s="4"/>
      <c r="R888" s="4"/>
    </row>
    <row r="889">
      <c r="A889" s="5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4"/>
      <c r="O889" s="4"/>
      <c r="P889" s="4"/>
      <c r="Q889" s="4"/>
      <c r="R889" s="4"/>
    </row>
    <row r="890">
      <c r="A890" s="5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4"/>
      <c r="O890" s="4"/>
      <c r="P890" s="4"/>
      <c r="Q890" s="4"/>
      <c r="R890" s="4"/>
    </row>
    <row r="891">
      <c r="A891" s="5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4"/>
      <c r="O891" s="4"/>
      <c r="P891" s="4"/>
      <c r="Q891" s="4"/>
      <c r="R891" s="4"/>
    </row>
    <row r="892">
      <c r="A892" s="5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4"/>
      <c r="O892" s="4"/>
      <c r="P892" s="4"/>
      <c r="Q892" s="4"/>
      <c r="R892" s="4"/>
    </row>
    <row r="893">
      <c r="A893" s="5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4"/>
      <c r="O893" s="4"/>
      <c r="P893" s="4"/>
      <c r="Q893" s="4"/>
      <c r="R893" s="4"/>
    </row>
    <row r="894">
      <c r="A894" s="5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4"/>
      <c r="O894" s="4"/>
      <c r="P894" s="4"/>
      <c r="Q894" s="4"/>
      <c r="R894" s="4"/>
    </row>
    <row r="895">
      <c r="A895" s="5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4"/>
      <c r="O895" s="4"/>
      <c r="P895" s="4"/>
      <c r="Q895" s="4"/>
      <c r="R895" s="4"/>
    </row>
    <row r="896">
      <c r="A896" s="5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4"/>
      <c r="O896" s="4"/>
      <c r="P896" s="4"/>
      <c r="Q896" s="4"/>
      <c r="R896" s="4"/>
    </row>
    <row r="897">
      <c r="A897" s="5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4"/>
      <c r="O897" s="4"/>
      <c r="P897" s="4"/>
      <c r="Q897" s="4"/>
      <c r="R897" s="4"/>
    </row>
    <row r="898">
      <c r="A898" s="5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4"/>
      <c r="O898" s="4"/>
      <c r="P898" s="4"/>
      <c r="Q898" s="4"/>
      <c r="R898" s="4"/>
    </row>
    <row r="899">
      <c r="A899" s="5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4"/>
      <c r="O899" s="4"/>
      <c r="P899" s="4"/>
      <c r="Q899" s="4"/>
      <c r="R899" s="4"/>
    </row>
    <row r="900">
      <c r="A900" s="5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4"/>
      <c r="O900" s="4"/>
      <c r="P900" s="4"/>
      <c r="Q900" s="4"/>
      <c r="R900" s="4"/>
    </row>
    <row r="901">
      <c r="A901" s="5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4"/>
      <c r="O901" s="4"/>
      <c r="P901" s="4"/>
      <c r="Q901" s="4"/>
      <c r="R901" s="4"/>
    </row>
    <row r="902">
      <c r="A902" s="5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4"/>
      <c r="O902" s="4"/>
      <c r="P902" s="4"/>
      <c r="Q902" s="4"/>
      <c r="R902" s="4"/>
    </row>
    <row r="903">
      <c r="A903" s="5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4"/>
      <c r="O903" s="4"/>
      <c r="P903" s="4"/>
      <c r="Q903" s="4"/>
      <c r="R903" s="4"/>
    </row>
    <row r="904">
      <c r="A904" s="5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4"/>
      <c r="O904" s="4"/>
      <c r="P904" s="4"/>
      <c r="Q904" s="4"/>
      <c r="R904" s="4"/>
    </row>
    <row r="905">
      <c r="A905" s="5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4"/>
      <c r="O905" s="4"/>
      <c r="P905" s="4"/>
      <c r="Q905" s="4"/>
      <c r="R905" s="4"/>
    </row>
    <row r="906">
      <c r="A906" s="5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4"/>
      <c r="O906" s="4"/>
      <c r="P906" s="4"/>
      <c r="Q906" s="4"/>
      <c r="R906" s="4"/>
    </row>
    <row r="907">
      <c r="A907" s="5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4"/>
      <c r="O907" s="4"/>
      <c r="P907" s="4"/>
      <c r="Q907" s="4"/>
      <c r="R907" s="4"/>
    </row>
    <row r="908">
      <c r="A908" s="5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4"/>
      <c r="O908" s="4"/>
      <c r="P908" s="4"/>
      <c r="Q908" s="4"/>
      <c r="R908" s="4"/>
    </row>
    <row r="909">
      <c r="A909" s="5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4"/>
      <c r="O909" s="4"/>
      <c r="P909" s="4"/>
      <c r="Q909" s="4"/>
      <c r="R909" s="4"/>
    </row>
    <row r="910">
      <c r="A910" s="5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4"/>
      <c r="O910" s="4"/>
      <c r="P910" s="4"/>
      <c r="Q910" s="4"/>
      <c r="R910" s="4"/>
    </row>
    <row r="911">
      <c r="A911" s="5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4"/>
      <c r="O911" s="4"/>
      <c r="P911" s="4"/>
      <c r="Q911" s="4"/>
      <c r="R911" s="4"/>
    </row>
    <row r="912">
      <c r="A912" s="5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4"/>
      <c r="O912" s="4"/>
      <c r="P912" s="4"/>
      <c r="Q912" s="4"/>
      <c r="R912" s="4"/>
    </row>
    <row r="913">
      <c r="A913" s="5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4"/>
      <c r="O913" s="4"/>
      <c r="P913" s="4"/>
      <c r="Q913" s="4"/>
      <c r="R913" s="4"/>
    </row>
    <row r="914">
      <c r="A914" s="5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4"/>
      <c r="O914" s="4"/>
      <c r="P914" s="4"/>
      <c r="Q914" s="4"/>
      <c r="R914" s="4"/>
    </row>
    <row r="915">
      <c r="A915" s="5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4"/>
      <c r="O915" s="4"/>
      <c r="P915" s="4"/>
      <c r="Q915" s="4"/>
      <c r="R915" s="4"/>
    </row>
    <row r="916">
      <c r="A916" s="5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4"/>
      <c r="O916" s="4"/>
      <c r="P916" s="4"/>
      <c r="Q916" s="4"/>
      <c r="R916" s="4"/>
    </row>
    <row r="917">
      <c r="A917" s="5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4"/>
      <c r="O917" s="4"/>
      <c r="P917" s="4"/>
      <c r="Q917" s="4"/>
      <c r="R917" s="4"/>
    </row>
    <row r="918">
      <c r="A918" s="5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4"/>
      <c r="O918" s="4"/>
      <c r="P918" s="4"/>
      <c r="Q918" s="4"/>
      <c r="R918" s="4"/>
    </row>
    <row r="919">
      <c r="A919" s="5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4"/>
      <c r="O919" s="4"/>
      <c r="P919" s="4"/>
      <c r="Q919" s="4"/>
      <c r="R919" s="4"/>
    </row>
    <row r="920">
      <c r="A920" s="5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4"/>
      <c r="O920" s="4"/>
      <c r="P920" s="4"/>
      <c r="Q920" s="4"/>
      <c r="R920" s="4"/>
    </row>
    <row r="921">
      <c r="A921" s="5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4"/>
      <c r="O921" s="4"/>
      <c r="P921" s="4"/>
      <c r="Q921" s="4"/>
      <c r="R921" s="4"/>
    </row>
    <row r="922">
      <c r="A922" s="5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4"/>
      <c r="O922" s="4"/>
      <c r="P922" s="4"/>
      <c r="Q922" s="4"/>
      <c r="R922" s="4"/>
    </row>
    <row r="923">
      <c r="A923" s="5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4"/>
      <c r="O923" s="4"/>
      <c r="P923" s="4"/>
      <c r="Q923" s="4"/>
      <c r="R923" s="4"/>
    </row>
    <row r="924">
      <c r="A924" s="5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4"/>
      <c r="O924" s="4"/>
      <c r="P924" s="4"/>
      <c r="Q924" s="4"/>
      <c r="R924" s="4"/>
    </row>
    <row r="925">
      <c r="A925" s="5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4"/>
      <c r="O925" s="4"/>
      <c r="P925" s="4"/>
      <c r="Q925" s="4"/>
      <c r="R925" s="4"/>
    </row>
    <row r="926">
      <c r="A926" s="5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4"/>
      <c r="O926" s="4"/>
      <c r="P926" s="4"/>
      <c r="Q926" s="4"/>
      <c r="R926" s="4"/>
    </row>
    <row r="927">
      <c r="A927" s="5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4"/>
      <c r="O927" s="4"/>
      <c r="P927" s="4"/>
      <c r="Q927" s="4"/>
      <c r="R927" s="4"/>
    </row>
    <row r="928">
      <c r="A928" s="5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4"/>
      <c r="O928" s="4"/>
      <c r="P928" s="4"/>
      <c r="Q928" s="4"/>
      <c r="R928" s="4"/>
    </row>
    <row r="929">
      <c r="A929" s="5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4"/>
      <c r="O929" s="4"/>
      <c r="P929" s="4"/>
      <c r="Q929" s="4"/>
      <c r="R929" s="4"/>
    </row>
    <row r="930">
      <c r="A930" s="5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4"/>
      <c r="O930" s="4"/>
      <c r="P930" s="4"/>
      <c r="Q930" s="4"/>
      <c r="R930" s="4"/>
    </row>
    <row r="931">
      <c r="A931" s="5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4"/>
      <c r="O931" s="4"/>
      <c r="P931" s="4"/>
      <c r="Q931" s="4"/>
      <c r="R931" s="4"/>
    </row>
    <row r="932">
      <c r="A932" s="5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4"/>
      <c r="O932" s="4"/>
      <c r="P932" s="4"/>
      <c r="Q932" s="4"/>
      <c r="R932" s="4"/>
    </row>
    <row r="933">
      <c r="A933" s="5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4"/>
      <c r="O933" s="4"/>
      <c r="P933" s="4"/>
      <c r="Q933" s="4"/>
      <c r="R933" s="4"/>
    </row>
    <row r="934">
      <c r="A934" s="5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4"/>
      <c r="O934" s="4"/>
      <c r="P934" s="4"/>
      <c r="Q934" s="4"/>
      <c r="R934" s="4"/>
    </row>
    <row r="935">
      <c r="A935" s="5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4"/>
      <c r="O935" s="4"/>
      <c r="P935" s="4"/>
      <c r="Q935" s="4"/>
      <c r="R935" s="4"/>
    </row>
    <row r="936">
      <c r="A936" s="5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4"/>
      <c r="O936" s="4"/>
      <c r="P936" s="4"/>
      <c r="Q936" s="4"/>
      <c r="R936" s="4"/>
    </row>
    <row r="937">
      <c r="A937" s="5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4"/>
      <c r="O937" s="4"/>
      <c r="P937" s="4"/>
      <c r="Q937" s="4"/>
      <c r="R937" s="4"/>
    </row>
    <row r="938">
      <c r="A938" s="5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4"/>
      <c r="O938" s="4"/>
      <c r="P938" s="4"/>
      <c r="Q938" s="4"/>
      <c r="R938" s="4"/>
    </row>
    <row r="939">
      <c r="A939" s="5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4"/>
      <c r="O939" s="4"/>
      <c r="P939" s="4"/>
      <c r="Q939" s="4"/>
      <c r="R939" s="4"/>
    </row>
    <row r="940">
      <c r="A940" s="5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4"/>
      <c r="O940" s="4"/>
      <c r="P940" s="4"/>
      <c r="Q940" s="4"/>
      <c r="R940" s="4"/>
    </row>
    <row r="941">
      <c r="A941" s="5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4"/>
      <c r="O941" s="4"/>
      <c r="P941" s="4"/>
      <c r="Q941" s="4"/>
      <c r="R941" s="4"/>
    </row>
    <row r="942">
      <c r="A942" s="5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4"/>
      <c r="O942" s="4"/>
      <c r="P942" s="4"/>
      <c r="Q942" s="4"/>
      <c r="R942" s="4"/>
    </row>
    <row r="943">
      <c r="A943" s="5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4"/>
      <c r="O943" s="4"/>
      <c r="P943" s="4"/>
      <c r="Q943" s="4"/>
      <c r="R943" s="4"/>
    </row>
    <row r="944">
      <c r="A944" s="5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4"/>
      <c r="O944" s="4"/>
      <c r="P944" s="4"/>
      <c r="Q944" s="4"/>
      <c r="R944" s="4"/>
    </row>
    <row r="945">
      <c r="A945" s="5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4"/>
      <c r="O945" s="4"/>
      <c r="P945" s="4"/>
      <c r="Q945" s="4"/>
      <c r="R945" s="4"/>
    </row>
    <row r="946">
      <c r="A946" s="5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4"/>
      <c r="O946" s="4"/>
      <c r="P946" s="4"/>
      <c r="Q946" s="4"/>
      <c r="R946" s="4"/>
    </row>
    <row r="947">
      <c r="A947" s="5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4"/>
      <c r="O947" s="4"/>
      <c r="P947" s="4"/>
      <c r="Q947" s="4"/>
      <c r="R947" s="4"/>
    </row>
    <row r="948">
      <c r="A948" s="5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4"/>
      <c r="O948" s="4"/>
      <c r="P948" s="4"/>
      <c r="Q948" s="4"/>
      <c r="R948" s="4"/>
    </row>
    <row r="949">
      <c r="A949" s="5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4"/>
      <c r="O949" s="4"/>
      <c r="P949" s="4"/>
      <c r="Q949" s="4"/>
      <c r="R949" s="4"/>
    </row>
    <row r="950">
      <c r="A950" s="5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4"/>
      <c r="O950" s="4"/>
      <c r="P950" s="4"/>
      <c r="Q950" s="4"/>
      <c r="R950" s="4"/>
    </row>
    <row r="951">
      <c r="A951" s="5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4"/>
      <c r="O951" s="4"/>
      <c r="P951" s="4"/>
      <c r="Q951" s="4"/>
      <c r="R951" s="4"/>
    </row>
    <row r="952">
      <c r="A952" s="5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4"/>
      <c r="O952" s="4"/>
      <c r="P952" s="4"/>
      <c r="Q952" s="4"/>
      <c r="R952" s="4"/>
    </row>
    <row r="953">
      <c r="A953" s="5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4"/>
      <c r="O953" s="4"/>
      <c r="P953" s="4"/>
      <c r="Q953" s="4"/>
      <c r="R953" s="4"/>
    </row>
    <row r="954">
      <c r="A954" s="5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4"/>
      <c r="O954" s="4"/>
      <c r="P954" s="4"/>
      <c r="Q954" s="4"/>
      <c r="R954" s="4"/>
    </row>
    <row r="955">
      <c r="A955" s="5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4"/>
      <c r="O955" s="4"/>
      <c r="P955" s="4"/>
      <c r="Q955" s="4"/>
      <c r="R955" s="4"/>
    </row>
    <row r="956">
      <c r="A956" s="5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4"/>
      <c r="O956" s="4"/>
      <c r="P956" s="4"/>
      <c r="Q956" s="4"/>
      <c r="R956" s="4"/>
    </row>
    <row r="957">
      <c r="A957" s="5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4"/>
      <c r="O957" s="4"/>
      <c r="P957" s="4"/>
      <c r="Q957" s="4"/>
      <c r="R957" s="4"/>
    </row>
    <row r="958">
      <c r="A958" s="5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4"/>
      <c r="O958" s="4"/>
      <c r="P958" s="4"/>
      <c r="Q958" s="4"/>
      <c r="R958" s="4"/>
    </row>
    <row r="959">
      <c r="A959" s="5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4"/>
      <c r="O959" s="4"/>
      <c r="P959" s="4"/>
      <c r="Q959" s="4"/>
      <c r="R959" s="4"/>
    </row>
    <row r="960">
      <c r="A960" s="5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4"/>
      <c r="O960" s="4"/>
      <c r="P960" s="4"/>
      <c r="Q960" s="4"/>
      <c r="R960" s="4"/>
    </row>
    <row r="961">
      <c r="A961" s="5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4"/>
      <c r="O961" s="4"/>
      <c r="P961" s="4"/>
      <c r="Q961" s="4"/>
      <c r="R961" s="4"/>
    </row>
    <row r="962">
      <c r="A962" s="5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4"/>
      <c r="O962" s="4"/>
      <c r="P962" s="4"/>
      <c r="Q962" s="4"/>
      <c r="R962" s="4"/>
    </row>
    <row r="963">
      <c r="A963" s="5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4"/>
      <c r="O963" s="4"/>
      <c r="P963" s="4"/>
      <c r="Q963" s="4"/>
      <c r="R963" s="4"/>
    </row>
    <row r="964">
      <c r="A964" s="5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4"/>
      <c r="O964" s="4"/>
      <c r="P964" s="4"/>
      <c r="Q964" s="4"/>
      <c r="R964" s="4"/>
    </row>
    <row r="965">
      <c r="A965" s="5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4"/>
      <c r="O965" s="4"/>
      <c r="P965" s="4"/>
      <c r="Q965" s="4"/>
      <c r="R965" s="4"/>
    </row>
    <row r="966">
      <c r="A966" s="5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4"/>
      <c r="O966" s="4"/>
      <c r="P966" s="4"/>
      <c r="Q966" s="4"/>
      <c r="R966" s="4"/>
    </row>
    <row r="967">
      <c r="A967" s="5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4"/>
      <c r="O967" s="4"/>
      <c r="P967" s="4"/>
      <c r="Q967" s="4"/>
      <c r="R967" s="4"/>
    </row>
    <row r="968">
      <c r="A968" s="5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4"/>
      <c r="O968" s="4"/>
      <c r="P968" s="4"/>
      <c r="Q968" s="4"/>
      <c r="R968" s="4"/>
    </row>
    <row r="969">
      <c r="A969" s="5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4"/>
      <c r="O969" s="4"/>
      <c r="P969" s="4"/>
      <c r="Q969" s="4"/>
      <c r="R969" s="4"/>
    </row>
    <row r="970">
      <c r="A970" s="5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4"/>
      <c r="O970" s="4"/>
      <c r="P970" s="4"/>
      <c r="Q970" s="4"/>
      <c r="R970" s="4"/>
    </row>
    <row r="971">
      <c r="A971" s="5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4"/>
      <c r="O971" s="4"/>
      <c r="P971" s="4"/>
      <c r="Q971" s="4"/>
      <c r="R971" s="4"/>
    </row>
    <row r="972">
      <c r="A972" s="5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4"/>
      <c r="O972" s="4"/>
      <c r="P972" s="4"/>
      <c r="Q972" s="4"/>
      <c r="R972" s="4"/>
    </row>
    <row r="973">
      <c r="A973" s="5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4"/>
      <c r="O973" s="4"/>
      <c r="P973" s="4"/>
      <c r="Q973" s="4"/>
      <c r="R973" s="4"/>
    </row>
    <row r="974">
      <c r="A974" s="5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4"/>
      <c r="O974" s="4"/>
      <c r="P974" s="4"/>
      <c r="Q974" s="4"/>
      <c r="R974" s="4"/>
    </row>
    <row r="975">
      <c r="A975" s="5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4"/>
      <c r="O975" s="4"/>
      <c r="P975" s="4"/>
      <c r="Q975" s="4"/>
      <c r="R975" s="4"/>
    </row>
    <row r="976">
      <c r="A976" s="5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4"/>
      <c r="O976" s="4"/>
      <c r="P976" s="4"/>
      <c r="Q976" s="4"/>
      <c r="R976" s="4"/>
    </row>
    <row r="977">
      <c r="A977" s="5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4"/>
      <c r="O977" s="4"/>
      <c r="P977" s="4"/>
      <c r="Q977" s="4"/>
      <c r="R977" s="4"/>
    </row>
    <row r="978">
      <c r="A978" s="5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4"/>
      <c r="O978" s="4"/>
      <c r="P978" s="4"/>
      <c r="Q978" s="4"/>
      <c r="R978" s="4"/>
    </row>
    <row r="979">
      <c r="A979" s="5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4"/>
      <c r="O979" s="4"/>
      <c r="P979" s="4"/>
      <c r="Q979" s="4"/>
      <c r="R979" s="4"/>
    </row>
    <row r="980">
      <c r="A980" s="5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4"/>
      <c r="O980" s="4"/>
      <c r="P980" s="4"/>
      <c r="Q980" s="4"/>
      <c r="R980" s="4"/>
    </row>
    <row r="981">
      <c r="A981" s="5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4"/>
      <c r="O981" s="4"/>
      <c r="P981" s="4"/>
      <c r="Q981" s="4"/>
      <c r="R981" s="4"/>
    </row>
    <row r="982">
      <c r="A982" s="5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4"/>
      <c r="O982" s="4"/>
      <c r="P982" s="4"/>
      <c r="Q982" s="4"/>
      <c r="R982" s="4"/>
    </row>
    <row r="983">
      <c r="A983" s="5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4"/>
      <c r="O983" s="4"/>
      <c r="P983" s="4"/>
      <c r="Q983" s="4"/>
      <c r="R983" s="4"/>
    </row>
    <row r="984">
      <c r="A984" s="5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4"/>
      <c r="O984" s="4"/>
      <c r="P984" s="4"/>
      <c r="Q984" s="4"/>
      <c r="R984" s="4"/>
    </row>
    <row r="985">
      <c r="A985" s="5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4"/>
      <c r="O985" s="4"/>
      <c r="P985" s="4"/>
      <c r="Q985" s="4"/>
      <c r="R985" s="4"/>
    </row>
    <row r="986">
      <c r="A986" s="1"/>
      <c r="B986" s="8"/>
      <c r="C986" s="2"/>
      <c r="D986" s="2"/>
      <c r="E986" s="2"/>
      <c r="F986" s="2"/>
      <c r="G986" s="7"/>
      <c r="H986" s="7"/>
      <c r="I986" s="7"/>
      <c r="J986" s="7"/>
      <c r="K986" s="7"/>
      <c r="L986" s="7"/>
      <c r="M986" s="7"/>
      <c r="N986" s="4"/>
      <c r="O986" s="4"/>
      <c r="P986" s="4"/>
      <c r="Q986" s="4"/>
      <c r="R986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8.63"/>
    <col customWidth="1" min="6" max="6" width="13.5"/>
    <col customWidth="1" min="7" max="7" width="12.88"/>
    <col customWidth="1" min="8" max="8" width="18.25"/>
    <col customWidth="1" min="10" max="13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</row>
    <row r="2">
      <c r="A2" s="1">
        <v>44866.55888888889</v>
      </c>
      <c r="B2" s="2" t="s">
        <v>42</v>
      </c>
      <c r="C2" s="2" t="s">
        <v>43</v>
      </c>
      <c r="D2" s="2"/>
      <c r="E2" s="2" t="s">
        <v>44</v>
      </c>
      <c r="F2" s="8"/>
      <c r="G2" s="2"/>
      <c r="H2" s="2"/>
      <c r="I2" s="8"/>
      <c r="J2" s="2" t="s">
        <v>45</v>
      </c>
      <c r="K2" s="2" t="s">
        <v>46</v>
      </c>
      <c r="L2" s="2" t="s">
        <v>47</v>
      </c>
      <c r="M2" s="2" t="s">
        <v>48</v>
      </c>
      <c r="N2" s="4"/>
      <c r="O2" s="4"/>
      <c r="P2" s="4"/>
      <c r="Q2" s="4"/>
      <c r="R2" s="4"/>
    </row>
    <row r="3">
      <c r="A3" s="1">
        <v>44866.5606712963</v>
      </c>
      <c r="B3" s="2" t="s">
        <v>42</v>
      </c>
      <c r="C3" s="2" t="s">
        <v>43</v>
      </c>
      <c r="D3" s="2"/>
      <c r="E3" s="2" t="s">
        <v>44</v>
      </c>
      <c r="F3" s="8"/>
      <c r="G3" s="2"/>
      <c r="H3" s="2"/>
      <c r="I3" s="8"/>
      <c r="J3" s="2" t="s">
        <v>49</v>
      </c>
      <c r="K3" s="2" t="s">
        <v>50</v>
      </c>
      <c r="L3" s="2" t="s">
        <v>51</v>
      </c>
      <c r="M3" s="2" t="s">
        <v>52</v>
      </c>
      <c r="N3" s="4"/>
      <c r="O3" s="4"/>
      <c r="P3" s="4"/>
      <c r="Q3" s="4"/>
      <c r="R3" s="4"/>
    </row>
    <row r="4">
      <c r="A4" s="1">
        <v>44866.56079861111</v>
      </c>
      <c r="B4" s="2" t="s">
        <v>42</v>
      </c>
      <c r="C4" s="2" t="s">
        <v>53</v>
      </c>
      <c r="D4" s="2"/>
      <c r="E4" s="2" t="s">
        <v>44</v>
      </c>
      <c r="F4" s="8"/>
      <c r="G4" s="2"/>
      <c r="H4" s="2"/>
      <c r="I4" s="8"/>
      <c r="J4" s="2" t="s">
        <v>54</v>
      </c>
      <c r="K4" s="2" t="s">
        <v>55</v>
      </c>
      <c r="L4" s="2" t="s">
        <v>56</v>
      </c>
      <c r="M4" s="2" t="s">
        <v>57</v>
      </c>
      <c r="N4" s="4"/>
      <c r="O4" s="4"/>
      <c r="P4" s="4"/>
      <c r="Q4" s="4"/>
      <c r="R4" s="4"/>
    </row>
    <row r="5">
      <c r="A5" s="1">
        <v>44866.59480324074</v>
      </c>
      <c r="B5" s="2" t="s">
        <v>58</v>
      </c>
      <c r="C5" s="2" t="s">
        <v>59</v>
      </c>
      <c r="D5" s="2"/>
      <c r="E5" s="2" t="s">
        <v>44</v>
      </c>
      <c r="F5" s="8"/>
      <c r="G5" s="2"/>
      <c r="H5" s="2"/>
      <c r="I5" s="8"/>
      <c r="J5" s="2" t="s">
        <v>60</v>
      </c>
      <c r="K5" s="2" t="s">
        <v>61</v>
      </c>
      <c r="L5" s="2" t="s">
        <v>62</v>
      </c>
      <c r="M5" s="2" t="s">
        <v>63</v>
      </c>
      <c r="N5" s="4"/>
      <c r="O5" s="4"/>
      <c r="P5" s="4"/>
      <c r="Q5" s="4"/>
      <c r="R5" s="4"/>
    </row>
    <row r="6">
      <c r="A6" s="1">
        <v>44866.62851851852</v>
      </c>
      <c r="B6" s="2" t="s">
        <v>42</v>
      </c>
      <c r="C6" s="2" t="s">
        <v>64</v>
      </c>
      <c r="D6" s="2"/>
      <c r="E6" s="2" t="s">
        <v>44</v>
      </c>
      <c r="F6" s="8"/>
      <c r="G6" s="2"/>
      <c r="H6" s="2"/>
      <c r="I6" s="8"/>
      <c r="J6" s="2" t="s">
        <v>65</v>
      </c>
      <c r="K6" s="2" t="s">
        <v>66</v>
      </c>
      <c r="L6" s="2" t="s">
        <v>67</v>
      </c>
      <c r="M6" s="2" t="s">
        <v>68</v>
      </c>
      <c r="N6" s="4"/>
      <c r="O6" s="4"/>
      <c r="P6" s="4"/>
      <c r="Q6" s="4"/>
      <c r="R6" s="4"/>
    </row>
    <row r="7">
      <c r="A7" s="1">
        <v>44873.59511574074</v>
      </c>
      <c r="B7" s="2" t="s">
        <v>69</v>
      </c>
      <c r="C7" s="2" t="s">
        <v>70</v>
      </c>
      <c r="D7" s="2"/>
      <c r="E7" s="2" t="s">
        <v>44</v>
      </c>
      <c r="F7" s="2"/>
      <c r="G7" s="2"/>
      <c r="H7" s="2"/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4"/>
      <c r="O7" s="4"/>
      <c r="P7" s="4"/>
      <c r="Q7" s="4"/>
      <c r="R7" s="4"/>
    </row>
    <row r="8">
      <c r="A8" s="1">
        <v>44932.38711805556</v>
      </c>
      <c r="B8" s="8"/>
      <c r="C8" s="2" t="s">
        <v>76</v>
      </c>
      <c r="D8" s="2"/>
      <c r="E8" s="2" t="s">
        <v>15</v>
      </c>
      <c r="F8" s="4"/>
      <c r="G8" s="2"/>
      <c r="H8" s="2" t="s">
        <v>77</v>
      </c>
      <c r="I8" s="4"/>
      <c r="J8" s="2" t="s">
        <v>78</v>
      </c>
      <c r="K8" s="2" t="s">
        <v>79</v>
      </c>
      <c r="L8" s="2" t="s">
        <v>80</v>
      </c>
      <c r="M8" s="2" t="s">
        <v>81</v>
      </c>
      <c r="N8" s="3"/>
      <c r="O8" s="4"/>
      <c r="P8" s="4"/>
      <c r="Q8" s="4"/>
      <c r="R8" s="4"/>
    </row>
    <row r="9">
      <c r="A9" s="1">
        <v>44986.49099537037</v>
      </c>
      <c r="B9" s="8"/>
      <c r="C9" s="2" t="s">
        <v>82</v>
      </c>
      <c r="D9" s="2"/>
      <c r="E9" s="2" t="s">
        <v>15</v>
      </c>
      <c r="F9" s="4"/>
      <c r="G9" s="2"/>
      <c r="H9" s="2" t="s">
        <v>83</v>
      </c>
      <c r="I9" s="3" t="s">
        <v>84</v>
      </c>
      <c r="J9" s="7" t="s">
        <v>85</v>
      </c>
      <c r="K9" s="7" t="s">
        <v>86</v>
      </c>
      <c r="L9" s="7" t="s">
        <v>87</v>
      </c>
      <c r="M9" s="7" t="s">
        <v>88</v>
      </c>
      <c r="N9" s="4"/>
      <c r="O9" s="4"/>
      <c r="P9" s="4"/>
      <c r="Q9" s="4"/>
      <c r="R9" s="4"/>
    </row>
    <row r="10">
      <c r="A10" s="1">
        <v>44986.49133101852</v>
      </c>
      <c r="B10" s="8"/>
      <c r="C10" s="2" t="s">
        <v>82</v>
      </c>
      <c r="D10" s="2"/>
      <c r="E10" s="2" t="s">
        <v>24</v>
      </c>
      <c r="F10" s="4"/>
      <c r="G10" s="2"/>
      <c r="H10" s="2" t="s">
        <v>89</v>
      </c>
      <c r="I10" s="3" t="s">
        <v>90</v>
      </c>
      <c r="J10" s="7" t="s">
        <v>91</v>
      </c>
      <c r="K10" s="7" t="s">
        <v>92</v>
      </c>
      <c r="L10" s="7" t="s">
        <v>93</v>
      </c>
      <c r="M10" s="7" t="s">
        <v>94</v>
      </c>
      <c r="N10" s="4"/>
      <c r="O10" s="4"/>
      <c r="P10" s="4"/>
      <c r="Q10" s="4"/>
      <c r="R10" s="4"/>
    </row>
    <row r="11">
      <c r="A11" s="1">
        <v>44986.49136574074</v>
      </c>
      <c r="B11" s="8"/>
      <c r="C11" s="2" t="s">
        <v>82</v>
      </c>
      <c r="D11" s="2"/>
      <c r="E11" s="2" t="s">
        <v>95</v>
      </c>
      <c r="F11" s="4"/>
      <c r="G11" s="2"/>
      <c r="H11" s="2" t="s">
        <v>96</v>
      </c>
      <c r="I11" s="3" t="s">
        <v>97</v>
      </c>
      <c r="J11" s="7" t="s">
        <v>98</v>
      </c>
      <c r="K11" s="7" t="s">
        <v>99</v>
      </c>
      <c r="L11" s="7" t="s">
        <v>100</v>
      </c>
      <c r="M11" s="7" t="s">
        <v>101</v>
      </c>
      <c r="N11" s="4"/>
      <c r="O11" s="4"/>
      <c r="P11" s="4"/>
      <c r="Q11" s="4"/>
      <c r="R11" s="4"/>
    </row>
    <row r="12">
      <c r="A12" s="1">
        <v>44986.49140046296</v>
      </c>
      <c r="B12" s="8"/>
      <c r="C12" s="2" t="s">
        <v>82</v>
      </c>
      <c r="D12" s="2"/>
      <c r="E12" s="2" t="s">
        <v>102</v>
      </c>
      <c r="F12" s="4"/>
      <c r="G12" s="2"/>
      <c r="H12" s="2" t="s">
        <v>103</v>
      </c>
      <c r="I12" s="3" t="s">
        <v>104</v>
      </c>
      <c r="J12" s="7" t="s">
        <v>105</v>
      </c>
      <c r="K12" s="7" t="s">
        <v>106</v>
      </c>
      <c r="L12" s="7" t="s">
        <v>107</v>
      </c>
      <c r="M12" s="7" t="s">
        <v>108</v>
      </c>
      <c r="N12" s="4"/>
      <c r="O12" s="4"/>
      <c r="P12" s="4"/>
      <c r="Q12" s="4"/>
      <c r="R12" s="4"/>
    </row>
    <row r="13">
      <c r="A13" s="1">
        <v>44986.491435185184</v>
      </c>
      <c r="B13" s="8"/>
      <c r="C13" s="2" t="s">
        <v>82</v>
      </c>
      <c r="D13" s="2"/>
      <c r="E13" s="2" t="s">
        <v>109</v>
      </c>
      <c r="F13" s="4"/>
      <c r="G13" s="2"/>
      <c r="H13" s="2" t="s">
        <v>110</v>
      </c>
      <c r="I13" s="3" t="s">
        <v>111</v>
      </c>
      <c r="J13" s="7" t="s">
        <v>112</v>
      </c>
      <c r="K13" s="7" t="s">
        <v>113</v>
      </c>
      <c r="L13" s="7" t="s">
        <v>114</v>
      </c>
      <c r="M13" s="7" t="s">
        <v>115</v>
      </c>
      <c r="N13" s="4"/>
      <c r="O13" s="4"/>
      <c r="P13" s="4"/>
      <c r="Q13" s="4"/>
      <c r="R13" s="4"/>
    </row>
    <row r="14">
      <c r="A14" s="1">
        <v>44986.49208333333</v>
      </c>
      <c r="B14" s="8"/>
      <c r="C14" s="2" t="s">
        <v>82</v>
      </c>
      <c r="D14" s="2"/>
      <c r="E14" s="2" t="s">
        <v>109</v>
      </c>
      <c r="F14" s="2"/>
      <c r="G14" s="7"/>
      <c r="H14" s="7" t="s">
        <v>116</v>
      </c>
      <c r="I14" s="2" t="s">
        <v>111</v>
      </c>
      <c r="J14" s="7" t="s">
        <v>112</v>
      </c>
      <c r="K14" s="7" t="s">
        <v>113</v>
      </c>
      <c r="L14" s="7" t="s">
        <v>114</v>
      </c>
      <c r="M14" s="7" t="s">
        <v>115</v>
      </c>
      <c r="N14" s="4"/>
      <c r="O14" s="4"/>
      <c r="P14" s="4"/>
      <c r="Q14" s="4"/>
      <c r="R14" s="4"/>
    </row>
    <row r="15">
      <c r="A15" s="1">
        <v>44986.5096875</v>
      </c>
      <c r="B15" s="8"/>
      <c r="C15" s="2" t="s">
        <v>117</v>
      </c>
      <c r="D15" s="2"/>
      <c r="E15" s="2" t="s">
        <v>15</v>
      </c>
      <c r="F15" s="2"/>
      <c r="G15" s="9"/>
      <c r="H15" s="9" t="s">
        <v>118</v>
      </c>
      <c r="I15" s="2" t="s">
        <v>119</v>
      </c>
      <c r="J15" s="7" t="s">
        <v>120</v>
      </c>
      <c r="K15" s="7" t="s">
        <v>121</v>
      </c>
      <c r="L15" s="7" t="s">
        <v>122</v>
      </c>
      <c r="M15" s="7" t="s">
        <v>123</v>
      </c>
      <c r="N15" s="4"/>
      <c r="O15" s="4"/>
      <c r="P15" s="4"/>
      <c r="Q15" s="4"/>
      <c r="R15" s="4"/>
    </row>
    <row r="16">
      <c r="A16" s="1">
        <v>44986.509722222225</v>
      </c>
      <c r="B16" s="8"/>
      <c r="C16" s="2" t="s">
        <v>117</v>
      </c>
      <c r="D16" s="2"/>
      <c r="E16" s="2" t="s">
        <v>24</v>
      </c>
      <c r="F16" s="2"/>
      <c r="G16" s="9"/>
      <c r="H16" s="9" t="s">
        <v>124</v>
      </c>
      <c r="I16" s="2" t="s">
        <v>125</v>
      </c>
      <c r="J16" s="7" t="s">
        <v>126</v>
      </c>
      <c r="K16" s="7" t="s">
        <v>127</v>
      </c>
      <c r="L16" s="7" t="s">
        <v>128</v>
      </c>
      <c r="M16" s="7" t="s">
        <v>129</v>
      </c>
      <c r="N16" s="4"/>
      <c r="O16" s="4"/>
      <c r="P16" s="4"/>
      <c r="Q16" s="4"/>
      <c r="R16" s="4"/>
    </row>
    <row r="17">
      <c r="A17" s="1">
        <v>44988.94583333333</v>
      </c>
      <c r="B17" s="8"/>
      <c r="C17" s="2" t="s">
        <v>130</v>
      </c>
      <c r="D17" s="2"/>
      <c r="E17" s="2" t="s">
        <v>24</v>
      </c>
      <c r="F17" s="2" t="s">
        <v>131</v>
      </c>
      <c r="G17" s="10"/>
      <c r="H17" s="10" t="s">
        <v>132</v>
      </c>
      <c r="I17" s="2" t="s">
        <v>133</v>
      </c>
      <c r="J17" s="10" t="s">
        <v>134</v>
      </c>
      <c r="K17" s="10" t="s">
        <v>135</v>
      </c>
      <c r="L17" s="10" t="s">
        <v>136</v>
      </c>
      <c r="M17" s="11" t="s">
        <v>137</v>
      </c>
      <c r="N17" s="4"/>
      <c r="O17" s="4"/>
      <c r="P17" s="4"/>
      <c r="Q17" s="4"/>
      <c r="R17" s="4"/>
    </row>
    <row r="18">
      <c r="A18" s="1">
        <v>44989.04464208333</v>
      </c>
      <c r="B18" s="8"/>
      <c r="C18" s="2" t="s">
        <v>130</v>
      </c>
      <c r="D18" s="2"/>
      <c r="E18" s="2" t="s">
        <v>95</v>
      </c>
      <c r="F18" s="2" t="s">
        <v>138</v>
      </c>
      <c r="G18" s="7"/>
      <c r="H18" s="7" t="s">
        <v>139</v>
      </c>
      <c r="I18" s="2" t="s">
        <v>140</v>
      </c>
      <c r="J18" s="7" t="s">
        <v>141</v>
      </c>
      <c r="K18" s="7" t="s">
        <v>142</v>
      </c>
      <c r="L18" s="7" t="s">
        <v>143</v>
      </c>
      <c r="M18" s="7" t="s">
        <v>144</v>
      </c>
      <c r="N18" s="4"/>
      <c r="O18" s="4"/>
      <c r="P18" s="4"/>
      <c r="Q18" s="4"/>
      <c r="R18" s="4"/>
    </row>
    <row r="19">
      <c r="A19" s="12">
        <v>44989.61688393519</v>
      </c>
      <c r="B19" s="8"/>
      <c r="C19" s="2" t="s">
        <v>145</v>
      </c>
      <c r="D19" s="2"/>
      <c r="E19" s="2" t="s">
        <v>15</v>
      </c>
      <c r="F19" s="2" t="s">
        <v>146</v>
      </c>
      <c r="G19" s="7"/>
      <c r="H19" s="7" t="s">
        <v>147</v>
      </c>
      <c r="I19" s="2" t="s">
        <v>148</v>
      </c>
      <c r="J19" s="7" t="s">
        <v>149</v>
      </c>
      <c r="K19" s="7" t="s">
        <v>150</v>
      </c>
      <c r="L19" s="7" t="s">
        <v>151</v>
      </c>
      <c r="M19" s="7" t="s">
        <v>152</v>
      </c>
      <c r="N19" s="4"/>
      <c r="O19" s="4"/>
      <c r="P19" s="4"/>
      <c r="Q19" s="4"/>
      <c r="R19" s="4"/>
    </row>
    <row r="20">
      <c r="A20" s="12">
        <v>44989.617653587964</v>
      </c>
      <c r="B20" s="8"/>
      <c r="C20" s="2" t="s">
        <v>145</v>
      </c>
      <c r="D20" s="2"/>
      <c r="E20" s="2" t="s">
        <v>24</v>
      </c>
      <c r="F20" s="2" t="s">
        <v>153</v>
      </c>
      <c r="G20" s="7"/>
      <c r="H20" s="7" t="s">
        <v>154</v>
      </c>
      <c r="I20" s="2" t="s">
        <v>155</v>
      </c>
      <c r="J20" s="7" t="s">
        <v>156</v>
      </c>
      <c r="K20" s="7" t="s">
        <v>157</v>
      </c>
      <c r="L20" s="7" t="s">
        <v>158</v>
      </c>
      <c r="M20" s="7" t="s">
        <v>159</v>
      </c>
      <c r="N20" s="4"/>
      <c r="O20" s="4"/>
      <c r="P20" s="4"/>
      <c r="Q20" s="4"/>
      <c r="R20" s="4"/>
    </row>
    <row r="21">
      <c r="A21" s="12">
        <v>44998.87267560185</v>
      </c>
      <c r="B21" s="2" t="s">
        <v>160</v>
      </c>
      <c r="C21" s="2" t="s">
        <v>161</v>
      </c>
      <c r="D21" s="2"/>
      <c r="E21" s="2" t="s">
        <v>15</v>
      </c>
      <c r="F21" s="2" t="s">
        <v>162</v>
      </c>
      <c r="G21" s="7"/>
      <c r="H21" s="7" t="s">
        <v>163</v>
      </c>
      <c r="I21" s="2" t="s">
        <v>164</v>
      </c>
      <c r="J21" s="7" t="s">
        <v>165</v>
      </c>
      <c r="K21" s="7" t="s">
        <v>166</v>
      </c>
      <c r="L21" s="7" t="s">
        <v>167</v>
      </c>
      <c r="M21" s="7" t="s">
        <v>168</v>
      </c>
      <c r="N21" s="4"/>
      <c r="O21" s="4"/>
      <c r="P21" s="4"/>
      <c r="Q21" s="4"/>
      <c r="R21" s="4"/>
    </row>
    <row r="22">
      <c r="A22" s="1">
        <v>45017.505432094906</v>
      </c>
      <c r="B22" s="8"/>
      <c r="C22" s="2" t="s">
        <v>169</v>
      </c>
      <c r="D22" s="2"/>
      <c r="E22" s="2" t="s">
        <v>15</v>
      </c>
      <c r="F22" s="2" t="s">
        <v>170</v>
      </c>
      <c r="G22" s="7" t="s">
        <v>171</v>
      </c>
      <c r="H22" s="7" t="s">
        <v>172</v>
      </c>
      <c r="I22" s="2" t="s">
        <v>173</v>
      </c>
      <c r="J22" s="7" t="s">
        <v>174</v>
      </c>
      <c r="K22" s="7" t="s">
        <v>175</v>
      </c>
      <c r="L22" s="7" t="s">
        <v>176</v>
      </c>
      <c r="M22" s="7" t="s">
        <v>177</v>
      </c>
      <c r="N22" s="4"/>
      <c r="O22" s="4"/>
      <c r="P22" s="4"/>
      <c r="Q22" s="4"/>
      <c r="R22" s="4"/>
    </row>
    <row r="23">
      <c r="A23" s="12">
        <v>45017.50635236111</v>
      </c>
      <c r="B23" s="8"/>
      <c r="C23" s="2" t="s">
        <v>169</v>
      </c>
      <c r="D23" s="2"/>
      <c r="E23" s="2" t="s">
        <v>15</v>
      </c>
      <c r="F23" s="2" t="s">
        <v>178</v>
      </c>
      <c r="G23" s="7" t="s">
        <v>179</v>
      </c>
      <c r="H23" s="7" t="s">
        <v>180</v>
      </c>
      <c r="I23" s="2" t="s">
        <v>181</v>
      </c>
      <c r="J23" s="7" t="s">
        <v>182</v>
      </c>
      <c r="K23" s="7" t="s">
        <v>183</v>
      </c>
      <c r="L23" s="7" t="s">
        <v>184</v>
      </c>
      <c r="M23" s="7" t="s">
        <v>185</v>
      </c>
      <c r="N23" s="4"/>
      <c r="O23" s="4"/>
      <c r="P23" s="4"/>
      <c r="Q23" s="4"/>
      <c r="R23" s="4"/>
    </row>
    <row r="24">
      <c r="A24" s="1">
        <v>45017.52918420139</v>
      </c>
      <c r="B24" s="8"/>
      <c r="C24" s="2" t="s">
        <v>186</v>
      </c>
      <c r="D24" s="2"/>
      <c r="E24" s="2" t="s">
        <v>15</v>
      </c>
      <c r="F24" s="2" t="s">
        <v>187</v>
      </c>
      <c r="G24" s="7" t="s">
        <v>188</v>
      </c>
      <c r="H24" s="7" t="s">
        <v>189</v>
      </c>
      <c r="I24" s="2" t="s">
        <v>28</v>
      </c>
      <c r="J24" s="7" t="s">
        <v>190</v>
      </c>
      <c r="K24" s="7" t="s">
        <v>191</v>
      </c>
      <c r="L24" s="7" t="s">
        <v>192</v>
      </c>
      <c r="M24" s="7" t="s">
        <v>193</v>
      </c>
      <c r="N24" s="4"/>
      <c r="P24" s="4"/>
      <c r="Q24" s="4"/>
      <c r="R24" s="4"/>
    </row>
    <row r="25">
      <c r="A25" s="1">
        <v>45017.57333033565</v>
      </c>
      <c r="B25" s="8"/>
      <c r="C25" s="2" t="s">
        <v>194</v>
      </c>
      <c r="D25" s="2"/>
      <c r="E25" s="2" t="s">
        <v>15</v>
      </c>
      <c r="F25" s="2" t="s">
        <v>195</v>
      </c>
      <c r="G25" s="7" t="s">
        <v>196</v>
      </c>
      <c r="H25" s="7" t="s">
        <v>197</v>
      </c>
      <c r="I25" s="2" t="s">
        <v>198</v>
      </c>
      <c r="J25" s="7" t="s">
        <v>199</v>
      </c>
      <c r="K25" s="7" t="s">
        <v>200</v>
      </c>
      <c r="L25" s="7" t="s">
        <v>201</v>
      </c>
      <c r="M25" s="7" t="s">
        <v>202</v>
      </c>
      <c r="N25" s="4"/>
      <c r="O25" s="4"/>
      <c r="P25" s="4"/>
      <c r="Q25" s="4"/>
      <c r="R25" s="4"/>
    </row>
    <row r="26">
      <c r="A26" s="1">
        <v>45017.57346327546</v>
      </c>
      <c r="B26" s="8"/>
      <c r="C26" s="2" t="s">
        <v>194</v>
      </c>
      <c r="D26" s="2"/>
      <c r="E26" s="2" t="s">
        <v>24</v>
      </c>
      <c r="F26" s="2" t="s">
        <v>203</v>
      </c>
      <c r="G26" s="7" t="s">
        <v>204</v>
      </c>
      <c r="H26" s="7" t="s">
        <v>205</v>
      </c>
      <c r="I26" s="2" t="s">
        <v>206</v>
      </c>
      <c r="J26" s="7" t="s">
        <v>207</v>
      </c>
      <c r="K26" s="7" t="s">
        <v>208</v>
      </c>
      <c r="L26" s="7" t="s">
        <v>209</v>
      </c>
      <c r="M26" s="7" t="s">
        <v>210</v>
      </c>
      <c r="N26" s="4"/>
      <c r="O26" s="4"/>
      <c r="P26" s="4"/>
      <c r="Q26" s="4"/>
      <c r="R26" s="4"/>
    </row>
    <row r="27">
      <c r="A27" s="1">
        <v>45017.57378476852</v>
      </c>
      <c r="B27" s="8"/>
      <c r="C27" s="2" t="s">
        <v>194</v>
      </c>
      <c r="D27" s="2"/>
      <c r="E27" s="2" t="s">
        <v>95</v>
      </c>
      <c r="F27" s="2" t="s">
        <v>211</v>
      </c>
      <c r="G27" s="7" t="s">
        <v>212</v>
      </c>
      <c r="H27" s="7" t="s">
        <v>213</v>
      </c>
      <c r="I27" s="2" t="s">
        <v>214</v>
      </c>
      <c r="J27" s="7" t="s">
        <v>215</v>
      </c>
      <c r="K27" s="7" t="s">
        <v>216</v>
      </c>
      <c r="L27" s="7" t="s">
        <v>217</v>
      </c>
      <c r="M27" s="7" t="s">
        <v>218</v>
      </c>
      <c r="N27" s="4"/>
      <c r="O27" s="4"/>
      <c r="P27" s="4"/>
      <c r="Q27" s="4"/>
      <c r="R27" s="4"/>
    </row>
    <row r="28">
      <c r="A28" s="1">
        <v>45017.57581678241</v>
      </c>
      <c r="B28" s="8"/>
      <c r="C28" s="2" t="s">
        <v>194</v>
      </c>
      <c r="D28" s="2"/>
      <c r="E28" s="2" t="s">
        <v>15</v>
      </c>
      <c r="F28" s="2" t="s">
        <v>219</v>
      </c>
      <c r="G28" s="7" t="s">
        <v>220</v>
      </c>
      <c r="H28" s="7" t="s">
        <v>221</v>
      </c>
      <c r="I28" s="2" t="s">
        <v>222</v>
      </c>
      <c r="J28" s="7" t="s">
        <v>223</v>
      </c>
      <c r="K28" s="7" t="s">
        <v>224</v>
      </c>
      <c r="L28" s="7" t="s">
        <v>225</v>
      </c>
      <c r="M28" s="7" t="s">
        <v>226</v>
      </c>
      <c r="N28" s="4"/>
      <c r="O28" s="4"/>
      <c r="P28" s="4"/>
      <c r="Q28" s="4"/>
      <c r="R28" s="4"/>
    </row>
    <row r="29">
      <c r="A29" s="1">
        <v>45017.59558109954</v>
      </c>
      <c r="B29" s="8"/>
      <c r="C29" s="2" t="s">
        <v>13</v>
      </c>
      <c r="D29" s="2" t="s">
        <v>14</v>
      </c>
      <c r="E29" s="2" t="s">
        <v>15</v>
      </c>
      <c r="F29" s="2" t="s">
        <v>16</v>
      </c>
      <c r="G29" s="7" t="s">
        <v>17</v>
      </c>
      <c r="H29" s="7" t="s">
        <v>18</v>
      </c>
      <c r="I29" s="2" t="s">
        <v>19</v>
      </c>
      <c r="J29" s="7" t="s">
        <v>20</v>
      </c>
      <c r="K29" s="7" t="s">
        <v>21</v>
      </c>
      <c r="L29" s="7" t="s">
        <v>22</v>
      </c>
      <c r="M29" s="7" t="s">
        <v>23</v>
      </c>
      <c r="N29" s="4"/>
      <c r="O29" s="4"/>
      <c r="P29" s="4"/>
      <c r="Q29" s="4"/>
      <c r="R29" s="4"/>
    </row>
    <row r="30">
      <c r="A30" s="1">
        <v>45017.595671874995</v>
      </c>
      <c r="B30" s="8"/>
      <c r="C30" s="2" t="s">
        <v>13</v>
      </c>
      <c r="D30" s="2" t="s">
        <v>14</v>
      </c>
      <c r="E30" s="2" t="s">
        <v>24</v>
      </c>
      <c r="F30" s="2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4"/>
      <c r="O30" s="4"/>
      <c r="P30" s="4"/>
      <c r="Q30" s="4"/>
      <c r="R30" s="4"/>
    </row>
    <row r="31">
      <c r="A31" s="1">
        <v>45017.59721792824</v>
      </c>
      <c r="B31" s="8"/>
      <c r="C31" s="2" t="s">
        <v>13</v>
      </c>
      <c r="D31" s="2" t="s">
        <v>33</v>
      </c>
      <c r="E31" s="2" t="s">
        <v>15</v>
      </c>
      <c r="F31" s="2" t="s">
        <v>34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7" t="s">
        <v>41</v>
      </c>
      <c r="N31" s="4"/>
      <c r="O31" s="4"/>
      <c r="P31" s="4"/>
      <c r="Q31" s="4"/>
      <c r="R31" s="4"/>
    </row>
    <row r="32">
      <c r="A32" s="1"/>
      <c r="B32" s="8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4"/>
      <c r="O32" s="4"/>
      <c r="P32" s="4"/>
      <c r="Q32" s="4"/>
      <c r="R32" s="4"/>
    </row>
    <row r="33">
      <c r="A33" s="1"/>
      <c r="B33" s="8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4"/>
      <c r="O33" s="4"/>
      <c r="P33" s="4"/>
      <c r="Q33" s="4"/>
      <c r="R33" s="4"/>
    </row>
    <row r="34">
      <c r="A34" s="1"/>
      <c r="B34" s="8"/>
      <c r="C34" s="2"/>
      <c r="D34" s="2"/>
      <c r="E34" s="2"/>
      <c r="F34" s="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1"/>
      <c r="B35" s="8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2"/>
    </row>
    <row r="36">
      <c r="A36" s="1"/>
      <c r="B36" s="8"/>
      <c r="C36" s="2"/>
      <c r="D36" s="2"/>
      <c r="E36" s="2"/>
      <c r="F36" s="2"/>
      <c r="G36" s="7"/>
      <c r="H36" s="7"/>
      <c r="I36" s="7"/>
      <c r="J36" s="7"/>
      <c r="K36" s="7"/>
      <c r="L36" s="7"/>
      <c r="M36" s="7"/>
      <c r="N36" s="4"/>
      <c r="O36" s="4"/>
      <c r="P36" s="4"/>
      <c r="Q36" s="4"/>
      <c r="R36" s="4"/>
    </row>
    <row r="37">
      <c r="A37" s="1"/>
      <c r="B37" s="8"/>
      <c r="C37" s="2"/>
      <c r="D37" s="2"/>
      <c r="E37" s="2"/>
      <c r="F37" s="2"/>
      <c r="G37" s="7"/>
      <c r="H37" s="7"/>
      <c r="I37" s="7"/>
      <c r="J37" s="7"/>
      <c r="K37" s="7"/>
      <c r="L37" s="7"/>
      <c r="M37" s="7"/>
      <c r="N37" s="4"/>
      <c r="O37" s="4"/>
      <c r="P37" s="4"/>
      <c r="Q37" s="4"/>
      <c r="R37" s="4"/>
    </row>
    <row r="38">
      <c r="A38" s="1"/>
      <c r="B38" s="8"/>
      <c r="C38" s="2"/>
      <c r="D38" s="2"/>
      <c r="E38" s="2"/>
      <c r="F38" s="2"/>
      <c r="G38" s="7"/>
      <c r="H38" s="7"/>
      <c r="I38" s="7"/>
      <c r="J38" s="7"/>
      <c r="K38" s="7"/>
      <c r="L38" s="7"/>
      <c r="M38" s="7"/>
      <c r="N38" s="4"/>
      <c r="O38" s="4"/>
      <c r="P38" s="4"/>
      <c r="Q38" s="4"/>
      <c r="R38" s="4"/>
    </row>
    <row r="39">
      <c r="A39" s="1"/>
      <c r="B39" s="8"/>
      <c r="C39" s="2"/>
      <c r="D39" s="2"/>
      <c r="E39" s="2"/>
      <c r="F39" s="2"/>
      <c r="G39" s="7"/>
      <c r="H39" s="7"/>
      <c r="I39" s="7"/>
      <c r="J39" s="7"/>
      <c r="K39" s="7"/>
      <c r="L39" s="7"/>
      <c r="M39" s="7"/>
      <c r="N39" s="4"/>
      <c r="O39" s="4"/>
      <c r="P39" s="4"/>
      <c r="Q39" s="4"/>
      <c r="R39" s="4"/>
    </row>
    <row r="40">
      <c r="A40" s="1"/>
      <c r="B40" s="8"/>
      <c r="C40" s="2"/>
      <c r="D40" s="2"/>
      <c r="E40" s="2"/>
      <c r="F40" s="2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</row>
    <row r="41">
      <c r="A41" s="1"/>
      <c r="B41" s="8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4"/>
      <c r="O41" s="4"/>
      <c r="P41" s="4"/>
      <c r="Q41" s="4"/>
      <c r="R41" s="4"/>
    </row>
    <row r="42">
      <c r="A42" s="1"/>
      <c r="B42" s="8"/>
      <c r="C42" s="2"/>
      <c r="D42" s="2"/>
      <c r="E42" s="2"/>
      <c r="F42" s="2"/>
      <c r="G42" s="7"/>
      <c r="H42" s="7"/>
      <c r="I42" s="7"/>
      <c r="J42" s="7"/>
      <c r="K42" s="7"/>
      <c r="L42" s="7"/>
      <c r="M42" s="7"/>
      <c r="N42" s="4"/>
      <c r="O42" s="4"/>
      <c r="P42" s="4"/>
      <c r="Q42" s="4"/>
      <c r="R42" s="4"/>
    </row>
    <row r="43">
      <c r="A43" s="1"/>
      <c r="B43" s="8"/>
      <c r="C43" s="2"/>
      <c r="D43" s="2"/>
      <c r="E43" s="2"/>
      <c r="F43" s="2"/>
      <c r="G43" s="7"/>
      <c r="H43" s="7"/>
      <c r="I43" s="7"/>
      <c r="J43" s="7"/>
      <c r="K43" s="7"/>
      <c r="L43" s="7"/>
      <c r="M43" s="7"/>
      <c r="N43" s="4"/>
      <c r="O43" s="4"/>
      <c r="P43" s="4"/>
      <c r="Q43" s="4"/>
      <c r="R43" s="4"/>
    </row>
    <row r="44">
      <c r="A44" s="1"/>
      <c r="B44" s="8"/>
      <c r="C44" s="2"/>
      <c r="D44" s="2"/>
      <c r="E44" s="2"/>
      <c r="F44" s="2"/>
      <c r="G44" s="7"/>
      <c r="H44" s="7"/>
      <c r="I44" s="7"/>
      <c r="J44" s="7"/>
      <c r="K44" s="7"/>
      <c r="L44" s="7"/>
      <c r="M44" s="7"/>
      <c r="N44" s="4"/>
      <c r="O44" s="4"/>
      <c r="P44" s="4"/>
      <c r="Q44" s="4"/>
      <c r="R44" s="4"/>
    </row>
    <row r="45">
      <c r="A45" s="1"/>
      <c r="B45" s="8"/>
      <c r="C45" s="2"/>
      <c r="D45" s="2"/>
      <c r="E45" s="2"/>
      <c r="F45" s="2"/>
      <c r="G45" s="7"/>
      <c r="H45" s="7"/>
      <c r="I45" s="7"/>
      <c r="J45" s="7"/>
      <c r="K45" s="7"/>
      <c r="L45" s="7"/>
      <c r="M45" s="7"/>
      <c r="N45" s="4"/>
      <c r="O45" s="4"/>
      <c r="P45" s="4"/>
      <c r="Q45" s="4"/>
      <c r="R45" s="4"/>
    </row>
    <row r="46">
      <c r="A46" s="1"/>
      <c r="B46" s="8"/>
      <c r="C46" s="2"/>
      <c r="D46" s="2"/>
      <c r="E46" s="2"/>
      <c r="F46" s="2"/>
      <c r="G46" s="7"/>
      <c r="H46" s="7"/>
      <c r="I46" s="7"/>
      <c r="J46" s="7"/>
      <c r="K46" s="7"/>
      <c r="L46" s="7"/>
      <c r="M46" s="7"/>
      <c r="N46" s="4"/>
      <c r="O46" s="4"/>
      <c r="P46" s="4"/>
      <c r="Q46" s="4"/>
      <c r="R46" s="4"/>
    </row>
    <row r="47">
      <c r="A47" s="1"/>
      <c r="B47" s="8"/>
      <c r="C47" s="2"/>
      <c r="D47" s="2"/>
      <c r="E47" s="2"/>
      <c r="F47" s="2"/>
      <c r="G47" s="7"/>
      <c r="H47" s="7"/>
      <c r="I47" s="7"/>
      <c r="J47" s="7"/>
      <c r="K47" s="7"/>
      <c r="L47" s="7"/>
      <c r="M47" s="7"/>
      <c r="N47" s="4"/>
      <c r="O47" s="4"/>
      <c r="P47" s="4"/>
      <c r="Q47" s="4"/>
      <c r="R47" s="4"/>
    </row>
    <row r="48">
      <c r="A48" s="1"/>
      <c r="B48" s="8"/>
      <c r="C48" s="2"/>
      <c r="D48" s="2"/>
      <c r="E48" s="2"/>
      <c r="F48" s="2"/>
      <c r="G48" s="7"/>
      <c r="H48" s="7"/>
      <c r="I48" s="7"/>
      <c r="J48" s="7"/>
      <c r="K48" s="7"/>
      <c r="L48" s="7"/>
      <c r="M48" s="7"/>
      <c r="N48" s="4"/>
      <c r="O48" s="4"/>
      <c r="P48" s="4"/>
      <c r="Q48" s="4"/>
      <c r="R48" s="4"/>
    </row>
    <row r="49">
      <c r="A49" s="1"/>
      <c r="B49" s="8"/>
      <c r="C49" s="2"/>
      <c r="D49" s="2"/>
      <c r="E49" s="2"/>
      <c r="F49" s="2"/>
      <c r="G49" s="7"/>
      <c r="H49" s="7"/>
      <c r="I49" s="7"/>
      <c r="J49" s="7"/>
      <c r="K49" s="7"/>
      <c r="L49" s="7"/>
      <c r="M49" s="7"/>
      <c r="N49" s="4"/>
      <c r="O49" s="4"/>
      <c r="P49" s="4"/>
      <c r="Q49" s="4"/>
      <c r="R49" s="4"/>
    </row>
    <row r="50">
      <c r="A50" s="1"/>
      <c r="B50" s="8"/>
      <c r="C50" s="2"/>
      <c r="D50" s="2"/>
      <c r="E50" s="2"/>
      <c r="F50" s="2"/>
      <c r="G50" s="7"/>
      <c r="H50" s="7"/>
      <c r="I50" s="7"/>
      <c r="J50" s="7"/>
      <c r="K50" s="7"/>
      <c r="L50" s="7"/>
      <c r="M50" s="7"/>
      <c r="N50" s="4"/>
      <c r="O50" s="4"/>
      <c r="P50" s="4"/>
      <c r="Q50" s="4"/>
      <c r="R50" s="4"/>
    </row>
    <row r="51">
      <c r="A51" s="1"/>
      <c r="B51" s="8"/>
      <c r="C51" s="2"/>
      <c r="D51" s="2"/>
      <c r="E51" s="2"/>
      <c r="F51" s="2"/>
      <c r="G51" s="7"/>
      <c r="H51" s="7"/>
      <c r="I51" s="7"/>
      <c r="J51" s="7"/>
      <c r="K51" s="7"/>
      <c r="L51" s="7"/>
      <c r="M51" s="7"/>
      <c r="N51" s="4"/>
      <c r="O51" s="4"/>
      <c r="P51" s="4"/>
      <c r="Q51" s="4"/>
      <c r="R51" s="4"/>
    </row>
    <row r="52">
      <c r="A52" s="1"/>
      <c r="B52" s="8"/>
      <c r="C52" s="2"/>
      <c r="D52" s="2"/>
      <c r="E52" s="2"/>
      <c r="F52" s="2"/>
      <c r="G52" s="7"/>
      <c r="H52" s="7"/>
      <c r="I52" s="7"/>
      <c r="J52" s="7"/>
      <c r="K52" s="7"/>
      <c r="L52" s="7"/>
      <c r="M52" s="7"/>
      <c r="N52" s="4"/>
      <c r="O52" s="4"/>
      <c r="P52" s="4"/>
      <c r="Q52" s="4"/>
      <c r="R52" s="4"/>
    </row>
    <row r="53">
      <c r="A53" s="1"/>
      <c r="B53" s="8"/>
      <c r="C53" s="2"/>
      <c r="D53" s="2"/>
      <c r="E53" s="2"/>
      <c r="F53" s="2"/>
      <c r="G53" s="7"/>
      <c r="H53" s="7"/>
      <c r="I53" s="7"/>
      <c r="J53" s="7"/>
      <c r="K53" s="7"/>
      <c r="L53" s="7"/>
      <c r="M53" s="7"/>
      <c r="N53" s="4"/>
      <c r="O53" s="4"/>
      <c r="P53" s="4"/>
      <c r="Q53" s="4"/>
      <c r="R53" s="4"/>
    </row>
    <row r="54">
      <c r="A54" s="1"/>
      <c r="B54" s="8"/>
      <c r="C54" s="2"/>
      <c r="D54" s="2"/>
      <c r="E54" s="2"/>
      <c r="F54" s="2"/>
      <c r="G54" s="7"/>
      <c r="H54" s="7"/>
      <c r="I54" s="7"/>
      <c r="J54" s="7"/>
      <c r="K54" s="7"/>
      <c r="L54" s="7"/>
      <c r="M54" s="7"/>
      <c r="N54" s="4"/>
      <c r="O54" s="4"/>
      <c r="P54" s="4"/>
      <c r="Q54" s="4"/>
      <c r="R54" s="4"/>
    </row>
    <row r="55">
      <c r="A55" s="1"/>
      <c r="B55" s="8"/>
      <c r="C55" s="2"/>
      <c r="D55" s="2"/>
      <c r="E55" s="2"/>
      <c r="F55" s="2"/>
      <c r="G55" s="7"/>
      <c r="H55" s="7"/>
      <c r="I55" s="7"/>
      <c r="J55" s="7"/>
      <c r="K55" s="7"/>
      <c r="L55" s="7"/>
      <c r="M55" s="7"/>
      <c r="N55" s="4"/>
      <c r="O55" s="4"/>
      <c r="P55" s="4"/>
      <c r="Q55" s="4"/>
      <c r="R55" s="4"/>
    </row>
    <row r="56">
      <c r="A56" s="1"/>
      <c r="B56" s="8"/>
      <c r="C56" s="2"/>
      <c r="D56" s="2"/>
      <c r="E56" s="2"/>
      <c r="F56" s="2"/>
      <c r="G56" s="7"/>
      <c r="H56" s="7"/>
      <c r="I56" s="7"/>
      <c r="J56" s="7"/>
      <c r="K56" s="7"/>
      <c r="L56" s="7"/>
      <c r="M56" s="7"/>
      <c r="N56" s="4"/>
      <c r="O56" s="4"/>
      <c r="P56" s="4"/>
      <c r="Q56" s="4"/>
      <c r="R56" s="4"/>
    </row>
    <row r="57">
      <c r="A57" s="1"/>
      <c r="B57" s="8"/>
      <c r="C57" s="2"/>
      <c r="D57" s="2"/>
      <c r="E57" s="2"/>
      <c r="F57" s="2"/>
      <c r="G57" s="7"/>
      <c r="H57" s="7"/>
      <c r="I57" s="7"/>
      <c r="J57" s="7"/>
      <c r="K57" s="7"/>
      <c r="L57" s="7"/>
      <c r="M57" s="7"/>
      <c r="N57" s="4"/>
      <c r="O57" s="4"/>
      <c r="P57" s="4"/>
      <c r="Q57" s="4"/>
      <c r="R57" s="4"/>
    </row>
    <row r="58">
      <c r="A58" s="1"/>
      <c r="B58" s="8"/>
      <c r="C58" s="2"/>
      <c r="D58" s="2"/>
      <c r="E58" s="2"/>
      <c r="F58" s="2"/>
      <c r="G58" s="7"/>
      <c r="H58" s="7"/>
      <c r="I58" s="7"/>
      <c r="J58" s="7"/>
      <c r="K58" s="7"/>
      <c r="L58" s="7"/>
      <c r="M58" s="7"/>
      <c r="N58" s="4"/>
      <c r="O58" s="4"/>
      <c r="P58" s="4"/>
      <c r="Q58" s="4"/>
      <c r="R58" s="4"/>
    </row>
    <row r="59">
      <c r="A59" s="1"/>
      <c r="B59" s="8"/>
      <c r="C59" s="2"/>
      <c r="D59" s="2"/>
      <c r="E59" s="2"/>
      <c r="F59" s="2"/>
      <c r="G59" s="7"/>
      <c r="H59" s="7"/>
      <c r="I59" s="7"/>
      <c r="J59" s="7"/>
      <c r="K59" s="7"/>
      <c r="L59" s="7"/>
      <c r="M59" s="7"/>
      <c r="N59" s="4"/>
      <c r="O59" s="4"/>
      <c r="P59" s="4"/>
      <c r="Q59" s="4"/>
      <c r="R59" s="4"/>
    </row>
    <row r="60">
      <c r="A60" s="1"/>
      <c r="B60" s="8"/>
      <c r="C60" s="2"/>
      <c r="D60" s="2"/>
      <c r="E60" s="2"/>
      <c r="F60" s="2"/>
      <c r="G60" s="7"/>
      <c r="H60" s="7"/>
      <c r="I60" s="7"/>
      <c r="J60" s="7"/>
      <c r="K60" s="7"/>
      <c r="L60" s="7"/>
      <c r="M60" s="7"/>
      <c r="N60" s="4"/>
      <c r="O60" s="4"/>
      <c r="P60" s="4"/>
      <c r="Q60" s="4"/>
      <c r="R60" s="4"/>
    </row>
    <row r="61">
      <c r="A61" s="1"/>
      <c r="B61" s="8"/>
      <c r="C61" s="2"/>
      <c r="D61" s="2"/>
      <c r="E61" s="2"/>
      <c r="F61" s="2"/>
      <c r="G61" s="7"/>
      <c r="H61" s="7"/>
      <c r="I61" s="7"/>
      <c r="J61" s="7"/>
      <c r="K61" s="7"/>
      <c r="L61" s="7"/>
      <c r="M61" s="7"/>
      <c r="N61" s="4"/>
      <c r="O61" s="4"/>
      <c r="P61" s="4"/>
      <c r="Q61" s="4"/>
      <c r="R61" s="4"/>
    </row>
    <row r="62">
      <c r="A62" s="1"/>
      <c r="B62" s="8"/>
      <c r="C62" s="2"/>
      <c r="D62" s="2"/>
      <c r="E62" s="2"/>
      <c r="F62" s="2"/>
      <c r="G62" s="7"/>
      <c r="H62" s="7"/>
      <c r="I62" s="7"/>
      <c r="J62" s="7"/>
      <c r="K62" s="7"/>
      <c r="L62" s="7"/>
      <c r="M62" s="7"/>
      <c r="N62" s="4"/>
      <c r="O62" s="4"/>
      <c r="P62" s="4"/>
      <c r="Q62" s="4"/>
      <c r="R62" s="4"/>
    </row>
    <row r="63">
      <c r="A63" s="1"/>
      <c r="B63" s="8"/>
      <c r="C63" s="2"/>
      <c r="D63" s="2"/>
      <c r="E63" s="2"/>
      <c r="F63" s="2"/>
      <c r="G63" s="7"/>
      <c r="H63" s="7"/>
      <c r="I63" s="7"/>
      <c r="J63" s="7"/>
      <c r="K63" s="7"/>
      <c r="L63" s="7"/>
      <c r="M63" s="7"/>
      <c r="N63" s="4"/>
      <c r="O63" s="4"/>
      <c r="P63" s="4"/>
      <c r="Q63" s="4"/>
      <c r="R63" s="4"/>
    </row>
    <row r="64">
      <c r="A64" s="1"/>
      <c r="B64" s="8"/>
      <c r="C64" s="2"/>
      <c r="D64" s="2"/>
      <c r="E64" s="2"/>
      <c r="F64" s="2"/>
      <c r="G64" s="7"/>
      <c r="H64" s="7"/>
      <c r="I64" s="7"/>
      <c r="J64" s="7"/>
      <c r="K64" s="7"/>
      <c r="L64" s="7"/>
      <c r="M64" s="7"/>
      <c r="N64" s="4"/>
      <c r="O64" s="4"/>
      <c r="P64" s="4"/>
      <c r="Q64" s="4"/>
      <c r="R64" s="4"/>
    </row>
    <row r="65">
      <c r="A65" s="1"/>
      <c r="B65" s="8"/>
      <c r="C65" s="2"/>
      <c r="D65" s="2"/>
      <c r="E65" s="2"/>
      <c r="F65" s="2"/>
      <c r="G65" s="7"/>
      <c r="H65" s="7"/>
      <c r="I65" s="7"/>
      <c r="J65" s="7"/>
      <c r="K65" s="7"/>
      <c r="L65" s="7"/>
      <c r="M65" s="7"/>
      <c r="N65" s="4"/>
      <c r="O65" s="4"/>
      <c r="P65" s="4"/>
      <c r="Q65" s="4"/>
      <c r="R65" s="4"/>
    </row>
    <row r="66">
      <c r="A66" s="1"/>
      <c r="B66" s="8"/>
      <c r="C66" s="2"/>
      <c r="D66" s="2"/>
      <c r="E66" s="2"/>
      <c r="F66" s="2"/>
      <c r="G66" s="7"/>
      <c r="H66" s="7"/>
      <c r="I66" s="7"/>
      <c r="J66" s="7"/>
      <c r="K66" s="7"/>
      <c r="L66" s="7"/>
      <c r="M66" s="7"/>
      <c r="N66" s="4"/>
      <c r="O66" s="4"/>
      <c r="P66" s="4"/>
      <c r="Q66" s="4"/>
      <c r="R66" s="4"/>
    </row>
    <row r="67">
      <c r="A67" s="1"/>
      <c r="B67" s="8"/>
      <c r="C67" s="2"/>
      <c r="D67" s="2"/>
      <c r="E67" s="2"/>
      <c r="F67" s="2"/>
      <c r="G67" s="7"/>
      <c r="H67" s="7"/>
      <c r="I67" s="7"/>
      <c r="J67" s="7"/>
      <c r="K67" s="7"/>
      <c r="L67" s="7"/>
      <c r="M67" s="7"/>
      <c r="N67" s="4"/>
      <c r="O67" s="4"/>
      <c r="P67" s="4"/>
      <c r="Q67" s="4"/>
      <c r="R67" s="4"/>
    </row>
    <row r="68">
      <c r="A68" s="1"/>
      <c r="B68" s="8"/>
      <c r="C68" s="2"/>
      <c r="D68" s="2"/>
      <c r="E68" s="2"/>
      <c r="F68" s="2"/>
      <c r="G68" s="7"/>
      <c r="H68" s="7"/>
      <c r="I68" s="7"/>
      <c r="J68" s="7"/>
      <c r="K68" s="7"/>
      <c r="L68" s="7"/>
      <c r="M68" s="7"/>
      <c r="N68" s="4"/>
      <c r="O68" s="4"/>
      <c r="P68" s="4"/>
      <c r="Q68" s="4"/>
      <c r="R68" s="4"/>
    </row>
    <row r="69">
      <c r="A69" s="1"/>
      <c r="B69" s="8"/>
      <c r="C69" s="2"/>
      <c r="D69" s="2"/>
      <c r="E69" s="2"/>
      <c r="F69" s="2"/>
      <c r="G69" s="7"/>
      <c r="H69" s="7"/>
      <c r="I69" s="7"/>
      <c r="J69" s="7"/>
      <c r="K69" s="7"/>
      <c r="L69" s="7"/>
      <c r="M69" s="7"/>
      <c r="N69" s="4"/>
      <c r="O69" s="4"/>
      <c r="P69" s="4"/>
      <c r="Q69" s="4"/>
      <c r="R69" s="4"/>
    </row>
    <row r="70">
      <c r="A70" s="1"/>
      <c r="B70" s="8"/>
      <c r="C70" s="2"/>
      <c r="D70" s="2"/>
      <c r="E70" s="2"/>
      <c r="F70" s="2"/>
      <c r="G70" s="7"/>
      <c r="H70" s="7"/>
      <c r="I70" s="7"/>
      <c r="J70" s="7"/>
      <c r="K70" s="7"/>
      <c r="L70" s="7"/>
      <c r="M70" s="7"/>
      <c r="N70" s="4"/>
      <c r="O70" s="4"/>
      <c r="P70" s="4"/>
      <c r="Q70" s="4"/>
      <c r="R70" s="4"/>
    </row>
    <row r="71">
      <c r="A71" s="1"/>
      <c r="B71" s="8"/>
      <c r="C71" s="2"/>
      <c r="D71" s="2"/>
      <c r="E71" s="2"/>
      <c r="F71" s="2"/>
      <c r="G71" s="7"/>
      <c r="H71" s="7"/>
      <c r="I71" s="7"/>
      <c r="J71" s="7"/>
      <c r="K71" s="7"/>
      <c r="L71" s="7"/>
      <c r="M71" s="7"/>
      <c r="N71" s="4"/>
      <c r="O71" s="4"/>
      <c r="P71" s="4"/>
      <c r="Q71" s="4"/>
      <c r="R71" s="4"/>
    </row>
    <row r="72">
      <c r="A72" s="1"/>
      <c r="B72" s="8"/>
      <c r="C72" s="2"/>
      <c r="D72" s="2"/>
      <c r="E72" s="2"/>
      <c r="F72" s="2"/>
      <c r="G72" s="7"/>
      <c r="H72" s="7"/>
      <c r="I72" s="7"/>
      <c r="J72" s="7"/>
      <c r="K72" s="7"/>
      <c r="L72" s="7"/>
      <c r="M72" s="7"/>
      <c r="N72" s="4"/>
      <c r="O72" s="4"/>
      <c r="P72" s="4"/>
      <c r="Q72" s="4"/>
      <c r="R72" s="4"/>
    </row>
    <row r="73">
      <c r="A73" s="1"/>
      <c r="B73" s="8"/>
      <c r="C73" s="2"/>
      <c r="D73" s="2"/>
      <c r="E73" s="2"/>
      <c r="F73" s="2"/>
      <c r="G73" s="7"/>
      <c r="H73" s="7"/>
      <c r="I73" s="7"/>
      <c r="J73" s="7"/>
      <c r="K73" s="7"/>
      <c r="L73" s="7"/>
      <c r="M73" s="7"/>
      <c r="N73" s="4"/>
      <c r="O73" s="4"/>
      <c r="P73" s="4"/>
      <c r="Q73" s="4"/>
      <c r="R73" s="4"/>
    </row>
    <row r="74">
      <c r="A74" s="1"/>
      <c r="B74" s="8"/>
      <c r="C74" s="2"/>
      <c r="D74" s="2"/>
      <c r="E74" s="2"/>
      <c r="F74" s="2"/>
      <c r="G74" s="7"/>
      <c r="H74" s="7"/>
      <c r="I74" s="7"/>
      <c r="J74" s="7"/>
      <c r="K74" s="7"/>
      <c r="L74" s="7"/>
      <c r="M74" s="7"/>
      <c r="N74" s="4"/>
      <c r="O74" s="4"/>
      <c r="P74" s="4"/>
      <c r="Q74" s="4"/>
      <c r="R74" s="4"/>
    </row>
    <row r="75">
      <c r="A75" s="1"/>
      <c r="B75" s="8"/>
      <c r="C75" s="2"/>
      <c r="D75" s="2"/>
      <c r="E75" s="2"/>
      <c r="F75" s="2"/>
      <c r="G75" s="7"/>
      <c r="H75" s="7"/>
      <c r="I75" s="7"/>
      <c r="J75" s="7"/>
      <c r="K75" s="7"/>
      <c r="L75" s="7"/>
      <c r="M75" s="7"/>
      <c r="N75" s="4"/>
      <c r="O75" s="4"/>
      <c r="P75" s="4"/>
      <c r="Q75" s="4"/>
      <c r="R75" s="4"/>
    </row>
    <row r="76">
      <c r="A76" s="1"/>
      <c r="B76" s="8"/>
      <c r="C76" s="2"/>
      <c r="D76" s="2"/>
      <c r="E76" s="2"/>
      <c r="F76" s="2"/>
      <c r="G76" s="7"/>
      <c r="H76" s="7"/>
      <c r="I76" s="7"/>
      <c r="J76" s="7"/>
      <c r="K76" s="7"/>
      <c r="L76" s="7"/>
      <c r="M76" s="7"/>
      <c r="N76" s="4"/>
      <c r="O76" s="4"/>
      <c r="P76" s="4"/>
      <c r="Q76" s="4"/>
      <c r="R76" s="4"/>
    </row>
    <row r="77">
      <c r="A77" s="1"/>
      <c r="B77" s="8"/>
      <c r="C77" s="2"/>
      <c r="D77" s="2"/>
      <c r="E77" s="2"/>
      <c r="F77" s="2"/>
      <c r="G77" s="7"/>
      <c r="H77" s="7"/>
      <c r="I77" s="7"/>
      <c r="J77" s="7"/>
      <c r="K77" s="7"/>
      <c r="L77" s="7"/>
      <c r="M77" s="7"/>
      <c r="N77" s="4"/>
      <c r="O77" s="4"/>
      <c r="P77" s="4"/>
      <c r="Q77" s="4"/>
      <c r="R77" s="4"/>
    </row>
    <row r="78">
      <c r="A78" s="1"/>
      <c r="B78" s="8"/>
      <c r="C78" s="2"/>
      <c r="D78" s="2"/>
      <c r="E78" s="2"/>
      <c r="F78" s="2"/>
      <c r="G78" s="7"/>
      <c r="H78" s="7"/>
      <c r="I78" s="7"/>
      <c r="J78" s="7"/>
      <c r="K78" s="7"/>
      <c r="L78" s="7"/>
      <c r="M78" s="7"/>
      <c r="N78" s="4"/>
      <c r="O78" s="4"/>
      <c r="P78" s="4"/>
      <c r="Q78" s="4"/>
      <c r="R78" s="4"/>
    </row>
    <row r="79">
      <c r="A79" s="1"/>
      <c r="B79" s="8"/>
      <c r="C79" s="2"/>
      <c r="D79" s="2"/>
      <c r="E79" s="2"/>
      <c r="F79" s="2"/>
      <c r="G79" s="7"/>
      <c r="H79" s="7"/>
      <c r="I79" s="7"/>
      <c r="J79" s="7"/>
      <c r="K79" s="7"/>
      <c r="L79" s="7"/>
      <c r="M79" s="7"/>
      <c r="N79" s="4"/>
      <c r="O79" s="4"/>
      <c r="P79" s="4"/>
      <c r="Q79" s="4"/>
      <c r="R79" s="4"/>
    </row>
    <row r="80">
      <c r="A80" s="1"/>
      <c r="B80" s="8"/>
      <c r="C80" s="2"/>
      <c r="D80" s="2"/>
      <c r="E80" s="2"/>
      <c r="F80" s="2"/>
      <c r="G80" s="7"/>
      <c r="H80" s="7"/>
      <c r="I80" s="7"/>
      <c r="J80" s="7"/>
      <c r="K80" s="7"/>
      <c r="L80" s="7"/>
      <c r="M80" s="7"/>
      <c r="N80" s="4"/>
      <c r="O80" s="4"/>
      <c r="P80" s="4"/>
      <c r="Q80" s="4"/>
      <c r="R80" s="4"/>
    </row>
    <row r="81">
      <c r="A81" s="1"/>
      <c r="B81" s="8"/>
      <c r="C81" s="2"/>
      <c r="D81" s="2"/>
      <c r="E81" s="2"/>
      <c r="F81" s="2"/>
      <c r="G81" s="7"/>
      <c r="H81" s="7"/>
      <c r="I81" s="7"/>
      <c r="J81" s="7"/>
      <c r="K81" s="7"/>
      <c r="L81" s="7"/>
      <c r="M81" s="7"/>
      <c r="N81" s="4"/>
      <c r="O81" s="4"/>
      <c r="P81" s="4"/>
      <c r="Q81" s="4"/>
      <c r="R81" s="4"/>
    </row>
    <row r="82">
      <c r="A82" s="1"/>
      <c r="B82" s="8"/>
      <c r="C82" s="2"/>
      <c r="D82" s="2"/>
      <c r="E82" s="2"/>
      <c r="F82" s="2"/>
      <c r="G82" s="7"/>
      <c r="H82" s="7"/>
      <c r="I82" s="7"/>
      <c r="J82" s="7"/>
      <c r="K82" s="7"/>
      <c r="L82" s="7"/>
      <c r="M82" s="7"/>
      <c r="N82" s="4"/>
      <c r="O82" s="4"/>
      <c r="P82" s="4"/>
      <c r="Q82" s="4"/>
      <c r="R82" s="4"/>
    </row>
    <row r="83">
      <c r="A83" s="1"/>
      <c r="B83" s="8"/>
      <c r="C83" s="2"/>
      <c r="D83" s="2"/>
      <c r="E83" s="2"/>
      <c r="F83" s="2"/>
      <c r="G83" s="7"/>
      <c r="H83" s="7"/>
      <c r="I83" s="7"/>
      <c r="J83" s="7"/>
      <c r="K83" s="7"/>
      <c r="L83" s="7"/>
      <c r="M83" s="7"/>
      <c r="N83" s="4"/>
      <c r="O83" s="4"/>
      <c r="P83" s="4"/>
      <c r="Q83" s="4"/>
      <c r="R83" s="4"/>
    </row>
    <row r="84">
      <c r="A84" s="1"/>
      <c r="B84" s="8"/>
      <c r="C84" s="2"/>
      <c r="D84" s="2"/>
      <c r="E84" s="2"/>
      <c r="F84" s="2"/>
      <c r="G84" s="7"/>
      <c r="H84" s="7"/>
      <c r="I84" s="7"/>
      <c r="J84" s="7"/>
      <c r="K84" s="7"/>
      <c r="L84" s="7"/>
      <c r="M84" s="7"/>
      <c r="N84" s="4"/>
      <c r="O84" s="4"/>
      <c r="P84" s="4"/>
      <c r="Q84" s="4"/>
      <c r="R84" s="4"/>
    </row>
    <row r="85">
      <c r="A85" s="1"/>
      <c r="B85" s="8"/>
      <c r="C85" s="2"/>
      <c r="D85" s="2"/>
      <c r="E85" s="2"/>
      <c r="F85" s="2"/>
      <c r="G85" s="7"/>
      <c r="H85" s="7"/>
      <c r="I85" s="7"/>
      <c r="J85" s="7"/>
      <c r="K85" s="7"/>
      <c r="L85" s="7"/>
      <c r="M85" s="7"/>
      <c r="N85" s="4"/>
      <c r="O85" s="4"/>
      <c r="P85" s="4"/>
      <c r="Q85" s="4"/>
      <c r="R85" s="4"/>
    </row>
    <row r="86">
      <c r="A86" s="1"/>
      <c r="B86" s="8"/>
      <c r="C86" s="2"/>
      <c r="D86" s="2"/>
      <c r="E86" s="2"/>
      <c r="F86" s="2"/>
      <c r="G86" s="7"/>
      <c r="H86" s="7"/>
      <c r="I86" s="7"/>
      <c r="J86" s="7"/>
      <c r="K86" s="7"/>
      <c r="L86" s="7"/>
      <c r="M86" s="7"/>
      <c r="N86" s="4"/>
      <c r="O86" s="4"/>
      <c r="P86" s="4"/>
      <c r="Q86" s="4"/>
      <c r="R86" s="4"/>
    </row>
    <row r="87">
      <c r="A87" s="1"/>
      <c r="B87" s="8"/>
      <c r="C87" s="2"/>
      <c r="D87" s="2"/>
      <c r="E87" s="2"/>
      <c r="F87" s="2"/>
      <c r="G87" s="7"/>
      <c r="H87" s="7"/>
      <c r="I87" s="7"/>
      <c r="J87" s="7"/>
      <c r="K87" s="7"/>
      <c r="L87" s="7"/>
      <c r="M87" s="7"/>
      <c r="N87" s="4"/>
      <c r="O87" s="4"/>
      <c r="P87" s="4"/>
      <c r="Q87" s="4"/>
      <c r="R87" s="4"/>
    </row>
    <row r="88">
      <c r="A88" s="1"/>
      <c r="B88" s="8"/>
      <c r="C88" s="2"/>
      <c r="D88" s="2"/>
      <c r="E88" s="2"/>
      <c r="F88" s="2"/>
      <c r="G88" s="7"/>
      <c r="H88" s="7"/>
      <c r="I88" s="7"/>
      <c r="J88" s="7"/>
      <c r="K88" s="7"/>
      <c r="L88" s="7"/>
      <c r="M88" s="7"/>
      <c r="N88" s="4"/>
      <c r="O88" s="4"/>
      <c r="P88" s="4"/>
      <c r="Q88" s="4"/>
      <c r="R88" s="4"/>
    </row>
    <row r="89">
      <c r="A89" s="1"/>
      <c r="B89" s="8"/>
      <c r="C89" s="2"/>
      <c r="D89" s="2"/>
      <c r="E89" s="2"/>
      <c r="F89" s="2"/>
      <c r="G89" s="7"/>
      <c r="H89" s="7"/>
      <c r="I89" s="7"/>
      <c r="J89" s="7"/>
      <c r="K89" s="7"/>
      <c r="L89" s="7"/>
      <c r="M89" s="7"/>
      <c r="N89" s="4"/>
      <c r="O89" s="4"/>
      <c r="P89" s="4"/>
      <c r="Q89" s="4"/>
      <c r="R89" s="4"/>
    </row>
    <row r="90">
      <c r="A90" s="1"/>
      <c r="B90" s="8"/>
      <c r="C90" s="2"/>
      <c r="D90" s="2"/>
      <c r="E90" s="2"/>
      <c r="F90" s="2"/>
      <c r="G90" s="7"/>
      <c r="H90" s="7"/>
      <c r="I90" s="7"/>
      <c r="J90" s="7"/>
      <c r="K90" s="7"/>
      <c r="L90" s="7"/>
      <c r="M90" s="7"/>
      <c r="N90" s="4"/>
      <c r="O90" s="4"/>
      <c r="P90" s="4"/>
      <c r="Q90" s="4"/>
      <c r="R90" s="4"/>
    </row>
    <row r="91">
      <c r="A91" s="1"/>
      <c r="B91" s="8"/>
      <c r="C91" s="2"/>
      <c r="D91" s="2"/>
      <c r="E91" s="2"/>
      <c r="F91" s="2"/>
      <c r="G91" s="7"/>
      <c r="H91" s="7"/>
      <c r="I91" s="7"/>
      <c r="J91" s="7"/>
      <c r="K91" s="7"/>
      <c r="L91" s="7"/>
      <c r="M91" s="7"/>
      <c r="N91" s="4"/>
      <c r="O91" s="4"/>
      <c r="P91" s="4"/>
      <c r="Q91" s="4"/>
      <c r="R91" s="4"/>
    </row>
    <row r="92">
      <c r="A92" s="1"/>
      <c r="B92" s="8"/>
      <c r="C92" s="2"/>
      <c r="D92" s="2"/>
      <c r="E92" s="2"/>
      <c r="F92" s="2"/>
      <c r="G92" s="7"/>
      <c r="H92" s="7"/>
      <c r="I92" s="7"/>
      <c r="J92" s="7"/>
      <c r="K92" s="7"/>
      <c r="L92" s="7"/>
      <c r="M92" s="7"/>
      <c r="N92" s="4"/>
      <c r="O92" s="4"/>
      <c r="P92" s="4"/>
      <c r="Q92" s="4"/>
      <c r="R92" s="4"/>
    </row>
    <row r="93">
      <c r="A93" s="1"/>
      <c r="B93" s="8"/>
      <c r="C93" s="2"/>
      <c r="D93" s="2"/>
      <c r="E93" s="2"/>
      <c r="F93" s="2"/>
      <c r="G93" s="7"/>
      <c r="H93" s="7"/>
      <c r="I93" s="7"/>
      <c r="J93" s="7"/>
      <c r="K93" s="7"/>
      <c r="L93" s="7"/>
      <c r="M93" s="7"/>
      <c r="N93" s="4"/>
      <c r="O93" s="4"/>
      <c r="P93" s="4"/>
      <c r="Q93" s="4"/>
      <c r="R93" s="4"/>
    </row>
    <row r="94">
      <c r="A94" s="1"/>
      <c r="B94" s="8"/>
      <c r="C94" s="2"/>
      <c r="D94" s="2"/>
      <c r="E94" s="2"/>
      <c r="F94" s="2"/>
      <c r="G94" s="7"/>
      <c r="H94" s="7"/>
      <c r="I94" s="7"/>
      <c r="J94" s="7"/>
      <c r="K94" s="7"/>
      <c r="L94" s="7"/>
      <c r="M94" s="7"/>
      <c r="N94" s="4"/>
      <c r="O94" s="4"/>
      <c r="P94" s="4"/>
      <c r="Q94" s="4"/>
      <c r="R94" s="4"/>
    </row>
    <row r="95">
      <c r="A95" s="1"/>
      <c r="B95" s="8"/>
      <c r="C95" s="2"/>
      <c r="D95" s="2"/>
      <c r="E95" s="2"/>
      <c r="F95" s="2"/>
      <c r="G95" s="7"/>
      <c r="H95" s="7"/>
      <c r="I95" s="7"/>
      <c r="J95" s="7"/>
      <c r="K95" s="7"/>
      <c r="L95" s="7"/>
      <c r="M95" s="7"/>
      <c r="N95" s="4"/>
      <c r="O95" s="4"/>
      <c r="P95" s="4"/>
      <c r="Q95" s="4"/>
      <c r="R95" s="4"/>
    </row>
    <row r="96">
      <c r="A96" s="1"/>
      <c r="B96" s="8"/>
      <c r="C96" s="2"/>
      <c r="D96" s="2"/>
      <c r="E96" s="2"/>
      <c r="F96" s="2"/>
      <c r="G96" s="7"/>
      <c r="H96" s="7"/>
      <c r="I96" s="7"/>
      <c r="J96" s="7"/>
      <c r="K96" s="7"/>
      <c r="L96" s="7"/>
      <c r="M96" s="7"/>
      <c r="N96" s="4"/>
      <c r="O96" s="4"/>
      <c r="P96" s="4"/>
      <c r="Q96" s="4"/>
      <c r="R96" s="4"/>
    </row>
    <row r="97">
      <c r="A97" s="1"/>
      <c r="B97" s="8"/>
      <c r="C97" s="2"/>
      <c r="D97" s="2"/>
      <c r="E97" s="2"/>
      <c r="F97" s="2"/>
      <c r="G97" s="7"/>
      <c r="H97" s="7"/>
      <c r="I97" s="7"/>
      <c r="J97" s="7"/>
      <c r="K97" s="7"/>
      <c r="L97" s="7"/>
      <c r="M97" s="7"/>
      <c r="N97" s="4"/>
      <c r="O97" s="4"/>
      <c r="P97" s="4"/>
      <c r="Q97" s="4"/>
      <c r="R97" s="4"/>
    </row>
    <row r="98">
      <c r="A98" s="1"/>
      <c r="B98" s="8"/>
      <c r="C98" s="2"/>
      <c r="D98" s="2"/>
      <c r="E98" s="2"/>
      <c r="F98" s="2"/>
      <c r="G98" s="7"/>
      <c r="H98" s="7"/>
      <c r="I98" s="7"/>
      <c r="J98" s="7"/>
      <c r="K98" s="7"/>
      <c r="L98" s="7"/>
      <c r="M98" s="7"/>
      <c r="N98" s="4"/>
      <c r="O98" s="4"/>
      <c r="P98" s="4"/>
      <c r="Q98" s="4"/>
      <c r="R98" s="4"/>
    </row>
    <row r="99">
      <c r="A99" s="1"/>
      <c r="B99" s="8"/>
      <c r="C99" s="2"/>
      <c r="D99" s="2"/>
      <c r="E99" s="2"/>
      <c r="F99" s="2"/>
      <c r="G99" s="7"/>
      <c r="H99" s="7"/>
      <c r="I99" s="7"/>
      <c r="J99" s="7"/>
      <c r="K99" s="7"/>
      <c r="L99" s="7"/>
      <c r="M99" s="7"/>
      <c r="N99" s="4"/>
      <c r="O99" s="4"/>
      <c r="P99" s="4"/>
      <c r="Q99" s="4"/>
      <c r="R99" s="4"/>
    </row>
    <row r="100">
      <c r="A100" s="1"/>
      <c r="B100" s="8"/>
      <c r="C100" s="2"/>
      <c r="D100" s="2"/>
      <c r="E100" s="2"/>
      <c r="F100" s="2"/>
      <c r="G100" s="7"/>
      <c r="H100" s="7"/>
      <c r="I100" s="7"/>
      <c r="J100" s="7"/>
      <c r="K100" s="7"/>
      <c r="L100" s="7"/>
      <c r="M100" s="7"/>
      <c r="N100" s="4"/>
      <c r="O100" s="4"/>
      <c r="P100" s="4"/>
      <c r="Q100" s="4"/>
      <c r="R100" s="4"/>
    </row>
    <row r="101">
      <c r="A101" s="1"/>
      <c r="B101" s="8"/>
      <c r="C101" s="2"/>
      <c r="D101" s="2"/>
      <c r="E101" s="2"/>
      <c r="F101" s="2"/>
      <c r="G101" s="7"/>
      <c r="H101" s="7"/>
      <c r="I101" s="7"/>
      <c r="J101" s="7"/>
      <c r="K101" s="7"/>
      <c r="L101" s="7"/>
      <c r="M101" s="7"/>
      <c r="N101" s="4"/>
      <c r="O101" s="4"/>
      <c r="P101" s="4"/>
      <c r="Q101" s="4"/>
      <c r="R101" s="4"/>
    </row>
    <row r="102">
      <c r="A102" s="1"/>
      <c r="B102" s="8"/>
      <c r="C102" s="2"/>
      <c r="D102" s="2"/>
      <c r="E102" s="2"/>
      <c r="F102" s="2"/>
      <c r="G102" s="7"/>
      <c r="H102" s="7"/>
      <c r="I102" s="7"/>
      <c r="J102" s="7"/>
      <c r="K102" s="7"/>
      <c r="L102" s="7"/>
      <c r="M102" s="7"/>
      <c r="N102" s="4"/>
      <c r="O102" s="4"/>
      <c r="P102" s="4"/>
      <c r="Q102" s="4"/>
      <c r="R102" s="4"/>
    </row>
    <row r="103">
      <c r="A103" s="1"/>
      <c r="B103" s="8"/>
      <c r="C103" s="2"/>
      <c r="D103" s="2"/>
      <c r="E103" s="2"/>
      <c r="F103" s="2"/>
      <c r="G103" s="7"/>
      <c r="H103" s="7"/>
      <c r="I103" s="7"/>
      <c r="J103" s="7"/>
      <c r="K103" s="7"/>
      <c r="L103" s="7"/>
      <c r="M103" s="7"/>
      <c r="N103" s="4"/>
      <c r="O103" s="4"/>
      <c r="P103" s="4"/>
      <c r="Q103" s="4"/>
      <c r="R103" s="4"/>
    </row>
    <row r="104">
      <c r="A104" s="1"/>
      <c r="B104" s="8"/>
      <c r="C104" s="2"/>
      <c r="D104" s="2"/>
      <c r="E104" s="2"/>
      <c r="F104" s="2"/>
      <c r="G104" s="7"/>
      <c r="H104" s="7"/>
      <c r="I104" s="7"/>
      <c r="J104" s="7"/>
      <c r="K104" s="7"/>
      <c r="L104" s="7"/>
      <c r="M104" s="7"/>
      <c r="N104" s="4"/>
      <c r="O104" s="4"/>
      <c r="P104" s="4"/>
      <c r="Q104" s="4"/>
      <c r="R104" s="4"/>
    </row>
    <row r="105">
      <c r="A105" s="1"/>
      <c r="B105" s="8"/>
      <c r="C105" s="2"/>
      <c r="D105" s="2"/>
      <c r="E105" s="2"/>
      <c r="F105" s="2"/>
      <c r="G105" s="7"/>
      <c r="H105" s="7"/>
      <c r="I105" s="7"/>
      <c r="J105" s="7"/>
      <c r="K105" s="7"/>
      <c r="L105" s="7"/>
      <c r="M105" s="7"/>
      <c r="N105" s="4"/>
      <c r="O105" s="4"/>
      <c r="P105" s="4"/>
      <c r="Q105" s="4"/>
      <c r="R105" s="4"/>
    </row>
    <row r="106">
      <c r="A106" s="1"/>
      <c r="B106" s="8"/>
      <c r="C106" s="2"/>
      <c r="D106" s="2"/>
      <c r="E106" s="2"/>
      <c r="F106" s="2"/>
      <c r="G106" s="7"/>
      <c r="H106" s="7"/>
      <c r="I106" s="7"/>
      <c r="J106" s="7"/>
      <c r="K106" s="7"/>
      <c r="L106" s="7"/>
      <c r="M106" s="7"/>
      <c r="N106" s="4"/>
      <c r="O106" s="4"/>
      <c r="P106" s="4"/>
      <c r="Q106" s="4"/>
      <c r="R106" s="4"/>
    </row>
    <row r="107">
      <c r="A107" s="1"/>
      <c r="B107" s="8"/>
      <c r="C107" s="2"/>
      <c r="D107" s="2"/>
      <c r="E107" s="2"/>
      <c r="F107" s="2"/>
      <c r="G107" s="7"/>
      <c r="H107" s="7"/>
      <c r="I107" s="7"/>
      <c r="J107" s="7"/>
      <c r="K107" s="7"/>
      <c r="L107" s="7"/>
      <c r="M107" s="7"/>
      <c r="N107" s="4"/>
      <c r="O107" s="4"/>
      <c r="P107" s="4"/>
      <c r="Q107" s="4"/>
      <c r="R107" s="4"/>
    </row>
    <row r="108">
      <c r="A108" s="1"/>
      <c r="B108" s="8"/>
      <c r="C108" s="2"/>
      <c r="D108" s="2"/>
      <c r="E108" s="2"/>
      <c r="F108" s="2"/>
      <c r="G108" s="7"/>
      <c r="H108" s="7"/>
      <c r="I108" s="7"/>
      <c r="J108" s="7"/>
      <c r="K108" s="7"/>
      <c r="L108" s="7"/>
      <c r="M108" s="7"/>
      <c r="N108" s="4"/>
      <c r="O108" s="4"/>
      <c r="P108" s="4"/>
      <c r="Q108" s="4"/>
      <c r="R108" s="4"/>
    </row>
    <row r="109">
      <c r="A109" s="1"/>
      <c r="B109" s="8"/>
      <c r="C109" s="2"/>
      <c r="D109" s="2"/>
      <c r="E109" s="2"/>
      <c r="F109" s="2"/>
      <c r="G109" s="7"/>
      <c r="H109" s="7"/>
      <c r="I109" s="7"/>
      <c r="J109" s="7"/>
      <c r="K109" s="7"/>
      <c r="L109" s="7"/>
      <c r="M109" s="7"/>
      <c r="N109" s="4"/>
      <c r="O109" s="4"/>
      <c r="P109" s="4"/>
      <c r="Q109" s="4"/>
      <c r="R109" s="4"/>
    </row>
    <row r="110">
      <c r="A110" s="1"/>
      <c r="B110" s="8"/>
      <c r="C110" s="2"/>
      <c r="D110" s="2"/>
      <c r="E110" s="2"/>
      <c r="F110" s="2"/>
      <c r="G110" s="7"/>
      <c r="H110" s="7"/>
      <c r="I110" s="7"/>
      <c r="J110" s="7"/>
      <c r="K110" s="7"/>
      <c r="L110" s="7"/>
      <c r="M110" s="7"/>
      <c r="N110" s="4"/>
      <c r="O110" s="4"/>
      <c r="P110" s="4"/>
      <c r="Q110" s="4"/>
      <c r="R110" s="4"/>
    </row>
    <row r="111">
      <c r="A111" s="1"/>
      <c r="B111" s="8"/>
      <c r="C111" s="2"/>
      <c r="D111" s="2"/>
      <c r="E111" s="2"/>
      <c r="F111" s="2"/>
      <c r="G111" s="7"/>
      <c r="H111" s="7"/>
      <c r="I111" s="7"/>
      <c r="J111" s="7"/>
      <c r="K111" s="7"/>
      <c r="L111" s="7"/>
      <c r="M111" s="7"/>
      <c r="N111" s="4"/>
      <c r="O111" s="4"/>
      <c r="P111" s="4"/>
      <c r="Q111" s="4"/>
      <c r="R111" s="4"/>
    </row>
    <row r="112">
      <c r="A112" s="1"/>
      <c r="B112" s="8"/>
      <c r="C112" s="2"/>
      <c r="D112" s="2"/>
      <c r="E112" s="2"/>
      <c r="F112" s="2"/>
      <c r="G112" s="7"/>
      <c r="H112" s="7"/>
      <c r="I112" s="7"/>
      <c r="J112" s="7"/>
      <c r="K112" s="7"/>
      <c r="L112" s="7"/>
      <c r="M112" s="7"/>
      <c r="N112" s="4"/>
      <c r="O112" s="4"/>
      <c r="P112" s="4"/>
      <c r="Q112" s="4"/>
      <c r="R112" s="4"/>
    </row>
    <row r="113">
      <c r="A113" s="1"/>
      <c r="B113" s="8"/>
      <c r="C113" s="2"/>
      <c r="D113" s="2"/>
      <c r="E113" s="2"/>
      <c r="F113" s="2"/>
      <c r="G113" s="7"/>
      <c r="H113" s="7"/>
      <c r="I113" s="7"/>
      <c r="J113" s="7"/>
      <c r="K113" s="7"/>
      <c r="L113" s="7"/>
      <c r="M113" s="7"/>
      <c r="N113" s="4"/>
      <c r="O113" s="4"/>
      <c r="P113" s="4"/>
      <c r="Q113" s="4"/>
      <c r="R113" s="4"/>
    </row>
    <row r="114">
      <c r="A114" s="1"/>
      <c r="B114" s="8"/>
      <c r="C114" s="2"/>
      <c r="D114" s="2"/>
      <c r="E114" s="2"/>
      <c r="F114" s="2"/>
      <c r="G114" s="7"/>
      <c r="H114" s="7"/>
      <c r="I114" s="7"/>
      <c r="J114" s="7"/>
      <c r="K114" s="7"/>
      <c r="L114" s="7"/>
      <c r="M114" s="7"/>
      <c r="N114" s="4"/>
      <c r="O114" s="4"/>
      <c r="P114" s="4"/>
      <c r="Q114" s="4"/>
      <c r="R114" s="4"/>
    </row>
    <row r="115">
      <c r="A115" s="1"/>
      <c r="B115" s="8"/>
      <c r="C115" s="2"/>
      <c r="D115" s="2"/>
      <c r="E115" s="2"/>
      <c r="F115" s="2"/>
      <c r="G115" s="7"/>
      <c r="H115" s="7"/>
      <c r="I115" s="7"/>
      <c r="J115" s="7"/>
      <c r="K115" s="7"/>
      <c r="L115" s="7"/>
      <c r="M115" s="7"/>
      <c r="N115" s="4"/>
      <c r="O115" s="4"/>
      <c r="P115" s="4"/>
      <c r="Q115" s="4"/>
      <c r="R115" s="4"/>
    </row>
    <row r="116">
      <c r="A116" s="1"/>
      <c r="B116" s="8"/>
      <c r="C116" s="2"/>
      <c r="D116" s="2"/>
      <c r="E116" s="2"/>
      <c r="F116" s="2"/>
      <c r="G116" s="7"/>
      <c r="H116" s="7"/>
      <c r="I116" s="7"/>
      <c r="J116" s="7"/>
      <c r="K116" s="7"/>
      <c r="L116" s="7"/>
      <c r="M116" s="7"/>
      <c r="N116" s="4"/>
      <c r="O116" s="4"/>
      <c r="P116" s="4"/>
      <c r="Q116" s="4"/>
      <c r="R116" s="4"/>
    </row>
    <row r="117">
      <c r="A117" s="1"/>
      <c r="B117" s="8"/>
      <c r="C117" s="2"/>
      <c r="D117" s="2"/>
      <c r="E117" s="2"/>
      <c r="F117" s="2"/>
      <c r="G117" s="7"/>
      <c r="H117" s="7"/>
      <c r="I117" s="7"/>
      <c r="J117" s="7"/>
      <c r="K117" s="7"/>
      <c r="L117" s="7"/>
      <c r="M117" s="7"/>
      <c r="N117" s="4"/>
      <c r="O117" s="4"/>
      <c r="P117" s="4"/>
      <c r="Q117" s="4"/>
      <c r="R117" s="4"/>
    </row>
    <row r="118">
      <c r="A118" s="1"/>
      <c r="B118" s="8"/>
      <c r="C118" s="2"/>
      <c r="D118" s="2"/>
      <c r="E118" s="2"/>
      <c r="F118" s="2"/>
      <c r="G118" s="7"/>
      <c r="H118" s="7"/>
      <c r="I118" s="7"/>
      <c r="J118" s="7"/>
      <c r="K118" s="7"/>
      <c r="L118" s="7"/>
      <c r="M118" s="7"/>
      <c r="N118" s="4"/>
      <c r="O118" s="4"/>
      <c r="P118" s="4"/>
      <c r="Q118" s="4"/>
      <c r="R118" s="4"/>
    </row>
    <row r="119">
      <c r="A119" s="1"/>
      <c r="B119" s="8"/>
      <c r="C119" s="2"/>
      <c r="D119" s="2"/>
      <c r="E119" s="2"/>
      <c r="F119" s="2"/>
      <c r="G119" s="7"/>
      <c r="H119" s="7"/>
      <c r="I119" s="7"/>
      <c r="J119" s="7"/>
      <c r="K119" s="7"/>
      <c r="L119" s="7"/>
      <c r="M119" s="7"/>
      <c r="N119" s="4"/>
      <c r="O119" s="4"/>
      <c r="P119" s="4"/>
      <c r="Q119" s="4"/>
      <c r="R119" s="4"/>
    </row>
    <row r="120">
      <c r="A120" s="1"/>
      <c r="B120" s="8"/>
      <c r="C120" s="2"/>
      <c r="D120" s="2"/>
      <c r="E120" s="2"/>
      <c r="F120" s="2"/>
      <c r="G120" s="7"/>
      <c r="H120" s="7"/>
      <c r="I120" s="7"/>
      <c r="J120" s="7"/>
      <c r="K120" s="7"/>
      <c r="L120" s="7"/>
      <c r="M120" s="7"/>
      <c r="N120" s="4"/>
      <c r="O120" s="4"/>
      <c r="P120" s="4"/>
      <c r="Q120" s="4"/>
      <c r="R120" s="4"/>
    </row>
    <row r="121">
      <c r="A121" s="1"/>
      <c r="B121" s="8"/>
      <c r="C121" s="2"/>
      <c r="D121" s="2"/>
      <c r="E121" s="2"/>
      <c r="F121" s="2"/>
      <c r="G121" s="7"/>
      <c r="H121" s="7"/>
      <c r="I121" s="7"/>
      <c r="J121" s="7"/>
      <c r="K121" s="7"/>
      <c r="L121" s="7"/>
      <c r="M121" s="7"/>
      <c r="N121" s="4"/>
      <c r="O121" s="4"/>
      <c r="P121" s="4"/>
      <c r="Q121" s="4"/>
      <c r="R121" s="4"/>
    </row>
    <row r="122">
      <c r="A122" s="1"/>
      <c r="B122" s="8"/>
      <c r="C122" s="2"/>
      <c r="D122" s="2"/>
      <c r="E122" s="2"/>
      <c r="F122" s="2"/>
      <c r="G122" s="7"/>
      <c r="H122" s="7"/>
      <c r="I122" s="7"/>
      <c r="J122" s="7"/>
      <c r="K122" s="7"/>
      <c r="L122" s="7"/>
      <c r="M122" s="7"/>
      <c r="N122" s="4"/>
      <c r="O122" s="4"/>
      <c r="P122" s="4"/>
      <c r="Q122" s="4"/>
      <c r="R122" s="4"/>
    </row>
    <row r="123">
      <c r="A123" s="1"/>
      <c r="B123" s="8"/>
      <c r="C123" s="2"/>
      <c r="D123" s="2"/>
      <c r="E123" s="2"/>
      <c r="F123" s="2"/>
      <c r="G123" s="7"/>
      <c r="H123" s="7"/>
      <c r="I123" s="7"/>
      <c r="J123" s="7"/>
      <c r="K123" s="7"/>
      <c r="L123" s="7"/>
      <c r="M123" s="7"/>
      <c r="N123" s="4"/>
      <c r="O123" s="4"/>
      <c r="P123" s="4"/>
      <c r="Q123" s="4"/>
      <c r="R123" s="4"/>
    </row>
    <row r="124">
      <c r="A124" s="1"/>
      <c r="B124" s="8"/>
      <c r="C124" s="2"/>
      <c r="D124" s="2"/>
      <c r="E124" s="2"/>
      <c r="F124" s="2"/>
      <c r="G124" s="7"/>
      <c r="H124" s="7"/>
      <c r="I124" s="7"/>
      <c r="J124" s="7"/>
      <c r="K124" s="7"/>
      <c r="L124" s="7"/>
      <c r="M124" s="7"/>
      <c r="N124" s="4"/>
      <c r="O124" s="4"/>
      <c r="P124" s="4"/>
      <c r="Q124" s="4"/>
      <c r="R124" s="4"/>
    </row>
    <row r="125">
      <c r="A125" s="1"/>
      <c r="B125" s="8"/>
      <c r="C125" s="2"/>
      <c r="D125" s="2"/>
      <c r="E125" s="2"/>
      <c r="F125" s="2"/>
      <c r="G125" s="7"/>
      <c r="H125" s="7"/>
      <c r="I125" s="7"/>
      <c r="J125" s="7"/>
      <c r="K125" s="7"/>
      <c r="L125" s="7"/>
      <c r="M125" s="7"/>
      <c r="N125" s="4"/>
      <c r="O125" s="4"/>
      <c r="P125" s="4"/>
      <c r="Q125" s="4"/>
      <c r="R125" s="4"/>
    </row>
    <row r="126">
      <c r="A126" s="1"/>
      <c r="B126" s="8"/>
      <c r="C126" s="2"/>
      <c r="D126" s="2"/>
      <c r="E126" s="2"/>
      <c r="F126" s="2"/>
      <c r="G126" s="7"/>
      <c r="H126" s="7"/>
      <c r="I126" s="7"/>
      <c r="J126" s="7"/>
      <c r="K126" s="7"/>
      <c r="L126" s="7"/>
      <c r="M126" s="7"/>
      <c r="N126" s="4"/>
      <c r="O126" s="4"/>
      <c r="P126" s="4"/>
      <c r="Q126" s="4"/>
      <c r="R126" s="4"/>
    </row>
    <row r="127">
      <c r="A127" s="1"/>
      <c r="B127" s="8"/>
      <c r="C127" s="2"/>
      <c r="D127" s="2"/>
      <c r="E127" s="2"/>
      <c r="F127" s="2"/>
      <c r="G127" s="7"/>
      <c r="H127" s="7"/>
      <c r="I127" s="7"/>
      <c r="J127" s="7"/>
      <c r="K127" s="7"/>
      <c r="L127" s="7"/>
      <c r="M127" s="7"/>
      <c r="N127" s="4"/>
      <c r="O127" s="4"/>
      <c r="P127" s="4"/>
      <c r="Q127" s="4"/>
      <c r="R127" s="4"/>
    </row>
    <row r="128">
      <c r="A128" s="1"/>
      <c r="B128" s="8"/>
      <c r="C128" s="2"/>
      <c r="D128" s="2"/>
      <c r="E128" s="2"/>
      <c r="F128" s="2"/>
      <c r="G128" s="7"/>
      <c r="H128" s="7"/>
      <c r="I128" s="7"/>
      <c r="J128" s="7"/>
      <c r="K128" s="7"/>
      <c r="L128" s="7"/>
      <c r="M128" s="7"/>
      <c r="N128" s="4"/>
      <c r="O128" s="4"/>
      <c r="P128" s="4"/>
      <c r="Q128" s="4"/>
      <c r="R128" s="4"/>
    </row>
    <row r="129">
      <c r="A129" s="1"/>
      <c r="B129" s="8"/>
      <c r="C129" s="2"/>
      <c r="D129" s="2"/>
      <c r="E129" s="2"/>
      <c r="F129" s="2"/>
      <c r="G129" s="7"/>
      <c r="H129" s="7"/>
      <c r="I129" s="7"/>
      <c r="J129" s="7"/>
      <c r="K129" s="7"/>
      <c r="L129" s="7"/>
      <c r="M129" s="7"/>
      <c r="N129" s="4"/>
      <c r="O129" s="4"/>
      <c r="P129" s="4"/>
      <c r="Q129" s="4"/>
      <c r="R129" s="4"/>
    </row>
    <row r="130">
      <c r="A130" s="1"/>
      <c r="B130" s="8"/>
      <c r="C130" s="2"/>
      <c r="D130" s="2"/>
      <c r="E130" s="2"/>
      <c r="F130" s="2"/>
      <c r="G130" s="7"/>
      <c r="H130" s="7"/>
      <c r="I130" s="7"/>
      <c r="J130" s="7"/>
      <c r="K130" s="7"/>
      <c r="L130" s="7"/>
      <c r="M130" s="7"/>
      <c r="N130" s="4"/>
      <c r="O130" s="4"/>
      <c r="P130" s="4"/>
      <c r="Q130" s="4"/>
      <c r="R130" s="4"/>
    </row>
    <row r="131">
      <c r="A131" s="1"/>
      <c r="B131" s="8"/>
      <c r="C131" s="2"/>
      <c r="D131" s="2"/>
      <c r="E131" s="2"/>
      <c r="F131" s="2"/>
      <c r="G131" s="7"/>
      <c r="H131" s="7"/>
      <c r="I131" s="7"/>
      <c r="J131" s="7"/>
      <c r="K131" s="7"/>
      <c r="L131" s="7"/>
      <c r="M131" s="7"/>
      <c r="N131" s="4"/>
      <c r="O131" s="4"/>
      <c r="P131" s="4"/>
      <c r="Q131" s="4"/>
      <c r="R131" s="4"/>
    </row>
    <row r="132">
      <c r="A132" s="1"/>
      <c r="B132" s="8"/>
      <c r="C132" s="2"/>
      <c r="D132" s="2"/>
      <c r="E132" s="2"/>
      <c r="F132" s="2"/>
      <c r="G132" s="7"/>
      <c r="H132" s="7"/>
      <c r="I132" s="7"/>
      <c r="J132" s="7"/>
      <c r="K132" s="7"/>
      <c r="L132" s="7"/>
      <c r="M132" s="7"/>
      <c r="N132" s="4"/>
      <c r="O132" s="4"/>
      <c r="P132" s="4"/>
      <c r="Q132" s="4"/>
      <c r="R132" s="4"/>
    </row>
    <row r="133">
      <c r="A133" s="1"/>
      <c r="B133" s="8"/>
      <c r="C133" s="2"/>
      <c r="D133" s="2"/>
      <c r="E133" s="2"/>
      <c r="F133" s="2"/>
      <c r="G133" s="7"/>
      <c r="H133" s="7"/>
      <c r="I133" s="7"/>
      <c r="J133" s="7"/>
      <c r="K133" s="7"/>
      <c r="L133" s="7"/>
      <c r="M133" s="7"/>
      <c r="N133" s="4"/>
      <c r="O133" s="4"/>
      <c r="P133" s="4"/>
      <c r="Q133" s="4"/>
      <c r="R133" s="4"/>
    </row>
    <row r="134">
      <c r="A134" s="1"/>
      <c r="B134" s="8"/>
      <c r="C134" s="2"/>
      <c r="D134" s="2"/>
      <c r="E134" s="2"/>
      <c r="F134" s="2"/>
      <c r="G134" s="7"/>
      <c r="H134" s="7"/>
      <c r="I134" s="7"/>
      <c r="J134" s="7"/>
      <c r="K134" s="7"/>
      <c r="L134" s="7"/>
      <c r="M134" s="7"/>
      <c r="N134" s="4"/>
      <c r="O134" s="4"/>
      <c r="P134" s="4"/>
      <c r="Q134" s="4"/>
      <c r="R134" s="4"/>
    </row>
    <row r="135">
      <c r="A135" s="1"/>
      <c r="B135" s="8"/>
      <c r="C135" s="2"/>
      <c r="D135" s="2"/>
      <c r="E135" s="2"/>
      <c r="F135" s="2"/>
      <c r="G135" s="7"/>
      <c r="H135" s="7"/>
      <c r="I135" s="7"/>
      <c r="J135" s="7"/>
      <c r="K135" s="7"/>
      <c r="L135" s="7"/>
      <c r="M135" s="7"/>
      <c r="N135" s="4"/>
      <c r="O135" s="4"/>
      <c r="P135" s="4"/>
      <c r="Q135" s="4"/>
      <c r="R135" s="4"/>
    </row>
    <row r="136">
      <c r="A136" s="1"/>
      <c r="B136" s="8"/>
      <c r="C136" s="2"/>
      <c r="D136" s="2"/>
      <c r="E136" s="2"/>
      <c r="F136" s="2"/>
      <c r="G136" s="7"/>
      <c r="H136" s="7"/>
      <c r="I136" s="7"/>
      <c r="J136" s="7"/>
      <c r="K136" s="7"/>
      <c r="L136" s="7"/>
      <c r="M136" s="7"/>
      <c r="N136" s="4"/>
      <c r="O136" s="4"/>
      <c r="P136" s="4"/>
      <c r="Q136" s="4"/>
      <c r="R136" s="4"/>
    </row>
    <row r="137">
      <c r="A137" s="1"/>
      <c r="B137" s="8"/>
      <c r="C137" s="2"/>
      <c r="D137" s="2"/>
      <c r="E137" s="2"/>
      <c r="F137" s="2"/>
      <c r="G137" s="7"/>
      <c r="H137" s="7"/>
      <c r="I137" s="7"/>
      <c r="J137" s="7"/>
      <c r="K137" s="7"/>
      <c r="L137" s="7"/>
      <c r="M137" s="7"/>
      <c r="N137" s="4"/>
      <c r="O137" s="4"/>
      <c r="P137" s="4"/>
      <c r="Q137" s="4"/>
      <c r="R137" s="4"/>
    </row>
    <row r="138">
      <c r="A138" s="1"/>
      <c r="B138" s="8"/>
      <c r="C138" s="2"/>
      <c r="D138" s="2"/>
      <c r="E138" s="2"/>
      <c r="F138" s="2"/>
      <c r="G138" s="7"/>
      <c r="H138" s="7"/>
      <c r="I138" s="7"/>
      <c r="J138" s="7"/>
      <c r="K138" s="7"/>
      <c r="L138" s="7"/>
      <c r="M138" s="7"/>
      <c r="N138" s="4"/>
      <c r="O138" s="4"/>
      <c r="P138" s="4"/>
      <c r="Q138" s="4"/>
      <c r="R138" s="4"/>
    </row>
    <row r="139">
      <c r="A139" s="1"/>
      <c r="B139" s="8"/>
      <c r="C139" s="2"/>
      <c r="D139" s="2"/>
      <c r="E139" s="2"/>
      <c r="F139" s="2"/>
      <c r="G139" s="7"/>
      <c r="H139" s="7"/>
      <c r="I139" s="7"/>
      <c r="J139" s="7"/>
      <c r="K139" s="7"/>
      <c r="L139" s="7"/>
      <c r="M139" s="7"/>
      <c r="N139" s="4"/>
      <c r="O139" s="4"/>
      <c r="P139" s="4"/>
      <c r="Q139" s="4"/>
      <c r="R139" s="4"/>
    </row>
    <row r="140">
      <c r="A140" s="1"/>
      <c r="B140" s="8"/>
      <c r="C140" s="2"/>
      <c r="D140" s="2"/>
      <c r="E140" s="2"/>
      <c r="F140" s="2"/>
      <c r="G140" s="7"/>
      <c r="H140" s="7"/>
      <c r="I140" s="7"/>
      <c r="J140" s="7"/>
      <c r="K140" s="7"/>
      <c r="L140" s="7"/>
      <c r="M140" s="7"/>
      <c r="N140" s="4"/>
      <c r="O140" s="4"/>
      <c r="P140" s="4"/>
      <c r="Q140" s="4"/>
      <c r="R140" s="4"/>
    </row>
    <row r="141">
      <c r="A141" s="1"/>
      <c r="B141" s="8"/>
      <c r="C141" s="2"/>
      <c r="D141" s="2"/>
      <c r="E141" s="2"/>
      <c r="F141" s="2"/>
      <c r="G141" s="7"/>
      <c r="H141" s="7"/>
      <c r="I141" s="7"/>
      <c r="J141" s="7"/>
      <c r="K141" s="7"/>
      <c r="L141" s="7"/>
      <c r="M141" s="7"/>
      <c r="N141" s="4"/>
      <c r="O141" s="4"/>
      <c r="P141" s="4"/>
      <c r="Q141" s="4"/>
      <c r="R141" s="4"/>
    </row>
    <row r="142">
      <c r="A142" s="1"/>
      <c r="B142" s="8"/>
      <c r="C142" s="2"/>
      <c r="D142" s="2"/>
      <c r="E142" s="2"/>
      <c r="F142" s="2"/>
      <c r="G142" s="7"/>
      <c r="H142" s="7"/>
      <c r="I142" s="7"/>
      <c r="J142" s="7"/>
      <c r="K142" s="7"/>
      <c r="L142" s="7"/>
      <c r="M142" s="7"/>
      <c r="N142" s="4"/>
      <c r="O142" s="4"/>
      <c r="P142" s="4"/>
      <c r="Q142" s="4"/>
      <c r="R142" s="4"/>
    </row>
    <row r="143">
      <c r="A143" s="1"/>
      <c r="B143" s="8"/>
      <c r="C143" s="2"/>
      <c r="D143" s="2"/>
      <c r="E143" s="2"/>
      <c r="F143" s="2"/>
      <c r="G143" s="7"/>
      <c r="H143" s="7"/>
      <c r="I143" s="7"/>
      <c r="J143" s="7"/>
      <c r="K143" s="7"/>
      <c r="L143" s="7"/>
      <c r="M143" s="7"/>
      <c r="N143" s="4"/>
      <c r="O143" s="4"/>
      <c r="P143" s="4"/>
      <c r="Q143" s="4"/>
      <c r="R143" s="4"/>
    </row>
    <row r="144">
      <c r="A144" s="1"/>
      <c r="B144" s="8"/>
      <c r="C144" s="2"/>
      <c r="D144" s="2"/>
      <c r="E144" s="2"/>
      <c r="F144" s="2"/>
      <c r="G144" s="7"/>
      <c r="H144" s="7"/>
      <c r="I144" s="7"/>
      <c r="J144" s="7"/>
      <c r="K144" s="7"/>
      <c r="L144" s="7"/>
      <c r="M144" s="7"/>
      <c r="N144" s="4"/>
      <c r="O144" s="4"/>
      <c r="P144" s="4"/>
      <c r="Q144" s="4"/>
      <c r="R144" s="4"/>
    </row>
    <row r="145">
      <c r="A145" s="1"/>
      <c r="B145" s="8"/>
      <c r="C145" s="2"/>
      <c r="D145" s="2"/>
      <c r="E145" s="2"/>
      <c r="F145" s="2"/>
      <c r="G145" s="7"/>
      <c r="H145" s="7"/>
      <c r="I145" s="7"/>
      <c r="J145" s="7"/>
      <c r="K145" s="7"/>
      <c r="L145" s="7"/>
      <c r="M145" s="7"/>
      <c r="N145" s="4"/>
      <c r="O145" s="4"/>
      <c r="P145" s="4"/>
      <c r="Q145" s="4"/>
      <c r="R145" s="4"/>
    </row>
    <row r="146">
      <c r="A146" s="1"/>
      <c r="B146" s="8"/>
      <c r="C146" s="2"/>
      <c r="D146" s="2"/>
      <c r="E146" s="2"/>
      <c r="F146" s="2"/>
      <c r="G146" s="7"/>
      <c r="H146" s="7"/>
      <c r="I146" s="7"/>
      <c r="J146" s="7"/>
      <c r="K146" s="7"/>
      <c r="L146" s="7"/>
      <c r="M146" s="7"/>
      <c r="N146" s="4"/>
      <c r="O146" s="4"/>
      <c r="P146" s="4"/>
      <c r="Q146" s="4"/>
      <c r="R146" s="4"/>
    </row>
    <row r="147">
      <c r="A147" s="1"/>
      <c r="B147" s="8"/>
      <c r="C147" s="2"/>
      <c r="D147" s="2"/>
      <c r="E147" s="2"/>
      <c r="F147" s="2"/>
      <c r="G147" s="7"/>
      <c r="H147" s="7"/>
      <c r="I147" s="7"/>
      <c r="J147" s="7"/>
      <c r="K147" s="7"/>
      <c r="L147" s="7"/>
      <c r="M147" s="7"/>
      <c r="N147" s="4"/>
      <c r="O147" s="4"/>
      <c r="P147" s="4"/>
      <c r="Q147" s="4"/>
      <c r="R147" s="4"/>
    </row>
    <row r="148">
      <c r="A148" s="1"/>
      <c r="B148" s="8"/>
      <c r="C148" s="2"/>
      <c r="D148" s="2"/>
      <c r="E148" s="2"/>
      <c r="F148" s="2"/>
      <c r="G148" s="7"/>
      <c r="H148" s="7"/>
      <c r="I148" s="7"/>
      <c r="J148" s="7"/>
      <c r="K148" s="7"/>
      <c r="L148" s="7"/>
      <c r="M148" s="7"/>
      <c r="N148" s="4"/>
      <c r="O148" s="4"/>
      <c r="P148" s="4"/>
      <c r="Q148" s="4"/>
      <c r="R148" s="4"/>
    </row>
    <row r="149">
      <c r="A149" s="1"/>
      <c r="B149" s="8"/>
      <c r="C149" s="2"/>
      <c r="D149" s="2"/>
      <c r="E149" s="2"/>
      <c r="F149" s="2"/>
      <c r="G149" s="7"/>
      <c r="H149" s="7"/>
      <c r="I149" s="7"/>
      <c r="J149" s="7"/>
      <c r="K149" s="7"/>
      <c r="L149" s="7"/>
      <c r="M149" s="7"/>
      <c r="N149" s="4"/>
      <c r="O149" s="4"/>
      <c r="P149" s="4"/>
      <c r="Q149" s="4"/>
      <c r="R149" s="4"/>
    </row>
    <row r="150">
      <c r="A150" s="1"/>
      <c r="B150" s="8"/>
      <c r="C150" s="2"/>
      <c r="D150" s="2"/>
      <c r="E150" s="2"/>
      <c r="F150" s="2"/>
      <c r="G150" s="7"/>
      <c r="H150" s="7"/>
      <c r="I150" s="7"/>
      <c r="J150" s="7"/>
      <c r="K150" s="7"/>
      <c r="L150" s="7"/>
      <c r="M150" s="7"/>
      <c r="N150" s="4"/>
      <c r="O150" s="4"/>
      <c r="P150" s="4"/>
      <c r="Q150" s="4"/>
      <c r="R150" s="4"/>
    </row>
    <row r="151">
      <c r="A151" s="1"/>
      <c r="B151" s="8"/>
      <c r="C151" s="2"/>
      <c r="D151" s="2"/>
      <c r="E151" s="2"/>
      <c r="F151" s="2"/>
      <c r="G151" s="7"/>
      <c r="H151" s="7"/>
      <c r="I151" s="7"/>
      <c r="J151" s="7"/>
      <c r="K151" s="7"/>
      <c r="L151" s="7"/>
      <c r="M151" s="7"/>
      <c r="N151" s="4"/>
      <c r="O151" s="4"/>
      <c r="P151" s="4"/>
      <c r="Q151" s="4"/>
      <c r="R151" s="4"/>
    </row>
    <row r="152">
      <c r="A152" s="1"/>
      <c r="B152" s="8"/>
      <c r="C152" s="2"/>
      <c r="D152" s="2"/>
      <c r="E152" s="2"/>
      <c r="F152" s="2"/>
      <c r="G152" s="7"/>
      <c r="H152" s="7"/>
      <c r="I152" s="7"/>
      <c r="J152" s="7"/>
      <c r="K152" s="7"/>
      <c r="L152" s="7"/>
      <c r="M152" s="7"/>
      <c r="N152" s="4"/>
      <c r="O152" s="4"/>
      <c r="P152" s="4"/>
      <c r="Q152" s="4"/>
      <c r="R152" s="4"/>
    </row>
    <row r="153">
      <c r="A153" s="1"/>
      <c r="B153" s="8"/>
      <c r="C153" s="2"/>
      <c r="D153" s="2"/>
      <c r="E153" s="2"/>
      <c r="F153" s="2"/>
      <c r="G153" s="7"/>
      <c r="H153" s="7"/>
      <c r="I153" s="7"/>
      <c r="J153" s="7"/>
      <c r="K153" s="7"/>
      <c r="L153" s="7"/>
      <c r="M153" s="7"/>
      <c r="N153" s="4"/>
      <c r="O153" s="4"/>
      <c r="P153" s="4"/>
      <c r="Q153" s="4"/>
      <c r="R153" s="4"/>
    </row>
    <row r="154">
      <c r="A154" s="1"/>
      <c r="B154" s="8"/>
      <c r="C154" s="2"/>
      <c r="D154" s="2"/>
      <c r="E154" s="2"/>
      <c r="F154" s="2"/>
      <c r="G154" s="7"/>
      <c r="H154" s="7"/>
      <c r="I154" s="7"/>
      <c r="J154" s="7"/>
      <c r="K154" s="7"/>
      <c r="L154" s="7"/>
      <c r="M154" s="7"/>
      <c r="N154" s="4"/>
      <c r="O154" s="4"/>
      <c r="P154" s="4"/>
      <c r="Q154" s="4"/>
      <c r="R154" s="4"/>
    </row>
    <row r="155">
      <c r="A155" s="1"/>
      <c r="B155" s="8"/>
      <c r="C155" s="2"/>
      <c r="D155" s="2"/>
      <c r="E155" s="2"/>
      <c r="F155" s="2"/>
      <c r="G155" s="7"/>
      <c r="H155" s="7"/>
      <c r="I155" s="7"/>
      <c r="J155" s="7"/>
      <c r="K155" s="7"/>
      <c r="L155" s="7"/>
      <c r="M155" s="7"/>
      <c r="N155" s="4"/>
      <c r="O155" s="4"/>
      <c r="P155" s="4"/>
      <c r="Q155" s="4"/>
      <c r="R155" s="4"/>
    </row>
    <row r="156">
      <c r="A156" s="1"/>
      <c r="B156" s="8"/>
      <c r="C156" s="2"/>
      <c r="D156" s="2"/>
      <c r="E156" s="2"/>
      <c r="F156" s="2"/>
      <c r="G156" s="7"/>
      <c r="H156" s="7"/>
      <c r="I156" s="7"/>
      <c r="J156" s="7"/>
      <c r="K156" s="7"/>
      <c r="L156" s="7"/>
      <c r="M156" s="7"/>
      <c r="N156" s="4"/>
      <c r="O156" s="4"/>
      <c r="P156" s="4"/>
      <c r="Q156" s="4"/>
      <c r="R156" s="4"/>
    </row>
    <row r="157">
      <c r="A157" s="1"/>
      <c r="B157" s="8"/>
      <c r="C157" s="2"/>
      <c r="D157" s="2"/>
      <c r="E157" s="2"/>
      <c r="F157" s="2"/>
      <c r="G157" s="7"/>
      <c r="H157" s="7"/>
      <c r="I157" s="7"/>
      <c r="J157" s="7"/>
      <c r="K157" s="7"/>
      <c r="L157" s="7"/>
      <c r="M157" s="7"/>
      <c r="N157" s="4"/>
      <c r="O157" s="4"/>
      <c r="P157" s="4"/>
      <c r="Q157" s="4"/>
      <c r="R157" s="4"/>
    </row>
    <row r="158">
      <c r="A158" s="1"/>
      <c r="B158" s="8"/>
      <c r="C158" s="2"/>
      <c r="D158" s="2"/>
      <c r="E158" s="2"/>
      <c r="F158" s="2"/>
      <c r="G158" s="7"/>
      <c r="H158" s="7"/>
      <c r="I158" s="7"/>
      <c r="J158" s="7"/>
      <c r="K158" s="7"/>
      <c r="L158" s="7"/>
      <c r="M158" s="7"/>
      <c r="N158" s="4"/>
      <c r="O158" s="4"/>
      <c r="P158" s="4"/>
      <c r="Q158" s="4"/>
      <c r="R158" s="4"/>
    </row>
    <row r="159">
      <c r="A159" s="1"/>
      <c r="B159" s="8"/>
      <c r="C159" s="2"/>
      <c r="D159" s="2"/>
      <c r="E159" s="2"/>
      <c r="F159" s="2"/>
      <c r="G159" s="7"/>
      <c r="H159" s="7"/>
      <c r="I159" s="7"/>
      <c r="J159" s="7"/>
      <c r="K159" s="7"/>
      <c r="L159" s="7"/>
      <c r="M159" s="7"/>
      <c r="N159" s="4"/>
      <c r="O159" s="4"/>
      <c r="P159" s="4"/>
      <c r="Q159" s="4"/>
      <c r="R159" s="4"/>
    </row>
    <row r="160">
      <c r="A160" s="1"/>
      <c r="B160" s="8"/>
      <c r="C160" s="2"/>
      <c r="D160" s="2"/>
      <c r="E160" s="2"/>
      <c r="F160" s="2"/>
      <c r="G160" s="7"/>
      <c r="H160" s="7"/>
      <c r="I160" s="7"/>
      <c r="J160" s="7"/>
      <c r="K160" s="7"/>
      <c r="L160" s="7"/>
      <c r="M160" s="7"/>
      <c r="N160" s="4"/>
      <c r="O160" s="4"/>
      <c r="P160" s="4"/>
      <c r="Q160" s="4"/>
      <c r="R160" s="4"/>
    </row>
    <row r="161">
      <c r="A161" s="1"/>
      <c r="B161" s="8"/>
      <c r="C161" s="2"/>
      <c r="D161" s="2"/>
      <c r="E161" s="2"/>
      <c r="F161" s="2"/>
      <c r="G161" s="7"/>
      <c r="H161" s="7"/>
      <c r="I161" s="7"/>
      <c r="J161" s="7"/>
      <c r="K161" s="7"/>
      <c r="L161" s="7"/>
      <c r="M161" s="7"/>
      <c r="N161" s="4"/>
      <c r="O161" s="4"/>
      <c r="P161" s="4"/>
      <c r="Q161" s="4"/>
      <c r="R161" s="4"/>
    </row>
    <row r="162">
      <c r="A162" s="1"/>
      <c r="B162" s="8"/>
      <c r="C162" s="2"/>
      <c r="D162" s="2"/>
      <c r="E162" s="2"/>
      <c r="F162" s="2"/>
      <c r="G162" s="7"/>
      <c r="H162" s="7"/>
      <c r="I162" s="7"/>
      <c r="J162" s="7"/>
      <c r="K162" s="7"/>
      <c r="L162" s="7"/>
      <c r="M162" s="7"/>
      <c r="N162" s="4"/>
      <c r="O162" s="4"/>
      <c r="P162" s="4"/>
      <c r="Q162" s="4"/>
      <c r="R162" s="4"/>
    </row>
    <row r="163">
      <c r="A163" s="1"/>
      <c r="B163" s="8"/>
      <c r="C163" s="2"/>
      <c r="D163" s="2"/>
      <c r="E163" s="2"/>
      <c r="F163" s="2"/>
      <c r="G163" s="7"/>
      <c r="H163" s="7"/>
      <c r="I163" s="7"/>
      <c r="J163" s="7"/>
      <c r="K163" s="7"/>
      <c r="L163" s="7"/>
      <c r="M163" s="7"/>
      <c r="N163" s="4"/>
      <c r="O163" s="4"/>
      <c r="P163" s="4"/>
      <c r="Q163" s="4"/>
      <c r="R163" s="4"/>
    </row>
    <row r="164">
      <c r="A164" s="1"/>
      <c r="B164" s="8"/>
      <c r="C164" s="2"/>
      <c r="D164" s="2"/>
      <c r="E164" s="2"/>
      <c r="F164" s="2"/>
      <c r="G164" s="7"/>
      <c r="H164" s="7"/>
      <c r="I164" s="7"/>
      <c r="J164" s="7"/>
      <c r="K164" s="7"/>
      <c r="L164" s="7"/>
      <c r="M164" s="7"/>
      <c r="N164" s="4"/>
      <c r="O164" s="4"/>
      <c r="P164" s="4"/>
      <c r="Q164" s="4"/>
      <c r="R164" s="4"/>
    </row>
    <row r="165">
      <c r="A165" s="1"/>
      <c r="B165" s="8"/>
      <c r="C165" s="2"/>
      <c r="D165" s="2"/>
      <c r="E165" s="2"/>
      <c r="F165" s="2"/>
      <c r="G165" s="7"/>
      <c r="H165" s="7"/>
      <c r="I165" s="7"/>
      <c r="J165" s="7"/>
      <c r="K165" s="7"/>
      <c r="L165" s="7"/>
      <c r="M165" s="7"/>
      <c r="N165" s="4"/>
      <c r="O165" s="4"/>
      <c r="P165" s="4"/>
      <c r="Q165" s="4"/>
      <c r="R165" s="4"/>
    </row>
    <row r="166">
      <c r="A166" s="1"/>
      <c r="B166" s="8"/>
      <c r="C166" s="2"/>
      <c r="D166" s="2"/>
      <c r="E166" s="2"/>
      <c r="F166" s="2"/>
      <c r="G166" s="7"/>
      <c r="H166" s="7"/>
      <c r="I166" s="7"/>
      <c r="J166" s="7"/>
      <c r="K166" s="7"/>
      <c r="L166" s="7"/>
      <c r="M166" s="7"/>
      <c r="N166" s="4"/>
      <c r="O166" s="4"/>
      <c r="P166" s="4"/>
      <c r="Q166" s="4"/>
      <c r="R166" s="4"/>
    </row>
    <row r="167">
      <c r="A167" s="1"/>
      <c r="B167" s="8"/>
      <c r="C167" s="2"/>
      <c r="D167" s="2"/>
      <c r="E167" s="2"/>
      <c r="F167" s="2"/>
      <c r="G167" s="7"/>
      <c r="H167" s="7"/>
      <c r="I167" s="7"/>
      <c r="J167" s="7"/>
      <c r="K167" s="7"/>
      <c r="L167" s="7"/>
      <c r="M167" s="7"/>
      <c r="N167" s="4"/>
      <c r="O167" s="4"/>
      <c r="P167" s="4"/>
      <c r="Q167" s="4"/>
      <c r="R167" s="4"/>
    </row>
    <row r="168">
      <c r="A168" s="1"/>
      <c r="B168" s="8"/>
      <c r="C168" s="2"/>
      <c r="D168" s="2"/>
      <c r="E168" s="2"/>
      <c r="F168" s="2"/>
      <c r="G168" s="7"/>
      <c r="H168" s="7"/>
      <c r="I168" s="7"/>
      <c r="J168" s="7"/>
      <c r="K168" s="7"/>
      <c r="L168" s="7"/>
      <c r="M168" s="7"/>
      <c r="N168" s="4"/>
      <c r="O168" s="4"/>
      <c r="P168" s="4"/>
      <c r="Q168" s="4"/>
      <c r="R168" s="4"/>
    </row>
    <row r="169">
      <c r="A169" s="1"/>
      <c r="B169" s="8"/>
      <c r="C169" s="2"/>
      <c r="D169" s="2"/>
      <c r="E169" s="2"/>
      <c r="F169" s="2"/>
      <c r="G169" s="7"/>
      <c r="H169" s="7"/>
      <c r="I169" s="7"/>
      <c r="J169" s="7"/>
      <c r="K169" s="7"/>
      <c r="L169" s="7"/>
      <c r="M169" s="7"/>
      <c r="N169" s="4"/>
      <c r="O169" s="4"/>
      <c r="P169" s="4"/>
      <c r="Q169" s="4"/>
      <c r="R169" s="4"/>
    </row>
    <row r="170">
      <c r="A170" s="1"/>
      <c r="B170" s="8"/>
      <c r="C170" s="2"/>
      <c r="D170" s="2"/>
      <c r="E170" s="2"/>
      <c r="F170" s="2"/>
      <c r="G170" s="7"/>
      <c r="H170" s="7"/>
      <c r="I170" s="7"/>
      <c r="J170" s="7"/>
      <c r="K170" s="7"/>
      <c r="L170" s="7"/>
      <c r="M170" s="7"/>
      <c r="N170" s="4"/>
      <c r="O170" s="4"/>
      <c r="P170" s="4"/>
      <c r="Q170" s="4"/>
      <c r="R170" s="4"/>
    </row>
    <row r="171">
      <c r="A171" s="1"/>
      <c r="B171" s="8"/>
      <c r="C171" s="2"/>
      <c r="D171" s="2"/>
      <c r="E171" s="2"/>
      <c r="F171" s="2"/>
      <c r="G171" s="7"/>
      <c r="H171" s="7"/>
      <c r="I171" s="7"/>
      <c r="J171" s="7"/>
      <c r="K171" s="7"/>
      <c r="L171" s="7"/>
      <c r="M171" s="7"/>
      <c r="N171" s="4"/>
      <c r="O171" s="4"/>
      <c r="P171" s="4"/>
      <c r="Q171" s="4"/>
      <c r="R171" s="4"/>
    </row>
    <row r="172">
      <c r="A172" s="1"/>
      <c r="B172" s="8"/>
      <c r="C172" s="2"/>
      <c r="D172" s="2"/>
      <c r="E172" s="2"/>
      <c r="F172" s="2"/>
      <c r="G172" s="7"/>
      <c r="H172" s="7"/>
      <c r="I172" s="7"/>
      <c r="J172" s="7"/>
      <c r="K172" s="7"/>
      <c r="L172" s="7"/>
      <c r="M172" s="7"/>
      <c r="N172" s="4"/>
      <c r="O172" s="4"/>
      <c r="P172" s="4"/>
      <c r="Q172" s="4"/>
      <c r="R172" s="4"/>
    </row>
    <row r="173">
      <c r="A173" s="1"/>
      <c r="B173" s="8"/>
      <c r="C173" s="2"/>
      <c r="D173" s="2"/>
      <c r="E173" s="2"/>
      <c r="F173" s="2"/>
      <c r="G173" s="7"/>
      <c r="H173" s="7"/>
      <c r="I173" s="7"/>
      <c r="J173" s="7"/>
      <c r="K173" s="7"/>
      <c r="L173" s="7"/>
      <c r="M173" s="7"/>
      <c r="N173" s="4"/>
      <c r="O173" s="4"/>
      <c r="P173" s="4"/>
      <c r="Q173" s="4"/>
      <c r="R173" s="4"/>
    </row>
    <row r="174">
      <c r="A174" s="1"/>
      <c r="B174" s="8"/>
      <c r="C174" s="2"/>
      <c r="D174" s="2"/>
      <c r="E174" s="2"/>
      <c r="F174" s="2"/>
      <c r="G174" s="7"/>
      <c r="H174" s="7"/>
      <c r="I174" s="7"/>
      <c r="J174" s="7"/>
      <c r="K174" s="7"/>
      <c r="L174" s="7"/>
      <c r="M174" s="7"/>
      <c r="N174" s="4"/>
      <c r="O174" s="4"/>
      <c r="P174" s="4"/>
      <c r="Q174" s="4"/>
      <c r="R174" s="4"/>
    </row>
    <row r="175">
      <c r="A175" s="1"/>
      <c r="B175" s="8"/>
      <c r="C175" s="2"/>
      <c r="D175" s="2"/>
      <c r="E175" s="2"/>
      <c r="F175" s="2"/>
      <c r="G175" s="7"/>
      <c r="H175" s="7"/>
      <c r="I175" s="7"/>
      <c r="J175" s="7"/>
      <c r="K175" s="7"/>
      <c r="L175" s="7"/>
      <c r="M175" s="7"/>
      <c r="N175" s="4"/>
      <c r="O175" s="4"/>
      <c r="P175" s="4"/>
      <c r="Q175" s="4"/>
      <c r="R175" s="4"/>
    </row>
    <row r="176">
      <c r="A176" s="1"/>
      <c r="B176" s="8"/>
      <c r="C176" s="2"/>
      <c r="D176" s="2"/>
      <c r="E176" s="2"/>
      <c r="F176" s="2"/>
      <c r="G176" s="7"/>
      <c r="H176" s="7"/>
      <c r="I176" s="7"/>
      <c r="J176" s="7"/>
      <c r="K176" s="7"/>
      <c r="L176" s="7"/>
      <c r="M176" s="7"/>
      <c r="N176" s="4"/>
      <c r="O176" s="4"/>
      <c r="P176" s="4"/>
      <c r="Q176" s="4"/>
      <c r="R176" s="4"/>
    </row>
    <row r="177">
      <c r="A177" s="1"/>
      <c r="B177" s="8"/>
      <c r="C177" s="2"/>
      <c r="D177" s="2"/>
      <c r="E177" s="2"/>
      <c r="F177" s="2"/>
      <c r="G177" s="7"/>
      <c r="H177" s="7"/>
      <c r="I177" s="7"/>
      <c r="J177" s="7"/>
      <c r="K177" s="7"/>
      <c r="L177" s="7"/>
      <c r="M177" s="7"/>
      <c r="N177" s="4"/>
      <c r="O177" s="4"/>
      <c r="P177" s="4"/>
      <c r="Q177" s="4"/>
      <c r="R177" s="4"/>
    </row>
    <row r="178">
      <c r="A178" s="1"/>
      <c r="B178" s="8"/>
      <c r="C178" s="2"/>
      <c r="D178" s="2"/>
      <c r="E178" s="2"/>
      <c r="F178" s="2"/>
      <c r="G178" s="7"/>
      <c r="H178" s="7"/>
      <c r="I178" s="7"/>
      <c r="J178" s="7"/>
      <c r="K178" s="7"/>
      <c r="L178" s="7"/>
      <c r="M178" s="7"/>
      <c r="N178" s="4"/>
      <c r="O178" s="4"/>
      <c r="P178" s="4"/>
      <c r="Q178" s="4"/>
      <c r="R178" s="4"/>
    </row>
    <row r="179">
      <c r="A179" s="1"/>
      <c r="B179" s="8"/>
      <c r="C179" s="2"/>
      <c r="D179" s="2"/>
      <c r="E179" s="2"/>
      <c r="F179" s="2"/>
      <c r="G179" s="7"/>
      <c r="H179" s="7"/>
      <c r="I179" s="7"/>
      <c r="J179" s="7"/>
      <c r="K179" s="7"/>
      <c r="L179" s="7"/>
      <c r="M179" s="7"/>
      <c r="N179" s="4"/>
      <c r="O179" s="4"/>
      <c r="P179" s="4"/>
      <c r="Q179" s="4"/>
      <c r="R179" s="4"/>
    </row>
    <row r="180">
      <c r="A180" s="1"/>
      <c r="B180" s="8"/>
      <c r="C180" s="2"/>
      <c r="D180" s="2"/>
      <c r="E180" s="2"/>
      <c r="F180" s="2"/>
      <c r="G180" s="7"/>
      <c r="H180" s="7"/>
      <c r="I180" s="7"/>
      <c r="J180" s="7"/>
      <c r="K180" s="7"/>
      <c r="L180" s="7"/>
      <c r="M180" s="7"/>
      <c r="N180" s="4"/>
      <c r="O180" s="4"/>
      <c r="P180" s="4"/>
      <c r="Q180" s="4"/>
      <c r="R180" s="4"/>
    </row>
    <row r="181">
      <c r="A181" s="1"/>
      <c r="B181" s="8"/>
      <c r="C181" s="2"/>
      <c r="D181" s="2"/>
      <c r="E181" s="2"/>
      <c r="F181" s="2"/>
      <c r="G181" s="7"/>
      <c r="H181" s="7"/>
      <c r="I181" s="7"/>
      <c r="J181" s="7"/>
      <c r="K181" s="7"/>
      <c r="L181" s="7"/>
      <c r="M181" s="7"/>
      <c r="N181" s="4"/>
      <c r="O181" s="4"/>
      <c r="P181" s="4"/>
      <c r="Q181" s="4"/>
      <c r="R181" s="4"/>
    </row>
    <row r="182">
      <c r="A182" s="1"/>
      <c r="B182" s="8"/>
      <c r="C182" s="2"/>
      <c r="D182" s="2"/>
      <c r="E182" s="2"/>
      <c r="F182" s="2"/>
      <c r="G182" s="7"/>
      <c r="H182" s="7"/>
      <c r="I182" s="7"/>
      <c r="J182" s="7"/>
      <c r="K182" s="7"/>
      <c r="L182" s="7"/>
      <c r="M182" s="7"/>
      <c r="N182" s="4"/>
      <c r="O182" s="4"/>
      <c r="P182" s="4"/>
      <c r="Q182" s="4"/>
      <c r="R182" s="4"/>
    </row>
    <row r="183">
      <c r="A183" s="1"/>
      <c r="B183" s="8"/>
      <c r="C183" s="2"/>
      <c r="D183" s="2"/>
      <c r="E183" s="2"/>
      <c r="F183" s="2"/>
      <c r="G183" s="7"/>
      <c r="H183" s="7"/>
      <c r="I183" s="7"/>
      <c r="J183" s="7"/>
      <c r="K183" s="7"/>
      <c r="L183" s="7"/>
      <c r="M183" s="7"/>
      <c r="N183" s="4"/>
      <c r="O183" s="4"/>
      <c r="P183" s="4"/>
      <c r="Q183" s="4"/>
      <c r="R183" s="4"/>
    </row>
    <row r="184">
      <c r="A184" s="1"/>
      <c r="B184" s="8"/>
      <c r="C184" s="2"/>
      <c r="D184" s="2"/>
      <c r="E184" s="2"/>
      <c r="F184" s="2"/>
      <c r="G184" s="7"/>
      <c r="H184" s="7"/>
      <c r="I184" s="7"/>
      <c r="J184" s="7"/>
      <c r="K184" s="7"/>
      <c r="L184" s="7"/>
      <c r="M184" s="7"/>
      <c r="N184" s="4"/>
      <c r="O184" s="4"/>
      <c r="P184" s="4"/>
      <c r="Q184" s="4"/>
      <c r="R184" s="4"/>
    </row>
    <row r="185">
      <c r="A185" s="1"/>
      <c r="B185" s="8"/>
      <c r="C185" s="2"/>
      <c r="D185" s="2"/>
      <c r="E185" s="2"/>
      <c r="F185" s="2"/>
      <c r="G185" s="7"/>
      <c r="H185" s="7"/>
      <c r="I185" s="7"/>
      <c r="J185" s="7"/>
      <c r="K185" s="7"/>
      <c r="L185" s="7"/>
      <c r="M185" s="7"/>
      <c r="N185" s="4"/>
      <c r="O185" s="4"/>
      <c r="P185" s="4"/>
      <c r="Q185" s="4"/>
      <c r="R185" s="4"/>
    </row>
    <row r="186">
      <c r="A186" s="1"/>
      <c r="B186" s="8"/>
      <c r="C186" s="2"/>
      <c r="D186" s="2"/>
      <c r="E186" s="2"/>
      <c r="F186" s="2"/>
      <c r="G186" s="7"/>
      <c r="H186" s="7"/>
      <c r="I186" s="7"/>
      <c r="J186" s="7"/>
      <c r="K186" s="7"/>
      <c r="L186" s="7"/>
      <c r="M186" s="7"/>
      <c r="N186" s="4"/>
      <c r="O186" s="4"/>
      <c r="P186" s="4"/>
      <c r="Q186" s="4"/>
      <c r="R186" s="4"/>
    </row>
    <row r="187">
      <c r="A187" s="1"/>
      <c r="B187" s="8"/>
      <c r="C187" s="2"/>
      <c r="D187" s="2"/>
      <c r="E187" s="2"/>
      <c r="F187" s="2"/>
      <c r="G187" s="7"/>
      <c r="H187" s="7"/>
      <c r="I187" s="7"/>
      <c r="J187" s="7"/>
      <c r="K187" s="7"/>
      <c r="L187" s="7"/>
      <c r="M187" s="7"/>
      <c r="N187" s="4"/>
      <c r="O187" s="4"/>
      <c r="P187" s="4"/>
      <c r="Q187" s="4"/>
      <c r="R187" s="4"/>
    </row>
    <row r="188">
      <c r="A188" s="1"/>
      <c r="B188" s="8"/>
      <c r="C188" s="2"/>
      <c r="D188" s="2"/>
      <c r="E188" s="2"/>
      <c r="F188" s="2"/>
      <c r="G188" s="7"/>
      <c r="H188" s="7"/>
      <c r="I188" s="7"/>
      <c r="J188" s="7"/>
      <c r="K188" s="7"/>
      <c r="L188" s="7"/>
      <c r="M188" s="7"/>
      <c r="N188" s="4"/>
      <c r="O188" s="4"/>
      <c r="P188" s="4"/>
      <c r="Q188" s="4"/>
      <c r="R188" s="4"/>
    </row>
    <row r="189">
      <c r="A189" s="1"/>
      <c r="B189" s="8"/>
      <c r="C189" s="2"/>
      <c r="D189" s="2"/>
      <c r="E189" s="2"/>
      <c r="F189" s="2"/>
      <c r="G189" s="7"/>
      <c r="H189" s="7"/>
      <c r="I189" s="7"/>
      <c r="J189" s="7"/>
      <c r="K189" s="7"/>
      <c r="L189" s="7"/>
      <c r="M189" s="7"/>
      <c r="N189" s="4"/>
      <c r="O189" s="4"/>
      <c r="P189" s="4"/>
      <c r="Q189" s="4"/>
      <c r="R189" s="4"/>
    </row>
    <row r="190">
      <c r="A190" s="1"/>
      <c r="B190" s="8"/>
      <c r="C190" s="2"/>
      <c r="D190" s="2"/>
      <c r="E190" s="2"/>
      <c r="F190" s="2"/>
      <c r="G190" s="7"/>
      <c r="H190" s="7"/>
      <c r="I190" s="7"/>
      <c r="J190" s="7"/>
      <c r="K190" s="7"/>
      <c r="L190" s="7"/>
      <c r="M190" s="7"/>
      <c r="N190" s="4"/>
      <c r="O190" s="4"/>
      <c r="P190" s="4"/>
      <c r="Q190" s="4"/>
      <c r="R190" s="4"/>
    </row>
    <row r="191">
      <c r="A191" s="1"/>
      <c r="B191" s="8"/>
      <c r="C191" s="2"/>
      <c r="D191" s="2"/>
      <c r="E191" s="2"/>
      <c r="F191" s="2"/>
      <c r="G191" s="7"/>
      <c r="H191" s="7"/>
      <c r="I191" s="7"/>
      <c r="J191" s="7"/>
      <c r="K191" s="7"/>
      <c r="L191" s="7"/>
      <c r="M191" s="7"/>
      <c r="N191" s="4"/>
      <c r="O191" s="4"/>
      <c r="P191" s="4"/>
      <c r="Q191" s="4"/>
      <c r="R191" s="4"/>
    </row>
    <row r="192">
      <c r="A192" s="1"/>
      <c r="B192" s="8"/>
      <c r="C192" s="2"/>
      <c r="D192" s="2"/>
      <c r="E192" s="2"/>
      <c r="F192" s="2"/>
      <c r="G192" s="7"/>
      <c r="H192" s="7"/>
      <c r="I192" s="7"/>
      <c r="J192" s="7"/>
      <c r="K192" s="7"/>
      <c r="L192" s="7"/>
      <c r="M192" s="7"/>
      <c r="N192" s="4"/>
      <c r="O192" s="4"/>
      <c r="P192" s="4"/>
      <c r="Q192" s="4"/>
      <c r="R192" s="4"/>
    </row>
    <row r="193">
      <c r="A193" s="1"/>
      <c r="B193" s="8"/>
      <c r="C193" s="2"/>
      <c r="D193" s="2"/>
      <c r="E193" s="2"/>
      <c r="F193" s="2"/>
      <c r="G193" s="7"/>
      <c r="H193" s="7"/>
      <c r="I193" s="7"/>
      <c r="J193" s="7"/>
      <c r="K193" s="7"/>
      <c r="L193" s="7"/>
      <c r="M193" s="7"/>
      <c r="N193" s="4"/>
      <c r="O193" s="4"/>
      <c r="P193" s="4"/>
      <c r="Q193" s="4"/>
      <c r="R193" s="4"/>
    </row>
    <row r="194">
      <c r="A194" s="1"/>
      <c r="B194" s="8"/>
      <c r="C194" s="2"/>
      <c r="D194" s="2"/>
      <c r="E194" s="2"/>
      <c r="F194" s="2"/>
      <c r="G194" s="7"/>
      <c r="H194" s="7"/>
      <c r="I194" s="7"/>
      <c r="J194" s="7"/>
      <c r="K194" s="7"/>
      <c r="L194" s="7"/>
      <c r="M194" s="7"/>
      <c r="N194" s="4"/>
      <c r="O194" s="4"/>
      <c r="P194" s="4"/>
      <c r="Q194" s="4"/>
      <c r="R194" s="4"/>
    </row>
    <row r="195">
      <c r="A195" s="1"/>
      <c r="B195" s="8"/>
      <c r="C195" s="2"/>
      <c r="D195" s="2"/>
      <c r="E195" s="2"/>
      <c r="F195" s="2"/>
      <c r="G195" s="7"/>
      <c r="H195" s="7"/>
      <c r="I195" s="7"/>
      <c r="J195" s="7"/>
      <c r="K195" s="7"/>
      <c r="L195" s="7"/>
      <c r="M195" s="7"/>
      <c r="N195" s="4"/>
      <c r="O195" s="4"/>
      <c r="P195" s="4"/>
      <c r="Q195" s="4"/>
      <c r="R195" s="4"/>
    </row>
    <row r="196">
      <c r="A196" s="1"/>
      <c r="B196" s="8"/>
      <c r="C196" s="2"/>
      <c r="D196" s="2"/>
      <c r="E196" s="2"/>
      <c r="F196" s="2"/>
      <c r="G196" s="7"/>
      <c r="H196" s="7"/>
      <c r="I196" s="7"/>
      <c r="J196" s="7"/>
      <c r="K196" s="7"/>
      <c r="L196" s="7"/>
      <c r="M196" s="7"/>
      <c r="N196" s="4"/>
      <c r="O196" s="4"/>
      <c r="P196" s="4"/>
      <c r="Q196" s="4"/>
      <c r="R196" s="4"/>
    </row>
    <row r="197">
      <c r="A197" s="1"/>
      <c r="B197" s="8"/>
      <c r="C197" s="2"/>
      <c r="D197" s="2"/>
      <c r="E197" s="2"/>
      <c r="F197" s="2"/>
      <c r="G197" s="7"/>
      <c r="H197" s="7"/>
      <c r="I197" s="7"/>
      <c r="J197" s="7"/>
      <c r="K197" s="7"/>
      <c r="L197" s="7"/>
      <c r="M197" s="7"/>
      <c r="N197" s="4"/>
      <c r="O197" s="4"/>
      <c r="P197" s="4"/>
      <c r="Q197" s="4"/>
      <c r="R197" s="4"/>
    </row>
    <row r="198">
      <c r="A198" s="1"/>
      <c r="B198" s="8"/>
      <c r="C198" s="2"/>
      <c r="D198" s="2"/>
      <c r="E198" s="2"/>
      <c r="F198" s="2"/>
      <c r="G198" s="7"/>
      <c r="H198" s="7"/>
      <c r="I198" s="7"/>
      <c r="J198" s="7"/>
      <c r="K198" s="7"/>
      <c r="L198" s="7"/>
      <c r="M198" s="7"/>
      <c r="N198" s="4"/>
      <c r="O198" s="4"/>
      <c r="P198" s="4"/>
      <c r="Q198" s="4"/>
      <c r="R198" s="4"/>
    </row>
    <row r="199">
      <c r="A199" s="1"/>
      <c r="B199" s="8"/>
      <c r="C199" s="2"/>
      <c r="D199" s="2"/>
      <c r="E199" s="2"/>
      <c r="F199" s="2"/>
      <c r="G199" s="7"/>
      <c r="H199" s="7"/>
      <c r="I199" s="7"/>
      <c r="J199" s="7"/>
      <c r="K199" s="7"/>
      <c r="L199" s="7"/>
      <c r="M199" s="7"/>
      <c r="N199" s="4"/>
      <c r="O199" s="4"/>
      <c r="P199" s="4"/>
      <c r="Q199" s="4"/>
      <c r="R199" s="4"/>
    </row>
    <row r="200">
      <c r="A200" s="1"/>
      <c r="B200" s="8"/>
      <c r="C200" s="2"/>
      <c r="D200" s="2"/>
      <c r="E200" s="2"/>
      <c r="F200" s="2"/>
      <c r="G200" s="7"/>
      <c r="H200" s="7"/>
      <c r="I200" s="7"/>
      <c r="J200" s="7"/>
      <c r="K200" s="7"/>
      <c r="L200" s="7"/>
      <c r="M200" s="7"/>
      <c r="N200" s="4"/>
      <c r="O200" s="4"/>
      <c r="P200" s="4"/>
      <c r="Q200" s="4"/>
      <c r="R200" s="4"/>
    </row>
    <row r="201">
      <c r="A201" s="1"/>
      <c r="B201" s="8"/>
      <c r="C201" s="2"/>
      <c r="D201" s="2"/>
      <c r="E201" s="2"/>
      <c r="F201" s="2"/>
      <c r="G201" s="7"/>
      <c r="H201" s="7"/>
      <c r="I201" s="7"/>
      <c r="J201" s="7"/>
      <c r="K201" s="7"/>
      <c r="L201" s="7"/>
      <c r="M201" s="7"/>
      <c r="N201" s="4"/>
      <c r="O201" s="4"/>
      <c r="P201" s="4"/>
      <c r="Q201" s="4"/>
      <c r="R201" s="4"/>
    </row>
    <row r="202">
      <c r="A202" s="1"/>
      <c r="B202" s="8"/>
      <c r="C202" s="2"/>
      <c r="D202" s="2"/>
      <c r="E202" s="2"/>
      <c r="F202" s="2"/>
      <c r="G202" s="7"/>
      <c r="H202" s="7"/>
      <c r="I202" s="7"/>
      <c r="J202" s="7"/>
      <c r="K202" s="7"/>
      <c r="L202" s="7"/>
      <c r="M202" s="7"/>
      <c r="N202" s="4"/>
      <c r="O202" s="4"/>
      <c r="P202" s="4"/>
      <c r="Q202" s="4"/>
      <c r="R202" s="4"/>
    </row>
    <row r="203">
      <c r="A203" s="1"/>
      <c r="B203" s="8"/>
      <c r="C203" s="2"/>
      <c r="D203" s="2"/>
      <c r="E203" s="2"/>
      <c r="F203" s="2"/>
      <c r="G203" s="7"/>
      <c r="H203" s="7"/>
      <c r="I203" s="7"/>
      <c r="J203" s="7"/>
      <c r="K203" s="7"/>
      <c r="L203" s="7"/>
      <c r="M203" s="7"/>
      <c r="N203" s="4"/>
      <c r="O203" s="4"/>
      <c r="P203" s="4"/>
      <c r="Q203" s="4"/>
      <c r="R203" s="4"/>
    </row>
    <row r="204">
      <c r="A204" s="1"/>
      <c r="B204" s="8"/>
      <c r="C204" s="2"/>
      <c r="D204" s="2"/>
      <c r="E204" s="2"/>
      <c r="F204" s="2"/>
      <c r="G204" s="7"/>
      <c r="H204" s="7"/>
      <c r="I204" s="7"/>
      <c r="J204" s="7"/>
      <c r="K204" s="7"/>
      <c r="L204" s="7"/>
      <c r="M204" s="7"/>
      <c r="N204" s="4"/>
      <c r="O204" s="4"/>
      <c r="P204" s="4"/>
      <c r="Q204" s="4"/>
      <c r="R204" s="4"/>
    </row>
    <row r="205">
      <c r="A205" s="1"/>
      <c r="B205" s="8"/>
      <c r="C205" s="2"/>
      <c r="D205" s="2"/>
      <c r="E205" s="2"/>
      <c r="F205" s="2"/>
      <c r="G205" s="7"/>
      <c r="H205" s="7"/>
      <c r="I205" s="7"/>
      <c r="J205" s="7"/>
      <c r="K205" s="7"/>
      <c r="L205" s="7"/>
      <c r="M205" s="7"/>
      <c r="N205" s="4"/>
      <c r="O205" s="4"/>
      <c r="P205" s="4"/>
      <c r="Q205" s="4"/>
      <c r="R205" s="4"/>
    </row>
    <row r="206">
      <c r="A206" s="1"/>
      <c r="B206" s="8"/>
      <c r="C206" s="2"/>
      <c r="D206" s="2"/>
      <c r="E206" s="2"/>
      <c r="F206" s="2"/>
      <c r="G206" s="7"/>
      <c r="H206" s="7"/>
      <c r="I206" s="7"/>
      <c r="J206" s="7"/>
      <c r="K206" s="7"/>
      <c r="L206" s="7"/>
      <c r="M206" s="7"/>
      <c r="N206" s="4"/>
      <c r="O206" s="4"/>
      <c r="P206" s="4"/>
      <c r="Q206" s="4"/>
      <c r="R206" s="4"/>
    </row>
    <row r="207">
      <c r="A207" s="1"/>
      <c r="B207" s="8"/>
      <c r="C207" s="2"/>
      <c r="D207" s="2"/>
      <c r="E207" s="2"/>
      <c r="F207" s="2"/>
      <c r="G207" s="7"/>
      <c r="H207" s="7"/>
      <c r="I207" s="7"/>
      <c r="J207" s="7"/>
      <c r="K207" s="7"/>
      <c r="L207" s="7"/>
      <c r="M207" s="7"/>
      <c r="N207" s="4"/>
      <c r="O207" s="4"/>
      <c r="P207" s="4"/>
      <c r="Q207" s="4"/>
      <c r="R207" s="4"/>
    </row>
    <row r="208">
      <c r="A208" s="1"/>
      <c r="B208" s="8"/>
      <c r="C208" s="2"/>
      <c r="D208" s="2"/>
      <c r="E208" s="2"/>
      <c r="F208" s="2"/>
      <c r="G208" s="7"/>
      <c r="H208" s="7"/>
      <c r="I208" s="7"/>
      <c r="J208" s="7"/>
      <c r="K208" s="7"/>
      <c r="L208" s="7"/>
      <c r="M208" s="7"/>
      <c r="N208" s="4"/>
      <c r="O208" s="4"/>
      <c r="P208" s="4"/>
      <c r="Q208" s="4"/>
      <c r="R208" s="4"/>
    </row>
    <row r="209">
      <c r="A209" s="1"/>
      <c r="B209" s="8"/>
      <c r="C209" s="2"/>
      <c r="D209" s="2"/>
      <c r="E209" s="2"/>
      <c r="F209" s="2"/>
      <c r="G209" s="7"/>
      <c r="H209" s="7"/>
      <c r="I209" s="7"/>
      <c r="J209" s="7"/>
      <c r="K209" s="7"/>
      <c r="L209" s="7"/>
      <c r="M209" s="7"/>
      <c r="N209" s="4"/>
      <c r="O209" s="4"/>
      <c r="P209" s="4"/>
      <c r="Q209" s="4"/>
      <c r="R209" s="4"/>
    </row>
    <row r="210">
      <c r="A210" s="1"/>
      <c r="B210" s="8"/>
      <c r="C210" s="2"/>
      <c r="D210" s="2"/>
      <c r="E210" s="2"/>
      <c r="F210" s="2"/>
      <c r="G210" s="7"/>
      <c r="H210" s="7"/>
      <c r="I210" s="7"/>
      <c r="J210" s="7"/>
      <c r="K210" s="7"/>
      <c r="L210" s="7"/>
      <c r="M210" s="7"/>
      <c r="N210" s="4"/>
      <c r="O210" s="4"/>
      <c r="P210" s="4"/>
      <c r="Q210" s="4"/>
      <c r="R210" s="4"/>
    </row>
    <row r="211">
      <c r="A211" s="1"/>
      <c r="B211" s="8"/>
      <c r="C211" s="2"/>
      <c r="D211" s="2"/>
      <c r="E211" s="2"/>
      <c r="F211" s="2"/>
      <c r="G211" s="7"/>
      <c r="H211" s="7"/>
      <c r="I211" s="7"/>
      <c r="J211" s="7"/>
      <c r="K211" s="7"/>
      <c r="L211" s="7"/>
      <c r="M211" s="7"/>
      <c r="N211" s="4"/>
      <c r="O211" s="4"/>
      <c r="P211" s="4"/>
      <c r="Q211" s="4"/>
      <c r="R211" s="4"/>
    </row>
    <row r="212">
      <c r="A212" s="1"/>
      <c r="B212" s="8"/>
      <c r="C212" s="2"/>
      <c r="D212" s="2"/>
      <c r="E212" s="2"/>
      <c r="F212" s="2"/>
      <c r="G212" s="7"/>
      <c r="H212" s="7"/>
      <c r="I212" s="7"/>
      <c r="J212" s="7"/>
      <c r="K212" s="7"/>
      <c r="L212" s="7"/>
      <c r="M212" s="7"/>
      <c r="N212" s="4"/>
      <c r="O212" s="4"/>
      <c r="P212" s="4"/>
      <c r="Q212" s="4"/>
      <c r="R212" s="4"/>
    </row>
    <row r="213">
      <c r="A213" s="1"/>
      <c r="B213" s="8"/>
      <c r="C213" s="2"/>
      <c r="D213" s="2"/>
      <c r="E213" s="2"/>
      <c r="F213" s="2"/>
      <c r="G213" s="7"/>
      <c r="H213" s="7"/>
      <c r="I213" s="7"/>
      <c r="J213" s="7"/>
      <c r="K213" s="7"/>
      <c r="L213" s="7"/>
      <c r="M213" s="7"/>
      <c r="N213" s="4"/>
      <c r="O213" s="4"/>
      <c r="P213" s="4"/>
      <c r="Q213" s="4"/>
      <c r="R213" s="4"/>
    </row>
    <row r="214">
      <c r="A214" s="1"/>
      <c r="B214" s="8"/>
      <c r="C214" s="2"/>
      <c r="D214" s="2"/>
      <c r="E214" s="2"/>
      <c r="F214" s="2"/>
      <c r="G214" s="7"/>
      <c r="H214" s="7"/>
      <c r="I214" s="7"/>
      <c r="J214" s="7"/>
      <c r="K214" s="7"/>
      <c r="L214" s="7"/>
      <c r="M214" s="7"/>
      <c r="N214" s="4"/>
      <c r="O214" s="4"/>
      <c r="P214" s="4"/>
      <c r="Q214" s="4"/>
      <c r="R214" s="4"/>
    </row>
    <row r="215">
      <c r="A215" s="1"/>
      <c r="B215" s="8"/>
      <c r="C215" s="2"/>
      <c r="D215" s="2"/>
      <c r="E215" s="2"/>
      <c r="F215" s="2"/>
      <c r="G215" s="7"/>
      <c r="H215" s="7"/>
      <c r="I215" s="7"/>
      <c r="J215" s="7"/>
      <c r="K215" s="7"/>
      <c r="L215" s="7"/>
      <c r="M215" s="7"/>
      <c r="N215" s="4"/>
      <c r="O215" s="4"/>
      <c r="P215" s="4"/>
      <c r="Q215" s="4"/>
      <c r="R215" s="4"/>
    </row>
    <row r="216">
      <c r="A216" s="1"/>
      <c r="B216" s="8"/>
      <c r="C216" s="2"/>
      <c r="D216" s="2"/>
      <c r="E216" s="2"/>
      <c r="F216" s="2"/>
      <c r="G216" s="7"/>
      <c r="H216" s="7"/>
      <c r="I216" s="7"/>
      <c r="J216" s="7"/>
      <c r="K216" s="7"/>
      <c r="L216" s="7"/>
      <c r="M216" s="7"/>
      <c r="N216" s="4"/>
      <c r="O216" s="4"/>
      <c r="P216" s="4"/>
      <c r="Q216" s="4"/>
      <c r="R216" s="4"/>
    </row>
    <row r="217">
      <c r="A217" s="1"/>
      <c r="B217" s="8"/>
      <c r="C217" s="2"/>
      <c r="D217" s="2"/>
      <c r="E217" s="2"/>
      <c r="F217" s="2"/>
      <c r="G217" s="7"/>
      <c r="H217" s="7"/>
      <c r="I217" s="7"/>
      <c r="J217" s="7"/>
      <c r="K217" s="7"/>
      <c r="L217" s="7"/>
      <c r="M217" s="7"/>
      <c r="N217" s="4"/>
      <c r="O217" s="4"/>
      <c r="P217" s="4"/>
      <c r="Q217" s="4"/>
      <c r="R217" s="4"/>
    </row>
    <row r="218">
      <c r="A218" s="1"/>
      <c r="B218" s="8"/>
      <c r="C218" s="2"/>
      <c r="D218" s="2"/>
      <c r="E218" s="2"/>
      <c r="F218" s="2"/>
      <c r="G218" s="7"/>
      <c r="H218" s="7"/>
      <c r="I218" s="7"/>
      <c r="J218" s="7"/>
      <c r="K218" s="7"/>
      <c r="L218" s="7"/>
      <c r="M218" s="7"/>
      <c r="N218" s="4"/>
      <c r="O218" s="4"/>
      <c r="P218" s="4"/>
      <c r="Q218" s="4"/>
      <c r="R218" s="4"/>
    </row>
    <row r="219">
      <c r="A219" s="1"/>
      <c r="B219" s="8"/>
      <c r="C219" s="2"/>
      <c r="D219" s="2"/>
      <c r="E219" s="2"/>
      <c r="F219" s="2"/>
      <c r="G219" s="7"/>
      <c r="H219" s="7"/>
      <c r="I219" s="7"/>
      <c r="J219" s="7"/>
      <c r="K219" s="7"/>
      <c r="L219" s="7"/>
      <c r="M219" s="7"/>
      <c r="N219" s="4"/>
      <c r="O219" s="4"/>
      <c r="P219" s="4"/>
      <c r="Q219" s="4"/>
      <c r="R219" s="4"/>
    </row>
    <row r="220">
      <c r="A220" s="1"/>
      <c r="B220" s="8"/>
      <c r="C220" s="2"/>
      <c r="D220" s="2"/>
      <c r="E220" s="2"/>
      <c r="F220" s="2"/>
      <c r="G220" s="7"/>
      <c r="H220" s="7"/>
      <c r="I220" s="7"/>
      <c r="J220" s="7"/>
      <c r="K220" s="7"/>
      <c r="L220" s="7"/>
      <c r="M220" s="7"/>
      <c r="N220" s="4"/>
      <c r="O220" s="4"/>
      <c r="P220" s="4"/>
      <c r="Q220" s="4"/>
      <c r="R220" s="4"/>
    </row>
    <row r="221">
      <c r="A221" s="1"/>
      <c r="B221" s="8"/>
      <c r="C221" s="2"/>
      <c r="D221" s="2"/>
      <c r="E221" s="2"/>
      <c r="F221" s="2"/>
      <c r="G221" s="7"/>
      <c r="H221" s="7"/>
      <c r="I221" s="7"/>
      <c r="J221" s="7"/>
      <c r="K221" s="7"/>
      <c r="L221" s="7"/>
      <c r="M221" s="7"/>
      <c r="N221" s="4"/>
      <c r="O221" s="4"/>
      <c r="P221" s="4"/>
      <c r="Q221" s="4"/>
      <c r="R221" s="4"/>
    </row>
    <row r="222">
      <c r="A222" s="1"/>
      <c r="B222" s="8"/>
      <c r="C222" s="2"/>
      <c r="D222" s="2"/>
      <c r="E222" s="2"/>
      <c r="F222" s="2"/>
      <c r="G222" s="7"/>
      <c r="H222" s="7"/>
      <c r="I222" s="7"/>
      <c r="J222" s="7"/>
      <c r="K222" s="7"/>
      <c r="L222" s="7"/>
      <c r="M222" s="7"/>
      <c r="N222" s="4"/>
      <c r="O222" s="4"/>
      <c r="P222" s="4"/>
      <c r="Q222" s="4"/>
      <c r="R222" s="4"/>
    </row>
    <row r="223">
      <c r="A223" s="1"/>
      <c r="B223" s="8"/>
      <c r="C223" s="2"/>
      <c r="D223" s="2"/>
      <c r="E223" s="2"/>
      <c r="F223" s="2"/>
      <c r="G223" s="7"/>
      <c r="H223" s="7"/>
      <c r="I223" s="7"/>
      <c r="J223" s="7"/>
      <c r="K223" s="7"/>
      <c r="L223" s="7"/>
      <c r="M223" s="7"/>
      <c r="N223" s="4"/>
      <c r="O223" s="4"/>
      <c r="P223" s="4"/>
      <c r="Q223" s="4"/>
      <c r="R223" s="4"/>
    </row>
    <row r="224">
      <c r="A224" s="1"/>
      <c r="B224" s="8"/>
      <c r="C224" s="2"/>
      <c r="D224" s="2"/>
      <c r="E224" s="2"/>
      <c r="F224" s="2"/>
      <c r="G224" s="7"/>
      <c r="H224" s="7"/>
      <c r="I224" s="7"/>
      <c r="J224" s="7"/>
      <c r="K224" s="7"/>
      <c r="L224" s="7"/>
      <c r="M224" s="7"/>
      <c r="N224" s="4"/>
      <c r="O224" s="4"/>
      <c r="P224" s="4"/>
      <c r="Q224" s="4"/>
      <c r="R224" s="4"/>
    </row>
    <row r="225">
      <c r="A225" s="1"/>
      <c r="B225" s="8"/>
      <c r="C225" s="2"/>
      <c r="D225" s="2"/>
      <c r="E225" s="2"/>
      <c r="F225" s="2"/>
      <c r="G225" s="7"/>
      <c r="H225" s="7"/>
      <c r="I225" s="7"/>
      <c r="J225" s="7"/>
      <c r="K225" s="7"/>
      <c r="L225" s="7"/>
      <c r="M225" s="7"/>
      <c r="N225" s="4"/>
      <c r="O225" s="4"/>
      <c r="P225" s="4"/>
      <c r="Q225" s="4"/>
      <c r="R225" s="4"/>
    </row>
    <row r="226">
      <c r="A226" s="1"/>
      <c r="B226" s="8"/>
      <c r="C226" s="2"/>
      <c r="D226" s="2"/>
      <c r="E226" s="2"/>
      <c r="F226" s="2"/>
      <c r="G226" s="7"/>
      <c r="H226" s="7"/>
      <c r="I226" s="7"/>
      <c r="J226" s="7"/>
      <c r="K226" s="7"/>
      <c r="L226" s="7"/>
      <c r="M226" s="7"/>
      <c r="N226" s="4"/>
      <c r="O226" s="4"/>
      <c r="P226" s="4"/>
      <c r="Q226" s="4"/>
      <c r="R226" s="4"/>
    </row>
    <row r="227">
      <c r="A227" s="1"/>
      <c r="B227" s="8"/>
      <c r="C227" s="2"/>
      <c r="D227" s="2"/>
      <c r="E227" s="2"/>
      <c r="F227" s="2"/>
      <c r="G227" s="7"/>
      <c r="H227" s="7"/>
      <c r="I227" s="7"/>
      <c r="J227" s="7"/>
      <c r="K227" s="7"/>
      <c r="L227" s="7"/>
      <c r="M227" s="7"/>
      <c r="N227" s="4"/>
      <c r="O227" s="4"/>
      <c r="P227" s="4"/>
      <c r="Q227" s="4"/>
      <c r="R227" s="4"/>
    </row>
    <row r="228">
      <c r="A228" s="1"/>
      <c r="B228" s="8"/>
      <c r="C228" s="2"/>
      <c r="D228" s="2"/>
      <c r="E228" s="2"/>
      <c r="F228" s="2"/>
      <c r="G228" s="7"/>
      <c r="H228" s="7"/>
      <c r="I228" s="7"/>
      <c r="J228" s="7"/>
      <c r="K228" s="7"/>
      <c r="L228" s="7"/>
      <c r="M228" s="7"/>
      <c r="N228" s="4"/>
      <c r="O228" s="4"/>
      <c r="P228" s="4"/>
      <c r="Q228" s="4"/>
      <c r="R228" s="4"/>
    </row>
    <row r="229">
      <c r="A229" s="1"/>
      <c r="B229" s="8"/>
      <c r="C229" s="2"/>
      <c r="D229" s="2"/>
      <c r="E229" s="2"/>
      <c r="F229" s="2"/>
      <c r="G229" s="7"/>
      <c r="H229" s="7"/>
      <c r="I229" s="7"/>
      <c r="J229" s="7"/>
      <c r="K229" s="7"/>
      <c r="L229" s="7"/>
      <c r="M229" s="7"/>
      <c r="N229" s="4"/>
      <c r="O229" s="4"/>
      <c r="P229" s="4"/>
      <c r="Q229" s="4"/>
      <c r="R229" s="4"/>
    </row>
    <row r="230">
      <c r="A230" s="1"/>
      <c r="B230" s="8"/>
      <c r="C230" s="2"/>
      <c r="D230" s="2"/>
      <c r="E230" s="2"/>
      <c r="F230" s="2"/>
      <c r="G230" s="7"/>
      <c r="H230" s="7"/>
      <c r="I230" s="7"/>
      <c r="J230" s="7"/>
      <c r="K230" s="7"/>
      <c r="L230" s="7"/>
      <c r="M230" s="7"/>
      <c r="N230" s="4"/>
      <c r="O230" s="4"/>
      <c r="P230" s="4"/>
      <c r="Q230" s="4"/>
      <c r="R230" s="4"/>
    </row>
    <row r="231">
      <c r="A231" s="1"/>
      <c r="B231" s="8"/>
      <c r="C231" s="2"/>
      <c r="D231" s="2"/>
      <c r="E231" s="2"/>
      <c r="F231" s="2"/>
      <c r="G231" s="7"/>
      <c r="H231" s="7"/>
      <c r="I231" s="7"/>
      <c r="J231" s="7"/>
      <c r="K231" s="7"/>
      <c r="L231" s="7"/>
      <c r="M231" s="7"/>
      <c r="N231" s="4"/>
      <c r="O231" s="4"/>
      <c r="P231" s="4"/>
      <c r="Q231" s="4"/>
      <c r="R231" s="4"/>
    </row>
    <row r="232">
      <c r="A232" s="1"/>
      <c r="B232" s="8"/>
      <c r="C232" s="2"/>
      <c r="D232" s="2"/>
      <c r="E232" s="2"/>
      <c r="F232" s="2"/>
      <c r="G232" s="7"/>
      <c r="H232" s="7"/>
      <c r="I232" s="7"/>
      <c r="J232" s="7"/>
      <c r="K232" s="7"/>
      <c r="L232" s="7"/>
      <c r="M232" s="7"/>
      <c r="N232" s="4"/>
      <c r="O232" s="4"/>
      <c r="P232" s="4"/>
      <c r="Q232" s="4"/>
      <c r="R232" s="4"/>
    </row>
    <row r="233">
      <c r="A233" s="1"/>
      <c r="B233" s="8"/>
      <c r="C233" s="2"/>
      <c r="D233" s="2"/>
      <c r="E233" s="2"/>
      <c r="F233" s="2"/>
      <c r="G233" s="7"/>
      <c r="H233" s="7"/>
      <c r="I233" s="7"/>
      <c r="J233" s="7"/>
      <c r="K233" s="7"/>
      <c r="L233" s="7"/>
      <c r="M233" s="7"/>
      <c r="N233" s="4"/>
      <c r="O233" s="4"/>
      <c r="P233" s="4"/>
      <c r="Q233" s="4"/>
      <c r="R233" s="4"/>
    </row>
    <row r="234">
      <c r="A234" s="1"/>
      <c r="B234" s="8"/>
      <c r="C234" s="2"/>
      <c r="D234" s="2"/>
      <c r="E234" s="2"/>
      <c r="F234" s="2"/>
      <c r="G234" s="7"/>
      <c r="H234" s="7"/>
      <c r="I234" s="7"/>
      <c r="J234" s="7"/>
      <c r="K234" s="7"/>
      <c r="L234" s="7"/>
      <c r="M234" s="7"/>
      <c r="N234" s="4"/>
      <c r="O234" s="4"/>
      <c r="P234" s="4"/>
      <c r="Q234" s="4"/>
      <c r="R234" s="4"/>
    </row>
    <row r="235">
      <c r="A235" s="1"/>
      <c r="B235" s="8"/>
      <c r="C235" s="2"/>
      <c r="D235" s="2"/>
      <c r="E235" s="2"/>
      <c r="F235" s="2"/>
      <c r="G235" s="7"/>
      <c r="H235" s="7"/>
      <c r="I235" s="7"/>
      <c r="J235" s="7"/>
      <c r="K235" s="7"/>
      <c r="L235" s="7"/>
      <c r="M235" s="7"/>
      <c r="N235" s="4"/>
      <c r="O235" s="4"/>
      <c r="P235" s="4"/>
      <c r="Q235" s="4"/>
      <c r="R235" s="4"/>
    </row>
    <row r="236">
      <c r="A236" s="1"/>
      <c r="B236" s="8"/>
      <c r="C236" s="2"/>
      <c r="D236" s="2"/>
      <c r="E236" s="2"/>
      <c r="F236" s="2"/>
      <c r="G236" s="7"/>
      <c r="H236" s="7"/>
      <c r="I236" s="7"/>
      <c r="J236" s="7"/>
      <c r="K236" s="7"/>
      <c r="L236" s="7"/>
      <c r="M236" s="7"/>
      <c r="N236" s="4"/>
      <c r="O236" s="4"/>
      <c r="P236" s="4"/>
      <c r="Q236" s="4"/>
      <c r="R236" s="4"/>
    </row>
    <row r="237">
      <c r="A237" s="1"/>
      <c r="B237" s="8"/>
      <c r="C237" s="2"/>
      <c r="D237" s="2"/>
      <c r="E237" s="2"/>
      <c r="F237" s="2"/>
      <c r="G237" s="7"/>
      <c r="H237" s="7"/>
      <c r="I237" s="7"/>
      <c r="J237" s="7"/>
      <c r="K237" s="7"/>
      <c r="L237" s="7"/>
      <c r="M237" s="7"/>
      <c r="N237" s="4"/>
      <c r="O237" s="4"/>
      <c r="P237" s="4"/>
      <c r="Q237" s="4"/>
      <c r="R237" s="4"/>
    </row>
    <row r="238">
      <c r="A238" s="1"/>
      <c r="B238" s="8"/>
      <c r="C238" s="2"/>
      <c r="D238" s="2"/>
      <c r="E238" s="2"/>
      <c r="F238" s="2"/>
      <c r="G238" s="7"/>
      <c r="H238" s="7"/>
      <c r="I238" s="7"/>
      <c r="J238" s="7"/>
      <c r="K238" s="7"/>
      <c r="L238" s="7"/>
      <c r="M238" s="7"/>
      <c r="N238" s="4"/>
      <c r="O238" s="4"/>
      <c r="P238" s="4"/>
      <c r="Q238" s="4"/>
      <c r="R238" s="4"/>
    </row>
    <row r="239">
      <c r="A239" s="1"/>
      <c r="B239" s="8"/>
      <c r="C239" s="2"/>
      <c r="D239" s="2"/>
      <c r="E239" s="2"/>
      <c r="F239" s="2"/>
      <c r="G239" s="7"/>
      <c r="H239" s="7"/>
      <c r="I239" s="7"/>
      <c r="J239" s="7"/>
      <c r="K239" s="7"/>
      <c r="L239" s="7"/>
      <c r="M239" s="7"/>
      <c r="N239" s="4"/>
      <c r="O239" s="4"/>
      <c r="P239" s="4"/>
      <c r="Q239" s="4"/>
      <c r="R239" s="4"/>
    </row>
    <row r="240">
      <c r="A240" s="1"/>
      <c r="B240" s="8"/>
      <c r="C240" s="2"/>
      <c r="D240" s="2"/>
      <c r="E240" s="2"/>
      <c r="F240" s="2"/>
      <c r="G240" s="7"/>
      <c r="H240" s="7"/>
      <c r="I240" s="7"/>
      <c r="J240" s="7"/>
      <c r="K240" s="7"/>
      <c r="L240" s="7"/>
      <c r="M240" s="7"/>
      <c r="N240" s="4"/>
      <c r="O240" s="4"/>
      <c r="P240" s="4"/>
      <c r="Q240" s="4"/>
      <c r="R240" s="4"/>
    </row>
    <row r="241">
      <c r="A241" s="1"/>
      <c r="B241" s="8"/>
      <c r="C241" s="2"/>
      <c r="D241" s="2"/>
      <c r="E241" s="2"/>
      <c r="F241" s="2"/>
      <c r="G241" s="7"/>
      <c r="H241" s="7"/>
      <c r="I241" s="7"/>
      <c r="J241" s="7"/>
      <c r="K241" s="7"/>
      <c r="L241" s="7"/>
      <c r="M241" s="7"/>
      <c r="N241" s="4"/>
      <c r="O241" s="4"/>
      <c r="P241" s="4"/>
      <c r="Q241" s="4"/>
      <c r="R241" s="4"/>
    </row>
    <row r="242">
      <c r="A242" s="1"/>
      <c r="B242" s="8"/>
      <c r="C242" s="2"/>
      <c r="D242" s="2"/>
      <c r="E242" s="2"/>
      <c r="F242" s="2"/>
      <c r="G242" s="7"/>
      <c r="H242" s="7"/>
      <c r="I242" s="7"/>
      <c r="J242" s="7"/>
      <c r="K242" s="7"/>
      <c r="L242" s="7"/>
      <c r="M242" s="7"/>
      <c r="N242" s="4"/>
      <c r="O242" s="4"/>
      <c r="P242" s="4"/>
      <c r="Q242" s="4"/>
      <c r="R242" s="4"/>
    </row>
    <row r="243">
      <c r="A243" s="1"/>
      <c r="B243" s="8"/>
      <c r="C243" s="2"/>
      <c r="D243" s="2"/>
      <c r="E243" s="2"/>
      <c r="F243" s="2"/>
      <c r="G243" s="7"/>
      <c r="H243" s="7"/>
      <c r="I243" s="7"/>
      <c r="J243" s="7"/>
      <c r="K243" s="7"/>
      <c r="L243" s="7"/>
      <c r="M243" s="7"/>
      <c r="N243" s="4"/>
      <c r="O243" s="4"/>
      <c r="P243" s="4"/>
      <c r="Q243" s="4"/>
      <c r="R243" s="4"/>
    </row>
    <row r="244">
      <c r="A244" s="1"/>
      <c r="B244" s="8"/>
      <c r="C244" s="2"/>
      <c r="D244" s="2"/>
      <c r="E244" s="2"/>
      <c r="F244" s="2"/>
      <c r="G244" s="7"/>
      <c r="H244" s="7"/>
      <c r="I244" s="7"/>
      <c r="J244" s="7"/>
      <c r="K244" s="7"/>
      <c r="L244" s="7"/>
      <c r="M244" s="7"/>
      <c r="N244" s="4"/>
      <c r="O244" s="4"/>
      <c r="P244" s="4"/>
      <c r="Q244" s="4"/>
      <c r="R244" s="4"/>
    </row>
    <row r="245">
      <c r="A245" s="1"/>
      <c r="B245" s="8"/>
      <c r="C245" s="2"/>
      <c r="D245" s="2"/>
      <c r="E245" s="2"/>
      <c r="F245" s="2"/>
      <c r="G245" s="7"/>
      <c r="H245" s="7"/>
      <c r="I245" s="7"/>
      <c r="J245" s="7"/>
      <c r="K245" s="7"/>
      <c r="L245" s="7"/>
      <c r="M245" s="7"/>
      <c r="N245" s="4"/>
      <c r="O245" s="4"/>
      <c r="P245" s="4"/>
      <c r="Q245" s="4"/>
      <c r="R245" s="4"/>
    </row>
    <row r="246">
      <c r="A246" s="1"/>
      <c r="B246" s="8"/>
      <c r="C246" s="2"/>
      <c r="D246" s="2"/>
      <c r="E246" s="2"/>
      <c r="F246" s="2"/>
      <c r="G246" s="7"/>
      <c r="H246" s="7"/>
      <c r="I246" s="7"/>
      <c r="J246" s="7"/>
      <c r="K246" s="7"/>
      <c r="L246" s="7"/>
      <c r="M246" s="7"/>
      <c r="N246" s="4"/>
      <c r="O246" s="4"/>
      <c r="P246" s="4"/>
      <c r="Q246" s="4"/>
      <c r="R246" s="4"/>
    </row>
    <row r="247">
      <c r="A247" s="1"/>
      <c r="B247" s="8"/>
      <c r="C247" s="2"/>
      <c r="D247" s="2"/>
      <c r="E247" s="2"/>
      <c r="F247" s="2"/>
      <c r="G247" s="7"/>
      <c r="H247" s="7"/>
      <c r="I247" s="7"/>
      <c r="J247" s="7"/>
      <c r="K247" s="7"/>
      <c r="L247" s="7"/>
      <c r="M247" s="7"/>
      <c r="N247" s="4"/>
      <c r="O247" s="4"/>
      <c r="P247" s="4"/>
      <c r="Q247" s="4"/>
      <c r="R247" s="4"/>
    </row>
    <row r="248">
      <c r="A248" s="1"/>
      <c r="B248" s="8"/>
      <c r="C248" s="2"/>
      <c r="D248" s="2"/>
      <c r="E248" s="2"/>
      <c r="F248" s="2"/>
      <c r="G248" s="7"/>
      <c r="H248" s="7"/>
      <c r="I248" s="7"/>
      <c r="J248" s="7"/>
      <c r="K248" s="7"/>
      <c r="L248" s="7"/>
      <c r="M248" s="7"/>
      <c r="N248" s="4"/>
      <c r="O248" s="4"/>
      <c r="P248" s="4"/>
      <c r="Q248" s="4"/>
      <c r="R248" s="4"/>
    </row>
    <row r="249">
      <c r="A249" s="1"/>
      <c r="B249" s="8"/>
      <c r="C249" s="2"/>
      <c r="D249" s="2"/>
      <c r="E249" s="2"/>
      <c r="F249" s="2"/>
      <c r="G249" s="7"/>
      <c r="H249" s="7"/>
      <c r="I249" s="7"/>
      <c r="J249" s="7"/>
      <c r="K249" s="7"/>
      <c r="L249" s="7"/>
      <c r="M249" s="7"/>
      <c r="N249" s="4"/>
      <c r="O249" s="4"/>
      <c r="P249" s="4"/>
      <c r="Q249" s="4"/>
      <c r="R249" s="4"/>
    </row>
    <row r="250">
      <c r="A250" s="1"/>
      <c r="B250" s="8"/>
      <c r="C250" s="2"/>
      <c r="D250" s="2"/>
      <c r="E250" s="2"/>
      <c r="F250" s="2"/>
      <c r="G250" s="7"/>
      <c r="H250" s="7"/>
      <c r="I250" s="7"/>
      <c r="J250" s="7"/>
      <c r="K250" s="7"/>
      <c r="L250" s="7"/>
      <c r="M250" s="7"/>
      <c r="N250" s="4"/>
      <c r="O250" s="4"/>
      <c r="P250" s="4"/>
      <c r="Q250" s="4"/>
      <c r="R250" s="4"/>
    </row>
    <row r="251">
      <c r="A251" s="1"/>
      <c r="B251" s="8"/>
      <c r="C251" s="2"/>
      <c r="D251" s="2"/>
      <c r="E251" s="2"/>
      <c r="F251" s="2"/>
      <c r="G251" s="7"/>
      <c r="H251" s="7"/>
      <c r="I251" s="7"/>
      <c r="J251" s="7"/>
      <c r="K251" s="7"/>
      <c r="L251" s="7"/>
      <c r="M251" s="7"/>
      <c r="N251" s="4"/>
      <c r="O251" s="4"/>
      <c r="P251" s="4"/>
      <c r="Q251" s="4"/>
      <c r="R251" s="4"/>
    </row>
    <row r="252">
      <c r="A252" s="1"/>
      <c r="B252" s="8"/>
      <c r="C252" s="2"/>
      <c r="D252" s="2"/>
      <c r="E252" s="2"/>
      <c r="F252" s="2"/>
      <c r="G252" s="7"/>
      <c r="H252" s="7"/>
      <c r="I252" s="7"/>
      <c r="J252" s="7"/>
      <c r="K252" s="7"/>
      <c r="L252" s="7"/>
      <c r="M252" s="7"/>
      <c r="N252" s="4"/>
      <c r="O252" s="4"/>
      <c r="P252" s="4"/>
      <c r="Q252" s="4"/>
      <c r="R252" s="4"/>
    </row>
    <row r="253">
      <c r="A253" s="1"/>
      <c r="B253" s="8"/>
      <c r="C253" s="2"/>
      <c r="D253" s="2"/>
      <c r="E253" s="2"/>
      <c r="F253" s="2"/>
      <c r="G253" s="7"/>
      <c r="H253" s="7"/>
      <c r="I253" s="7"/>
      <c r="J253" s="7"/>
      <c r="K253" s="7"/>
      <c r="L253" s="7"/>
      <c r="M253" s="7"/>
      <c r="N253" s="4"/>
      <c r="O253" s="4"/>
      <c r="P253" s="4"/>
      <c r="Q253" s="4"/>
      <c r="R253" s="4"/>
    </row>
    <row r="254">
      <c r="A254" s="1"/>
      <c r="B254" s="8"/>
      <c r="C254" s="2"/>
      <c r="D254" s="2"/>
      <c r="E254" s="2"/>
      <c r="F254" s="2"/>
      <c r="G254" s="7"/>
      <c r="H254" s="7"/>
      <c r="I254" s="7"/>
      <c r="J254" s="7"/>
      <c r="K254" s="7"/>
      <c r="L254" s="7"/>
      <c r="M254" s="7"/>
      <c r="N254" s="4"/>
      <c r="O254" s="4"/>
      <c r="P254" s="4"/>
      <c r="Q254" s="4"/>
      <c r="R254" s="4"/>
    </row>
    <row r="255">
      <c r="A255" s="1"/>
      <c r="B255" s="8"/>
      <c r="C255" s="2"/>
      <c r="D255" s="2"/>
      <c r="E255" s="2"/>
      <c r="F255" s="2"/>
      <c r="G255" s="7"/>
      <c r="H255" s="7"/>
      <c r="I255" s="7"/>
      <c r="J255" s="7"/>
      <c r="K255" s="7"/>
      <c r="L255" s="7"/>
      <c r="M255" s="7"/>
      <c r="N255" s="4"/>
      <c r="O255" s="4"/>
      <c r="P255" s="4"/>
      <c r="Q255" s="4"/>
      <c r="R255" s="4"/>
    </row>
    <row r="256">
      <c r="A256" s="1"/>
      <c r="B256" s="8"/>
      <c r="C256" s="2"/>
      <c r="D256" s="2"/>
      <c r="E256" s="2"/>
      <c r="F256" s="2"/>
      <c r="G256" s="7"/>
      <c r="H256" s="7"/>
      <c r="I256" s="7"/>
      <c r="J256" s="7"/>
      <c r="K256" s="7"/>
      <c r="L256" s="7"/>
      <c r="M256" s="7"/>
      <c r="N256" s="4"/>
      <c r="O256" s="4"/>
      <c r="P256" s="4"/>
      <c r="Q256" s="4"/>
      <c r="R256" s="4"/>
    </row>
    <row r="257">
      <c r="A257" s="1"/>
      <c r="B257" s="8"/>
      <c r="C257" s="2"/>
      <c r="D257" s="2"/>
      <c r="E257" s="2"/>
      <c r="F257" s="2"/>
      <c r="G257" s="7"/>
      <c r="H257" s="7"/>
      <c r="I257" s="7"/>
      <c r="J257" s="7"/>
      <c r="K257" s="7"/>
      <c r="L257" s="7"/>
      <c r="M257" s="7"/>
      <c r="N257" s="4"/>
      <c r="O257" s="4"/>
      <c r="P257" s="4"/>
      <c r="Q257" s="4"/>
      <c r="R257" s="4"/>
    </row>
    <row r="258">
      <c r="A258" s="1"/>
      <c r="B258" s="8"/>
      <c r="C258" s="2"/>
      <c r="D258" s="2"/>
      <c r="E258" s="2"/>
      <c r="F258" s="2"/>
      <c r="G258" s="7"/>
      <c r="H258" s="7"/>
      <c r="I258" s="7"/>
      <c r="J258" s="7"/>
      <c r="K258" s="7"/>
      <c r="L258" s="7"/>
      <c r="M258" s="7"/>
      <c r="N258" s="4"/>
      <c r="O258" s="4"/>
      <c r="P258" s="4"/>
      <c r="Q258" s="4"/>
      <c r="R258" s="4"/>
    </row>
    <row r="259">
      <c r="A259" s="1"/>
      <c r="B259" s="8"/>
      <c r="C259" s="2"/>
      <c r="D259" s="2"/>
      <c r="E259" s="2"/>
      <c r="F259" s="2"/>
      <c r="G259" s="7"/>
      <c r="H259" s="7"/>
      <c r="I259" s="7"/>
      <c r="J259" s="7"/>
      <c r="K259" s="7"/>
      <c r="L259" s="7"/>
      <c r="M259" s="7"/>
      <c r="N259" s="4"/>
      <c r="O259" s="4"/>
      <c r="P259" s="4"/>
      <c r="Q259" s="4"/>
      <c r="R259" s="4"/>
    </row>
    <row r="260">
      <c r="A260" s="1"/>
      <c r="B260" s="8"/>
      <c r="C260" s="2"/>
      <c r="D260" s="2"/>
      <c r="E260" s="2"/>
      <c r="F260" s="2"/>
      <c r="G260" s="7"/>
      <c r="H260" s="7"/>
      <c r="I260" s="7"/>
      <c r="J260" s="7"/>
      <c r="K260" s="7"/>
      <c r="L260" s="7"/>
      <c r="M260" s="7"/>
      <c r="N260" s="4"/>
      <c r="O260" s="4"/>
      <c r="P260" s="4"/>
      <c r="Q260" s="4"/>
      <c r="R260" s="4"/>
    </row>
    <row r="261">
      <c r="A261" s="1"/>
      <c r="B261" s="8"/>
      <c r="C261" s="2"/>
      <c r="D261" s="2"/>
      <c r="E261" s="2"/>
      <c r="F261" s="2"/>
      <c r="G261" s="7"/>
      <c r="H261" s="7"/>
      <c r="I261" s="7"/>
      <c r="J261" s="7"/>
      <c r="K261" s="7"/>
      <c r="L261" s="7"/>
      <c r="M261" s="7"/>
      <c r="N261" s="4"/>
      <c r="O261" s="4"/>
      <c r="P261" s="4"/>
      <c r="Q261" s="4"/>
      <c r="R261" s="4"/>
    </row>
    <row r="262">
      <c r="A262" s="1"/>
      <c r="B262" s="8"/>
      <c r="C262" s="2"/>
      <c r="D262" s="2"/>
      <c r="E262" s="2"/>
      <c r="F262" s="2"/>
      <c r="G262" s="7"/>
      <c r="H262" s="7"/>
      <c r="I262" s="7"/>
      <c r="J262" s="7"/>
      <c r="K262" s="7"/>
      <c r="L262" s="7"/>
      <c r="M262" s="7"/>
      <c r="N262" s="4"/>
      <c r="O262" s="4"/>
      <c r="P262" s="4"/>
      <c r="Q262" s="4"/>
      <c r="R262" s="4"/>
    </row>
    <row r="263">
      <c r="A263" s="1"/>
      <c r="B263" s="8"/>
      <c r="C263" s="2"/>
      <c r="D263" s="2"/>
      <c r="E263" s="2"/>
      <c r="F263" s="2"/>
      <c r="G263" s="7"/>
      <c r="H263" s="7"/>
      <c r="I263" s="7"/>
      <c r="J263" s="7"/>
      <c r="K263" s="7"/>
      <c r="L263" s="7"/>
      <c r="M263" s="7"/>
      <c r="N263" s="4"/>
      <c r="O263" s="4"/>
      <c r="P263" s="4"/>
      <c r="Q263" s="4"/>
      <c r="R263" s="4"/>
    </row>
    <row r="264">
      <c r="A264" s="1"/>
      <c r="B264" s="8"/>
      <c r="C264" s="2"/>
      <c r="D264" s="2"/>
      <c r="E264" s="2"/>
      <c r="F264" s="2"/>
      <c r="G264" s="7"/>
      <c r="H264" s="7"/>
      <c r="I264" s="7"/>
      <c r="J264" s="7"/>
      <c r="K264" s="7"/>
      <c r="L264" s="7"/>
      <c r="M264" s="7"/>
      <c r="N264" s="4"/>
      <c r="O264" s="4"/>
      <c r="P264" s="4"/>
      <c r="Q264" s="4"/>
      <c r="R264" s="4"/>
    </row>
    <row r="265">
      <c r="A265" s="1"/>
      <c r="B265" s="8"/>
      <c r="C265" s="2"/>
      <c r="D265" s="2"/>
      <c r="E265" s="2"/>
      <c r="F265" s="2"/>
      <c r="G265" s="7"/>
      <c r="H265" s="7"/>
      <c r="I265" s="7"/>
      <c r="J265" s="7"/>
      <c r="K265" s="7"/>
      <c r="L265" s="7"/>
      <c r="M265" s="7"/>
      <c r="N265" s="4"/>
      <c r="O265" s="4"/>
      <c r="P265" s="4"/>
      <c r="Q265" s="4"/>
      <c r="R265" s="4"/>
    </row>
    <row r="266">
      <c r="A266" s="1"/>
      <c r="B266" s="8"/>
      <c r="C266" s="2"/>
      <c r="D266" s="2"/>
      <c r="E266" s="2"/>
      <c r="F266" s="2"/>
      <c r="G266" s="7"/>
      <c r="H266" s="7"/>
      <c r="I266" s="7"/>
      <c r="J266" s="7"/>
      <c r="K266" s="7"/>
      <c r="L266" s="7"/>
      <c r="M266" s="7"/>
      <c r="N266" s="4"/>
      <c r="O266" s="4"/>
      <c r="P266" s="4"/>
      <c r="Q266" s="4"/>
      <c r="R266" s="4"/>
    </row>
    <row r="267">
      <c r="A267" s="1"/>
      <c r="B267" s="8"/>
      <c r="C267" s="2"/>
      <c r="D267" s="2"/>
      <c r="E267" s="2"/>
      <c r="F267" s="2"/>
      <c r="G267" s="7"/>
      <c r="H267" s="7"/>
      <c r="I267" s="7"/>
      <c r="J267" s="7"/>
      <c r="K267" s="7"/>
      <c r="L267" s="7"/>
      <c r="M267" s="7"/>
      <c r="N267" s="4"/>
      <c r="O267" s="4"/>
      <c r="P267" s="4"/>
      <c r="Q267" s="4"/>
      <c r="R267" s="4"/>
    </row>
    <row r="268">
      <c r="A268" s="1"/>
      <c r="B268" s="8"/>
      <c r="C268" s="2"/>
      <c r="D268" s="2"/>
      <c r="E268" s="2"/>
      <c r="F268" s="2"/>
      <c r="G268" s="7"/>
      <c r="H268" s="7"/>
      <c r="I268" s="7"/>
      <c r="J268" s="7"/>
      <c r="K268" s="7"/>
      <c r="L268" s="7"/>
      <c r="M268" s="7"/>
      <c r="N268" s="4"/>
      <c r="O268" s="4"/>
      <c r="P268" s="4"/>
      <c r="Q268" s="4"/>
      <c r="R268" s="4"/>
    </row>
    <row r="269">
      <c r="A269" s="1"/>
      <c r="B269" s="8"/>
      <c r="C269" s="2"/>
      <c r="D269" s="2"/>
      <c r="E269" s="2"/>
      <c r="F269" s="2"/>
      <c r="G269" s="7"/>
      <c r="H269" s="7"/>
      <c r="I269" s="7"/>
      <c r="J269" s="7"/>
      <c r="K269" s="7"/>
      <c r="L269" s="7"/>
      <c r="M269" s="7"/>
      <c r="N269" s="4"/>
      <c r="O269" s="4"/>
      <c r="P269" s="4"/>
      <c r="Q269" s="4"/>
      <c r="R269" s="4"/>
    </row>
    <row r="270">
      <c r="A270" s="1"/>
      <c r="B270" s="8"/>
      <c r="C270" s="2"/>
      <c r="D270" s="2"/>
      <c r="E270" s="2"/>
      <c r="F270" s="2"/>
      <c r="G270" s="7"/>
      <c r="H270" s="7"/>
      <c r="I270" s="7"/>
      <c r="J270" s="7"/>
      <c r="K270" s="7"/>
      <c r="L270" s="7"/>
      <c r="M270" s="7"/>
      <c r="N270" s="4"/>
      <c r="O270" s="4"/>
      <c r="P270" s="4"/>
      <c r="Q270" s="4"/>
      <c r="R270" s="4"/>
    </row>
    <row r="271">
      <c r="A271" s="1"/>
      <c r="B271" s="8"/>
      <c r="C271" s="2"/>
      <c r="D271" s="2"/>
      <c r="E271" s="2"/>
      <c r="F271" s="2"/>
      <c r="G271" s="7"/>
      <c r="H271" s="7"/>
      <c r="I271" s="7"/>
      <c r="J271" s="7"/>
      <c r="K271" s="7"/>
      <c r="L271" s="7"/>
      <c r="M271" s="7"/>
      <c r="N271" s="4"/>
      <c r="O271" s="4"/>
      <c r="P271" s="4"/>
      <c r="Q271" s="4"/>
      <c r="R271" s="4"/>
    </row>
    <row r="272">
      <c r="A272" s="1"/>
      <c r="B272" s="8"/>
      <c r="C272" s="2"/>
      <c r="D272" s="2"/>
      <c r="E272" s="2"/>
      <c r="F272" s="2"/>
      <c r="G272" s="7"/>
      <c r="H272" s="7"/>
      <c r="I272" s="7"/>
      <c r="J272" s="7"/>
      <c r="K272" s="7"/>
      <c r="L272" s="7"/>
      <c r="M272" s="7"/>
      <c r="N272" s="4"/>
      <c r="O272" s="4"/>
      <c r="P272" s="4"/>
      <c r="Q272" s="4"/>
      <c r="R272" s="4"/>
    </row>
    <row r="273">
      <c r="A273" s="1"/>
      <c r="B273" s="8"/>
      <c r="C273" s="2"/>
      <c r="D273" s="2"/>
      <c r="E273" s="2"/>
      <c r="F273" s="2"/>
      <c r="G273" s="7"/>
      <c r="H273" s="7"/>
      <c r="I273" s="7"/>
      <c r="J273" s="7"/>
      <c r="K273" s="7"/>
      <c r="L273" s="7"/>
      <c r="M273" s="7"/>
      <c r="N273" s="4"/>
      <c r="O273" s="4"/>
      <c r="P273" s="4"/>
      <c r="Q273" s="4"/>
      <c r="R273" s="4"/>
    </row>
    <row r="274">
      <c r="A274" s="1"/>
      <c r="B274" s="8"/>
      <c r="C274" s="2"/>
      <c r="D274" s="2"/>
      <c r="E274" s="2"/>
      <c r="F274" s="2"/>
      <c r="G274" s="7"/>
      <c r="H274" s="7"/>
      <c r="I274" s="7"/>
      <c r="J274" s="7"/>
      <c r="K274" s="7"/>
      <c r="L274" s="7"/>
      <c r="M274" s="7"/>
      <c r="N274" s="4"/>
      <c r="O274" s="4"/>
      <c r="P274" s="4"/>
      <c r="Q274" s="4"/>
      <c r="R274" s="4"/>
    </row>
    <row r="275">
      <c r="A275" s="1"/>
      <c r="B275" s="8"/>
      <c r="C275" s="2"/>
      <c r="D275" s="2"/>
      <c r="E275" s="2"/>
      <c r="F275" s="2"/>
      <c r="G275" s="7"/>
      <c r="H275" s="7"/>
      <c r="I275" s="7"/>
      <c r="J275" s="7"/>
      <c r="K275" s="7"/>
      <c r="L275" s="7"/>
      <c r="M275" s="7"/>
      <c r="N275" s="4"/>
      <c r="O275" s="4"/>
      <c r="P275" s="4"/>
      <c r="Q275" s="4"/>
      <c r="R275" s="4"/>
    </row>
    <row r="276">
      <c r="A276" s="1"/>
      <c r="B276" s="8"/>
      <c r="C276" s="2"/>
      <c r="D276" s="2"/>
      <c r="E276" s="2"/>
      <c r="F276" s="2"/>
      <c r="G276" s="7"/>
      <c r="H276" s="7"/>
      <c r="I276" s="7"/>
      <c r="J276" s="7"/>
      <c r="K276" s="7"/>
      <c r="L276" s="7"/>
      <c r="M276" s="7"/>
      <c r="N276" s="4"/>
      <c r="O276" s="4"/>
      <c r="P276" s="4"/>
      <c r="Q276" s="4"/>
      <c r="R276" s="4"/>
    </row>
    <row r="277">
      <c r="A277" s="1"/>
      <c r="B277" s="8"/>
      <c r="C277" s="2"/>
      <c r="D277" s="2"/>
      <c r="E277" s="2"/>
      <c r="F277" s="2"/>
      <c r="G277" s="7"/>
      <c r="H277" s="7"/>
      <c r="I277" s="7"/>
      <c r="J277" s="7"/>
      <c r="K277" s="7"/>
      <c r="L277" s="7"/>
      <c r="M277" s="7"/>
      <c r="N277" s="4"/>
      <c r="O277" s="4"/>
      <c r="P277" s="4"/>
      <c r="Q277" s="4"/>
      <c r="R277" s="4"/>
    </row>
    <row r="278">
      <c r="A278" s="1"/>
      <c r="B278" s="8"/>
      <c r="C278" s="2"/>
      <c r="D278" s="2"/>
      <c r="E278" s="2"/>
      <c r="F278" s="2"/>
      <c r="G278" s="7"/>
      <c r="H278" s="7"/>
      <c r="I278" s="7"/>
      <c r="J278" s="7"/>
      <c r="K278" s="7"/>
      <c r="L278" s="7"/>
      <c r="M278" s="7"/>
      <c r="N278" s="4"/>
      <c r="O278" s="4"/>
      <c r="P278" s="4"/>
      <c r="Q278" s="4"/>
      <c r="R278" s="4"/>
    </row>
    <row r="279">
      <c r="A279" s="1"/>
      <c r="B279" s="8"/>
      <c r="C279" s="2"/>
      <c r="D279" s="2"/>
      <c r="E279" s="2"/>
      <c r="F279" s="2"/>
      <c r="G279" s="7"/>
      <c r="H279" s="7"/>
      <c r="I279" s="7"/>
      <c r="J279" s="7"/>
      <c r="K279" s="7"/>
      <c r="L279" s="7"/>
      <c r="M279" s="7"/>
      <c r="N279" s="4"/>
      <c r="O279" s="4"/>
      <c r="P279" s="4"/>
      <c r="Q279" s="4"/>
      <c r="R279" s="4"/>
    </row>
    <row r="280">
      <c r="A280" s="1"/>
      <c r="B280" s="8"/>
      <c r="C280" s="2"/>
      <c r="D280" s="2"/>
      <c r="E280" s="2"/>
      <c r="F280" s="2"/>
      <c r="G280" s="7"/>
      <c r="H280" s="7"/>
      <c r="I280" s="7"/>
      <c r="J280" s="7"/>
      <c r="K280" s="7"/>
      <c r="L280" s="7"/>
      <c r="M280" s="7"/>
      <c r="N280" s="4"/>
      <c r="O280" s="4"/>
      <c r="P280" s="4"/>
      <c r="Q280" s="4"/>
      <c r="R280" s="4"/>
    </row>
    <row r="281">
      <c r="A281" s="1"/>
      <c r="B281" s="8"/>
      <c r="C281" s="2"/>
      <c r="D281" s="2"/>
      <c r="E281" s="2"/>
      <c r="F281" s="2"/>
      <c r="G281" s="7"/>
      <c r="H281" s="7"/>
      <c r="I281" s="7"/>
      <c r="J281" s="7"/>
      <c r="K281" s="7"/>
      <c r="L281" s="7"/>
      <c r="M281" s="7"/>
      <c r="N281" s="4"/>
      <c r="O281" s="4"/>
      <c r="P281" s="4"/>
      <c r="Q281" s="4"/>
      <c r="R281" s="4"/>
    </row>
    <row r="282">
      <c r="A282" s="1"/>
      <c r="B282" s="8"/>
      <c r="C282" s="2"/>
      <c r="D282" s="2"/>
      <c r="E282" s="2"/>
      <c r="F282" s="2"/>
      <c r="G282" s="7"/>
      <c r="H282" s="7"/>
      <c r="I282" s="7"/>
      <c r="J282" s="7"/>
      <c r="K282" s="7"/>
      <c r="L282" s="7"/>
      <c r="M282" s="7"/>
      <c r="N282" s="4"/>
      <c r="O282" s="4"/>
      <c r="P282" s="4"/>
      <c r="Q282" s="4"/>
      <c r="R282" s="4"/>
    </row>
    <row r="283">
      <c r="A283" s="1"/>
      <c r="B283" s="8"/>
      <c r="C283" s="2"/>
      <c r="D283" s="2"/>
      <c r="E283" s="2"/>
      <c r="F283" s="2"/>
      <c r="G283" s="7"/>
      <c r="H283" s="7"/>
      <c r="I283" s="7"/>
      <c r="J283" s="7"/>
      <c r="K283" s="7"/>
      <c r="L283" s="7"/>
      <c r="M283" s="7"/>
      <c r="N283" s="4"/>
      <c r="O283" s="4"/>
      <c r="P283" s="4"/>
      <c r="Q283" s="4"/>
      <c r="R283" s="4"/>
    </row>
    <row r="284">
      <c r="A284" s="1"/>
      <c r="B284" s="8"/>
      <c r="C284" s="2"/>
      <c r="D284" s="2"/>
      <c r="E284" s="2"/>
      <c r="F284" s="2"/>
      <c r="G284" s="7"/>
      <c r="H284" s="7"/>
      <c r="I284" s="7"/>
      <c r="J284" s="7"/>
      <c r="K284" s="7"/>
      <c r="L284" s="7"/>
      <c r="M284" s="7"/>
      <c r="N284" s="4"/>
      <c r="O284" s="4"/>
      <c r="P284" s="4"/>
      <c r="Q284" s="4"/>
      <c r="R284" s="4"/>
    </row>
    <row r="285">
      <c r="A285" s="1"/>
      <c r="B285" s="8"/>
      <c r="C285" s="2"/>
      <c r="D285" s="2"/>
      <c r="E285" s="2"/>
      <c r="F285" s="2"/>
      <c r="G285" s="7"/>
      <c r="H285" s="7"/>
      <c r="I285" s="7"/>
      <c r="J285" s="7"/>
      <c r="K285" s="7"/>
      <c r="L285" s="7"/>
      <c r="M285" s="7"/>
      <c r="N285" s="4"/>
      <c r="O285" s="4"/>
      <c r="P285" s="4"/>
      <c r="Q285" s="4"/>
      <c r="R285" s="4"/>
    </row>
    <row r="286">
      <c r="A286" s="1"/>
      <c r="B286" s="8"/>
      <c r="C286" s="2"/>
      <c r="D286" s="2"/>
      <c r="E286" s="2"/>
      <c r="F286" s="2"/>
      <c r="G286" s="7"/>
      <c r="H286" s="7"/>
      <c r="I286" s="7"/>
      <c r="J286" s="7"/>
      <c r="K286" s="7"/>
      <c r="L286" s="7"/>
      <c r="M286" s="7"/>
      <c r="N286" s="4"/>
      <c r="O286" s="4"/>
      <c r="P286" s="4"/>
      <c r="Q286" s="4"/>
      <c r="R286" s="4"/>
    </row>
    <row r="287">
      <c r="A287" s="1"/>
      <c r="B287" s="8"/>
      <c r="C287" s="2"/>
      <c r="D287" s="2"/>
      <c r="E287" s="2"/>
      <c r="F287" s="2"/>
      <c r="G287" s="7"/>
      <c r="H287" s="7"/>
      <c r="I287" s="7"/>
      <c r="J287" s="7"/>
      <c r="K287" s="7"/>
      <c r="L287" s="7"/>
      <c r="M287" s="7"/>
      <c r="N287" s="4"/>
      <c r="O287" s="4"/>
      <c r="P287" s="4"/>
      <c r="Q287" s="4"/>
      <c r="R287" s="4"/>
    </row>
    <row r="288">
      <c r="A288" s="1"/>
      <c r="B288" s="8"/>
      <c r="C288" s="2"/>
      <c r="D288" s="2"/>
      <c r="E288" s="2"/>
      <c r="F288" s="2"/>
      <c r="G288" s="7"/>
      <c r="H288" s="7"/>
      <c r="I288" s="7"/>
      <c r="J288" s="7"/>
      <c r="K288" s="7"/>
      <c r="L288" s="7"/>
      <c r="M288" s="7"/>
      <c r="N288" s="4"/>
      <c r="O288" s="4"/>
      <c r="P288" s="4"/>
      <c r="Q288" s="4"/>
      <c r="R288" s="4"/>
    </row>
    <row r="289">
      <c r="A289" s="1"/>
      <c r="B289" s="8"/>
      <c r="C289" s="2"/>
      <c r="D289" s="2"/>
      <c r="E289" s="2"/>
      <c r="F289" s="2"/>
      <c r="G289" s="7"/>
      <c r="H289" s="7"/>
      <c r="I289" s="7"/>
      <c r="J289" s="7"/>
      <c r="K289" s="7"/>
      <c r="L289" s="7"/>
      <c r="M289" s="7"/>
      <c r="N289" s="4"/>
      <c r="O289" s="4"/>
      <c r="P289" s="4"/>
      <c r="Q289" s="4"/>
      <c r="R289" s="4"/>
    </row>
    <row r="290">
      <c r="A290" s="1"/>
      <c r="B290" s="8"/>
      <c r="C290" s="2"/>
      <c r="D290" s="2"/>
      <c r="E290" s="2"/>
      <c r="F290" s="2"/>
      <c r="G290" s="7"/>
      <c r="H290" s="7"/>
      <c r="I290" s="7"/>
      <c r="J290" s="7"/>
      <c r="K290" s="7"/>
      <c r="L290" s="7"/>
      <c r="M290" s="7"/>
      <c r="N290" s="4"/>
      <c r="O290" s="4"/>
      <c r="P290" s="4"/>
      <c r="Q290" s="4"/>
      <c r="R290" s="4"/>
    </row>
    <row r="291">
      <c r="A291" s="1"/>
      <c r="B291" s="8"/>
      <c r="C291" s="2"/>
      <c r="D291" s="2"/>
      <c r="E291" s="2"/>
      <c r="F291" s="2"/>
      <c r="G291" s="7"/>
      <c r="H291" s="7"/>
      <c r="I291" s="7"/>
      <c r="J291" s="7"/>
      <c r="K291" s="7"/>
      <c r="L291" s="7"/>
      <c r="M291" s="7"/>
      <c r="N291" s="4"/>
      <c r="O291" s="4"/>
      <c r="P291" s="4"/>
      <c r="Q291" s="4"/>
      <c r="R291" s="4"/>
    </row>
    <row r="292">
      <c r="A292" s="1"/>
      <c r="B292" s="8"/>
      <c r="C292" s="2"/>
      <c r="D292" s="2"/>
      <c r="E292" s="2"/>
      <c r="F292" s="2"/>
      <c r="G292" s="7"/>
      <c r="H292" s="7"/>
      <c r="I292" s="7"/>
      <c r="J292" s="7"/>
      <c r="K292" s="7"/>
      <c r="L292" s="7"/>
      <c r="M292" s="7"/>
      <c r="N292" s="4"/>
      <c r="O292" s="4"/>
      <c r="P292" s="4"/>
      <c r="Q292" s="4"/>
      <c r="R292" s="4"/>
    </row>
    <row r="293">
      <c r="A293" s="1"/>
      <c r="B293" s="8"/>
      <c r="C293" s="2"/>
      <c r="D293" s="2"/>
      <c r="E293" s="2"/>
      <c r="F293" s="2"/>
      <c r="G293" s="7"/>
      <c r="H293" s="7"/>
      <c r="I293" s="7"/>
      <c r="J293" s="7"/>
      <c r="K293" s="7"/>
      <c r="L293" s="7"/>
      <c r="M293" s="7"/>
      <c r="N293" s="4"/>
      <c r="O293" s="4"/>
      <c r="P293" s="4"/>
      <c r="Q293" s="4"/>
      <c r="R293" s="4"/>
    </row>
    <row r="294">
      <c r="A294" s="1"/>
      <c r="B294" s="8"/>
      <c r="C294" s="2"/>
      <c r="D294" s="2"/>
      <c r="E294" s="2"/>
      <c r="F294" s="2"/>
      <c r="G294" s="7"/>
      <c r="H294" s="7"/>
      <c r="I294" s="7"/>
      <c r="J294" s="7"/>
      <c r="K294" s="7"/>
      <c r="L294" s="7"/>
      <c r="M294" s="7"/>
      <c r="N294" s="4"/>
      <c r="O294" s="4"/>
      <c r="P294" s="4"/>
      <c r="Q294" s="4"/>
      <c r="R294" s="4"/>
    </row>
    <row r="295">
      <c r="A295" s="1"/>
      <c r="B295" s="8"/>
      <c r="C295" s="2"/>
      <c r="D295" s="2"/>
      <c r="E295" s="2"/>
      <c r="F295" s="2"/>
      <c r="G295" s="7"/>
      <c r="H295" s="7"/>
      <c r="I295" s="7"/>
      <c r="J295" s="7"/>
      <c r="K295" s="7"/>
      <c r="L295" s="7"/>
      <c r="M295" s="7"/>
      <c r="N295" s="4"/>
      <c r="O295" s="4"/>
      <c r="P295" s="4"/>
      <c r="Q295" s="4"/>
      <c r="R295" s="4"/>
    </row>
    <row r="296">
      <c r="A296" s="1"/>
      <c r="B296" s="8"/>
      <c r="C296" s="2"/>
      <c r="D296" s="2"/>
      <c r="E296" s="2"/>
      <c r="F296" s="2"/>
      <c r="G296" s="7"/>
      <c r="H296" s="7"/>
      <c r="I296" s="7"/>
      <c r="J296" s="7"/>
      <c r="K296" s="7"/>
      <c r="L296" s="7"/>
      <c r="M296" s="7"/>
      <c r="N296" s="4"/>
      <c r="O296" s="4"/>
      <c r="P296" s="4"/>
      <c r="Q296" s="4"/>
      <c r="R296" s="4"/>
    </row>
    <row r="297">
      <c r="A297" s="1"/>
      <c r="B297" s="8"/>
      <c r="C297" s="2"/>
      <c r="D297" s="2"/>
      <c r="E297" s="2"/>
      <c r="F297" s="2"/>
      <c r="G297" s="7"/>
      <c r="H297" s="7"/>
      <c r="I297" s="7"/>
      <c r="J297" s="7"/>
      <c r="K297" s="7"/>
      <c r="L297" s="7"/>
      <c r="M297" s="7"/>
      <c r="N297" s="4"/>
      <c r="O297" s="4"/>
      <c r="P297" s="4"/>
      <c r="Q297" s="4"/>
      <c r="R297" s="4"/>
    </row>
    <row r="298">
      <c r="A298" s="1"/>
      <c r="B298" s="8"/>
      <c r="C298" s="2"/>
      <c r="D298" s="2"/>
      <c r="E298" s="2"/>
      <c r="F298" s="2"/>
      <c r="G298" s="7"/>
      <c r="H298" s="7"/>
      <c r="I298" s="7"/>
      <c r="J298" s="7"/>
      <c r="K298" s="7"/>
      <c r="L298" s="7"/>
      <c r="M298" s="7"/>
      <c r="N298" s="4"/>
      <c r="O298" s="4"/>
      <c r="P298" s="4"/>
      <c r="Q298" s="4"/>
      <c r="R298" s="4"/>
    </row>
    <row r="299">
      <c r="A299" s="1"/>
      <c r="B299" s="8"/>
      <c r="C299" s="2"/>
      <c r="D299" s="2"/>
      <c r="E299" s="2"/>
      <c r="F299" s="2"/>
      <c r="G299" s="7"/>
      <c r="H299" s="7"/>
      <c r="I299" s="7"/>
      <c r="J299" s="7"/>
      <c r="K299" s="7"/>
      <c r="L299" s="7"/>
      <c r="M299" s="7"/>
      <c r="N299" s="4"/>
      <c r="O299" s="4"/>
      <c r="P299" s="4"/>
      <c r="Q299" s="4"/>
      <c r="R299" s="4"/>
    </row>
    <row r="300">
      <c r="A300" s="1"/>
      <c r="B300" s="8"/>
      <c r="C300" s="2"/>
      <c r="D300" s="2"/>
      <c r="E300" s="2"/>
      <c r="F300" s="2"/>
      <c r="G300" s="7"/>
      <c r="H300" s="7"/>
      <c r="I300" s="7"/>
      <c r="J300" s="7"/>
      <c r="K300" s="7"/>
      <c r="L300" s="7"/>
      <c r="M300" s="7"/>
      <c r="N300" s="4"/>
      <c r="O300" s="4"/>
      <c r="P300" s="4"/>
      <c r="Q300" s="4"/>
      <c r="R300" s="4"/>
    </row>
    <row r="301">
      <c r="A301" s="1"/>
      <c r="B301" s="8"/>
      <c r="C301" s="2"/>
      <c r="D301" s="2"/>
      <c r="E301" s="2"/>
      <c r="F301" s="2"/>
      <c r="G301" s="7"/>
      <c r="H301" s="7"/>
      <c r="I301" s="7"/>
      <c r="J301" s="7"/>
      <c r="K301" s="7"/>
      <c r="L301" s="7"/>
      <c r="M301" s="7"/>
      <c r="N301" s="4"/>
      <c r="O301" s="4"/>
      <c r="P301" s="4"/>
      <c r="Q301" s="4"/>
      <c r="R301" s="4"/>
    </row>
    <row r="302">
      <c r="A302" s="1"/>
      <c r="B302" s="8"/>
      <c r="C302" s="2"/>
      <c r="D302" s="2"/>
      <c r="E302" s="2"/>
      <c r="F302" s="2"/>
      <c r="G302" s="7"/>
      <c r="H302" s="7"/>
      <c r="I302" s="7"/>
      <c r="J302" s="7"/>
      <c r="K302" s="7"/>
      <c r="L302" s="7"/>
      <c r="M302" s="7"/>
      <c r="N302" s="4"/>
      <c r="O302" s="4"/>
      <c r="P302" s="4"/>
      <c r="Q302" s="4"/>
      <c r="R302" s="4"/>
    </row>
    <row r="303">
      <c r="A303" s="1"/>
      <c r="B303" s="8"/>
      <c r="C303" s="2"/>
      <c r="D303" s="2"/>
      <c r="E303" s="2"/>
      <c r="F303" s="2"/>
      <c r="G303" s="7"/>
      <c r="H303" s="7"/>
      <c r="I303" s="7"/>
      <c r="J303" s="7"/>
      <c r="K303" s="7"/>
      <c r="L303" s="7"/>
      <c r="M303" s="7"/>
      <c r="N303" s="4"/>
      <c r="O303" s="4"/>
      <c r="P303" s="4"/>
      <c r="Q303" s="4"/>
      <c r="R303" s="4"/>
    </row>
    <row r="304">
      <c r="A304" s="1"/>
      <c r="B304" s="8"/>
      <c r="C304" s="2"/>
      <c r="D304" s="2"/>
      <c r="E304" s="2"/>
      <c r="F304" s="2"/>
      <c r="G304" s="7"/>
      <c r="H304" s="7"/>
      <c r="I304" s="7"/>
      <c r="J304" s="7"/>
      <c r="K304" s="7"/>
      <c r="L304" s="7"/>
      <c r="M304" s="7"/>
      <c r="N304" s="4"/>
      <c r="O304" s="4"/>
      <c r="P304" s="4"/>
      <c r="Q304" s="4"/>
      <c r="R304" s="4"/>
    </row>
    <row r="305">
      <c r="A305" s="1"/>
      <c r="B305" s="8"/>
      <c r="C305" s="2"/>
      <c r="D305" s="2"/>
      <c r="E305" s="2"/>
      <c r="F305" s="2"/>
      <c r="G305" s="7"/>
      <c r="H305" s="7"/>
      <c r="I305" s="7"/>
      <c r="J305" s="7"/>
      <c r="K305" s="7"/>
      <c r="L305" s="7"/>
      <c r="M305" s="7"/>
      <c r="N305" s="4"/>
      <c r="O305" s="4"/>
      <c r="P305" s="4"/>
      <c r="Q305" s="4"/>
      <c r="R305" s="4"/>
    </row>
    <row r="306">
      <c r="A306" s="1"/>
      <c r="B306" s="8"/>
      <c r="C306" s="2"/>
      <c r="D306" s="2"/>
      <c r="E306" s="2"/>
      <c r="F306" s="2"/>
      <c r="G306" s="7"/>
      <c r="H306" s="7"/>
      <c r="I306" s="7"/>
      <c r="J306" s="7"/>
      <c r="K306" s="7"/>
      <c r="L306" s="7"/>
      <c r="M306" s="7"/>
      <c r="N306" s="4"/>
      <c r="O306" s="4"/>
      <c r="P306" s="4"/>
      <c r="Q306" s="4"/>
      <c r="R306" s="4"/>
    </row>
    <row r="307">
      <c r="A307" s="1"/>
      <c r="B307" s="8"/>
      <c r="C307" s="2"/>
      <c r="D307" s="2"/>
      <c r="E307" s="2"/>
      <c r="F307" s="2"/>
      <c r="G307" s="7"/>
      <c r="H307" s="7"/>
      <c r="I307" s="7"/>
      <c r="J307" s="7"/>
      <c r="K307" s="7"/>
      <c r="L307" s="7"/>
      <c r="M307" s="7"/>
      <c r="N307" s="4"/>
      <c r="O307" s="4"/>
      <c r="P307" s="4"/>
      <c r="Q307" s="4"/>
      <c r="R307" s="4"/>
    </row>
    <row r="308">
      <c r="A308" s="1"/>
      <c r="B308" s="8"/>
      <c r="C308" s="2"/>
      <c r="D308" s="2"/>
      <c r="E308" s="2"/>
      <c r="F308" s="2"/>
      <c r="G308" s="7"/>
      <c r="H308" s="7"/>
      <c r="I308" s="7"/>
      <c r="J308" s="7"/>
      <c r="K308" s="7"/>
      <c r="L308" s="7"/>
      <c r="M308" s="7"/>
      <c r="N308" s="4"/>
      <c r="O308" s="4"/>
      <c r="P308" s="4"/>
      <c r="Q308" s="4"/>
      <c r="R308" s="4"/>
    </row>
    <row r="309">
      <c r="A309" s="1"/>
      <c r="B309" s="8"/>
      <c r="C309" s="2"/>
      <c r="D309" s="2"/>
      <c r="E309" s="2"/>
      <c r="F309" s="2"/>
      <c r="G309" s="7"/>
      <c r="H309" s="7"/>
      <c r="I309" s="7"/>
      <c r="J309" s="7"/>
      <c r="K309" s="7"/>
      <c r="L309" s="7"/>
      <c r="M309" s="7"/>
      <c r="N309" s="4"/>
      <c r="O309" s="4"/>
      <c r="P309" s="4"/>
      <c r="Q309" s="4"/>
      <c r="R309" s="4"/>
    </row>
    <row r="310">
      <c r="A310" s="1"/>
      <c r="B310" s="8"/>
      <c r="C310" s="2"/>
      <c r="D310" s="2"/>
      <c r="E310" s="2"/>
      <c r="F310" s="2"/>
      <c r="G310" s="7"/>
      <c r="H310" s="7"/>
      <c r="I310" s="7"/>
      <c r="J310" s="7"/>
      <c r="K310" s="7"/>
      <c r="L310" s="7"/>
      <c r="M310" s="7"/>
      <c r="N310" s="4"/>
      <c r="O310" s="4"/>
      <c r="P310" s="4"/>
      <c r="Q310" s="4"/>
      <c r="R310" s="4"/>
    </row>
    <row r="311">
      <c r="A311" s="1"/>
      <c r="B311" s="8"/>
      <c r="C311" s="2"/>
      <c r="D311" s="2"/>
      <c r="E311" s="2"/>
      <c r="F311" s="2"/>
      <c r="G311" s="7"/>
      <c r="H311" s="7"/>
      <c r="I311" s="7"/>
      <c r="J311" s="7"/>
      <c r="K311" s="7"/>
      <c r="L311" s="7"/>
      <c r="M311" s="7"/>
      <c r="N311" s="4"/>
      <c r="O311" s="4"/>
      <c r="P311" s="4"/>
      <c r="Q311" s="4"/>
      <c r="R311" s="4"/>
    </row>
    <row r="312">
      <c r="A312" s="1"/>
      <c r="B312" s="8"/>
      <c r="C312" s="2"/>
      <c r="D312" s="2"/>
      <c r="E312" s="2"/>
      <c r="F312" s="2"/>
      <c r="G312" s="7"/>
      <c r="H312" s="7"/>
      <c r="I312" s="7"/>
      <c r="J312" s="7"/>
      <c r="K312" s="7"/>
      <c r="L312" s="7"/>
      <c r="M312" s="7"/>
      <c r="N312" s="4"/>
      <c r="O312" s="4"/>
      <c r="P312" s="4"/>
      <c r="Q312" s="4"/>
      <c r="R312" s="4"/>
    </row>
    <row r="313">
      <c r="A313" s="1"/>
      <c r="B313" s="8"/>
      <c r="C313" s="2"/>
      <c r="D313" s="2"/>
      <c r="E313" s="2"/>
      <c r="F313" s="2"/>
      <c r="G313" s="7"/>
      <c r="H313" s="7"/>
      <c r="I313" s="7"/>
      <c r="J313" s="7"/>
      <c r="K313" s="7"/>
      <c r="L313" s="7"/>
      <c r="M313" s="7"/>
      <c r="N313" s="4"/>
      <c r="O313" s="4"/>
      <c r="P313" s="4"/>
      <c r="Q313" s="4"/>
      <c r="R313" s="4"/>
    </row>
    <row r="314">
      <c r="A314" s="1"/>
      <c r="B314" s="8"/>
      <c r="C314" s="2"/>
      <c r="D314" s="2"/>
      <c r="E314" s="2"/>
      <c r="F314" s="2"/>
      <c r="G314" s="7"/>
      <c r="H314" s="7"/>
      <c r="I314" s="7"/>
      <c r="J314" s="7"/>
      <c r="K314" s="7"/>
      <c r="L314" s="7"/>
      <c r="M314" s="7"/>
      <c r="N314" s="4"/>
      <c r="O314" s="4"/>
      <c r="P314" s="4"/>
      <c r="Q314" s="4"/>
      <c r="R314" s="4"/>
    </row>
    <row r="315">
      <c r="A315" s="1"/>
      <c r="B315" s="8"/>
      <c r="C315" s="2"/>
      <c r="D315" s="2"/>
      <c r="E315" s="2"/>
      <c r="F315" s="2"/>
      <c r="G315" s="7"/>
      <c r="H315" s="7"/>
      <c r="I315" s="7"/>
      <c r="J315" s="7"/>
      <c r="K315" s="7"/>
      <c r="L315" s="7"/>
      <c r="M315" s="7"/>
      <c r="N315" s="4"/>
      <c r="O315" s="4"/>
      <c r="P315" s="4"/>
      <c r="Q315" s="4"/>
      <c r="R315" s="4"/>
    </row>
    <row r="316">
      <c r="A316" s="1"/>
      <c r="B316" s="8"/>
      <c r="C316" s="2"/>
      <c r="D316" s="2"/>
      <c r="E316" s="2"/>
      <c r="F316" s="2"/>
      <c r="G316" s="7"/>
      <c r="H316" s="7"/>
      <c r="I316" s="7"/>
      <c r="J316" s="7"/>
      <c r="K316" s="7"/>
      <c r="L316" s="7"/>
      <c r="M316" s="7"/>
      <c r="N316" s="4"/>
      <c r="O316" s="4"/>
      <c r="P316" s="4"/>
      <c r="Q316" s="4"/>
      <c r="R316" s="4"/>
    </row>
    <row r="317">
      <c r="A317" s="1"/>
      <c r="B317" s="8"/>
      <c r="C317" s="2"/>
      <c r="D317" s="2"/>
      <c r="E317" s="2"/>
      <c r="F317" s="2"/>
      <c r="G317" s="7"/>
      <c r="H317" s="7"/>
      <c r="I317" s="7"/>
      <c r="J317" s="7"/>
      <c r="K317" s="7"/>
      <c r="L317" s="7"/>
      <c r="M317" s="7"/>
      <c r="N317" s="4"/>
      <c r="O317" s="4"/>
      <c r="P317" s="4"/>
      <c r="Q317" s="4"/>
      <c r="R317" s="4"/>
    </row>
    <row r="318">
      <c r="A318" s="1"/>
      <c r="B318" s="8"/>
      <c r="C318" s="2"/>
      <c r="D318" s="2"/>
      <c r="E318" s="2"/>
      <c r="F318" s="2"/>
      <c r="G318" s="7"/>
      <c r="H318" s="7"/>
      <c r="I318" s="7"/>
      <c r="J318" s="7"/>
      <c r="K318" s="7"/>
      <c r="L318" s="7"/>
      <c r="M318" s="7"/>
      <c r="N318" s="4"/>
      <c r="O318" s="4"/>
      <c r="P318" s="4"/>
      <c r="Q318" s="4"/>
      <c r="R318" s="4"/>
    </row>
    <row r="319">
      <c r="A319" s="1"/>
      <c r="B319" s="8"/>
      <c r="C319" s="2"/>
      <c r="D319" s="2"/>
      <c r="E319" s="2"/>
      <c r="F319" s="2"/>
      <c r="G319" s="7"/>
      <c r="H319" s="7"/>
      <c r="I319" s="7"/>
      <c r="J319" s="7"/>
      <c r="K319" s="7"/>
      <c r="L319" s="7"/>
      <c r="M319" s="7"/>
      <c r="N319" s="4"/>
      <c r="O319" s="4"/>
      <c r="P319" s="4"/>
      <c r="Q319" s="4"/>
      <c r="R319" s="4"/>
    </row>
    <row r="320">
      <c r="A320" s="1"/>
      <c r="B320" s="8"/>
      <c r="C320" s="2"/>
      <c r="D320" s="2"/>
      <c r="E320" s="2"/>
      <c r="F320" s="2"/>
      <c r="G320" s="7"/>
      <c r="H320" s="7"/>
      <c r="I320" s="7"/>
      <c r="J320" s="7"/>
      <c r="K320" s="7"/>
      <c r="L320" s="7"/>
      <c r="M320" s="7"/>
      <c r="N320" s="4"/>
      <c r="O320" s="4"/>
      <c r="P320" s="4"/>
      <c r="Q320" s="4"/>
      <c r="R320" s="4"/>
    </row>
    <row r="321">
      <c r="A321" s="1"/>
      <c r="B321" s="8"/>
      <c r="C321" s="2"/>
      <c r="D321" s="2"/>
      <c r="E321" s="2"/>
      <c r="F321" s="2"/>
      <c r="G321" s="7"/>
      <c r="H321" s="7"/>
      <c r="I321" s="7"/>
      <c r="J321" s="7"/>
      <c r="K321" s="7"/>
      <c r="L321" s="7"/>
      <c r="M321" s="7"/>
      <c r="N321" s="4"/>
      <c r="O321" s="4"/>
      <c r="P321" s="4"/>
      <c r="Q321" s="4"/>
      <c r="R321" s="4"/>
    </row>
    <row r="322">
      <c r="A322" s="1"/>
      <c r="B322" s="8"/>
      <c r="C322" s="2"/>
      <c r="D322" s="2"/>
      <c r="E322" s="2"/>
      <c r="F322" s="2"/>
      <c r="G322" s="7"/>
      <c r="H322" s="7"/>
      <c r="I322" s="7"/>
      <c r="J322" s="7"/>
      <c r="K322" s="7"/>
      <c r="L322" s="7"/>
      <c r="M322" s="7"/>
      <c r="N322" s="4"/>
      <c r="O322" s="4"/>
      <c r="P322" s="4"/>
      <c r="Q322" s="4"/>
      <c r="R322" s="4"/>
    </row>
    <row r="323">
      <c r="A323" s="1"/>
      <c r="B323" s="8"/>
      <c r="C323" s="2"/>
      <c r="D323" s="2"/>
      <c r="E323" s="2"/>
      <c r="F323" s="2"/>
      <c r="G323" s="7"/>
      <c r="H323" s="7"/>
      <c r="I323" s="7"/>
      <c r="J323" s="7"/>
      <c r="K323" s="7"/>
      <c r="L323" s="7"/>
      <c r="M323" s="7"/>
      <c r="N323" s="4"/>
      <c r="O323" s="4"/>
      <c r="P323" s="4"/>
      <c r="Q323" s="4"/>
      <c r="R323" s="4"/>
    </row>
    <row r="324">
      <c r="A324" s="1"/>
      <c r="B324" s="8"/>
      <c r="C324" s="2"/>
      <c r="D324" s="2"/>
      <c r="E324" s="2"/>
      <c r="F324" s="2"/>
      <c r="G324" s="7"/>
      <c r="H324" s="7"/>
      <c r="I324" s="7"/>
      <c r="J324" s="7"/>
      <c r="K324" s="7"/>
      <c r="L324" s="7"/>
      <c r="M324" s="7"/>
      <c r="N324" s="4"/>
      <c r="O324" s="4"/>
      <c r="P324" s="4"/>
      <c r="Q324" s="4"/>
      <c r="R324" s="4"/>
    </row>
    <row r="325">
      <c r="A325" s="1"/>
      <c r="B325" s="8"/>
      <c r="C325" s="2"/>
      <c r="D325" s="2"/>
      <c r="E325" s="2"/>
      <c r="F325" s="2"/>
      <c r="G325" s="7"/>
      <c r="H325" s="7"/>
      <c r="I325" s="7"/>
      <c r="J325" s="7"/>
      <c r="K325" s="7"/>
      <c r="L325" s="7"/>
      <c r="M325" s="7"/>
      <c r="N325" s="4"/>
      <c r="O325" s="4"/>
      <c r="P325" s="4"/>
      <c r="Q325" s="4"/>
      <c r="R325" s="4"/>
    </row>
    <row r="326">
      <c r="A326" s="1"/>
      <c r="B326" s="8"/>
      <c r="C326" s="2"/>
      <c r="D326" s="2"/>
      <c r="E326" s="2"/>
      <c r="F326" s="2"/>
      <c r="G326" s="7"/>
      <c r="H326" s="7"/>
      <c r="I326" s="7"/>
      <c r="J326" s="7"/>
      <c r="K326" s="7"/>
      <c r="L326" s="7"/>
      <c r="M326" s="7"/>
      <c r="N326" s="4"/>
      <c r="O326" s="4"/>
      <c r="P326" s="4"/>
      <c r="Q326" s="4"/>
      <c r="R326" s="4"/>
    </row>
    <row r="327">
      <c r="A327" s="1"/>
      <c r="B327" s="8"/>
      <c r="C327" s="2"/>
      <c r="D327" s="2"/>
      <c r="E327" s="2"/>
      <c r="F327" s="2"/>
      <c r="G327" s="7"/>
      <c r="H327" s="7"/>
      <c r="I327" s="7"/>
      <c r="J327" s="7"/>
      <c r="K327" s="7"/>
      <c r="L327" s="7"/>
      <c r="M327" s="7"/>
      <c r="N327" s="4"/>
      <c r="O327" s="4"/>
      <c r="P327" s="4"/>
      <c r="Q327" s="4"/>
      <c r="R327" s="4"/>
    </row>
    <row r="328">
      <c r="A328" s="1"/>
      <c r="B328" s="8"/>
      <c r="C328" s="2"/>
      <c r="D328" s="2"/>
      <c r="E328" s="2"/>
      <c r="F328" s="2"/>
      <c r="G328" s="7"/>
      <c r="H328" s="7"/>
      <c r="I328" s="7"/>
      <c r="J328" s="7"/>
      <c r="K328" s="7"/>
      <c r="L328" s="7"/>
      <c r="M328" s="7"/>
      <c r="N328" s="4"/>
      <c r="O328" s="4"/>
      <c r="P328" s="4"/>
      <c r="Q328" s="4"/>
      <c r="R328" s="4"/>
    </row>
    <row r="329">
      <c r="A329" s="1"/>
      <c r="B329" s="8"/>
      <c r="C329" s="2"/>
      <c r="D329" s="2"/>
      <c r="E329" s="2"/>
      <c r="F329" s="2"/>
      <c r="G329" s="7"/>
      <c r="H329" s="7"/>
      <c r="I329" s="7"/>
      <c r="J329" s="7"/>
      <c r="K329" s="7"/>
      <c r="L329" s="7"/>
      <c r="M329" s="7"/>
      <c r="N329" s="4"/>
      <c r="O329" s="4"/>
      <c r="P329" s="4"/>
      <c r="Q329" s="4"/>
      <c r="R329" s="4"/>
    </row>
    <row r="330">
      <c r="A330" s="1"/>
      <c r="B330" s="8"/>
      <c r="C330" s="2"/>
      <c r="D330" s="2"/>
      <c r="E330" s="2"/>
      <c r="F330" s="2"/>
      <c r="G330" s="7"/>
      <c r="H330" s="7"/>
      <c r="I330" s="7"/>
      <c r="J330" s="7"/>
      <c r="K330" s="7"/>
      <c r="L330" s="7"/>
      <c r="M330" s="7"/>
      <c r="N330" s="4"/>
      <c r="O330" s="4"/>
      <c r="P330" s="4"/>
      <c r="Q330" s="4"/>
      <c r="R330" s="4"/>
    </row>
    <row r="331">
      <c r="A331" s="1"/>
      <c r="B331" s="8"/>
      <c r="C331" s="2"/>
      <c r="D331" s="2"/>
      <c r="E331" s="2"/>
      <c r="F331" s="2"/>
      <c r="G331" s="7"/>
      <c r="H331" s="7"/>
      <c r="I331" s="7"/>
      <c r="J331" s="7"/>
      <c r="K331" s="7"/>
      <c r="L331" s="7"/>
      <c r="M331" s="7"/>
      <c r="N331" s="4"/>
      <c r="O331" s="4"/>
      <c r="P331" s="4"/>
      <c r="Q331" s="4"/>
      <c r="R331" s="4"/>
    </row>
    <row r="332">
      <c r="A332" s="1"/>
      <c r="B332" s="8"/>
      <c r="C332" s="2"/>
      <c r="D332" s="2"/>
      <c r="E332" s="2"/>
      <c r="F332" s="2"/>
      <c r="G332" s="7"/>
      <c r="H332" s="7"/>
      <c r="I332" s="7"/>
      <c r="J332" s="7"/>
      <c r="K332" s="7"/>
      <c r="L332" s="7"/>
      <c r="M332" s="7"/>
      <c r="N332" s="4"/>
      <c r="O332" s="4"/>
      <c r="P332" s="4"/>
      <c r="Q332" s="4"/>
      <c r="R332" s="4"/>
    </row>
    <row r="333">
      <c r="A333" s="1"/>
      <c r="B333" s="8"/>
      <c r="C333" s="2"/>
      <c r="D333" s="2"/>
      <c r="E333" s="2"/>
      <c r="F333" s="2"/>
      <c r="G333" s="7"/>
      <c r="H333" s="7"/>
      <c r="I333" s="7"/>
      <c r="J333" s="7"/>
      <c r="K333" s="7"/>
      <c r="L333" s="7"/>
      <c r="M333" s="7"/>
      <c r="N333" s="4"/>
      <c r="O333" s="4"/>
      <c r="P333" s="4"/>
      <c r="Q333" s="4"/>
      <c r="R333" s="4"/>
    </row>
    <row r="334">
      <c r="A334" s="1"/>
      <c r="B334" s="8"/>
      <c r="C334" s="2"/>
      <c r="D334" s="2"/>
      <c r="E334" s="2"/>
      <c r="F334" s="2"/>
      <c r="G334" s="7"/>
      <c r="H334" s="7"/>
      <c r="I334" s="7"/>
      <c r="J334" s="7"/>
      <c r="K334" s="7"/>
      <c r="L334" s="7"/>
      <c r="M334" s="7"/>
      <c r="N334" s="4"/>
      <c r="O334" s="4"/>
      <c r="P334" s="4"/>
      <c r="Q334" s="4"/>
      <c r="R334" s="4"/>
    </row>
    <row r="335">
      <c r="A335" s="1"/>
      <c r="B335" s="8"/>
      <c r="C335" s="2"/>
      <c r="D335" s="2"/>
      <c r="E335" s="2"/>
      <c r="F335" s="2"/>
      <c r="G335" s="7"/>
      <c r="H335" s="7"/>
      <c r="I335" s="7"/>
      <c r="J335" s="7"/>
      <c r="K335" s="7"/>
      <c r="L335" s="7"/>
      <c r="M335" s="7"/>
      <c r="N335" s="4"/>
      <c r="O335" s="4"/>
      <c r="P335" s="4"/>
      <c r="Q335" s="4"/>
      <c r="R335" s="4"/>
    </row>
    <row r="336">
      <c r="A336" s="1"/>
      <c r="B336" s="8"/>
      <c r="C336" s="2"/>
      <c r="D336" s="2"/>
      <c r="E336" s="2"/>
      <c r="F336" s="2"/>
      <c r="G336" s="7"/>
      <c r="H336" s="7"/>
      <c r="I336" s="7"/>
      <c r="J336" s="7"/>
      <c r="K336" s="7"/>
      <c r="L336" s="7"/>
      <c r="M336" s="7"/>
      <c r="N336" s="4"/>
      <c r="O336" s="4"/>
      <c r="P336" s="4"/>
      <c r="Q336" s="4"/>
      <c r="R336" s="4"/>
    </row>
    <row r="337">
      <c r="A337" s="1"/>
      <c r="B337" s="8"/>
      <c r="C337" s="2"/>
      <c r="D337" s="2"/>
      <c r="E337" s="2"/>
      <c r="F337" s="2"/>
      <c r="G337" s="7"/>
      <c r="H337" s="7"/>
      <c r="I337" s="7"/>
      <c r="J337" s="7"/>
      <c r="K337" s="7"/>
      <c r="L337" s="7"/>
      <c r="M337" s="7"/>
      <c r="N337" s="4"/>
      <c r="O337" s="4"/>
      <c r="P337" s="4"/>
      <c r="Q337" s="4"/>
      <c r="R337" s="4"/>
    </row>
    <row r="338">
      <c r="A338" s="1"/>
      <c r="B338" s="8"/>
      <c r="C338" s="2"/>
      <c r="D338" s="2"/>
      <c r="E338" s="2"/>
      <c r="F338" s="2"/>
      <c r="G338" s="7"/>
      <c r="H338" s="7"/>
      <c r="I338" s="7"/>
      <c r="J338" s="7"/>
      <c r="K338" s="7"/>
      <c r="L338" s="7"/>
      <c r="M338" s="7"/>
      <c r="N338" s="4"/>
      <c r="O338" s="4"/>
      <c r="P338" s="4"/>
      <c r="Q338" s="4"/>
      <c r="R338" s="4"/>
    </row>
    <row r="339">
      <c r="A339" s="1"/>
      <c r="B339" s="8"/>
      <c r="C339" s="2"/>
      <c r="D339" s="2"/>
      <c r="E339" s="2"/>
      <c r="F339" s="2"/>
      <c r="G339" s="7"/>
      <c r="H339" s="7"/>
      <c r="I339" s="7"/>
      <c r="J339" s="7"/>
      <c r="K339" s="7"/>
      <c r="L339" s="7"/>
      <c r="M339" s="7"/>
      <c r="N339" s="4"/>
      <c r="O339" s="4"/>
      <c r="P339" s="4"/>
      <c r="Q339" s="4"/>
      <c r="R339" s="4"/>
    </row>
    <row r="340">
      <c r="A340" s="1"/>
      <c r="B340" s="8"/>
      <c r="C340" s="2"/>
      <c r="D340" s="2"/>
      <c r="E340" s="2"/>
      <c r="F340" s="2"/>
      <c r="G340" s="7"/>
      <c r="H340" s="7"/>
      <c r="I340" s="7"/>
      <c r="J340" s="7"/>
      <c r="K340" s="7"/>
      <c r="L340" s="7"/>
      <c r="M340" s="7"/>
      <c r="N340" s="4"/>
      <c r="O340" s="4"/>
      <c r="P340" s="4"/>
      <c r="Q340" s="4"/>
      <c r="R340" s="4"/>
    </row>
    <row r="341">
      <c r="A341" s="1"/>
      <c r="B341" s="8"/>
      <c r="C341" s="2"/>
      <c r="D341" s="2"/>
      <c r="E341" s="2"/>
      <c r="F341" s="2"/>
      <c r="G341" s="7"/>
      <c r="H341" s="7"/>
      <c r="I341" s="7"/>
      <c r="J341" s="7"/>
      <c r="K341" s="7"/>
      <c r="L341" s="7"/>
      <c r="M341" s="7"/>
      <c r="N341" s="4"/>
      <c r="O341" s="4"/>
      <c r="P341" s="4"/>
      <c r="Q341" s="4"/>
      <c r="R341" s="4"/>
    </row>
    <row r="342">
      <c r="A342" s="1"/>
      <c r="B342" s="8"/>
      <c r="C342" s="2"/>
      <c r="D342" s="2"/>
      <c r="E342" s="2"/>
      <c r="F342" s="2"/>
      <c r="G342" s="7"/>
      <c r="H342" s="7"/>
      <c r="I342" s="7"/>
      <c r="J342" s="7"/>
      <c r="K342" s="7"/>
      <c r="L342" s="7"/>
      <c r="M342" s="7"/>
      <c r="N342" s="4"/>
      <c r="O342" s="4"/>
      <c r="P342" s="4"/>
      <c r="Q342" s="4"/>
      <c r="R342" s="4"/>
    </row>
    <row r="343">
      <c r="A343" s="1"/>
      <c r="B343" s="8"/>
      <c r="C343" s="2"/>
      <c r="D343" s="2"/>
      <c r="E343" s="2"/>
      <c r="F343" s="2"/>
      <c r="G343" s="7"/>
      <c r="H343" s="7"/>
      <c r="I343" s="7"/>
      <c r="J343" s="7"/>
      <c r="K343" s="7"/>
      <c r="L343" s="7"/>
      <c r="M343" s="7"/>
      <c r="N343" s="4"/>
      <c r="O343" s="4"/>
      <c r="P343" s="4"/>
      <c r="Q343" s="4"/>
      <c r="R343" s="4"/>
    </row>
    <row r="344">
      <c r="A344" s="1"/>
      <c r="B344" s="8"/>
      <c r="C344" s="2"/>
      <c r="D344" s="2"/>
      <c r="E344" s="2"/>
      <c r="F344" s="2"/>
      <c r="G344" s="7"/>
      <c r="H344" s="7"/>
      <c r="I344" s="7"/>
      <c r="J344" s="7"/>
      <c r="K344" s="7"/>
      <c r="L344" s="7"/>
      <c r="M344" s="7"/>
      <c r="N344" s="4"/>
      <c r="O344" s="4"/>
      <c r="P344" s="4"/>
      <c r="Q344" s="4"/>
      <c r="R344" s="4"/>
    </row>
    <row r="345">
      <c r="A345" s="1"/>
      <c r="B345" s="8"/>
      <c r="C345" s="2"/>
      <c r="D345" s="2"/>
      <c r="E345" s="2"/>
      <c r="F345" s="2"/>
      <c r="G345" s="7"/>
      <c r="H345" s="7"/>
      <c r="I345" s="7"/>
      <c r="J345" s="7"/>
      <c r="K345" s="7"/>
      <c r="L345" s="7"/>
      <c r="M345" s="7"/>
      <c r="N345" s="4"/>
      <c r="O345" s="4"/>
      <c r="P345" s="4"/>
      <c r="Q345" s="4"/>
      <c r="R345" s="4"/>
    </row>
    <row r="346">
      <c r="A346" s="1"/>
      <c r="B346" s="8"/>
      <c r="C346" s="2"/>
      <c r="D346" s="2"/>
      <c r="E346" s="2"/>
      <c r="F346" s="2"/>
      <c r="G346" s="7"/>
      <c r="H346" s="7"/>
      <c r="I346" s="7"/>
      <c r="J346" s="7"/>
      <c r="K346" s="7"/>
      <c r="L346" s="7"/>
      <c r="M346" s="7"/>
      <c r="N346" s="4"/>
      <c r="O346" s="4"/>
      <c r="P346" s="4"/>
      <c r="Q346" s="4"/>
      <c r="R346" s="4"/>
    </row>
    <row r="347">
      <c r="A347" s="1"/>
      <c r="B347" s="8"/>
      <c r="C347" s="2"/>
      <c r="D347" s="2"/>
      <c r="E347" s="2"/>
      <c r="F347" s="2"/>
      <c r="G347" s="7"/>
      <c r="H347" s="7"/>
      <c r="I347" s="7"/>
      <c r="J347" s="7"/>
      <c r="K347" s="7"/>
      <c r="L347" s="7"/>
      <c r="M347" s="7"/>
      <c r="N347" s="4"/>
      <c r="O347" s="4"/>
      <c r="P347" s="4"/>
      <c r="Q347" s="4"/>
      <c r="R347" s="4"/>
    </row>
    <row r="348">
      <c r="A348" s="1"/>
      <c r="B348" s="8"/>
      <c r="C348" s="2"/>
      <c r="D348" s="2"/>
      <c r="E348" s="2"/>
      <c r="F348" s="2"/>
      <c r="G348" s="7"/>
      <c r="H348" s="7"/>
      <c r="I348" s="7"/>
      <c r="J348" s="7"/>
      <c r="K348" s="7"/>
      <c r="L348" s="7"/>
      <c r="M348" s="7"/>
      <c r="N348" s="4"/>
      <c r="O348" s="4"/>
      <c r="P348" s="4"/>
      <c r="Q348" s="4"/>
      <c r="R348" s="4"/>
    </row>
    <row r="349">
      <c r="A349" s="1"/>
      <c r="B349" s="8"/>
      <c r="C349" s="2"/>
      <c r="D349" s="2"/>
      <c r="E349" s="2"/>
      <c r="F349" s="2"/>
      <c r="G349" s="7"/>
      <c r="H349" s="7"/>
      <c r="I349" s="7"/>
      <c r="J349" s="7"/>
      <c r="K349" s="7"/>
      <c r="L349" s="7"/>
      <c r="M349" s="7"/>
      <c r="N349" s="4"/>
      <c r="O349" s="4"/>
      <c r="P349" s="4"/>
      <c r="Q349" s="4"/>
      <c r="R349" s="4"/>
    </row>
    <row r="350">
      <c r="A350" s="1"/>
      <c r="B350" s="8"/>
      <c r="C350" s="2"/>
      <c r="D350" s="2"/>
      <c r="E350" s="2"/>
      <c r="F350" s="2"/>
      <c r="G350" s="7"/>
      <c r="H350" s="7"/>
      <c r="I350" s="7"/>
      <c r="J350" s="7"/>
      <c r="K350" s="7"/>
      <c r="L350" s="7"/>
      <c r="M350" s="7"/>
      <c r="N350" s="4"/>
      <c r="O350" s="4"/>
      <c r="P350" s="4"/>
      <c r="Q350" s="4"/>
      <c r="R350" s="4"/>
    </row>
    <row r="351">
      <c r="A351" s="1"/>
      <c r="B351" s="8"/>
      <c r="C351" s="2"/>
      <c r="D351" s="2"/>
      <c r="E351" s="2"/>
      <c r="F351" s="2"/>
      <c r="G351" s="7"/>
      <c r="H351" s="7"/>
      <c r="I351" s="7"/>
      <c r="J351" s="7"/>
      <c r="K351" s="7"/>
      <c r="L351" s="7"/>
      <c r="M351" s="7"/>
      <c r="N351" s="4"/>
      <c r="O351" s="4"/>
      <c r="P351" s="4"/>
      <c r="Q351" s="4"/>
      <c r="R351" s="4"/>
    </row>
    <row r="352">
      <c r="A352" s="1"/>
      <c r="B352" s="8"/>
      <c r="C352" s="2"/>
      <c r="D352" s="2"/>
      <c r="E352" s="2"/>
      <c r="F352" s="2"/>
      <c r="G352" s="7"/>
      <c r="H352" s="7"/>
      <c r="I352" s="7"/>
      <c r="J352" s="7"/>
      <c r="K352" s="7"/>
      <c r="L352" s="7"/>
      <c r="M352" s="7"/>
      <c r="N352" s="4"/>
      <c r="O352" s="4"/>
      <c r="P352" s="4"/>
      <c r="Q352" s="4"/>
      <c r="R352" s="4"/>
    </row>
    <row r="353">
      <c r="A353" s="1"/>
      <c r="B353" s="8"/>
      <c r="C353" s="2"/>
      <c r="D353" s="2"/>
      <c r="E353" s="2"/>
      <c r="F353" s="2"/>
      <c r="G353" s="7"/>
      <c r="H353" s="7"/>
      <c r="I353" s="7"/>
      <c r="J353" s="7"/>
      <c r="K353" s="7"/>
      <c r="L353" s="7"/>
      <c r="M353" s="7"/>
      <c r="N353" s="4"/>
      <c r="O353" s="4"/>
      <c r="P353" s="4"/>
      <c r="Q353" s="4"/>
      <c r="R353" s="4"/>
    </row>
    <row r="354">
      <c r="A354" s="1"/>
      <c r="B354" s="8"/>
      <c r="C354" s="2"/>
      <c r="D354" s="2"/>
      <c r="E354" s="2"/>
      <c r="F354" s="2"/>
      <c r="G354" s="7"/>
      <c r="H354" s="7"/>
      <c r="I354" s="7"/>
      <c r="J354" s="7"/>
      <c r="K354" s="7"/>
      <c r="L354" s="7"/>
      <c r="M354" s="7"/>
      <c r="N354" s="4"/>
      <c r="O354" s="4"/>
      <c r="P354" s="4"/>
      <c r="Q354" s="4"/>
      <c r="R354" s="4"/>
    </row>
    <row r="355">
      <c r="A355" s="1"/>
      <c r="B355" s="8"/>
      <c r="C355" s="2"/>
      <c r="D355" s="2"/>
      <c r="E355" s="2"/>
      <c r="F355" s="2"/>
      <c r="G355" s="7"/>
      <c r="H355" s="7"/>
      <c r="I355" s="7"/>
      <c r="J355" s="7"/>
      <c r="K355" s="7"/>
      <c r="L355" s="7"/>
      <c r="M355" s="7"/>
      <c r="N355" s="4"/>
      <c r="O355" s="4"/>
      <c r="P355" s="4"/>
      <c r="Q355" s="4"/>
      <c r="R355" s="4"/>
    </row>
    <row r="356">
      <c r="A356" s="1"/>
      <c r="B356" s="8"/>
      <c r="C356" s="2"/>
      <c r="D356" s="2"/>
      <c r="E356" s="2"/>
      <c r="F356" s="2"/>
      <c r="G356" s="7"/>
      <c r="H356" s="7"/>
      <c r="I356" s="7"/>
      <c r="J356" s="7"/>
      <c r="K356" s="7"/>
      <c r="L356" s="7"/>
      <c r="M356" s="7"/>
      <c r="N356" s="4"/>
      <c r="O356" s="4"/>
      <c r="P356" s="4"/>
      <c r="Q356" s="4"/>
      <c r="R356" s="4"/>
    </row>
    <row r="357">
      <c r="A357" s="1"/>
      <c r="B357" s="8"/>
      <c r="C357" s="2"/>
      <c r="D357" s="2"/>
      <c r="E357" s="2"/>
      <c r="F357" s="2"/>
      <c r="G357" s="7"/>
      <c r="H357" s="7"/>
      <c r="I357" s="7"/>
      <c r="J357" s="7"/>
      <c r="K357" s="7"/>
      <c r="L357" s="7"/>
      <c r="M357" s="7"/>
      <c r="N357" s="4"/>
      <c r="O357" s="4"/>
      <c r="P357" s="4"/>
      <c r="Q357" s="4"/>
      <c r="R357" s="4"/>
    </row>
    <row r="358">
      <c r="A358" s="1"/>
      <c r="B358" s="8"/>
      <c r="C358" s="2"/>
      <c r="D358" s="2"/>
      <c r="E358" s="2"/>
      <c r="F358" s="2"/>
      <c r="G358" s="7"/>
      <c r="H358" s="7"/>
      <c r="I358" s="7"/>
      <c r="J358" s="7"/>
      <c r="K358" s="7"/>
      <c r="L358" s="7"/>
      <c r="M358" s="7"/>
      <c r="N358" s="4"/>
      <c r="O358" s="4"/>
      <c r="P358" s="4"/>
      <c r="Q358" s="4"/>
      <c r="R358" s="4"/>
    </row>
    <row r="359">
      <c r="A359" s="1"/>
      <c r="B359" s="8"/>
      <c r="C359" s="2"/>
      <c r="D359" s="2"/>
      <c r="E359" s="2"/>
      <c r="F359" s="2"/>
      <c r="G359" s="7"/>
      <c r="H359" s="7"/>
      <c r="I359" s="7"/>
      <c r="J359" s="7"/>
      <c r="K359" s="7"/>
      <c r="L359" s="7"/>
      <c r="M359" s="7"/>
      <c r="N359" s="4"/>
      <c r="O359" s="4"/>
      <c r="P359" s="4"/>
      <c r="Q359" s="4"/>
      <c r="R359" s="4"/>
    </row>
    <row r="360">
      <c r="A360" s="1"/>
      <c r="B360" s="8"/>
      <c r="C360" s="2"/>
      <c r="D360" s="2"/>
      <c r="E360" s="2"/>
      <c r="F360" s="2"/>
      <c r="G360" s="7"/>
      <c r="H360" s="7"/>
      <c r="I360" s="7"/>
      <c r="J360" s="7"/>
      <c r="K360" s="7"/>
      <c r="L360" s="7"/>
      <c r="M360" s="7"/>
      <c r="N360" s="4"/>
      <c r="O360" s="4"/>
      <c r="P360" s="4"/>
      <c r="Q360" s="4"/>
      <c r="R360" s="4"/>
    </row>
    <row r="361">
      <c r="A361" s="1"/>
      <c r="B361" s="8"/>
      <c r="C361" s="2"/>
      <c r="D361" s="2"/>
      <c r="E361" s="2"/>
      <c r="F361" s="2"/>
      <c r="G361" s="7"/>
      <c r="H361" s="7"/>
      <c r="I361" s="7"/>
      <c r="J361" s="7"/>
      <c r="K361" s="7"/>
      <c r="L361" s="7"/>
      <c r="M361" s="7"/>
      <c r="N361" s="4"/>
      <c r="O361" s="4"/>
      <c r="P361" s="4"/>
      <c r="Q361" s="4"/>
      <c r="R361" s="4"/>
    </row>
    <row r="362">
      <c r="A362" s="1"/>
      <c r="B362" s="8"/>
      <c r="C362" s="2"/>
      <c r="D362" s="2"/>
      <c r="E362" s="2"/>
      <c r="F362" s="2"/>
      <c r="G362" s="7"/>
      <c r="H362" s="7"/>
      <c r="I362" s="7"/>
      <c r="J362" s="7"/>
      <c r="K362" s="7"/>
      <c r="L362" s="7"/>
      <c r="M362" s="7"/>
      <c r="N362" s="4"/>
      <c r="O362" s="4"/>
      <c r="P362" s="4"/>
      <c r="Q362" s="4"/>
      <c r="R362" s="4"/>
    </row>
    <row r="363">
      <c r="A363" s="1"/>
      <c r="B363" s="8"/>
      <c r="C363" s="2"/>
      <c r="D363" s="2"/>
      <c r="E363" s="2"/>
      <c r="F363" s="2"/>
      <c r="G363" s="7"/>
      <c r="H363" s="7"/>
      <c r="I363" s="7"/>
      <c r="J363" s="7"/>
      <c r="K363" s="7"/>
      <c r="L363" s="7"/>
      <c r="M363" s="7"/>
      <c r="N363" s="4"/>
      <c r="O363" s="4"/>
      <c r="P363" s="4"/>
      <c r="Q363" s="4"/>
      <c r="R363" s="4"/>
    </row>
    <row r="364">
      <c r="A364" s="1"/>
      <c r="B364" s="8"/>
      <c r="C364" s="2"/>
      <c r="D364" s="2"/>
      <c r="E364" s="2"/>
      <c r="F364" s="2"/>
      <c r="G364" s="7"/>
      <c r="H364" s="7"/>
      <c r="I364" s="7"/>
      <c r="J364" s="7"/>
      <c r="K364" s="7"/>
      <c r="L364" s="7"/>
      <c r="M364" s="7"/>
      <c r="N364" s="4"/>
      <c r="O364" s="4"/>
      <c r="P364" s="4"/>
      <c r="Q364" s="4"/>
      <c r="R364" s="4"/>
    </row>
    <row r="365">
      <c r="A365" s="1"/>
      <c r="B365" s="8"/>
      <c r="C365" s="2"/>
      <c r="D365" s="2"/>
      <c r="E365" s="2"/>
      <c r="F365" s="2"/>
      <c r="G365" s="7"/>
      <c r="H365" s="7"/>
      <c r="I365" s="7"/>
      <c r="J365" s="7"/>
      <c r="K365" s="7"/>
      <c r="L365" s="7"/>
      <c r="M365" s="7"/>
      <c r="N365" s="4"/>
      <c r="O365" s="4"/>
      <c r="P365" s="4"/>
      <c r="Q365" s="4"/>
      <c r="R365" s="4"/>
    </row>
    <row r="366">
      <c r="A366" s="1"/>
      <c r="B366" s="8"/>
      <c r="C366" s="2"/>
      <c r="D366" s="2"/>
      <c r="E366" s="2"/>
      <c r="F366" s="2"/>
      <c r="G366" s="7"/>
      <c r="H366" s="7"/>
      <c r="I366" s="7"/>
      <c r="J366" s="7"/>
      <c r="K366" s="7"/>
      <c r="L366" s="7"/>
      <c r="M366" s="7"/>
      <c r="N366" s="4"/>
      <c r="O366" s="4"/>
      <c r="P366" s="4"/>
      <c r="Q366" s="4"/>
      <c r="R366" s="4"/>
    </row>
    <row r="367">
      <c r="A367" s="1"/>
      <c r="B367" s="8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4"/>
      <c r="O367" s="4"/>
      <c r="P367" s="4"/>
      <c r="Q367" s="4"/>
      <c r="R367" s="4"/>
    </row>
    <row r="368">
      <c r="A368" s="1"/>
      <c r="B368" s="8"/>
      <c r="C368" s="2"/>
      <c r="D368" s="2"/>
      <c r="E368" s="2"/>
      <c r="F368" s="2"/>
      <c r="G368" s="7"/>
      <c r="H368" s="7"/>
      <c r="I368" s="7"/>
      <c r="J368" s="7"/>
      <c r="K368" s="7"/>
      <c r="L368" s="7"/>
      <c r="M368" s="7"/>
      <c r="N368" s="4"/>
      <c r="O368" s="4"/>
      <c r="P368" s="4"/>
      <c r="Q368" s="4"/>
      <c r="R368" s="4"/>
    </row>
    <row r="369">
      <c r="A369" s="1"/>
      <c r="B369" s="8"/>
      <c r="C369" s="2"/>
      <c r="D369" s="2"/>
      <c r="E369" s="2"/>
      <c r="F369" s="2"/>
      <c r="G369" s="7"/>
      <c r="H369" s="7"/>
      <c r="I369" s="7"/>
      <c r="J369" s="7"/>
      <c r="K369" s="7"/>
      <c r="L369" s="7"/>
      <c r="M369" s="7"/>
      <c r="N369" s="4"/>
      <c r="O369" s="4"/>
      <c r="P369" s="4"/>
      <c r="Q369" s="4"/>
      <c r="R369" s="4"/>
    </row>
    <row r="370">
      <c r="A370" s="1"/>
      <c r="B370" s="8"/>
      <c r="C370" s="2"/>
      <c r="D370" s="2"/>
      <c r="E370" s="2"/>
      <c r="F370" s="2"/>
      <c r="G370" s="7"/>
      <c r="H370" s="7"/>
      <c r="I370" s="7"/>
      <c r="J370" s="7"/>
      <c r="K370" s="7"/>
      <c r="L370" s="7"/>
      <c r="M370" s="7"/>
      <c r="N370" s="4"/>
      <c r="O370" s="4"/>
      <c r="P370" s="4"/>
      <c r="Q370" s="4"/>
      <c r="R370" s="4"/>
    </row>
    <row r="371">
      <c r="A371" s="1"/>
      <c r="B371" s="8"/>
      <c r="C371" s="2"/>
      <c r="D371" s="2"/>
      <c r="E371" s="2"/>
      <c r="F371" s="2"/>
      <c r="G371" s="7"/>
      <c r="H371" s="7"/>
      <c r="I371" s="7"/>
      <c r="J371" s="7"/>
      <c r="K371" s="7"/>
      <c r="L371" s="7"/>
      <c r="M371" s="7"/>
      <c r="N371" s="4"/>
      <c r="O371" s="4"/>
      <c r="P371" s="4"/>
      <c r="Q371" s="4"/>
      <c r="R371" s="4"/>
    </row>
    <row r="372">
      <c r="A372" s="1"/>
      <c r="B372" s="8"/>
      <c r="C372" s="2"/>
      <c r="D372" s="2"/>
      <c r="E372" s="2"/>
      <c r="F372" s="2"/>
      <c r="G372" s="7"/>
      <c r="H372" s="7"/>
      <c r="I372" s="7"/>
      <c r="J372" s="7"/>
      <c r="K372" s="7"/>
      <c r="L372" s="7"/>
      <c r="M372" s="7"/>
      <c r="N372" s="4"/>
      <c r="O372" s="4"/>
      <c r="P372" s="4"/>
      <c r="Q372" s="4"/>
      <c r="R372" s="4"/>
    </row>
    <row r="373">
      <c r="A373" s="1"/>
      <c r="B373" s="8"/>
      <c r="C373" s="2"/>
      <c r="D373" s="2"/>
      <c r="E373" s="2"/>
      <c r="F373" s="2"/>
      <c r="G373" s="7"/>
      <c r="H373" s="7"/>
      <c r="I373" s="7"/>
      <c r="J373" s="7"/>
      <c r="K373" s="7"/>
      <c r="L373" s="7"/>
      <c r="M373" s="7"/>
      <c r="N373" s="4"/>
      <c r="O373" s="4"/>
      <c r="P373" s="4"/>
      <c r="Q373" s="4"/>
      <c r="R373" s="4"/>
    </row>
    <row r="374">
      <c r="A374" s="1"/>
      <c r="B374" s="8"/>
      <c r="C374" s="2"/>
      <c r="D374" s="2"/>
      <c r="E374" s="2"/>
      <c r="F374" s="2"/>
      <c r="G374" s="7"/>
      <c r="H374" s="7"/>
      <c r="I374" s="7"/>
      <c r="J374" s="7"/>
      <c r="K374" s="7"/>
      <c r="L374" s="7"/>
      <c r="M374" s="7"/>
      <c r="N374" s="4"/>
      <c r="O374" s="4"/>
      <c r="P374" s="4"/>
      <c r="Q374" s="4"/>
      <c r="R374" s="4"/>
    </row>
    <row r="375">
      <c r="A375" s="1"/>
      <c r="B375" s="8"/>
      <c r="C375" s="2"/>
      <c r="D375" s="2"/>
      <c r="E375" s="2"/>
      <c r="F375" s="2"/>
      <c r="G375" s="7"/>
      <c r="H375" s="7"/>
      <c r="I375" s="7"/>
      <c r="J375" s="7"/>
      <c r="K375" s="7"/>
      <c r="L375" s="7"/>
      <c r="M375" s="7"/>
      <c r="N375" s="4"/>
      <c r="O375" s="4"/>
      <c r="P375" s="4"/>
      <c r="Q375" s="4"/>
      <c r="R375" s="4"/>
    </row>
    <row r="376">
      <c r="A376" s="1"/>
      <c r="B376" s="8"/>
      <c r="C376" s="2"/>
      <c r="D376" s="2"/>
      <c r="E376" s="2"/>
      <c r="F376" s="2"/>
      <c r="G376" s="7"/>
      <c r="H376" s="7"/>
      <c r="I376" s="7"/>
      <c r="J376" s="7"/>
      <c r="K376" s="7"/>
      <c r="L376" s="7"/>
      <c r="M376" s="7"/>
      <c r="N376" s="4"/>
      <c r="O376" s="4"/>
      <c r="P376" s="4"/>
      <c r="Q376" s="4"/>
      <c r="R376" s="4"/>
    </row>
    <row r="377">
      <c r="A377" s="1"/>
      <c r="B377" s="8"/>
      <c r="C377" s="2"/>
      <c r="D377" s="2"/>
      <c r="E377" s="2"/>
      <c r="F377" s="2"/>
      <c r="G377" s="7"/>
      <c r="H377" s="7"/>
      <c r="I377" s="7"/>
      <c r="J377" s="7"/>
      <c r="K377" s="7"/>
      <c r="L377" s="7"/>
      <c r="M377" s="7"/>
      <c r="N377" s="4"/>
      <c r="O377" s="4"/>
      <c r="P377" s="4"/>
      <c r="Q377" s="4"/>
      <c r="R377" s="4"/>
    </row>
    <row r="378">
      <c r="A378" s="1"/>
      <c r="B378" s="8"/>
      <c r="C378" s="2"/>
      <c r="D378" s="2"/>
      <c r="E378" s="2"/>
      <c r="F378" s="2"/>
      <c r="G378" s="7"/>
      <c r="H378" s="7"/>
      <c r="I378" s="7"/>
      <c r="J378" s="7"/>
      <c r="K378" s="7"/>
      <c r="L378" s="7"/>
      <c r="M378" s="7"/>
      <c r="N378" s="4"/>
      <c r="O378" s="4"/>
      <c r="P378" s="4"/>
      <c r="Q378" s="4"/>
      <c r="R378" s="4"/>
    </row>
    <row r="379">
      <c r="A379" s="1"/>
      <c r="B379" s="8"/>
      <c r="C379" s="2"/>
      <c r="D379" s="2"/>
      <c r="E379" s="2"/>
      <c r="F379" s="2"/>
      <c r="G379" s="7"/>
      <c r="H379" s="7"/>
      <c r="I379" s="7"/>
      <c r="J379" s="7"/>
      <c r="K379" s="7"/>
      <c r="L379" s="7"/>
      <c r="M379" s="7"/>
      <c r="N379" s="4"/>
      <c r="O379" s="4"/>
      <c r="P379" s="4"/>
      <c r="Q379" s="4"/>
      <c r="R379" s="4"/>
    </row>
    <row r="380">
      <c r="A380" s="1"/>
      <c r="B380" s="8"/>
      <c r="C380" s="2"/>
      <c r="D380" s="2"/>
      <c r="E380" s="2"/>
      <c r="F380" s="2"/>
      <c r="G380" s="7"/>
      <c r="H380" s="7"/>
      <c r="I380" s="7"/>
      <c r="J380" s="7"/>
      <c r="K380" s="7"/>
      <c r="L380" s="7"/>
      <c r="M380" s="7"/>
      <c r="N380" s="4"/>
      <c r="O380" s="4"/>
      <c r="P380" s="4"/>
      <c r="Q380" s="4"/>
      <c r="R380" s="4"/>
    </row>
    <row r="381">
      <c r="A381" s="1"/>
      <c r="B381" s="8"/>
      <c r="C381" s="2"/>
      <c r="D381" s="2"/>
      <c r="E381" s="2"/>
      <c r="F381" s="2"/>
      <c r="G381" s="7"/>
      <c r="H381" s="7"/>
      <c r="I381" s="7"/>
      <c r="J381" s="7"/>
      <c r="K381" s="7"/>
      <c r="L381" s="7"/>
      <c r="M381" s="7"/>
      <c r="N381" s="4"/>
      <c r="O381" s="4"/>
      <c r="P381" s="4"/>
      <c r="Q381" s="4"/>
      <c r="R381" s="4"/>
    </row>
    <row r="382">
      <c r="A382" s="1"/>
      <c r="B382" s="8"/>
      <c r="C382" s="2"/>
      <c r="D382" s="2"/>
      <c r="E382" s="2"/>
      <c r="F382" s="2"/>
      <c r="G382" s="7"/>
      <c r="H382" s="7"/>
      <c r="I382" s="7"/>
      <c r="J382" s="7"/>
      <c r="K382" s="7"/>
      <c r="L382" s="7"/>
      <c r="M382" s="7"/>
      <c r="N382" s="4"/>
      <c r="O382" s="4"/>
      <c r="P382" s="4"/>
      <c r="Q382" s="4"/>
      <c r="R382" s="4"/>
    </row>
    <row r="383">
      <c r="A383" s="1"/>
      <c r="B383" s="8"/>
      <c r="C383" s="2"/>
      <c r="D383" s="2"/>
      <c r="E383" s="2"/>
      <c r="F383" s="2"/>
      <c r="G383" s="7"/>
      <c r="H383" s="7"/>
      <c r="I383" s="7"/>
      <c r="J383" s="7"/>
      <c r="K383" s="7"/>
      <c r="L383" s="7"/>
      <c r="M383" s="7"/>
      <c r="N383" s="4"/>
      <c r="O383" s="4"/>
      <c r="P383" s="4"/>
      <c r="Q383" s="4"/>
      <c r="R383" s="4"/>
    </row>
    <row r="384">
      <c r="A384" s="1"/>
      <c r="B384" s="8"/>
      <c r="C384" s="2"/>
      <c r="D384" s="2"/>
      <c r="E384" s="2"/>
      <c r="F384" s="2"/>
      <c r="G384" s="7"/>
      <c r="H384" s="7"/>
      <c r="I384" s="7"/>
      <c r="J384" s="7"/>
      <c r="K384" s="7"/>
      <c r="L384" s="7"/>
      <c r="M384" s="7"/>
      <c r="N384" s="4"/>
      <c r="O384" s="4"/>
      <c r="P384" s="4"/>
      <c r="Q384" s="4"/>
      <c r="R384" s="4"/>
    </row>
    <row r="385">
      <c r="A385" s="1"/>
      <c r="B385" s="8"/>
      <c r="C385" s="2"/>
      <c r="D385" s="2"/>
      <c r="E385" s="2"/>
      <c r="F385" s="2"/>
      <c r="G385" s="7"/>
      <c r="H385" s="7"/>
      <c r="I385" s="7"/>
      <c r="J385" s="7"/>
      <c r="K385" s="7"/>
      <c r="L385" s="7"/>
      <c r="M385" s="7"/>
      <c r="N385" s="4"/>
      <c r="O385" s="4"/>
      <c r="P385" s="4"/>
      <c r="Q385" s="4"/>
      <c r="R385" s="4"/>
    </row>
    <row r="386">
      <c r="A386" s="1"/>
      <c r="B386" s="8"/>
      <c r="C386" s="2"/>
      <c r="D386" s="2"/>
      <c r="E386" s="2"/>
      <c r="F386" s="2"/>
      <c r="G386" s="7"/>
      <c r="H386" s="7"/>
      <c r="I386" s="7"/>
      <c r="J386" s="7"/>
      <c r="K386" s="7"/>
      <c r="L386" s="7"/>
      <c r="M386" s="7"/>
      <c r="N386" s="4"/>
      <c r="O386" s="4"/>
      <c r="P386" s="4"/>
      <c r="Q386" s="4"/>
      <c r="R386" s="4"/>
    </row>
    <row r="387">
      <c r="A387" s="1"/>
      <c r="B387" s="8"/>
      <c r="C387" s="2"/>
      <c r="D387" s="2"/>
      <c r="E387" s="2"/>
      <c r="F387" s="2"/>
      <c r="G387" s="7"/>
      <c r="H387" s="7"/>
      <c r="I387" s="7"/>
      <c r="J387" s="7"/>
      <c r="K387" s="7"/>
      <c r="L387" s="7"/>
      <c r="M387" s="7"/>
      <c r="N387" s="4"/>
      <c r="O387" s="4"/>
      <c r="P387" s="4"/>
      <c r="Q387" s="4"/>
      <c r="R387" s="4"/>
    </row>
    <row r="388">
      <c r="A388" s="1"/>
      <c r="B388" s="8"/>
      <c r="C388" s="2"/>
      <c r="D388" s="2"/>
      <c r="E388" s="2"/>
      <c r="F388" s="2"/>
      <c r="G388" s="7"/>
      <c r="H388" s="7"/>
      <c r="I388" s="7"/>
      <c r="J388" s="7"/>
      <c r="K388" s="7"/>
      <c r="L388" s="7"/>
      <c r="M388" s="7"/>
      <c r="N388" s="4"/>
      <c r="O388" s="4"/>
      <c r="P388" s="4"/>
      <c r="Q388" s="4"/>
      <c r="R388" s="4"/>
    </row>
    <row r="389">
      <c r="A389" s="1"/>
      <c r="B389" s="8"/>
      <c r="C389" s="2"/>
      <c r="D389" s="2"/>
      <c r="E389" s="2"/>
      <c r="F389" s="2"/>
      <c r="G389" s="7"/>
      <c r="H389" s="7"/>
      <c r="I389" s="7"/>
      <c r="J389" s="7"/>
      <c r="K389" s="7"/>
      <c r="L389" s="7"/>
      <c r="M389" s="7"/>
      <c r="N389" s="4"/>
      <c r="O389" s="4"/>
      <c r="P389" s="4"/>
      <c r="Q389" s="4"/>
      <c r="R389" s="4"/>
    </row>
    <row r="390">
      <c r="A390" s="1"/>
      <c r="B390" s="8"/>
      <c r="C390" s="2"/>
      <c r="D390" s="2"/>
      <c r="E390" s="2"/>
      <c r="F390" s="2"/>
      <c r="G390" s="7"/>
      <c r="H390" s="7"/>
      <c r="I390" s="7"/>
      <c r="J390" s="7"/>
      <c r="K390" s="7"/>
      <c r="L390" s="7"/>
      <c r="M390" s="7"/>
      <c r="N390" s="4"/>
      <c r="O390" s="4"/>
      <c r="P390" s="4"/>
      <c r="Q390" s="4"/>
      <c r="R390" s="4"/>
    </row>
    <row r="391">
      <c r="A391" s="1"/>
      <c r="B391" s="8"/>
      <c r="C391" s="2"/>
      <c r="D391" s="2"/>
      <c r="E391" s="2"/>
      <c r="F391" s="2"/>
      <c r="G391" s="7"/>
      <c r="H391" s="7"/>
      <c r="I391" s="7"/>
      <c r="J391" s="7"/>
      <c r="K391" s="7"/>
      <c r="L391" s="7"/>
      <c r="M391" s="7"/>
      <c r="N391" s="4"/>
      <c r="O391" s="4"/>
      <c r="P391" s="4"/>
      <c r="Q391" s="4"/>
      <c r="R391" s="4"/>
    </row>
    <row r="392">
      <c r="A392" s="1"/>
      <c r="B392" s="8"/>
      <c r="C392" s="2"/>
      <c r="D392" s="2"/>
      <c r="E392" s="2"/>
      <c r="F392" s="2"/>
      <c r="G392" s="7"/>
      <c r="H392" s="7"/>
      <c r="I392" s="7"/>
      <c r="J392" s="7"/>
      <c r="K392" s="7"/>
      <c r="L392" s="7"/>
      <c r="M392" s="7"/>
      <c r="N392" s="4"/>
      <c r="O392" s="4"/>
      <c r="P392" s="4"/>
      <c r="Q392" s="4"/>
      <c r="R392" s="4"/>
    </row>
    <row r="393">
      <c r="A393" s="1"/>
      <c r="B393" s="8"/>
      <c r="C393" s="2"/>
      <c r="D393" s="2"/>
      <c r="E393" s="2"/>
      <c r="F393" s="2"/>
      <c r="G393" s="7"/>
      <c r="H393" s="7"/>
      <c r="I393" s="7"/>
      <c r="J393" s="7"/>
      <c r="K393" s="7"/>
      <c r="L393" s="7"/>
      <c r="M393" s="7"/>
      <c r="N393" s="4"/>
      <c r="O393" s="4"/>
      <c r="P393" s="4"/>
      <c r="Q393" s="4"/>
      <c r="R393" s="4"/>
    </row>
    <row r="394">
      <c r="A394" s="1"/>
      <c r="B394" s="8"/>
      <c r="C394" s="2"/>
      <c r="D394" s="2"/>
      <c r="E394" s="2"/>
      <c r="F394" s="2"/>
      <c r="G394" s="7"/>
      <c r="H394" s="7"/>
      <c r="I394" s="7"/>
      <c r="J394" s="7"/>
      <c r="K394" s="7"/>
      <c r="L394" s="7"/>
      <c r="M394" s="7"/>
      <c r="N394" s="4"/>
      <c r="O394" s="4"/>
      <c r="P394" s="4"/>
      <c r="Q394" s="4"/>
      <c r="R394" s="4"/>
    </row>
    <row r="395">
      <c r="A395" s="1"/>
      <c r="B395" s="8"/>
      <c r="C395" s="2"/>
      <c r="D395" s="2"/>
      <c r="E395" s="2"/>
      <c r="F395" s="2"/>
      <c r="G395" s="7"/>
      <c r="H395" s="7"/>
      <c r="I395" s="7"/>
      <c r="J395" s="7"/>
      <c r="K395" s="7"/>
      <c r="L395" s="7"/>
      <c r="M395" s="7"/>
      <c r="N395" s="4"/>
      <c r="O395" s="4"/>
      <c r="P395" s="4"/>
      <c r="Q395" s="4"/>
      <c r="R395" s="4"/>
    </row>
    <row r="396">
      <c r="A396" s="1"/>
      <c r="B396" s="8"/>
      <c r="C396" s="2"/>
      <c r="D396" s="2"/>
      <c r="E396" s="2"/>
      <c r="F396" s="2"/>
      <c r="G396" s="7"/>
      <c r="H396" s="7"/>
      <c r="I396" s="7"/>
      <c r="J396" s="7"/>
      <c r="K396" s="7"/>
      <c r="L396" s="7"/>
      <c r="M396" s="7"/>
      <c r="N396" s="4"/>
      <c r="O396" s="4"/>
      <c r="P396" s="4"/>
      <c r="Q396" s="4"/>
      <c r="R396" s="4"/>
    </row>
    <row r="397">
      <c r="A397" s="1"/>
      <c r="B397" s="8"/>
      <c r="C397" s="2"/>
      <c r="D397" s="2"/>
      <c r="E397" s="2"/>
      <c r="F397" s="2"/>
      <c r="G397" s="7"/>
      <c r="H397" s="7"/>
      <c r="I397" s="7"/>
      <c r="J397" s="7"/>
      <c r="K397" s="7"/>
      <c r="L397" s="7"/>
      <c r="M397" s="7"/>
      <c r="N397" s="4"/>
      <c r="O397" s="4"/>
      <c r="P397" s="4"/>
      <c r="Q397" s="4"/>
      <c r="R397" s="4"/>
    </row>
    <row r="398">
      <c r="A398" s="1"/>
      <c r="B398" s="8"/>
      <c r="C398" s="2"/>
      <c r="D398" s="2"/>
      <c r="E398" s="2"/>
      <c r="F398" s="2"/>
      <c r="G398" s="7"/>
      <c r="H398" s="7"/>
      <c r="I398" s="7"/>
      <c r="J398" s="7"/>
      <c r="K398" s="7"/>
      <c r="L398" s="7"/>
      <c r="M398" s="7"/>
      <c r="N398" s="4"/>
      <c r="O398" s="4"/>
      <c r="P398" s="4"/>
      <c r="Q398" s="4"/>
      <c r="R398" s="4"/>
    </row>
    <row r="399">
      <c r="A399" s="1"/>
      <c r="B399" s="8"/>
      <c r="C399" s="2"/>
      <c r="D399" s="2"/>
      <c r="E399" s="2"/>
      <c r="F399" s="2"/>
      <c r="G399" s="7"/>
      <c r="H399" s="7"/>
      <c r="I399" s="7"/>
      <c r="J399" s="7"/>
      <c r="K399" s="7"/>
      <c r="L399" s="7"/>
      <c r="M399" s="7"/>
      <c r="N399" s="4"/>
      <c r="O399" s="4"/>
      <c r="P399" s="4"/>
      <c r="Q399" s="4"/>
      <c r="R399" s="4"/>
    </row>
    <row r="400">
      <c r="A400" s="1"/>
      <c r="B400" s="8"/>
      <c r="C400" s="2"/>
      <c r="D400" s="2"/>
      <c r="E400" s="2"/>
      <c r="F400" s="2"/>
      <c r="G400" s="7"/>
      <c r="H400" s="7"/>
      <c r="I400" s="7"/>
      <c r="J400" s="7"/>
      <c r="K400" s="7"/>
      <c r="L400" s="7"/>
      <c r="M400" s="7"/>
      <c r="N400" s="4"/>
      <c r="O400" s="4"/>
      <c r="P400" s="4"/>
      <c r="Q400" s="4"/>
      <c r="R400" s="4"/>
    </row>
    <row r="401">
      <c r="A401" s="1"/>
      <c r="B401" s="8"/>
      <c r="C401" s="2"/>
      <c r="D401" s="2"/>
      <c r="E401" s="2"/>
      <c r="F401" s="2"/>
      <c r="G401" s="7"/>
      <c r="H401" s="7"/>
      <c r="I401" s="7"/>
      <c r="J401" s="7"/>
      <c r="K401" s="7"/>
      <c r="L401" s="7"/>
      <c r="M401" s="7"/>
      <c r="N401" s="4"/>
      <c r="O401" s="4"/>
      <c r="P401" s="4"/>
      <c r="Q401" s="4"/>
      <c r="R401" s="4"/>
    </row>
    <row r="402">
      <c r="A402" s="1"/>
      <c r="B402" s="8"/>
      <c r="C402" s="2"/>
      <c r="D402" s="2"/>
      <c r="E402" s="2"/>
      <c r="F402" s="2"/>
      <c r="G402" s="7"/>
      <c r="H402" s="7"/>
      <c r="I402" s="7"/>
      <c r="J402" s="7"/>
      <c r="K402" s="7"/>
      <c r="L402" s="7"/>
      <c r="M402" s="7"/>
      <c r="N402" s="4"/>
      <c r="O402" s="4"/>
      <c r="P402" s="4"/>
      <c r="Q402" s="4"/>
      <c r="R402" s="4"/>
    </row>
    <row r="403">
      <c r="A403" s="1"/>
      <c r="B403" s="8"/>
      <c r="C403" s="2"/>
      <c r="D403" s="2"/>
      <c r="E403" s="2"/>
      <c r="F403" s="2"/>
      <c r="G403" s="7"/>
      <c r="H403" s="7"/>
      <c r="I403" s="7"/>
      <c r="J403" s="7"/>
      <c r="K403" s="7"/>
      <c r="L403" s="7"/>
      <c r="M403" s="7"/>
      <c r="N403" s="4"/>
      <c r="O403" s="4"/>
      <c r="P403" s="4"/>
      <c r="Q403" s="4"/>
      <c r="R403" s="4"/>
    </row>
    <row r="404">
      <c r="A404" s="1"/>
      <c r="B404" s="8"/>
      <c r="C404" s="2"/>
      <c r="D404" s="2"/>
      <c r="E404" s="2"/>
      <c r="F404" s="2"/>
      <c r="G404" s="7"/>
      <c r="H404" s="7"/>
      <c r="I404" s="7"/>
      <c r="J404" s="7"/>
      <c r="K404" s="7"/>
      <c r="L404" s="7"/>
      <c r="M404" s="7"/>
      <c r="N404" s="4"/>
      <c r="O404" s="4"/>
      <c r="P404" s="4"/>
      <c r="Q404" s="4"/>
      <c r="R404" s="4"/>
    </row>
    <row r="405">
      <c r="A405" s="1"/>
      <c r="B405" s="8"/>
      <c r="C405" s="2"/>
      <c r="D405" s="2"/>
      <c r="E405" s="2"/>
      <c r="F405" s="2"/>
      <c r="G405" s="7"/>
      <c r="H405" s="7"/>
      <c r="I405" s="7"/>
      <c r="J405" s="7"/>
      <c r="K405" s="7"/>
      <c r="L405" s="7"/>
      <c r="M405" s="7"/>
      <c r="N405" s="4"/>
      <c r="O405" s="4"/>
      <c r="P405" s="4"/>
      <c r="Q405" s="4"/>
      <c r="R405" s="4"/>
    </row>
    <row r="406">
      <c r="A406" s="1"/>
      <c r="B406" s="8"/>
      <c r="C406" s="2"/>
      <c r="D406" s="2"/>
      <c r="E406" s="2"/>
      <c r="F406" s="2"/>
      <c r="G406" s="7"/>
      <c r="H406" s="7"/>
      <c r="I406" s="7"/>
      <c r="J406" s="7"/>
      <c r="K406" s="7"/>
      <c r="L406" s="7"/>
      <c r="M406" s="7"/>
      <c r="N406" s="4"/>
      <c r="O406" s="4"/>
      <c r="P406" s="4"/>
      <c r="Q406" s="4"/>
      <c r="R406" s="4"/>
    </row>
    <row r="407">
      <c r="A407" s="1"/>
      <c r="B407" s="8"/>
      <c r="C407" s="2"/>
      <c r="D407" s="2"/>
      <c r="E407" s="2"/>
      <c r="F407" s="2"/>
      <c r="G407" s="7"/>
      <c r="H407" s="7"/>
      <c r="I407" s="7"/>
      <c r="J407" s="7"/>
      <c r="K407" s="7"/>
      <c r="L407" s="7"/>
      <c r="M407" s="7"/>
      <c r="N407" s="4"/>
      <c r="O407" s="4"/>
      <c r="P407" s="4"/>
      <c r="Q407" s="4"/>
      <c r="R407" s="4"/>
    </row>
    <row r="408">
      <c r="A408" s="1"/>
      <c r="B408" s="8"/>
      <c r="C408" s="2"/>
      <c r="D408" s="2"/>
      <c r="E408" s="2"/>
      <c r="F408" s="2"/>
      <c r="G408" s="7"/>
      <c r="H408" s="7"/>
      <c r="I408" s="7"/>
      <c r="J408" s="7"/>
      <c r="K408" s="7"/>
      <c r="L408" s="7"/>
      <c r="M408" s="7"/>
      <c r="N408" s="4"/>
      <c r="O408" s="4"/>
      <c r="P408" s="4"/>
      <c r="Q408" s="4"/>
      <c r="R408" s="4"/>
    </row>
    <row r="409">
      <c r="A409" s="1"/>
      <c r="B409" s="8"/>
      <c r="C409" s="2"/>
      <c r="D409" s="2"/>
      <c r="E409" s="2"/>
      <c r="F409" s="2"/>
      <c r="G409" s="7"/>
      <c r="H409" s="7"/>
      <c r="I409" s="7"/>
      <c r="J409" s="7"/>
      <c r="K409" s="7"/>
      <c r="L409" s="7"/>
      <c r="M409" s="7"/>
      <c r="N409" s="4"/>
      <c r="O409" s="4"/>
      <c r="P409" s="4"/>
      <c r="Q409" s="4"/>
      <c r="R409" s="4"/>
    </row>
    <row r="410">
      <c r="A410" s="1"/>
      <c r="B410" s="8"/>
      <c r="C410" s="2"/>
      <c r="D410" s="2"/>
      <c r="E410" s="2"/>
      <c r="F410" s="2"/>
      <c r="G410" s="7"/>
      <c r="H410" s="7"/>
      <c r="I410" s="7"/>
      <c r="J410" s="7"/>
      <c r="K410" s="7"/>
      <c r="L410" s="7"/>
      <c r="M410" s="7"/>
      <c r="N410" s="4"/>
      <c r="O410" s="4"/>
      <c r="P410" s="4"/>
      <c r="Q410" s="4"/>
      <c r="R410" s="4"/>
    </row>
    <row r="411">
      <c r="A411" s="1"/>
      <c r="B411" s="8"/>
      <c r="C411" s="2"/>
      <c r="D411" s="2"/>
      <c r="E411" s="2"/>
      <c r="F411" s="2"/>
      <c r="G411" s="7"/>
      <c r="H411" s="7"/>
      <c r="I411" s="7"/>
      <c r="J411" s="7"/>
      <c r="K411" s="7"/>
      <c r="L411" s="7"/>
      <c r="M411" s="7"/>
      <c r="N411" s="4"/>
      <c r="O411" s="4"/>
      <c r="P411" s="4"/>
      <c r="Q411" s="4"/>
      <c r="R411" s="4"/>
    </row>
    <row r="412">
      <c r="A412" s="1"/>
      <c r="B412" s="8"/>
      <c r="C412" s="2"/>
      <c r="D412" s="2"/>
      <c r="E412" s="2"/>
      <c r="F412" s="2"/>
      <c r="G412" s="7"/>
      <c r="H412" s="7"/>
      <c r="I412" s="7"/>
      <c r="J412" s="7"/>
      <c r="K412" s="7"/>
      <c r="L412" s="7"/>
      <c r="M412" s="7"/>
      <c r="N412" s="4"/>
      <c r="O412" s="4"/>
      <c r="P412" s="4"/>
      <c r="Q412" s="4"/>
      <c r="R412" s="4"/>
    </row>
    <row r="413">
      <c r="A413" s="1"/>
      <c r="B413" s="8"/>
      <c r="C413" s="2"/>
      <c r="D413" s="2"/>
      <c r="E413" s="2"/>
      <c r="F413" s="2"/>
      <c r="G413" s="7"/>
      <c r="H413" s="7"/>
      <c r="I413" s="7"/>
      <c r="J413" s="7"/>
      <c r="K413" s="7"/>
      <c r="L413" s="7"/>
      <c r="M413" s="7"/>
      <c r="N413" s="4"/>
      <c r="O413" s="4"/>
      <c r="P413" s="4"/>
      <c r="Q413" s="4"/>
      <c r="R413" s="4"/>
    </row>
    <row r="414">
      <c r="A414" s="1"/>
      <c r="B414" s="8"/>
      <c r="C414" s="2"/>
      <c r="D414" s="2"/>
      <c r="E414" s="2"/>
      <c r="F414" s="2"/>
      <c r="G414" s="7"/>
      <c r="H414" s="7"/>
      <c r="I414" s="7"/>
      <c r="J414" s="7"/>
      <c r="K414" s="7"/>
      <c r="L414" s="7"/>
      <c r="M414" s="7"/>
      <c r="N414" s="4"/>
      <c r="O414" s="4"/>
      <c r="P414" s="4"/>
      <c r="Q414" s="4"/>
      <c r="R414" s="4"/>
    </row>
    <row r="415">
      <c r="A415" s="1"/>
      <c r="B415" s="8"/>
      <c r="C415" s="2"/>
      <c r="D415" s="2"/>
      <c r="E415" s="2"/>
      <c r="F415" s="2"/>
      <c r="G415" s="7"/>
      <c r="H415" s="7"/>
      <c r="I415" s="7"/>
      <c r="J415" s="7"/>
      <c r="K415" s="7"/>
      <c r="L415" s="7"/>
      <c r="M415" s="7"/>
      <c r="N415" s="4"/>
      <c r="O415" s="4"/>
      <c r="P415" s="4"/>
      <c r="Q415" s="4"/>
      <c r="R415" s="4"/>
    </row>
    <row r="416">
      <c r="A416" s="1"/>
      <c r="B416" s="8"/>
      <c r="C416" s="2"/>
      <c r="D416" s="2"/>
      <c r="E416" s="2"/>
      <c r="F416" s="2"/>
      <c r="G416" s="7"/>
      <c r="H416" s="7"/>
      <c r="I416" s="7"/>
      <c r="J416" s="7"/>
      <c r="K416" s="7"/>
      <c r="L416" s="7"/>
      <c r="M416" s="7"/>
      <c r="N416" s="4"/>
      <c r="O416" s="4"/>
      <c r="P416" s="4"/>
      <c r="Q416" s="4"/>
      <c r="R416" s="4"/>
    </row>
    <row r="417">
      <c r="A417" s="1"/>
      <c r="B417" s="8"/>
      <c r="C417" s="2"/>
      <c r="D417" s="2"/>
      <c r="E417" s="2"/>
      <c r="F417" s="2"/>
      <c r="G417" s="7"/>
      <c r="H417" s="7"/>
      <c r="I417" s="7"/>
      <c r="J417" s="7"/>
      <c r="K417" s="7"/>
      <c r="L417" s="7"/>
      <c r="M417" s="7"/>
      <c r="N417" s="4"/>
      <c r="O417" s="4"/>
      <c r="P417" s="4"/>
      <c r="Q417" s="4"/>
      <c r="R417" s="4"/>
    </row>
    <row r="418">
      <c r="A418" s="1"/>
      <c r="B418" s="8"/>
      <c r="C418" s="2"/>
      <c r="D418" s="2"/>
      <c r="E418" s="2"/>
      <c r="F418" s="2"/>
      <c r="G418" s="7"/>
      <c r="H418" s="7"/>
      <c r="I418" s="7"/>
      <c r="J418" s="7"/>
      <c r="K418" s="7"/>
      <c r="L418" s="7"/>
      <c r="M418" s="7"/>
      <c r="N418" s="4"/>
      <c r="O418" s="4"/>
      <c r="P418" s="4"/>
      <c r="Q418" s="4"/>
      <c r="R418" s="4"/>
    </row>
    <row r="419">
      <c r="A419" s="1"/>
      <c r="B419" s="8"/>
      <c r="C419" s="2"/>
      <c r="D419" s="2"/>
      <c r="E419" s="2"/>
      <c r="F419" s="2"/>
      <c r="G419" s="7"/>
      <c r="H419" s="7"/>
      <c r="I419" s="7"/>
      <c r="J419" s="7"/>
      <c r="K419" s="7"/>
      <c r="L419" s="7"/>
      <c r="M419" s="7"/>
      <c r="N419" s="4"/>
      <c r="O419" s="4"/>
      <c r="P419" s="4"/>
      <c r="Q419" s="4"/>
      <c r="R419" s="4"/>
    </row>
    <row r="420">
      <c r="A420" s="1"/>
      <c r="B420" s="8"/>
      <c r="C420" s="2"/>
      <c r="D420" s="2"/>
      <c r="E420" s="2"/>
      <c r="F420" s="2"/>
      <c r="G420" s="7"/>
      <c r="H420" s="7"/>
      <c r="I420" s="7"/>
      <c r="J420" s="7"/>
      <c r="K420" s="7"/>
      <c r="L420" s="7"/>
      <c r="M420" s="7"/>
      <c r="N420" s="4"/>
      <c r="O420" s="4"/>
      <c r="P420" s="4"/>
      <c r="Q420" s="4"/>
      <c r="R420" s="4"/>
    </row>
    <row r="421">
      <c r="A421" s="1"/>
      <c r="B421" s="8"/>
      <c r="C421" s="2"/>
      <c r="D421" s="2"/>
      <c r="E421" s="2"/>
      <c r="F421" s="2"/>
      <c r="G421" s="7"/>
      <c r="H421" s="7"/>
      <c r="I421" s="7"/>
      <c r="J421" s="7"/>
      <c r="K421" s="7"/>
      <c r="L421" s="7"/>
      <c r="M421" s="7"/>
      <c r="N421" s="4"/>
      <c r="O421" s="4"/>
      <c r="P421" s="4"/>
      <c r="Q421" s="4"/>
      <c r="R421" s="4"/>
    </row>
    <row r="422">
      <c r="A422" s="1"/>
      <c r="B422" s="8"/>
      <c r="C422" s="2"/>
      <c r="D422" s="2"/>
      <c r="E422" s="2"/>
      <c r="F422" s="2"/>
      <c r="G422" s="7"/>
      <c r="H422" s="7"/>
      <c r="I422" s="7"/>
      <c r="J422" s="7"/>
      <c r="K422" s="7"/>
      <c r="L422" s="7"/>
      <c r="M422" s="7"/>
      <c r="N422" s="4"/>
      <c r="O422" s="4"/>
      <c r="P422" s="4"/>
      <c r="Q422" s="4"/>
      <c r="R422" s="4"/>
    </row>
    <row r="423">
      <c r="A423" s="1"/>
      <c r="B423" s="8"/>
      <c r="C423" s="2"/>
      <c r="D423" s="2"/>
      <c r="E423" s="2"/>
      <c r="F423" s="2"/>
      <c r="G423" s="7"/>
      <c r="H423" s="7"/>
      <c r="I423" s="7"/>
      <c r="J423" s="7"/>
      <c r="K423" s="7"/>
      <c r="L423" s="7"/>
      <c r="M423" s="7"/>
      <c r="N423" s="4"/>
      <c r="O423" s="4"/>
      <c r="P423" s="4"/>
      <c r="Q423" s="4"/>
      <c r="R423" s="4"/>
    </row>
    <row r="424">
      <c r="A424" s="1"/>
      <c r="B424" s="8"/>
      <c r="C424" s="2"/>
      <c r="D424" s="2"/>
      <c r="E424" s="2"/>
      <c r="F424" s="2"/>
      <c r="G424" s="7"/>
      <c r="H424" s="7"/>
      <c r="I424" s="7"/>
      <c r="J424" s="7"/>
      <c r="K424" s="7"/>
      <c r="L424" s="7"/>
      <c r="M424" s="7"/>
      <c r="N424" s="4"/>
      <c r="O424" s="4"/>
      <c r="P424" s="4"/>
      <c r="Q424" s="4"/>
      <c r="R424" s="4"/>
    </row>
    <row r="425">
      <c r="A425" s="1"/>
      <c r="B425" s="8"/>
      <c r="C425" s="2"/>
      <c r="D425" s="2"/>
      <c r="E425" s="2"/>
      <c r="F425" s="2"/>
      <c r="G425" s="7"/>
      <c r="H425" s="7"/>
      <c r="I425" s="7"/>
      <c r="J425" s="7"/>
      <c r="K425" s="7"/>
      <c r="L425" s="7"/>
      <c r="M425" s="7"/>
      <c r="N425" s="4"/>
      <c r="O425" s="4"/>
      <c r="P425" s="4"/>
      <c r="Q425" s="4"/>
      <c r="R425" s="4"/>
    </row>
    <row r="426">
      <c r="A426" s="1"/>
      <c r="B426" s="8"/>
      <c r="C426" s="2"/>
      <c r="D426" s="2"/>
      <c r="E426" s="2"/>
      <c r="F426" s="2"/>
      <c r="G426" s="7"/>
      <c r="H426" s="7"/>
      <c r="I426" s="7"/>
      <c r="J426" s="7"/>
      <c r="K426" s="7"/>
      <c r="L426" s="7"/>
      <c r="M426" s="7"/>
      <c r="N426" s="4"/>
      <c r="O426" s="4"/>
      <c r="P426" s="4"/>
      <c r="Q426" s="4"/>
      <c r="R426" s="4"/>
    </row>
    <row r="427">
      <c r="A427" s="1"/>
      <c r="B427" s="8"/>
      <c r="C427" s="2"/>
      <c r="D427" s="2"/>
      <c r="E427" s="2"/>
      <c r="F427" s="2"/>
      <c r="G427" s="7"/>
      <c r="H427" s="7"/>
      <c r="I427" s="7"/>
      <c r="J427" s="7"/>
      <c r="K427" s="7"/>
      <c r="L427" s="7"/>
      <c r="M427" s="7"/>
      <c r="N427" s="4"/>
      <c r="O427" s="4"/>
      <c r="P427" s="4"/>
      <c r="Q427" s="4"/>
      <c r="R427" s="4"/>
    </row>
    <row r="428">
      <c r="A428" s="1"/>
      <c r="B428" s="8"/>
      <c r="C428" s="2"/>
      <c r="D428" s="2"/>
      <c r="E428" s="2"/>
      <c r="F428" s="2"/>
      <c r="G428" s="7"/>
      <c r="H428" s="7"/>
      <c r="I428" s="7"/>
      <c r="J428" s="7"/>
      <c r="K428" s="7"/>
      <c r="L428" s="7"/>
      <c r="M428" s="7"/>
      <c r="N428" s="4"/>
      <c r="O428" s="4"/>
      <c r="P428" s="4"/>
      <c r="Q428" s="4"/>
      <c r="R428" s="4"/>
    </row>
    <row r="429">
      <c r="A429" s="1"/>
      <c r="B429" s="8"/>
      <c r="C429" s="2"/>
      <c r="D429" s="2"/>
      <c r="E429" s="2"/>
      <c r="F429" s="2"/>
      <c r="G429" s="7"/>
      <c r="H429" s="7"/>
      <c r="I429" s="7"/>
      <c r="J429" s="7"/>
      <c r="K429" s="7"/>
      <c r="L429" s="7"/>
      <c r="M429" s="7"/>
      <c r="N429" s="4"/>
      <c r="O429" s="4"/>
      <c r="P429" s="4"/>
      <c r="Q429" s="4"/>
      <c r="R429" s="4"/>
    </row>
    <row r="430">
      <c r="A430" s="1"/>
      <c r="B430" s="8"/>
      <c r="C430" s="2"/>
      <c r="D430" s="2"/>
      <c r="E430" s="2"/>
      <c r="F430" s="2"/>
      <c r="G430" s="7"/>
      <c r="H430" s="7"/>
      <c r="I430" s="7"/>
      <c r="J430" s="7"/>
      <c r="K430" s="7"/>
      <c r="L430" s="7"/>
      <c r="M430" s="7"/>
      <c r="N430" s="4"/>
      <c r="O430" s="4"/>
      <c r="P430" s="4"/>
      <c r="Q430" s="4"/>
      <c r="R430" s="4"/>
    </row>
    <row r="431">
      <c r="A431" s="1"/>
      <c r="B431" s="8"/>
      <c r="C431" s="2"/>
      <c r="D431" s="2"/>
      <c r="E431" s="2"/>
      <c r="F431" s="2"/>
      <c r="G431" s="7"/>
      <c r="H431" s="7"/>
      <c r="I431" s="7"/>
      <c r="J431" s="7"/>
      <c r="K431" s="7"/>
      <c r="L431" s="7"/>
      <c r="M431" s="7"/>
      <c r="N431" s="4"/>
      <c r="O431" s="4"/>
      <c r="P431" s="4"/>
      <c r="Q431" s="4"/>
      <c r="R431" s="4"/>
    </row>
    <row r="432">
      <c r="A432" s="1"/>
      <c r="B432" s="8"/>
      <c r="C432" s="2"/>
      <c r="D432" s="2"/>
      <c r="E432" s="2"/>
      <c r="F432" s="2"/>
      <c r="G432" s="7"/>
      <c r="H432" s="7"/>
      <c r="I432" s="7"/>
      <c r="J432" s="7"/>
      <c r="K432" s="7"/>
      <c r="L432" s="7"/>
      <c r="M432" s="7"/>
      <c r="N432" s="4"/>
      <c r="O432" s="4"/>
      <c r="P432" s="4"/>
      <c r="Q432" s="4"/>
      <c r="R432" s="4"/>
    </row>
    <row r="433">
      <c r="A433" s="1"/>
      <c r="B433" s="8"/>
      <c r="C433" s="2"/>
      <c r="D433" s="2"/>
      <c r="E433" s="2"/>
      <c r="F433" s="2"/>
      <c r="G433" s="7"/>
      <c r="H433" s="7"/>
      <c r="I433" s="7"/>
      <c r="J433" s="7"/>
      <c r="K433" s="7"/>
      <c r="L433" s="7"/>
      <c r="M433" s="7"/>
      <c r="N433" s="4"/>
      <c r="O433" s="4"/>
      <c r="P433" s="4"/>
      <c r="Q433" s="4"/>
      <c r="R433" s="4"/>
    </row>
    <row r="434">
      <c r="A434" s="1"/>
      <c r="B434" s="8"/>
      <c r="C434" s="2"/>
      <c r="D434" s="2"/>
      <c r="E434" s="2"/>
      <c r="F434" s="2"/>
      <c r="G434" s="7"/>
      <c r="H434" s="7"/>
      <c r="I434" s="7"/>
      <c r="J434" s="7"/>
      <c r="K434" s="7"/>
      <c r="L434" s="7"/>
      <c r="M434" s="7"/>
      <c r="N434" s="4"/>
      <c r="O434" s="4"/>
      <c r="P434" s="4"/>
      <c r="Q434" s="4"/>
      <c r="R434" s="4"/>
    </row>
    <row r="435">
      <c r="A435" s="1"/>
      <c r="B435" s="8"/>
      <c r="C435" s="2"/>
      <c r="D435" s="2"/>
      <c r="E435" s="2"/>
      <c r="F435" s="2"/>
      <c r="G435" s="7"/>
      <c r="H435" s="7"/>
      <c r="I435" s="7"/>
      <c r="J435" s="7"/>
      <c r="K435" s="7"/>
      <c r="L435" s="7"/>
      <c r="M435" s="7"/>
      <c r="N435" s="4"/>
      <c r="O435" s="4"/>
      <c r="P435" s="4"/>
      <c r="Q435" s="4"/>
      <c r="R435" s="4"/>
    </row>
    <row r="436">
      <c r="A436" s="1"/>
      <c r="B436" s="8"/>
      <c r="C436" s="2"/>
      <c r="D436" s="2"/>
      <c r="E436" s="2"/>
      <c r="F436" s="2"/>
      <c r="G436" s="7"/>
      <c r="H436" s="7"/>
      <c r="I436" s="7"/>
      <c r="J436" s="7"/>
      <c r="K436" s="7"/>
      <c r="L436" s="7"/>
      <c r="M436" s="7"/>
      <c r="N436" s="4"/>
      <c r="O436" s="4"/>
      <c r="P436" s="4"/>
      <c r="Q436" s="4"/>
      <c r="R436" s="4"/>
    </row>
    <row r="437">
      <c r="A437" s="1"/>
      <c r="B437" s="8"/>
      <c r="C437" s="2"/>
      <c r="D437" s="2"/>
      <c r="E437" s="2"/>
      <c r="F437" s="2"/>
      <c r="G437" s="7"/>
      <c r="H437" s="7"/>
      <c r="I437" s="7"/>
      <c r="J437" s="7"/>
      <c r="K437" s="7"/>
      <c r="L437" s="7"/>
      <c r="M437" s="7"/>
      <c r="N437" s="4"/>
      <c r="O437" s="4"/>
      <c r="P437" s="4"/>
      <c r="Q437" s="4"/>
      <c r="R437" s="4"/>
    </row>
    <row r="438">
      <c r="A438" s="1"/>
      <c r="B438" s="8"/>
      <c r="C438" s="2"/>
      <c r="D438" s="2"/>
      <c r="E438" s="2"/>
      <c r="F438" s="2"/>
      <c r="G438" s="7"/>
      <c r="H438" s="7"/>
      <c r="I438" s="7"/>
      <c r="J438" s="7"/>
      <c r="K438" s="7"/>
      <c r="L438" s="7"/>
      <c r="M438" s="7"/>
      <c r="N438" s="4"/>
      <c r="O438" s="4"/>
      <c r="P438" s="4"/>
      <c r="Q438" s="4"/>
      <c r="R438" s="4"/>
    </row>
    <row r="439">
      <c r="A439" s="1"/>
      <c r="B439" s="8"/>
      <c r="C439" s="2"/>
      <c r="D439" s="2"/>
      <c r="E439" s="2"/>
      <c r="F439" s="2"/>
      <c r="G439" s="7"/>
      <c r="H439" s="7"/>
      <c r="I439" s="7"/>
      <c r="J439" s="7"/>
      <c r="K439" s="7"/>
      <c r="L439" s="7"/>
      <c r="M439" s="7"/>
      <c r="N439" s="4"/>
      <c r="O439" s="4"/>
      <c r="P439" s="4"/>
      <c r="Q439" s="4"/>
      <c r="R439" s="4"/>
    </row>
    <row r="440">
      <c r="A440" s="1"/>
      <c r="B440" s="8"/>
      <c r="C440" s="2"/>
      <c r="D440" s="2"/>
      <c r="E440" s="2"/>
      <c r="F440" s="2"/>
      <c r="G440" s="7"/>
      <c r="H440" s="7"/>
      <c r="I440" s="7"/>
      <c r="J440" s="7"/>
      <c r="K440" s="7"/>
      <c r="L440" s="7"/>
      <c r="M440" s="7"/>
      <c r="N440" s="4"/>
      <c r="O440" s="4"/>
      <c r="P440" s="4"/>
      <c r="Q440" s="4"/>
      <c r="R440" s="4"/>
    </row>
    <row r="441">
      <c r="A441" s="1"/>
      <c r="B441" s="8"/>
      <c r="C441" s="2"/>
      <c r="D441" s="2"/>
      <c r="E441" s="2"/>
      <c r="F441" s="2"/>
      <c r="G441" s="7"/>
      <c r="H441" s="7"/>
      <c r="I441" s="7"/>
      <c r="J441" s="7"/>
      <c r="K441" s="7"/>
      <c r="L441" s="7"/>
      <c r="M441" s="7"/>
      <c r="N441" s="4"/>
      <c r="O441" s="4"/>
      <c r="P441" s="4"/>
      <c r="Q441" s="4"/>
      <c r="R441" s="4"/>
    </row>
    <row r="442">
      <c r="A442" s="1"/>
      <c r="B442" s="8"/>
      <c r="C442" s="2"/>
      <c r="D442" s="2"/>
      <c r="E442" s="2"/>
      <c r="F442" s="2"/>
      <c r="G442" s="7"/>
      <c r="H442" s="7"/>
      <c r="I442" s="7"/>
      <c r="J442" s="7"/>
      <c r="K442" s="7"/>
      <c r="L442" s="7"/>
      <c r="M442" s="7"/>
      <c r="N442" s="4"/>
      <c r="O442" s="4"/>
      <c r="P442" s="4"/>
      <c r="Q442" s="4"/>
      <c r="R442" s="4"/>
    </row>
    <row r="443">
      <c r="A443" s="1"/>
      <c r="B443" s="8"/>
      <c r="C443" s="2"/>
      <c r="D443" s="2"/>
      <c r="E443" s="2"/>
      <c r="F443" s="2"/>
      <c r="G443" s="7"/>
      <c r="H443" s="7"/>
      <c r="I443" s="7"/>
      <c r="J443" s="7"/>
      <c r="K443" s="7"/>
      <c r="L443" s="7"/>
      <c r="M443" s="7"/>
      <c r="N443" s="4"/>
      <c r="O443" s="4"/>
      <c r="P443" s="4"/>
      <c r="Q443" s="4"/>
      <c r="R443" s="4"/>
    </row>
    <row r="444">
      <c r="A444" s="1"/>
      <c r="B444" s="8"/>
      <c r="C444" s="2"/>
      <c r="D444" s="2"/>
      <c r="E444" s="2"/>
      <c r="F444" s="2"/>
      <c r="G444" s="7"/>
      <c r="H444" s="7"/>
      <c r="I444" s="7"/>
      <c r="J444" s="7"/>
      <c r="K444" s="7"/>
      <c r="L444" s="7"/>
      <c r="M444" s="7"/>
      <c r="N444" s="4"/>
      <c r="O444" s="4"/>
      <c r="P444" s="4"/>
      <c r="Q444" s="4"/>
      <c r="R444" s="4"/>
    </row>
    <row r="445">
      <c r="A445" s="1"/>
      <c r="B445" s="8"/>
      <c r="C445" s="2"/>
      <c r="D445" s="2"/>
      <c r="E445" s="2"/>
      <c r="F445" s="2"/>
      <c r="G445" s="7"/>
      <c r="H445" s="7"/>
      <c r="I445" s="7"/>
      <c r="J445" s="7"/>
      <c r="K445" s="7"/>
      <c r="L445" s="7"/>
      <c r="M445" s="7"/>
      <c r="N445" s="4"/>
      <c r="O445" s="4"/>
      <c r="P445" s="4"/>
      <c r="Q445" s="4"/>
      <c r="R445" s="4"/>
    </row>
    <row r="446">
      <c r="A446" s="1"/>
      <c r="B446" s="8"/>
      <c r="C446" s="2"/>
      <c r="D446" s="2"/>
      <c r="E446" s="2"/>
      <c r="F446" s="2"/>
      <c r="G446" s="7"/>
      <c r="H446" s="7"/>
      <c r="I446" s="7"/>
      <c r="J446" s="7"/>
      <c r="K446" s="7"/>
      <c r="L446" s="7"/>
      <c r="M446" s="7"/>
      <c r="N446" s="4"/>
      <c r="O446" s="4"/>
      <c r="P446" s="4"/>
      <c r="Q446" s="4"/>
      <c r="R446" s="4"/>
    </row>
    <row r="447">
      <c r="A447" s="1"/>
      <c r="B447" s="8"/>
      <c r="C447" s="2"/>
      <c r="D447" s="2"/>
      <c r="E447" s="2"/>
      <c r="F447" s="2"/>
      <c r="G447" s="7"/>
      <c r="H447" s="7"/>
      <c r="I447" s="7"/>
      <c r="J447" s="7"/>
      <c r="K447" s="7"/>
      <c r="L447" s="7"/>
      <c r="M447" s="7"/>
      <c r="N447" s="4"/>
      <c r="O447" s="4"/>
      <c r="P447" s="4"/>
      <c r="Q447" s="4"/>
      <c r="R447" s="4"/>
    </row>
    <row r="448">
      <c r="A448" s="1"/>
      <c r="B448" s="8"/>
      <c r="C448" s="2"/>
      <c r="D448" s="2"/>
      <c r="E448" s="2"/>
      <c r="F448" s="2"/>
      <c r="G448" s="7"/>
      <c r="H448" s="7"/>
      <c r="I448" s="7"/>
      <c r="J448" s="7"/>
      <c r="K448" s="7"/>
      <c r="L448" s="7"/>
      <c r="M448" s="7"/>
      <c r="N448" s="4"/>
      <c r="O448" s="4"/>
      <c r="P448" s="4"/>
      <c r="Q448" s="4"/>
      <c r="R448" s="4"/>
    </row>
    <row r="449">
      <c r="A449" s="1"/>
      <c r="B449" s="8"/>
      <c r="C449" s="2"/>
      <c r="D449" s="2"/>
      <c r="E449" s="2"/>
      <c r="F449" s="2"/>
      <c r="G449" s="7"/>
      <c r="H449" s="7"/>
      <c r="I449" s="7"/>
      <c r="J449" s="7"/>
      <c r="K449" s="7"/>
      <c r="L449" s="7"/>
      <c r="M449" s="7"/>
      <c r="N449" s="4"/>
      <c r="O449" s="4"/>
      <c r="P449" s="4"/>
      <c r="Q449" s="4"/>
      <c r="R449" s="4"/>
    </row>
    <row r="450">
      <c r="A450" s="1"/>
      <c r="B450" s="8"/>
      <c r="C450" s="2"/>
      <c r="D450" s="2"/>
      <c r="E450" s="2"/>
      <c r="F450" s="2"/>
      <c r="G450" s="7"/>
      <c r="H450" s="7"/>
      <c r="I450" s="7"/>
      <c r="J450" s="7"/>
      <c r="K450" s="7"/>
      <c r="L450" s="7"/>
      <c r="M450" s="7"/>
      <c r="N450" s="4"/>
      <c r="O450" s="4"/>
      <c r="P450" s="4"/>
      <c r="Q450" s="4"/>
      <c r="R450" s="4"/>
    </row>
    <row r="451">
      <c r="A451" s="1"/>
      <c r="B451" s="8"/>
      <c r="C451" s="2"/>
      <c r="D451" s="2"/>
      <c r="E451" s="2"/>
      <c r="F451" s="2"/>
      <c r="G451" s="7"/>
      <c r="H451" s="7"/>
      <c r="I451" s="7"/>
      <c r="J451" s="7"/>
      <c r="K451" s="7"/>
      <c r="L451" s="7"/>
      <c r="M451" s="7"/>
      <c r="N451" s="4"/>
      <c r="O451" s="4"/>
      <c r="P451" s="4"/>
      <c r="Q451" s="4"/>
      <c r="R451" s="4"/>
    </row>
    <row r="452">
      <c r="A452" s="1"/>
      <c r="B452" s="8"/>
      <c r="C452" s="2"/>
      <c r="D452" s="2"/>
      <c r="E452" s="2"/>
      <c r="F452" s="2"/>
      <c r="G452" s="7"/>
      <c r="H452" s="7"/>
      <c r="I452" s="7"/>
      <c r="J452" s="7"/>
      <c r="K452" s="7"/>
      <c r="L452" s="7"/>
      <c r="M452" s="7"/>
      <c r="N452" s="4"/>
      <c r="O452" s="4"/>
      <c r="P452" s="4"/>
      <c r="Q452" s="4"/>
      <c r="R452" s="4"/>
    </row>
    <row r="453">
      <c r="A453" s="1"/>
      <c r="B453" s="8"/>
      <c r="C453" s="2"/>
      <c r="D453" s="2"/>
      <c r="E453" s="2"/>
      <c r="F453" s="2"/>
      <c r="G453" s="7"/>
      <c r="H453" s="7"/>
      <c r="I453" s="7"/>
      <c r="J453" s="7"/>
      <c r="K453" s="7"/>
      <c r="L453" s="7"/>
      <c r="M453" s="7"/>
      <c r="N453" s="4"/>
      <c r="O453" s="4"/>
      <c r="P453" s="4"/>
      <c r="Q453" s="4"/>
      <c r="R453" s="4"/>
    </row>
    <row r="454">
      <c r="A454" s="1"/>
      <c r="B454" s="8"/>
      <c r="C454" s="2"/>
      <c r="D454" s="2"/>
      <c r="E454" s="2"/>
      <c r="F454" s="2"/>
      <c r="G454" s="7"/>
      <c r="H454" s="7"/>
      <c r="I454" s="7"/>
      <c r="J454" s="7"/>
      <c r="K454" s="7"/>
      <c r="L454" s="7"/>
      <c r="M454" s="7"/>
      <c r="N454" s="4"/>
      <c r="O454" s="4"/>
      <c r="P454" s="4"/>
      <c r="Q454" s="4"/>
      <c r="R454" s="4"/>
    </row>
    <row r="455">
      <c r="A455" s="1"/>
      <c r="B455" s="8"/>
      <c r="C455" s="2"/>
      <c r="D455" s="2"/>
      <c r="E455" s="2"/>
      <c r="F455" s="2"/>
      <c r="G455" s="7"/>
      <c r="H455" s="7"/>
      <c r="I455" s="7"/>
      <c r="J455" s="7"/>
      <c r="K455" s="7"/>
      <c r="L455" s="7"/>
      <c r="M455" s="7"/>
      <c r="N455" s="4"/>
      <c r="O455" s="4"/>
      <c r="P455" s="4"/>
      <c r="Q455" s="4"/>
      <c r="R455" s="4"/>
    </row>
    <row r="456">
      <c r="A456" s="1"/>
      <c r="B456" s="8"/>
      <c r="C456" s="2"/>
      <c r="D456" s="2"/>
      <c r="E456" s="2"/>
      <c r="F456" s="2"/>
      <c r="G456" s="7"/>
      <c r="H456" s="7"/>
      <c r="I456" s="7"/>
      <c r="J456" s="7"/>
      <c r="K456" s="7"/>
      <c r="L456" s="7"/>
      <c r="M456" s="7"/>
      <c r="N456" s="4"/>
      <c r="O456" s="4"/>
      <c r="P456" s="4"/>
      <c r="Q456" s="4"/>
      <c r="R456" s="4"/>
    </row>
    <row r="457">
      <c r="A457" s="1"/>
      <c r="B457" s="8"/>
      <c r="C457" s="2"/>
      <c r="D457" s="2"/>
      <c r="E457" s="2"/>
      <c r="F457" s="2"/>
      <c r="G457" s="7"/>
      <c r="H457" s="7"/>
      <c r="I457" s="7"/>
      <c r="J457" s="7"/>
      <c r="K457" s="7"/>
      <c r="L457" s="7"/>
      <c r="M457" s="7"/>
      <c r="N457" s="4"/>
      <c r="O457" s="4"/>
      <c r="P457" s="4"/>
      <c r="Q457" s="4"/>
      <c r="R457" s="4"/>
    </row>
    <row r="458">
      <c r="A458" s="1"/>
      <c r="B458" s="8"/>
      <c r="C458" s="2"/>
      <c r="D458" s="2"/>
      <c r="E458" s="2"/>
      <c r="F458" s="2"/>
      <c r="G458" s="7"/>
      <c r="H458" s="7"/>
      <c r="I458" s="7"/>
      <c r="J458" s="7"/>
      <c r="K458" s="7"/>
      <c r="L458" s="7"/>
      <c r="M458" s="7"/>
      <c r="N458" s="4"/>
      <c r="O458" s="4"/>
      <c r="P458" s="4"/>
      <c r="Q458" s="4"/>
      <c r="R458" s="4"/>
    </row>
    <row r="459">
      <c r="A459" s="1"/>
      <c r="B459" s="8"/>
      <c r="C459" s="2"/>
      <c r="D459" s="2"/>
      <c r="E459" s="2"/>
      <c r="F459" s="2"/>
      <c r="G459" s="7"/>
      <c r="H459" s="7"/>
      <c r="I459" s="7"/>
      <c r="J459" s="7"/>
      <c r="K459" s="7"/>
      <c r="L459" s="7"/>
      <c r="M459" s="7"/>
      <c r="N459" s="4"/>
      <c r="O459" s="4"/>
      <c r="P459" s="4"/>
      <c r="Q459" s="4"/>
      <c r="R459" s="4"/>
    </row>
    <row r="460">
      <c r="A460" s="1"/>
      <c r="B460" s="8"/>
      <c r="C460" s="2"/>
      <c r="D460" s="2"/>
      <c r="E460" s="2"/>
      <c r="F460" s="2"/>
      <c r="G460" s="7"/>
      <c r="H460" s="7"/>
      <c r="I460" s="7"/>
      <c r="J460" s="7"/>
      <c r="K460" s="7"/>
      <c r="L460" s="7"/>
      <c r="M460" s="7"/>
      <c r="N460" s="4"/>
      <c r="O460" s="4"/>
      <c r="P460" s="4"/>
      <c r="Q460" s="4"/>
      <c r="R460" s="4"/>
    </row>
    <row r="461">
      <c r="A461" s="1"/>
      <c r="B461" s="8"/>
      <c r="C461" s="2"/>
      <c r="D461" s="2"/>
      <c r="E461" s="2"/>
      <c r="F461" s="2"/>
      <c r="G461" s="7"/>
      <c r="H461" s="7"/>
      <c r="I461" s="7"/>
      <c r="J461" s="7"/>
      <c r="K461" s="7"/>
      <c r="L461" s="7"/>
      <c r="M461" s="7"/>
      <c r="N461" s="4"/>
      <c r="O461" s="4"/>
      <c r="P461" s="4"/>
      <c r="Q461" s="4"/>
      <c r="R461" s="4"/>
    </row>
    <row r="462">
      <c r="A462" s="1"/>
      <c r="B462" s="8"/>
      <c r="C462" s="2"/>
      <c r="D462" s="2"/>
      <c r="E462" s="2"/>
      <c r="F462" s="2"/>
      <c r="G462" s="7"/>
      <c r="H462" s="7"/>
      <c r="I462" s="7"/>
      <c r="J462" s="7"/>
      <c r="K462" s="7"/>
      <c r="L462" s="7"/>
      <c r="M462" s="7"/>
      <c r="N462" s="4"/>
      <c r="O462" s="4"/>
      <c r="P462" s="4"/>
      <c r="Q462" s="4"/>
      <c r="R462" s="4"/>
    </row>
    <row r="463">
      <c r="A463" s="1"/>
      <c r="B463" s="8"/>
      <c r="C463" s="2"/>
      <c r="D463" s="2"/>
      <c r="E463" s="2"/>
      <c r="F463" s="2"/>
      <c r="G463" s="7"/>
      <c r="H463" s="7"/>
      <c r="I463" s="7"/>
      <c r="J463" s="7"/>
      <c r="K463" s="7"/>
      <c r="L463" s="7"/>
      <c r="M463" s="7"/>
      <c r="N463" s="4"/>
      <c r="O463" s="4"/>
      <c r="P463" s="4"/>
      <c r="Q463" s="4"/>
      <c r="R463" s="4"/>
    </row>
    <row r="464">
      <c r="A464" s="1"/>
      <c r="B464" s="8"/>
      <c r="C464" s="2"/>
      <c r="D464" s="2"/>
      <c r="E464" s="2"/>
      <c r="F464" s="2"/>
      <c r="G464" s="7"/>
      <c r="H464" s="7"/>
      <c r="I464" s="7"/>
      <c r="J464" s="7"/>
      <c r="K464" s="7"/>
      <c r="L464" s="7"/>
      <c r="M464" s="7"/>
      <c r="N464" s="4"/>
      <c r="O464" s="4"/>
      <c r="P464" s="4"/>
      <c r="Q464" s="4"/>
      <c r="R464" s="4"/>
    </row>
    <row r="465">
      <c r="A465" s="1"/>
      <c r="B465" s="8"/>
      <c r="C465" s="2"/>
      <c r="D465" s="2"/>
      <c r="E465" s="2"/>
      <c r="F465" s="2"/>
      <c r="G465" s="7"/>
      <c r="H465" s="7"/>
      <c r="I465" s="7"/>
      <c r="J465" s="7"/>
      <c r="K465" s="7"/>
      <c r="L465" s="7"/>
      <c r="M465" s="7"/>
      <c r="N465" s="4"/>
      <c r="O465" s="4"/>
      <c r="P465" s="4"/>
      <c r="Q465" s="4"/>
      <c r="R465" s="4"/>
    </row>
    <row r="466">
      <c r="A466" s="1"/>
      <c r="B466" s="8"/>
      <c r="C466" s="2"/>
      <c r="D466" s="2"/>
      <c r="E466" s="2"/>
      <c r="F466" s="2"/>
      <c r="G466" s="7"/>
      <c r="H466" s="7"/>
      <c r="I466" s="7"/>
      <c r="J466" s="7"/>
      <c r="K466" s="7"/>
      <c r="L466" s="7"/>
      <c r="M466" s="7"/>
      <c r="N466" s="4"/>
      <c r="O466" s="4"/>
      <c r="P466" s="4"/>
      <c r="Q466" s="4"/>
      <c r="R466" s="4"/>
    </row>
    <row r="467">
      <c r="A467" s="1"/>
      <c r="B467" s="8"/>
      <c r="C467" s="2"/>
      <c r="D467" s="2"/>
      <c r="E467" s="2"/>
      <c r="F467" s="2"/>
      <c r="G467" s="7"/>
      <c r="H467" s="7"/>
      <c r="I467" s="7"/>
      <c r="J467" s="7"/>
      <c r="K467" s="7"/>
      <c r="L467" s="7"/>
      <c r="M467" s="7"/>
      <c r="N467" s="4"/>
      <c r="O467" s="4"/>
      <c r="P467" s="4"/>
      <c r="Q467" s="4"/>
      <c r="R467" s="4"/>
    </row>
    <row r="468">
      <c r="A468" s="1"/>
      <c r="B468" s="8"/>
      <c r="C468" s="2"/>
      <c r="D468" s="2"/>
      <c r="E468" s="2"/>
      <c r="F468" s="2"/>
      <c r="G468" s="7"/>
      <c r="H468" s="7"/>
      <c r="I468" s="7"/>
      <c r="J468" s="7"/>
      <c r="K468" s="7"/>
      <c r="L468" s="7"/>
      <c r="M468" s="7"/>
      <c r="N468" s="4"/>
      <c r="O468" s="4"/>
      <c r="P468" s="4"/>
      <c r="Q468" s="4"/>
      <c r="R468" s="4"/>
    </row>
    <row r="469">
      <c r="A469" s="1"/>
      <c r="B469" s="8"/>
      <c r="C469" s="2"/>
      <c r="D469" s="2"/>
      <c r="E469" s="2"/>
      <c r="F469" s="2"/>
      <c r="G469" s="7"/>
      <c r="H469" s="7"/>
      <c r="I469" s="7"/>
      <c r="J469" s="7"/>
      <c r="K469" s="7"/>
      <c r="L469" s="7"/>
      <c r="M469" s="7"/>
      <c r="N469" s="4"/>
      <c r="O469" s="4"/>
      <c r="P469" s="4"/>
      <c r="Q469" s="4"/>
      <c r="R469" s="4"/>
    </row>
    <row r="470">
      <c r="A470" s="1"/>
      <c r="B470" s="8"/>
      <c r="C470" s="2"/>
      <c r="D470" s="2"/>
      <c r="E470" s="2"/>
      <c r="F470" s="2"/>
      <c r="G470" s="7"/>
      <c r="H470" s="7"/>
      <c r="I470" s="7"/>
      <c r="J470" s="7"/>
      <c r="K470" s="7"/>
      <c r="L470" s="7"/>
      <c r="M470" s="7"/>
      <c r="N470" s="4"/>
      <c r="O470" s="4"/>
      <c r="P470" s="4"/>
      <c r="Q470" s="4"/>
      <c r="R470" s="4"/>
    </row>
    <row r="471">
      <c r="A471" s="1"/>
      <c r="B471" s="8"/>
      <c r="C471" s="2"/>
      <c r="D471" s="2"/>
      <c r="E471" s="2"/>
      <c r="F471" s="2"/>
      <c r="G471" s="7"/>
      <c r="H471" s="7"/>
      <c r="I471" s="7"/>
      <c r="J471" s="7"/>
      <c r="K471" s="7"/>
      <c r="L471" s="7"/>
      <c r="M471" s="7"/>
      <c r="N471" s="4"/>
      <c r="O471" s="4"/>
      <c r="P471" s="4"/>
      <c r="Q471" s="4"/>
      <c r="R471" s="4"/>
    </row>
    <row r="472">
      <c r="A472" s="1"/>
      <c r="B472" s="8"/>
      <c r="C472" s="2"/>
      <c r="D472" s="2"/>
      <c r="E472" s="2"/>
      <c r="F472" s="2"/>
      <c r="G472" s="7"/>
      <c r="H472" s="7"/>
      <c r="I472" s="7"/>
      <c r="J472" s="7"/>
      <c r="K472" s="7"/>
      <c r="L472" s="7"/>
      <c r="M472" s="7"/>
      <c r="N472" s="4"/>
      <c r="O472" s="4"/>
      <c r="P472" s="4"/>
      <c r="Q472" s="4"/>
      <c r="R472" s="4"/>
    </row>
    <row r="473">
      <c r="A473" s="1"/>
      <c r="B473" s="8"/>
      <c r="C473" s="2"/>
      <c r="D473" s="2"/>
      <c r="E473" s="2"/>
      <c r="F473" s="2"/>
      <c r="G473" s="7"/>
      <c r="H473" s="7"/>
      <c r="I473" s="7"/>
      <c r="J473" s="7"/>
      <c r="K473" s="7"/>
      <c r="L473" s="7"/>
      <c r="M473" s="7"/>
      <c r="N473" s="4"/>
      <c r="O473" s="4"/>
      <c r="P473" s="4"/>
      <c r="Q473" s="4"/>
      <c r="R473" s="4"/>
    </row>
    <row r="474">
      <c r="A474" s="1"/>
      <c r="B474" s="8"/>
      <c r="C474" s="2"/>
      <c r="D474" s="2"/>
      <c r="E474" s="2"/>
      <c r="F474" s="2"/>
      <c r="G474" s="7"/>
      <c r="H474" s="7"/>
      <c r="I474" s="7"/>
      <c r="J474" s="7"/>
      <c r="K474" s="7"/>
      <c r="L474" s="7"/>
      <c r="M474" s="7"/>
      <c r="N474" s="4"/>
      <c r="O474" s="4"/>
      <c r="P474" s="4"/>
      <c r="Q474" s="4"/>
      <c r="R474" s="4"/>
    </row>
    <row r="475">
      <c r="A475" s="1"/>
      <c r="B475" s="8"/>
      <c r="C475" s="2"/>
      <c r="D475" s="2"/>
      <c r="E475" s="2"/>
      <c r="F475" s="2"/>
      <c r="G475" s="7"/>
      <c r="H475" s="7"/>
      <c r="I475" s="7"/>
      <c r="J475" s="7"/>
      <c r="K475" s="7"/>
      <c r="L475" s="7"/>
      <c r="M475" s="7"/>
      <c r="N475" s="4"/>
      <c r="O475" s="4"/>
      <c r="P475" s="4"/>
      <c r="Q475" s="4"/>
      <c r="R475" s="4"/>
    </row>
    <row r="476">
      <c r="A476" s="1"/>
      <c r="B476" s="8"/>
      <c r="C476" s="2"/>
      <c r="D476" s="2"/>
      <c r="E476" s="2"/>
      <c r="F476" s="2"/>
      <c r="G476" s="7"/>
      <c r="H476" s="7"/>
      <c r="I476" s="7"/>
      <c r="J476" s="7"/>
      <c r="K476" s="7"/>
      <c r="L476" s="7"/>
      <c r="M476" s="7"/>
      <c r="N476" s="4"/>
      <c r="O476" s="4"/>
      <c r="P476" s="4"/>
      <c r="Q476" s="4"/>
      <c r="R476" s="4"/>
    </row>
    <row r="477">
      <c r="A477" s="1"/>
      <c r="B477" s="8"/>
      <c r="C477" s="2"/>
      <c r="D477" s="2"/>
      <c r="E477" s="2"/>
      <c r="F477" s="2"/>
      <c r="G477" s="7"/>
      <c r="H477" s="7"/>
      <c r="I477" s="7"/>
      <c r="J477" s="7"/>
      <c r="K477" s="7"/>
      <c r="L477" s="7"/>
      <c r="M477" s="7"/>
      <c r="N477" s="4"/>
      <c r="O477" s="4"/>
      <c r="P477" s="4"/>
      <c r="Q477" s="4"/>
      <c r="R477" s="4"/>
    </row>
    <row r="478">
      <c r="A478" s="1"/>
      <c r="B478" s="8"/>
      <c r="C478" s="2"/>
      <c r="D478" s="2"/>
      <c r="E478" s="2"/>
      <c r="F478" s="2"/>
      <c r="G478" s="7"/>
      <c r="H478" s="7"/>
      <c r="I478" s="7"/>
      <c r="J478" s="7"/>
      <c r="K478" s="7"/>
      <c r="L478" s="7"/>
      <c r="M478" s="7"/>
      <c r="N478" s="4"/>
      <c r="O478" s="4"/>
      <c r="P478" s="4"/>
      <c r="Q478" s="4"/>
      <c r="R478" s="4"/>
    </row>
    <row r="479">
      <c r="A479" s="1"/>
      <c r="B479" s="8"/>
      <c r="C479" s="2"/>
      <c r="D479" s="2"/>
      <c r="E479" s="2"/>
      <c r="F479" s="2"/>
      <c r="G479" s="7"/>
      <c r="H479" s="7"/>
      <c r="I479" s="7"/>
      <c r="J479" s="7"/>
      <c r="K479" s="7"/>
      <c r="L479" s="7"/>
      <c r="M479" s="7"/>
      <c r="N479" s="4"/>
      <c r="O479" s="4"/>
      <c r="P479" s="4"/>
      <c r="Q479" s="4"/>
      <c r="R479" s="4"/>
    </row>
    <row r="480">
      <c r="A480" s="1"/>
      <c r="B480" s="8"/>
      <c r="C480" s="2"/>
      <c r="D480" s="2"/>
      <c r="E480" s="2"/>
      <c r="F480" s="2"/>
      <c r="G480" s="7"/>
      <c r="H480" s="7"/>
      <c r="I480" s="7"/>
      <c r="J480" s="7"/>
      <c r="K480" s="7"/>
      <c r="L480" s="7"/>
      <c r="M480" s="7"/>
      <c r="N480" s="4"/>
      <c r="O480" s="4"/>
      <c r="P480" s="4"/>
      <c r="Q480" s="4"/>
      <c r="R480" s="4"/>
    </row>
    <row r="481">
      <c r="A481" s="1"/>
      <c r="B481" s="8"/>
      <c r="C481" s="2"/>
      <c r="D481" s="2"/>
      <c r="E481" s="2"/>
      <c r="F481" s="2"/>
      <c r="G481" s="7"/>
      <c r="H481" s="7"/>
      <c r="I481" s="7"/>
      <c r="J481" s="7"/>
      <c r="K481" s="7"/>
      <c r="L481" s="7"/>
      <c r="M481" s="7"/>
      <c r="N481" s="4"/>
      <c r="O481" s="4"/>
      <c r="P481" s="4"/>
      <c r="Q481" s="4"/>
      <c r="R481" s="4"/>
    </row>
    <row r="482">
      <c r="A482" s="1"/>
      <c r="B482" s="8"/>
      <c r="C482" s="2"/>
      <c r="D482" s="2"/>
      <c r="E482" s="2"/>
      <c r="F482" s="2"/>
      <c r="G482" s="7"/>
      <c r="H482" s="7"/>
      <c r="I482" s="7"/>
      <c r="J482" s="7"/>
      <c r="K482" s="7"/>
      <c r="L482" s="7"/>
      <c r="M482" s="7"/>
      <c r="N482" s="4"/>
      <c r="O482" s="4"/>
      <c r="P482" s="4"/>
      <c r="Q482" s="4"/>
      <c r="R482" s="4"/>
    </row>
    <row r="483">
      <c r="A483" s="1"/>
      <c r="B483" s="8"/>
      <c r="C483" s="2"/>
      <c r="D483" s="2"/>
      <c r="E483" s="2"/>
      <c r="F483" s="2"/>
      <c r="G483" s="7"/>
      <c r="H483" s="7"/>
      <c r="I483" s="7"/>
      <c r="J483" s="7"/>
      <c r="K483" s="7"/>
      <c r="L483" s="7"/>
      <c r="M483" s="7"/>
      <c r="N483" s="4"/>
      <c r="O483" s="4"/>
      <c r="P483" s="4"/>
      <c r="Q483" s="4"/>
      <c r="R483" s="4"/>
    </row>
    <row r="484">
      <c r="A484" s="1"/>
      <c r="B484" s="8"/>
      <c r="C484" s="2"/>
      <c r="D484" s="2"/>
      <c r="E484" s="2"/>
      <c r="F484" s="2"/>
      <c r="G484" s="7"/>
      <c r="H484" s="7"/>
      <c r="I484" s="7"/>
      <c r="J484" s="7"/>
      <c r="K484" s="7"/>
      <c r="L484" s="7"/>
      <c r="M484" s="7"/>
      <c r="N484" s="4"/>
      <c r="O484" s="4"/>
      <c r="P484" s="4"/>
      <c r="Q484" s="4"/>
      <c r="R484" s="4"/>
    </row>
    <row r="485">
      <c r="A485" s="1"/>
      <c r="B485" s="8"/>
      <c r="C485" s="2"/>
      <c r="D485" s="2"/>
      <c r="E485" s="2"/>
      <c r="F485" s="2"/>
      <c r="G485" s="7"/>
      <c r="H485" s="7"/>
      <c r="I485" s="7"/>
      <c r="J485" s="7"/>
      <c r="K485" s="7"/>
      <c r="L485" s="7"/>
      <c r="M485" s="7"/>
      <c r="N485" s="4"/>
      <c r="O485" s="4"/>
      <c r="P485" s="4"/>
      <c r="Q485" s="4"/>
      <c r="R485" s="4"/>
    </row>
    <row r="486">
      <c r="A486" s="1"/>
      <c r="B486" s="8"/>
      <c r="C486" s="2"/>
      <c r="D486" s="2"/>
      <c r="E486" s="2"/>
      <c r="F486" s="2"/>
      <c r="G486" s="7"/>
      <c r="H486" s="7"/>
      <c r="I486" s="7"/>
      <c r="J486" s="7"/>
      <c r="K486" s="7"/>
      <c r="L486" s="7"/>
      <c r="M486" s="7"/>
      <c r="N486" s="4"/>
      <c r="O486" s="4"/>
      <c r="P486" s="4"/>
      <c r="Q486" s="4"/>
      <c r="R486" s="4"/>
    </row>
    <row r="487">
      <c r="A487" s="1"/>
      <c r="B487" s="8"/>
      <c r="C487" s="2"/>
      <c r="D487" s="2"/>
      <c r="E487" s="2"/>
      <c r="F487" s="2"/>
      <c r="G487" s="7"/>
      <c r="H487" s="7"/>
      <c r="I487" s="7"/>
      <c r="J487" s="7"/>
      <c r="K487" s="7"/>
      <c r="L487" s="7"/>
      <c r="M487" s="7"/>
      <c r="N487" s="4"/>
      <c r="O487" s="4"/>
      <c r="P487" s="4"/>
      <c r="Q487" s="4"/>
      <c r="R487" s="4"/>
    </row>
    <row r="488">
      <c r="A488" s="1"/>
      <c r="B488" s="8"/>
      <c r="C488" s="2"/>
      <c r="D488" s="2"/>
      <c r="E488" s="2"/>
      <c r="F488" s="2"/>
      <c r="G488" s="7"/>
      <c r="H488" s="7"/>
      <c r="I488" s="7"/>
      <c r="J488" s="7"/>
      <c r="K488" s="7"/>
      <c r="L488" s="7"/>
      <c r="M488" s="7"/>
      <c r="N488" s="4"/>
      <c r="O488" s="4"/>
      <c r="P488" s="4"/>
      <c r="Q488" s="4"/>
      <c r="R488" s="4"/>
    </row>
    <row r="489">
      <c r="A489" s="1"/>
      <c r="B489" s="8"/>
      <c r="C489" s="2"/>
      <c r="D489" s="2"/>
      <c r="E489" s="2"/>
      <c r="F489" s="2"/>
      <c r="G489" s="7"/>
      <c r="H489" s="7"/>
      <c r="I489" s="7"/>
      <c r="J489" s="7"/>
      <c r="K489" s="7"/>
      <c r="L489" s="7"/>
      <c r="M489" s="7"/>
      <c r="N489" s="4"/>
      <c r="O489" s="4"/>
      <c r="P489" s="4"/>
      <c r="Q489" s="4"/>
      <c r="R489" s="4"/>
    </row>
    <row r="490">
      <c r="A490" s="1"/>
      <c r="B490" s="8"/>
      <c r="C490" s="2"/>
      <c r="D490" s="2"/>
      <c r="E490" s="2"/>
      <c r="F490" s="2"/>
      <c r="G490" s="7"/>
      <c r="H490" s="7"/>
      <c r="I490" s="7"/>
      <c r="J490" s="7"/>
      <c r="K490" s="7"/>
      <c r="L490" s="7"/>
      <c r="M490" s="7"/>
      <c r="N490" s="4"/>
      <c r="O490" s="4"/>
      <c r="P490" s="4"/>
      <c r="Q490" s="4"/>
      <c r="R490" s="4"/>
    </row>
    <row r="491">
      <c r="A491" s="1"/>
      <c r="B491" s="8"/>
      <c r="C491" s="2"/>
      <c r="D491" s="2"/>
      <c r="E491" s="2"/>
      <c r="F491" s="2"/>
      <c r="G491" s="7"/>
      <c r="H491" s="7"/>
      <c r="I491" s="7"/>
      <c r="J491" s="7"/>
      <c r="K491" s="7"/>
      <c r="L491" s="7"/>
      <c r="M491" s="7"/>
      <c r="N491" s="4"/>
      <c r="O491" s="4"/>
      <c r="P491" s="4"/>
      <c r="Q491" s="4"/>
      <c r="R491" s="4"/>
    </row>
    <row r="492">
      <c r="A492" s="1"/>
      <c r="B492" s="8"/>
      <c r="C492" s="2"/>
      <c r="D492" s="2"/>
      <c r="E492" s="2"/>
      <c r="F492" s="2"/>
      <c r="G492" s="7"/>
      <c r="H492" s="7"/>
      <c r="I492" s="7"/>
      <c r="J492" s="7"/>
      <c r="K492" s="7"/>
      <c r="L492" s="7"/>
      <c r="M492" s="7"/>
      <c r="N492" s="4"/>
      <c r="O492" s="4"/>
      <c r="P492" s="4"/>
      <c r="Q492" s="4"/>
      <c r="R492" s="4"/>
    </row>
    <row r="493">
      <c r="A493" s="1"/>
      <c r="B493" s="8"/>
      <c r="C493" s="2"/>
      <c r="D493" s="2"/>
      <c r="E493" s="2"/>
      <c r="F493" s="2"/>
      <c r="G493" s="7"/>
      <c r="H493" s="7"/>
      <c r="I493" s="7"/>
      <c r="J493" s="7"/>
      <c r="K493" s="7"/>
      <c r="L493" s="7"/>
      <c r="M493" s="7"/>
      <c r="N493" s="4"/>
      <c r="O493" s="4"/>
      <c r="P493" s="4"/>
      <c r="Q493" s="4"/>
      <c r="R493" s="4"/>
    </row>
    <row r="494">
      <c r="A494" s="1"/>
      <c r="B494" s="8"/>
      <c r="C494" s="2"/>
      <c r="D494" s="2"/>
      <c r="E494" s="2"/>
      <c r="F494" s="2"/>
      <c r="G494" s="7"/>
      <c r="H494" s="7"/>
      <c r="I494" s="7"/>
      <c r="J494" s="7"/>
      <c r="K494" s="7"/>
      <c r="L494" s="7"/>
      <c r="M494" s="7"/>
      <c r="N494" s="4"/>
      <c r="O494" s="4"/>
      <c r="P494" s="4"/>
      <c r="Q494" s="4"/>
      <c r="R494" s="4"/>
    </row>
    <row r="495">
      <c r="A495" s="1"/>
      <c r="B495" s="8"/>
      <c r="C495" s="2"/>
      <c r="D495" s="2"/>
      <c r="E495" s="2"/>
      <c r="F495" s="2"/>
      <c r="G495" s="7"/>
      <c r="H495" s="7"/>
      <c r="I495" s="7"/>
      <c r="J495" s="7"/>
      <c r="K495" s="7"/>
      <c r="L495" s="7"/>
      <c r="M495" s="7"/>
      <c r="N495" s="4"/>
      <c r="O495" s="4"/>
      <c r="P495" s="4"/>
      <c r="Q495" s="4"/>
      <c r="R495" s="4"/>
    </row>
    <row r="496">
      <c r="A496" s="1"/>
      <c r="B496" s="8"/>
      <c r="C496" s="2"/>
      <c r="D496" s="2"/>
      <c r="E496" s="2"/>
      <c r="F496" s="2"/>
      <c r="G496" s="7"/>
      <c r="H496" s="7"/>
      <c r="I496" s="7"/>
      <c r="J496" s="7"/>
      <c r="K496" s="7"/>
      <c r="L496" s="7"/>
      <c r="M496" s="7"/>
      <c r="N496" s="4"/>
      <c r="O496" s="4"/>
      <c r="P496" s="4"/>
      <c r="Q496" s="4"/>
      <c r="R496" s="4"/>
    </row>
    <row r="497">
      <c r="A497" s="1"/>
      <c r="B497" s="8"/>
      <c r="C497" s="2"/>
      <c r="D497" s="2"/>
      <c r="E497" s="2"/>
      <c r="F497" s="2"/>
      <c r="G497" s="7"/>
      <c r="H497" s="7"/>
      <c r="I497" s="7"/>
      <c r="J497" s="7"/>
      <c r="K497" s="7"/>
      <c r="L497" s="7"/>
      <c r="M497" s="7"/>
      <c r="N497" s="4"/>
      <c r="O497" s="4"/>
      <c r="P497" s="4"/>
      <c r="Q497" s="4"/>
      <c r="R497" s="4"/>
    </row>
    <row r="498">
      <c r="A498" s="1"/>
      <c r="B498" s="8"/>
      <c r="C498" s="2"/>
      <c r="D498" s="2"/>
      <c r="E498" s="2"/>
      <c r="F498" s="2"/>
      <c r="G498" s="7"/>
      <c r="H498" s="7"/>
      <c r="I498" s="7"/>
      <c r="J498" s="7"/>
      <c r="K498" s="7"/>
      <c r="L498" s="7"/>
      <c r="M498" s="7"/>
      <c r="N498" s="4"/>
      <c r="O498" s="4"/>
      <c r="P498" s="4"/>
      <c r="Q498" s="4"/>
      <c r="R498" s="4"/>
    </row>
    <row r="499">
      <c r="A499" s="1"/>
      <c r="B499" s="8"/>
      <c r="C499" s="2"/>
      <c r="D499" s="2"/>
      <c r="E499" s="2"/>
      <c r="F499" s="2"/>
      <c r="G499" s="7"/>
      <c r="H499" s="7"/>
      <c r="I499" s="7"/>
      <c r="J499" s="7"/>
      <c r="K499" s="7"/>
      <c r="L499" s="7"/>
      <c r="M499" s="7"/>
      <c r="N499" s="4"/>
      <c r="O499" s="4"/>
      <c r="P499" s="4"/>
      <c r="Q499" s="4"/>
      <c r="R499" s="4"/>
    </row>
    <row r="500">
      <c r="A500" s="1"/>
      <c r="B500" s="8"/>
      <c r="C500" s="2"/>
      <c r="D500" s="2"/>
      <c r="E500" s="2"/>
      <c r="F500" s="2"/>
      <c r="G500" s="7"/>
      <c r="H500" s="7"/>
      <c r="I500" s="7"/>
      <c r="J500" s="7"/>
      <c r="K500" s="7"/>
      <c r="L500" s="7"/>
      <c r="M500" s="7"/>
      <c r="N500" s="4"/>
      <c r="O500" s="4"/>
      <c r="P500" s="4"/>
      <c r="Q500" s="4"/>
      <c r="R500" s="4"/>
    </row>
    <row r="501">
      <c r="A501" s="1"/>
      <c r="B501" s="8"/>
      <c r="C501" s="2"/>
      <c r="D501" s="2"/>
      <c r="E501" s="2"/>
      <c r="F501" s="2"/>
      <c r="G501" s="7"/>
      <c r="H501" s="7"/>
      <c r="I501" s="7"/>
      <c r="J501" s="7"/>
      <c r="K501" s="7"/>
      <c r="L501" s="7"/>
      <c r="M501" s="7"/>
      <c r="N501" s="4"/>
      <c r="O501" s="4"/>
      <c r="P501" s="4"/>
      <c r="Q501" s="4"/>
      <c r="R501" s="4"/>
    </row>
    <row r="502">
      <c r="A502" s="1"/>
      <c r="B502" s="8"/>
      <c r="C502" s="2"/>
      <c r="D502" s="2"/>
      <c r="E502" s="2"/>
      <c r="F502" s="2"/>
      <c r="G502" s="7"/>
      <c r="H502" s="7"/>
      <c r="I502" s="7"/>
      <c r="J502" s="7"/>
      <c r="K502" s="7"/>
      <c r="L502" s="7"/>
      <c r="M502" s="7"/>
      <c r="N502" s="4"/>
      <c r="O502" s="4"/>
      <c r="P502" s="4"/>
      <c r="Q502" s="4"/>
      <c r="R502" s="4"/>
    </row>
    <row r="503">
      <c r="A503" s="1"/>
      <c r="B503" s="8"/>
      <c r="C503" s="2"/>
      <c r="D503" s="2"/>
      <c r="E503" s="2"/>
      <c r="F503" s="2"/>
      <c r="G503" s="7"/>
      <c r="H503" s="7"/>
      <c r="I503" s="7"/>
      <c r="J503" s="7"/>
      <c r="K503" s="7"/>
      <c r="L503" s="7"/>
      <c r="M503" s="7"/>
      <c r="N503" s="4"/>
      <c r="O503" s="4"/>
      <c r="P503" s="4"/>
      <c r="Q503" s="4"/>
      <c r="R503" s="4"/>
    </row>
    <row r="504">
      <c r="A504" s="1"/>
      <c r="B504" s="8"/>
      <c r="C504" s="2"/>
      <c r="D504" s="2"/>
      <c r="E504" s="2"/>
      <c r="F504" s="2"/>
      <c r="G504" s="7"/>
      <c r="H504" s="7"/>
      <c r="I504" s="7"/>
      <c r="J504" s="7"/>
      <c r="K504" s="7"/>
      <c r="L504" s="7"/>
      <c r="M504" s="7"/>
      <c r="N504" s="4"/>
      <c r="O504" s="4"/>
      <c r="P504" s="4"/>
      <c r="Q504" s="4"/>
      <c r="R504" s="4"/>
    </row>
    <row r="505">
      <c r="A505" s="1"/>
      <c r="B505" s="8"/>
      <c r="C505" s="2"/>
      <c r="D505" s="2"/>
      <c r="E505" s="2"/>
      <c r="F505" s="2"/>
      <c r="G505" s="7"/>
      <c r="H505" s="7"/>
      <c r="I505" s="7"/>
      <c r="J505" s="7"/>
      <c r="K505" s="7"/>
      <c r="L505" s="7"/>
      <c r="M505" s="7"/>
      <c r="N505" s="4"/>
      <c r="O505" s="4"/>
      <c r="P505" s="4"/>
      <c r="Q505" s="4"/>
      <c r="R505" s="4"/>
    </row>
    <row r="506">
      <c r="A506" s="1"/>
      <c r="B506" s="8"/>
      <c r="C506" s="2"/>
      <c r="D506" s="2"/>
      <c r="E506" s="2"/>
      <c r="F506" s="2"/>
      <c r="G506" s="7"/>
      <c r="H506" s="7"/>
      <c r="I506" s="7"/>
      <c r="J506" s="7"/>
      <c r="K506" s="7"/>
      <c r="L506" s="7"/>
      <c r="M506" s="7"/>
      <c r="N506" s="4"/>
      <c r="O506" s="4"/>
      <c r="P506" s="4"/>
      <c r="Q506" s="4"/>
      <c r="R506" s="4"/>
    </row>
    <row r="507">
      <c r="A507" s="1"/>
      <c r="B507" s="8"/>
      <c r="C507" s="2"/>
      <c r="D507" s="2"/>
      <c r="E507" s="2"/>
      <c r="F507" s="2"/>
      <c r="G507" s="7"/>
      <c r="H507" s="7"/>
      <c r="I507" s="7"/>
      <c r="J507" s="7"/>
      <c r="K507" s="7"/>
      <c r="L507" s="7"/>
      <c r="M507" s="7"/>
      <c r="N507" s="4"/>
      <c r="O507" s="4"/>
      <c r="P507" s="4"/>
      <c r="Q507" s="4"/>
      <c r="R507" s="4"/>
    </row>
    <row r="508">
      <c r="A508" s="1"/>
      <c r="B508" s="8"/>
      <c r="C508" s="2"/>
      <c r="D508" s="2"/>
      <c r="E508" s="2"/>
      <c r="F508" s="2"/>
      <c r="G508" s="7"/>
      <c r="H508" s="7"/>
      <c r="I508" s="7"/>
      <c r="J508" s="7"/>
      <c r="K508" s="7"/>
      <c r="L508" s="7"/>
      <c r="M508" s="7"/>
      <c r="N508" s="4"/>
      <c r="O508" s="4"/>
      <c r="P508" s="4"/>
      <c r="Q508" s="4"/>
      <c r="R508" s="4"/>
    </row>
    <row r="509">
      <c r="A509" s="1"/>
      <c r="B509" s="8"/>
      <c r="C509" s="2"/>
      <c r="D509" s="2"/>
      <c r="E509" s="2"/>
      <c r="F509" s="2"/>
      <c r="G509" s="7"/>
      <c r="H509" s="7"/>
      <c r="I509" s="7"/>
      <c r="J509" s="7"/>
      <c r="K509" s="7"/>
      <c r="L509" s="7"/>
      <c r="M509" s="7"/>
      <c r="N509" s="4"/>
      <c r="O509" s="4"/>
      <c r="P509" s="4"/>
      <c r="Q509" s="4"/>
      <c r="R509" s="4"/>
    </row>
    <row r="510">
      <c r="A510" s="1"/>
      <c r="B510" s="8"/>
      <c r="C510" s="2"/>
      <c r="D510" s="2"/>
      <c r="E510" s="2"/>
      <c r="F510" s="2"/>
      <c r="G510" s="7"/>
      <c r="H510" s="7"/>
      <c r="I510" s="7"/>
      <c r="J510" s="7"/>
      <c r="K510" s="7"/>
      <c r="L510" s="7"/>
      <c r="M510" s="7"/>
      <c r="N510" s="4"/>
      <c r="O510" s="4"/>
      <c r="P510" s="4"/>
      <c r="Q510" s="4"/>
      <c r="R510" s="4"/>
    </row>
    <row r="511">
      <c r="A511" s="1"/>
      <c r="B511" s="8"/>
      <c r="C511" s="2"/>
      <c r="D511" s="2"/>
      <c r="E511" s="2"/>
      <c r="F511" s="2"/>
      <c r="G511" s="7"/>
      <c r="H511" s="7"/>
      <c r="I511" s="7"/>
      <c r="J511" s="7"/>
      <c r="K511" s="7"/>
      <c r="L511" s="7"/>
      <c r="M511" s="7"/>
      <c r="N511" s="4"/>
      <c r="O511" s="4"/>
      <c r="P511" s="4"/>
      <c r="Q511" s="4"/>
      <c r="R511" s="4"/>
    </row>
    <row r="512">
      <c r="A512" s="1"/>
      <c r="B512" s="8"/>
      <c r="C512" s="2"/>
      <c r="D512" s="2"/>
      <c r="E512" s="2"/>
      <c r="F512" s="2"/>
      <c r="G512" s="7"/>
      <c r="H512" s="7"/>
      <c r="I512" s="7"/>
      <c r="J512" s="7"/>
      <c r="K512" s="7"/>
      <c r="L512" s="7"/>
      <c r="M512" s="7"/>
      <c r="N512" s="4"/>
      <c r="O512" s="4"/>
      <c r="P512" s="4"/>
      <c r="Q512" s="4"/>
      <c r="R512" s="4"/>
    </row>
    <row r="513">
      <c r="A513" s="1"/>
      <c r="B513" s="8"/>
      <c r="C513" s="2"/>
      <c r="D513" s="2"/>
      <c r="E513" s="2"/>
      <c r="F513" s="2"/>
      <c r="G513" s="7"/>
      <c r="H513" s="7"/>
      <c r="I513" s="7"/>
      <c r="J513" s="7"/>
      <c r="K513" s="7"/>
      <c r="L513" s="7"/>
      <c r="M513" s="7"/>
      <c r="N513" s="4"/>
      <c r="O513" s="4"/>
      <c r="P513" s="4"/>
      <c r="Q513" s="4"/>
      <c r="R513" s="4"/>
    </row>
    <row r="514">
      <c r="A514" s="1"/>
      <c r="B514" s="8"/>
      <c r="C514" s="2"/>
      <c r="D514" s="2"/>
      <c r="E514" s="2"/>
      <c r="F514" s="2"/>
      <c r="G514" s="7"/>
      <c r="H514" s="7"/>
      <c r="I514" s="7"/>
      <c r="J514" s="7"/>
      <c r="K514" s="7"/>
      <c r="L514" s="7"/>
      <c r="M514" s="7"/>
      <c r="N514" s="4"/>
      <c r="O514" s="4"/>
      <c r="P514" s="4"/>
      <c r="Q514" s="4"/>
      <c r="R514" s="4"/>
    </row>
    <row r="515">
      <c r="A515" s="1"/>
      <c r="B515" s="8"/>
      <c r="C515" s="2"/>
      <c r="D515" s="2"/>
      <c r="E515" s="2"/>
      <c r="F515" s="2"/>
      <c r="G515" s="7"/>
      <c r="H515" s="7"/>
      <c r="I515" s="7"/>
      <c r="J515" s="7"/>
      <c r="K515" s="7"/>
      <c r="L515" s="7"/>
      <c r="M515" s="7"/>
      <c r="N515" s="4"/>
      <c r="O515" s="4"/>
      <c r="P515" s="4"/>
      <c r="Q515" s="4"/>
      <c r="R515" s="4"/>
    </row>
    <row r="516">
      <c r="A516" s="1"/>
      <c r="B516" s="8"/>
      <c r="C516" s="2"/>
      <c r="D516" s="2"/>
      <c r="E516" s="2"/>
      <c r="F516" s="2"/>
      <c r="G516" s="7"/>
      <c r="H516" s="7"/>
      <c r="I516" s="7"/>
      <c r="J516" s="7"/>
      <c r="K516" s="7"/>
      <c r="L516" s="7"/>
      <c r="M516" s="7"/>
      <c r="N516" s="4"/>
      <c r="O516" s="4"/>
      <c r="P516" s="4"/>
      <c r="Q516" s="4"/>
      <c r="R516" s="4"/>
    </row>
    <row r="517">
      <c r="A517" s="1"/>
      <c r="B517" s="8"/>
      <c r="C517" s="2"/>
      <c r="D517" s="2"/>
      <c r="E517" s="2"/>
      <c r="F517" s="2"/>
      <c r="G517" s="7"/>
      <c r="H517" s="7"/>
      <c r="I517" s="7"/>
      <c r="J517" s="7"/>
      <c r="K517" s="7"/>
      <c r="L517" s="7"/>
      <c r="M517" s="7"/>
      <c r="N517" s="4"/>
      <c r="O517" s="4"/>
      <c r="P517" s="4"/>
      <c r="Q517" s="4"/>
      <c r="R517" s="4"/>
    </row>
    <row r="518">
      <c r="A518" s="1"/>
      <c r="B518" s="8"/>
      <c r="C518" s="2"/>
      <c r="D518" s="2"/>
      <c r="E518" s="2"/>
      <c r="F518" s="2"/>
      <c r="G518" s="7"/>
      <c r="H518" s="7"/>
      <c r="I518" s="7"/>
      <c r="J518" s="7"/>
      <c r="K518" s="7"/>
      <c r="L518" s="7"/>
      <c r="M518" s="7"/>
      <c r="N518" s="4"/>
      <c r="O518" s="4"/>
      <c r="P518" s="4"/>
      <c r="Q518" s="4"/>
      <c r="R518" s="4"/>
    </row>
    <row r="519">
      <c r="A519" s="1"/>
      <c r="B519" s="8"/>
      <c r="C519" s="2"/>
      <c r="D519" s="2"/>
      <c r="E519" s="2"/>
      <c r="F519" s="2"/>
      <c r="G519" s="7"/>
      <c r="H519" s="7"/>
      <c r="I519" s="7"/>
      <c r="J519" s="7"/>
      <c r="K519" s="7"/>
      <c r="L519" s="7"/>
      <c r="M519" s="7"/>
      <c r="N519" s="4"/>
      <c r="O519" s="4"/>
      <c r="P519" s="4"/>
      <c r="Q519" s="4"/>
      <c r="R519" s="4"/>
    </row>
    <row r="520">
      <c r="A520" s="1"/>
      <c r="B520" s="8"/>
      <c r="C520" s="2"/>
      <c r="D520" s="2"/>
      <c r="E520" s="2"/>
      <c r="F520" s="2"/>
      <c r="G520" s="7"/>
      <c r="H520" s="7"/>
      <c r="I520" s="7"/>
      <c r="J520" s="7"/>
      <c r="K520" s="7"/>
      <c r="L520" s="7"/>
      <c r="M520" s="7"/>
      <c r="N520" s="4"/>
      <c r="O520" s="4"/>
      <c r="P520" s="4"/>
      <c r="Q520" s="4"/>
      <c r="R520" s="4"/>
    </row>
    <row r="521">
      <c r="A521" s="1"/>
      <c r="B521" s="8"/>
      <c r="C521" s="2"/>
      <c r="D521" s="2"/>
      <c r="E521" s="2"/>
      <c r="F521" s="2"/>
      <c r="G521" s="7"/>
      <c r="H521" s="7"/>
      <c r="I521" s="7"/>
      <c r="J521" s="7"/>
      <c r="K521" s="7"/>
      <c r="L521" s="7"/>
      <c r="M521" s="7"/>
      <c r="N521" s="4"/>
      <c r="O521" s="4"/>
      <c r="P521" s="4"/>
      <c r="Q521" s="4"/>
      <c r="R521" s="4"/>
    </row>
    <row r="522">
      <c r="A522" s="1"/>
      <c r="B522" s="8"/>
      <c r="C522" s="2"/>
      <c r="D522" s="2"/>
      <c r="E522" s="2"/>
      <c r="F522" s="2"/>
      <c r="G522" s="7"/>
      <c r="H522" s="7"/>
      <c r="I522" s="7"/>
      <c r="J522" s="7"/>
      <c r="K522" s="7"/>
      <c r="L522" s="7"/>
      <c r="M522" s="7"/>
      <c r="N522" s="4"/>
      <c r="O522" s="4"/>
      <c r="P522" s="4"/>
      <c r="Q522" s="4"/>
      <c r="R522" s="4"/>
    </row>
    <row r="523">
      <c r="A523" s="1"/>
      <c r="B523" s="8"/>
      <c r="C523" s="2"/>
      <c r="D523" s="2"/>
      <c r="E523" s="2"/>
      <c r="F523" s="2"/>
      <c r="G523" s="7"/>
      <c r="H523" s="7"/>
      <c r="I523" s="7"/>
      <c r="J523" s="7"/>
      <c r="K523" s="7"/>
      <c r="L523" s="7"/>
      <c r="M523" s="7"/>
      <c r="N523" s="4"/>
      <c r="O523" s="4"/>
      <c r="P523" s="4"/>
      <c r="Q523" s="4"/>
      <c r="R523" s="4"/>
    </row>
    <row r="524">
      <c r="A524" s="1"/>
      <c r="B524" s="8"/>
      <c r="C524" s="2"/>
      <c r="D524" s="2"/>
      <c r="E524" s="2"/>
      <c r="F524" s="2"/>
      <c r="G524" s="7"/>
      <c r="H524" s="7"/>
      <c r="I524" s="7"/>
      <c r="J524" s="7"/>
      <c r="K524" s="7"/>
      <c r="L524" s="7"/>
      <c r="M524" s="7"/>
      <c r="N524" s="4"/>
      <c r="O524" s="4"/>
      <c r="P524" s="4"/>
      <c r="Q524" s="4"/>
      <c r="R524" s="4"/>
    </row>
    <row r="525">
      <c r="A525" s="1"/>
      <c r="B525" s="8"/>
      <c r="C525" s="2"/>
      <c r="D525" s="2"/>
      <c r="E525" s="2"/>
      <c r="F525" s="2"/>
      <c r="G525" s="7"/>
      <c r="H525" s="7"/>
      <c r="I525" s="7"/>
      <c r="J525" s="7"/>
      <c r="K525" s="7"/>
      <c r="L525" s="7"/>
      <c r="M525" s="7"/>
      <c r="N525" s="4"/>
      <c r="O525" s="4"/>
      <c r="P525" s="4"/>
      <c r="Q525" s="4"/>
      <c r="R525" s="4"/>
    </row>
    <row r="526">
      <c r="A526" s="1"/>
      <c r="B526" s="8"/>
      <c r="C526" s="2"/>
      <c r="D526" s="2"/>
      <c r="E526" s="2"/>
      <c r="F526" s="2"/>
      <c r="G526" s="7"/>
      <c r="H526" s="7"/>
      <c r="I526" s="7"/>
      <c r="J526" s="7"/>
      <c r="K526" s="7"/>
      <c r="L526" s="7"/>
      <c r="M526" s="7"/>
      <c r="N526" s="4"/>
      <c r="O526" s="4"/>
      <c r="P526" s="4"/>
      <c r="Q526" s="4"/>
      <c r="R526" s="4"/>
    </row>
    <row r="527">
      <c r="A527" s="1"/>
      <c r="B527" s="8"/>
      <c r="C527" s="2"/>
      <c r="D527" s="2"/>
      <c r="E527" s="2"/>
      <c r="F527" s="2"/>
      <c r="G527" s="7"/>
      <c r="H527" s="7"/>
      <c r="I527" s="7"/>
      <c r="J527" s="7"/>
      <c r="K527" s="7"/>
      <c r="L527" s="7"/>
      <c r="M527" s="7"/>
      <c r="N527" s="4"/>
      <c r="O527" s="4"/>
      <c r="P527" s="4"/>
      <c r="Q527" s="4"/>
      <c r="R527" s="4"/>
    </row>
    <row r="528">
      <c r="A528" s="1"/>
      <c r="B528" s="8"/>
      <c r="C528" s="2"/>
      <c r="D528" s="2"/>
      <c r="E528" s="2"/>
      <c r="F528" s="2"/>
      <c r="G528" s="7"/>
      <c r="H528" s="7"/>
      <c r="I528" s="7"/>
      <c r="J528" s="7"/>
      <c r="K528" s="7"/>
      <c r="L528" s="7"/>
      <c r="M528" s="7"/>
      <c r="N528" s="4"/>
      <c r="O528" s="4"/>
      <c r="P528" s="4"/>
      <c r="Q528" s="4"/>
      <c r="R528" s="4"/>
    </row>
    <row r="529">
      <c r="A529" s="1"/>
      <c r="B529" s="8"/>
      <c r="C529" s="2"/>
      <c r="D529" s="2"/>
      <c r="E529" s="2"/>
      <c r="F529" s="2"/>
      <c r="G529" s="7"/>
      <c r="H529" s="7"/>
      <c r="I529" s="7"/>
      <c r="J529" s="7"/>
      <c r="K529" s="7"/>
      <c r="L529" s="7"/>
      <c r="M529" s="7"/>
      <c r="N529" s="4"/>
      <c r="O529" s="4"/>
      <c r="P529" s="4"/>
      <c r="Q529" s="4"/>
      <c r="R529" s="4"/>
    </row>
    <row r="530">
      <c r="A530" s="1"/>
      <c r="B530" s="8"/>
      <c r="C530" s="2"/>
      <c r="D530" s="2"/>
      <c r="E530" s="2"/>
      <c r="F530" s="2"/>
      <c r="G530" s="7"/>
      <c r="H530" s="7"/>
      <c r="I530" s="7"/>
      <c r="J530" s="7"/>
      <c r="K530" s="7"/>
      <c r="L530" s="7"/>
      <c r="M530" s="7"/>
      <c r="N530" s="4"/>
      <c r="O530" s="4"/>
      <c r="P530" s="4"/>
      <c r="Q530" s="4"/>
      <c r="R530" s="4"/>
    </row>
    <row r="531">
      <c r="A531" s="1"/>
      <c r="B531" s="8"/>
      <c r="C531" s="2"/>
      <c r="D531" s="2"/>
      <c r="E531" s="2"/>
      <c r="F531" s="2"/>
      <c r="G531" s="7"/>
      <c r="H531" s="7"/>
      <c r="I531" s="7"/>
      <c r="J531" s="7"/>
      <c r="K531" s="7"/>
      <c r="L531" s="7"/>
      <c r="M531" s="7"/>
      <c r="N531" s="4"/>
      <c r="O531" s="4"/>
      <c r="P531" s="4"/>
      <c r="Q531" s="4"/>
      <c r="R531" s="4"/>
    </row>
    <row r="532">
      <c r="A532" s="1"/>
      <c r="B532" s="8"/>
      <c r="C532" s="2"/>
      <c r="D532" s="2"/>
      <c r="E532" s="2"/>
      <c r="F532" s="2"/>
      <c r="G532" s="7"/>
      <c r="H532" s="7"/>
      <c r="I532" s="7"/>
      <c r="J532" s="7"/>
      <c r="K532" s="7"/>
      <c r="L532" s="7"/>
      <c r="M532" s="7"/>
      <c r="N532" s="4"/>
      <c r="O532" s="4"/>
      <c r="P532" s="4"/>
      <c r="Q532" s="4"/>
      <c r="R532" s="4"/>
    </row>
    <row r="533">
      <c r="A533" s="1"/>
      <c r="B533" s="8"/>
      <c r="C533" s="2"/>
      <c r="D533" s="2"/>
      <c r="E533" s="2"/>
      <c r="F533" s="2"/>
      <c r="G533" s="7"/>
      <c r="H533" s="7"/>
      <c r="I533" s="7"/>
      <c r="J533" s="7"/>
      <c r="K533" s="7"/>
      <c r="L533" s="7"/>
      <c r="M533" s="7"/>
      <c r="N533" s="4"/>
      <c r="O533" s="4"/>
      <c r="P533" s="4"/>
      <c r="Q533" s="4"/>
      <c r="R533" s="4"/>
    </row>
    <row r="534">
      <c r="A534" s="1"/>
      <c r="B534" s="8"/>
      <c r="C534" s="2"/>
      <c r="D534" s="2"/>
      <c r="E534" s="2"/>
      <c r="F534" s="2"/>
      <c r="G534" s="7"/>
      <c r="H534" s="7"/>
      <c r="I534" s="7"/>
      <c r="J534" s="7"/>
      <c r="K534" s="7"/>
      <c r="L534" s="7"/>
      <c r="M534" s="7"/>
      <c r="N534" s="4"/>
      <c r="O534" s="4"/>
      <c r="P534" s="4"/>
      <c r="Q534" s="4"/>
      <c r="R534" s="4"/>
    </row>
    <row r="535">
      <c r="A535" s="1"/>
      <c r="B535" s="8"/>
      <c r="C535" s="2"/>
      <c r="D535" s="2"/>
      <c r="E535" s="2"/>
      <c r="F535" s="2"/>
      <c r="G535" s="7"/>
      <c r="H535" s="7"/>
      <c r="I535" s="7"/>
      <c r="J535" s="7"/>
      <c r="K535" s="7"/>
      <c r="L535" s="7"/>
      <c r="M535" s="7"/>
      <c r="N535" s="4"/>
      <c r="O535" s="4"/>
      <c r="P535" s="4"/>
      <c r="Q535" s="4"/>
      <c r="R535" s="4"/>
    </row>
    <row r="536">
      <c r="A536" s="1"/>
      <c r="B536" s="8"/>
      <c r="C536" s="2"/>
      <c r="D536" s="2"/>
      <c r="E536" s="2"/>
      <c r="F536" s="2"/>
      <c r="G536" s="7"/>
      <c r="H536" s="7"/>
      <c r="I536" s="7"/>
      <c r="J536" s="7"/>
      <c r="K536" s="7"/>
      <c r="L536" s="7"/>
      <c r="M536" s="7"/>
      <c r="N536" s="4"/>
      <c r="O536" s="4"/>
      <c r="P536" s="4"/>
      <c r="Q536" s="4"/>
      <c r="R536" s="4"/>
    </row>
    <row r="537">
      <c r="A537" s="1"/>
      <c r="B537" s="8"/>
      <c r="C537" s="2"/>
      <c r="D537" s="2"/>
      <c r="E537" s="2"/>
      <c r="F537" s="2"/>
      <c r="G537" s="7"/>
      <c r="H537" s="7"/>
      <c r="I537" s="7"/>
      <c r="J537" s="7"/>
      <c r="K537" s="7"/>
      <c r="L537" s="7"/>
      <c r="M537" s="7"/>
      <c r="N537" s="4"/>
      <c r="O537" s="4"/>
      <c r="P537" s="4"/>
      <c r="Q537" s="4"/>
      <c r="R537" s="4"/>
    </row>
    <row r="538">
      <c r="A538" s="1"/>
      <c r="B538" s="8"/>
      <c r="C538" s="2"/>
      <c r="D538" s="2"/>
      <c r="E538" s="2"/>
      <c r="F538" s="2"/>
      <c r="G538" s="7"/>
      <c r="H538" s="7"/>
      <c r="I538" s="7"/>
      <c r="J538" s="7"/>
      <c r="K538" s="7"/>
      <c r="L538" s="7"/>
      <c r="M538" s="7"/>
      <c r="N538" s="4"/>
      <c r="O538" s="4"/>
      <c r="P538" s="4"/>
      <c r="Q538" s="4"/>
      <c r="R538" s="4"/>
    </row>
    <row r="539">
      <c r="A539" s="1"/>
      <c r="B539" s="8"/>
      <c r="C539" s="2"/>
      <c r="D539" s="2"/>
      <c r="E539" s="2"/>
      <c r="F539" s="2"/>
      <c r="G539" s="7"/>
      <c r="H539" s="7"/>
      <c r="I539" s="7"/>
      <c r="J539" s="7"/>
      <c r="K539" s="7"/>
      <c r="L539" s="7"/>
      <c r="M539" s="7"/>
      <c r="N539" s="4"/>
      <c r="O539" s="4"/>
      <c r="P539" s="4"/>
      <c r="Q539" s="4"/>
      <c r="R539" s="4"/>
    </row>
    <row r="540">
      <c r="A540" s="1"/>
      <c r="B540" s="8"/>
      <c r="C540" s="2"/>
      <c r="D540" s="2"/>
      <c r="E540" s="2"/>
      <c r="F540" s="2"/>
      <c r="G540" s="7"/>
      <c r="H540" s="7"/>
      <c r="I540" s="7"/>
      <c r="J540" s="7"/>
      <c r="K540" s="7"/>
      <c r="L540" s="7"/>
      <c r="M540" s="7"/>
      <c r="N540" s="4"/>
      <c r="O540" s="4"/>
      <c r="P540" s="4"/>
      <c r="Q540" s="4"/>
      <c r="R540" s="4"/>
    </row>
    <row r="541">
      <c r="A541" s="1"/>
      <c r="B541" s="8"/>
      <c r="C541" s="2"/>
      <c r="D541" s="2"/>
      <c r="E541" s="2"/>
      <c r="F541" s="2"/>
      <c r="G541" s="7"/>
      <c r="H541" s="7"/>
      <c r="I541" s="7"/>
      <c r="J541" s="7"/>
      <c r="K541" s="7"/>
      <c r="L541" s="7"/>
      <c r="M541" s="7"/>
      <c r="N541" s="4"/>
      <c r="O541" s="4"/>
      <c r="P541" s="4"/>
      <c r="Q541" s="4"/>
      <c r="R541" s="4"/>
    </row>
    <row r="542">
      <c r="A542" s="1"/>
      <c r="B542" s="8"/>
      <c r="C542" s="2"/>
      <c r="D542" s="2"/>
      <c r="E542" s="2"/>
      <c r="F542" s="2"/>
      <c r="G542" s="7"/>
      <c r="H542" s="7"/>
      <c r="I542" s="7"/>
      <c r="J542" s="7"/>
      <c r="K542" s="7"/>
      <c r="L542" s="7"/>
      <c r="M542" s="7"/>
      <c r="N542" s="4"/>
      <c r="O542" s="4"/>
      <c r="P542" s="4"/>
      <c r="Q542" s="4"/>
      <c r="R542" s="4"/>
    </row>
    <row r="543">
      <c r="A543" s="1"/>
      <c r="B543" s="8"/>
      <c r="C543" s="2"/>
      <c r="D543" s="2"/>
      <c r="E543" s="2"/>
      <c r="F543" s="2"/>
      <c r="G543" s="7"/>
      <c r="H543" s="7"/>
      <c r="I543" s="7"/>
      <c r="J543" s="7"/>
      <c r="K543" s="7"/>
      <c r="L543" s="7"/>
      <c r="M543" s="7"/>
      <c r="N543" s="4"/>
      <c r="O543" s="4"/>
      <c r="P543" s="4"/>
      <c r="Q543" s="4"/>
      <c r="R543" s="4"/>
    </row>
    <row r="544">
      <c r="A544" s="1"/>
      <c r="B544" s="8"/>
      <c r="C544" s="2"/>
      <c r="D544" s="2"/>
      <c r="E544" s="2"/>
      <c r="F544" s="2"/>
      <c r="G544" s="7"/>
      <c r="H544" s="7"/>
      <c r="I544" s="7"/>
      <c r="J544" s="7"/>
      <c r="K544" s="7"/>
      <c r="L544" s="7"/>
      <c r="M544" s="7"/>
      <c r="N544" s="4"/>
      <c r="O544" s="4"/>
      <c r="P544" s="4"/>
      <c r="Q544" s="4"/>
      <c r="R544" s="4"/>
    </row>
    <row r="545">
      <c r="A545" s="1"/>
      <c r="B545" s="8"/>
      <c r="C545" s="2"/>
      <c r="D545" s="2"/>
      <c r="E545" s="2"/>
      <c r="F545" s="2"/>
      <c r="G545" s="7"/>
      <c r="H545" s="7"/>
      <c r="I545" s="7"/>
      <c r="J545" s="7"/>
      <c r="K545" s="7"/>
      <c r="L545" s="7"/>
      <c r="M545" s="7"/>
      <c r="N545" s="4"/>
      <c r="O545" s="4"/>
      <c r="P545" s="4"/>
      <c r="Q545" s="4"/>
      <c r="R545" s="4"/>
    </row>
    <row r="546">
      <c r="A546" s="1"/>
      <c r="B546" s="8"/>
      <c r="C546" s="2"/>
      <c r="D546" s="2"/>
      <c r="E546" s="2"/>
      <c r="F546" s="2"/>
      <c r="G546" s="7"/>
      <c r="H546" s="7"/>
      <c r="I546" s="7"/>
      <c r="J546" s="7"/>
      <c r="K546" s="7"/>
      <c r="L546" s="7"/>
      <c r="M546" s="7"/>
      <c r="N546" s="4"/>
      <c r="O546" s="4"/>
      <c r="P546" s="4"/>
      <c r="Q546" s="4"/>
      <c r="R546" s="4"/>
    </row>
    <row r="547">
      <c r="A547" s="1"/>
      <c r="B547" s="8"/>
      <c r="C547" s="2"/>
      <c r="D547" s="2"/>
      <c r="E547" s="2"/>
      <c r="F547" s="2"/>
      <c r="G547" s="7"/>
      <c r="H547" s="7"/>
      <c r="I547" s="7"/>
      <c r="J547" s="7"/>
      <c r="K547" s="7"/>
      <c r="L547" s="7"/>
      <c r="M547" s="7"/>
      <c r="N547" s="4"/>
      <c r="O547" s="4"/>
      <c r="P547" s="4"/>
      <c r="Q547" s="4"/>
      <c r="R547" s="4"/>
    </row>
    <row r="548">
      <c r="A548" s="1"/>
      <c r="B548" s="8"/>
      <c r="C548" s="2"/>
      <c r="D548" s="2"/>
      <c r="E548" s="2"/>
      <c r="F548" s="2"/>
      <c r="G548" s="7"/>
      <c r="H548" s="7"/>
      <c r="I548" s="7"/>
      <c r="J548" s="7"/>
      <c r="K548" s="7"/>
      <c r="L548" s="7"/>
      <c r="M548" s="7"/>
      <c r="N548" s="4"/>
      <c r="O548" s="4"/>
      <c r="P548" s="4"/>
      <c r="Q548" s="4"/>
      <c r="R548" s="4"/>
    </row>
    <row r="549">
      <c r="A549" s="1"/>
      <c r="B549" s="8"/>
      <c r="C549" s="2"/>
      <c r="D549" s="2"/>
      <c r="E549" s="2"/>
      <c r="F549" s="2"/>
      <c r="G549" s="7"/>
      <c r="H549" s="7"/>
      <c r="I549" s="7"/>
      <c r="J549" s="7"/>
      <c r="K549" s="7"/>
      <c r="L549" s="7"/>
      <c r="M549" s="7"/>
      <c r="N549" s="4"/>
      <c r="O549" s="4"/>
      <c r="P549" s="4"/>
      <c r="Q549" s="4"/>
      <c r="R549" s="4"/>
    </row>
    <row r="550">
      <c r="A550" s="1"/>
      <c r="B550" s="8"/>
      <c r="C550" s="2"/>
      <c r="D550" s="2"/>
      <c r="E550" s="2"/>
      <c r="F550" s="2"/>
      <c r="G550" s="7"/>
      <c r="H550" s="7"/>
      <c r="I550" s="7"/>
      <c r="J550" s="7"/>
      <c r="K550" s="7"/>
      <c r="L550" s="7"/>
      <c r="M550" s="7"/>
      <c r="N550" s="4"/>
      <c r="O550" s="4"/>
      <c r="P550" s="4"/>
      <c r="Q550" s="4"/>
      <c r="R550" s="4"/>
    </row>
    <row r="551">
      <c r="A551" s="1"/>
      <c r="B551" s="8"/>
      <c r="C551" s="2"/>
      <c r="D551" s="2"/>
      <c r="E551" s="2"/>
      <c r="F551" s="2"/>
      <c r="G551" s="7"/>
      <c r="H551" s="7"/>
      <c r="I551" s="7"/>
      <c r="J551" s="7"/>
      <c r="K551" s="7"/>
      <c r="L551" s="7"/>
      <c r="M551" s="7"/>
      <c r="N551" s="4"/>
      <c r="O551" s="4"/>
      <c r="P551" s="4"/>
      <c r="Q551" s="4"/>
      <c r="R551" s="4"/>
    </row>
    <row r="552">
      <c r="A552" s="1"/>
      <c r="B552" s="8"/>
      <c r="C552" s="2"/>
      <c r="D552" s="2"/>
      <c r="E552" s="2"/>
      <c r="F552" s="2"/>
      <c r="G552" s="7"/>
      <c r="H552" s="7"/>
      <c r="I552" s="7"/>
      <c r="J552" s="7"/>
      <c r="K552" s="7"/>
      <c r="L552" s="7"/>
      <c r="M552" s="7"/>
      <c r="N552" s="4"/>
      <c r="O552" s="4"/>
      <c r="P552" s="4"/>
      <c r="Q552" s="4"/>
      <c r="R552" s="4"/>
    </row>
    <row r="553">
      <c r="A553" s="1"/>
      <c r="B553" s="8"/>
      <c r="C553" s="2"/>
      <c r="D553" s="2"/>
      <c r="E553" s="2"/>
      <c r="F553" s="2"/>
      <c r="G553" s="7"/>
      <c r="H553" s="7"/>
      <c r="I553" s="7"/>
      <c r="J553" s="7"/>
      <c r="K553" s="7"/>
      <c r="L553" s="7"/>
      <c r="M553" s="7"/>
      <c r="N553" s="4"/>
      <c r="O553" s="4"/>
      <c r="P553" s="4"/>
      <c r="Q553" s="4"/>
      <c r="R553" s="4"/>
    </row>
    <row r="554">
      <c r="A554" s="1"/>
      <c r="B554" s="8"/>
      <c r="C554" s="2"/>
      <c r="D554" s="2"/>
      <c r="E554" s="2"/>
      <c r="F554" s="2"/>
      <c r="G554" s="7"/>
      <c r="H554" s="7"/>
      <c r="I554" s="7"/>
      <c r="J554" s="7"/>
      <c r="K554" s="7"/>
      <c r="L554" s="7"/>
      <c r="M554" s="7"/>
      <c r="N554" s="4"/>
      <c r="O554" s="4"/>
      <c r="P554" s="4"/>
      <c r="Q554" s="4"/>
      <c r="R554" s="4"/>
    </row>
    <row r="555">
      <c r="A555" s="1"/>
      <c r="B555" s="8"/>
      <c r="C555" s="2"/>
      <c r="D555" s="2"/>
      <c r="E555" s="2"/>
      <c r="F555" s="2"/>
      <c r="G555" s="7"/>
      <c r="H555" s="7"/>
      <c r="I555" s="7"/>
      <c r="J555" s="7"/>
      <c r="K555" s="7"/>
      <c r="L555" s="7"/>
      <c r="M555" s="7"/>
      <c r="N555" s="4"/>
      <c r="O555" s="4"/>
      <c r="P555" s="4"/>
      <c r="Q555" s="4"/>
      <c r="R555" s="4"/>
    </row>
    <row r="556">
      <c r="A556" s="1"/>
      <c r="B556" s="8"/>
      <c r="C556" s="2"/>
      <c r="D556" s="2"/>
      <c r="E556" s="2"/>
      <c r="F556" s="2"/>
      <c r="G556" s="7"/>
      <c r="H556" s="7"/>
      <c r="I556" s="7"/>
      <c r="J556" s="7"/>
      <c r="K556" s="7"/>
      <c r="L556" s="7"/>
      <c r="M556" s="7"/>
      <c r="N556" s="4"/>
      <c r="O556" s="4"/>
      <c r="P556" s="4"/>
      <c r="Q556" s="4"/>
      <c r="R556" s="4"/>
    </row>
    <row r="557">
      <c r="A557" s="1"/>
      <c r="B557" s="8"/>
      <c r="C557" s="2"/>
      <c r="D557" s="2"/>
      <c r="E557" s="2"/>
      <c r="F557" s="2"/>
      <c r="G557" s="7"/>
      <c r="H557" s="7"/>
      <c r="I557" s="7"/>
      <c r="J557" s="7"/>
      <c r="K557" s="7"/>
      <c r="L557" s="7"/>
      <c r="M557" s="7"/>
      <c r="N557" s="4"/>
      <c r="O557" s="4"/>
      <c r="P557" s="4"/>
      <c r="Q557" s="4"/>
      <c r="R557" s="4"/>
    </row>
    <row r="558">
      <c r="A558" s="1"/>
      <c r="B558" s="8"/>
      <c r="C558" s="2"/>
      <c r="D558" s="2"/>
      <c r="E558" s="2"/>
      <c r="F558" s="2"/>
      <c r="G558" s="7"/>
      <c r="H558" s="7"/>
      <c r="I558" s="7"/>
      <c r="J558" s="7"/>
      <c r="K558" s="7"/>
      <c r="L558" s="7"/>
      <c r="M558" s="7"/>
      <c r="N558" s="4"/>
      <c r="O558" s="4"/>
      <c r="P558" s="4"/>
      <c r="Q558" s="4"/>
      <c r="R558" s="4"/>
    </row>
    <row r="559">
      <c r="A559" s="1"/>
      <c r="B559" s="8"/>
      <c r="C559" s="2"/>
      <c r="D559" s="2"/>
      <c r="E559" s="2"/>
      <c r="F559" s="2"/>
      <c r="G559" s="7"/>
      <c r="H559" s="7"/>
      <c r="I559" s="7"/>
      <c r="J559" s="7"/>
      <c r="K559" s="7"/>
      <c r="L559" s="7"/>
      <c r="M559" s="7"/>
      <c r="N559" s="4"/>
      <c r="O559" s="4"/>
      <c r="P559" s="4"/>
      <c r="Q559" s="4"/>
      <c r="R559" s="4"/>
    </row>
    <row r="560">
      <c r="A560" s="1"/>
      <c r="B560" s="8"/>
      <c r="C560" s="2"/>
      <c r="D560" s="2"/>
      <c r="E560" s="2"/>
      <c r="F560" s="2"/>
      <c r="G560" s="7"/>
      <c r="H560" s="7"/>
      <c r="I560" s="7"/>
      <c r="J560" s="7"/>
      <c r="K560" s="7"/>
      <c r="L560" s="7"/>
      <c r="M560" s="7"/>
      <c r="N560" s="4"/>
      <c r="O560" s="4"/>
      <c r="P560" s="4"/>
      <c r="Q560" s="4"/>
      <c r="R560" s="4"/>
    </row>
    <row r="561">
      <c r="A561" s="1"/>
      <c r="B561" s="8"/>
      <c r="C561" s="2"/>
      <c r="D561" s="2"/>
      <c r="E561" s="2"/>
      <c r="F561" s="2"/>
      <c r="G561" s="7"/>
      <c r="H561" s="7"/>
      <c r="I561" s="7"/>
      <c r="J561" s="7"/>
      <c r="K561" s="7"/>
      <c r="L561" s="7"/>
      <c r="M561" s="7"/>
      <c r="N561" s="4"/>
      <c r="O561" s="4"/>
      <c r="P561" s="4"/>
      <c r="Q561" s="4"/>
      <c r="R561" s="4"/>
    </row>
    <row r="562">
      <c r="A562" s="1"/>
      <c r="B562" s="8"/>
      <c r="C562" s="2"/>
      <c r="D562" s="2"/>
      <c r="E562" s="2"/>
      <c r="F562" s="2"/>
      <c r="G562" s="7"/>
      <c r="H562" s="7"/>
      <c r="I562" s="7"/>
      <c r="J562" s="7"/>
      <c r="K562" s="7"/>
      <c r="L562" s="7"/>
      <c r="M562" s="7"/>
      <c r="N562" s="4"/>
      <c r="O562" s="4"/>
      <c r="P562" s="4"/>
      <c r="Q562" s="4"/>
      <c r="R562" s="4"/>
    </row>
    <row r="563">
      <c r="A563" s="1"/>
      <c r="B563" s="8"/>
      <c r="C563" s="2"/>
      <c r="D563" s="2"/>
      <c r="E563" s="2"/>
      <c r="F563" s="2"/>
      <c r="G563" s="7"/>
      <c r="H563" s="7"/>
      <c r="I563" s="7"/>
      <c r="J563" s="7"/>
      <c r="K563" s="7"/>
      <c r="L563" s="7"/>
      <c r="M563" s="7"/>
      <c r="N563" s="4"/>
      <c r="O563" s="4"/>
      <c r="P563" s="4"/>
      <c r="Q563" s="4"/>
      <c r="R563" s="4"/>
    </row>
    <row r="564">
      <c r="A564" s="1"/>
      <c r="B564" s="8"/>
      <c r="C564" s="2"/>
      <c r="D564" s="2"/>
      <c r="E564" s="2"/>
      <c r="F564" s="2"/>
      <c r="G564" s="7"/>
      <c r="H564" s="7"/>
      <c r="I564" s="7"/>
      <c r="J564" s="7"/>
      <c r="K564" s="7"/>
      <c r="L564" s="7"/>
      <c r="M564" s="7"/>
      <c r="N564" s="4"/>
      <c r="O564" s="4"/>
      <c r="P564" s="4"/>
      <c r="Q564" s="4"/>
      <c r="R564" s="4"/>
    </row>
    <row r="565">
      <c r="A565" s="1"/>
      <c r="B565" s="8"/>
      <c r="C565" s="2"/>
      <c r="D565" s="2"/>
      <c r="E565" s="2"/>
      <c r="F565" s="2"/>
      <c r="G565" s="7"/>
      <c r="H565" s="7"/>
      <c r="I565" s="7"/>
      <c r="J565" s="7"/>
      <c r="K565" s="7"/>
      <c r="L565" s="7"/>
      <c r="M565" s="7"/>
      <c r="N565" s="4"/>
      <c r="O565" s="4"/>
      <c r="P565" s="4"/>
      <c r="Q565" s="4"/>
      <c r="R565" s="4"/>
    </row>
    <row r="566">
      <c r="A566" s="1"/>
      <c r="B566" s="8"/>
      <c r="C566" s="2"/>
      <c r="D566" s="2"/>
      <c r="E566" s="2"/>
      <c r="F566" s="2"/>
      <c r="G566" s="7"/>
      <c r="H566" s="7"/>
      <c r="I566" s="7"/>
      <c r="J566" s="7"/>
      <c r="K566" s="7"/>
      <c r="L566" s="7"/>
      <c r="M566" s="7"/>
      <c r="N566" s="4"/>
      <c r="O566" s="4"/>
      <c r="P566" s="4"/>
      <c r="Q566" s="4"/>
      <c r="R566" s="4"/>
    </row>
    <row r="567">
      <c r="A567" s="1"/>
      <c r="B567" s="8"/>
      <c r="C567" s="2"/>
      <c r="D567" s="2"/>
      <c r="E567" s="2"/>
      <c r="F567" s="2"/>
      <c r="G567" s="7"/>
      <c r="H567" s="7"/>
      <c r="I567" s="7"/>
      <c r="J567" s="7"/>
      <c r="K567" s="7"/>
      <c r="L567" s="7"/>
      <c r="M567" s="7"/>
      <c r="N567" s="4"/>
      <c r="O567" s="4"/>
      <c r="P567" s="4"/>
      <c r="Q567" s="4"/>
      <c r="R567" s="4"/>
    </row>
    <row r="568">
      <c r="A568" s="1"/>
      <c r="B568" s="8"/>
      <c r="C568" s="2"/>
      <c r="D568" s="2"/>
      <c r="E568" s="2"/>
      <c r="F568" s="2"/>
      <c r="G568" s="7"/>
      <c r="H568" s="7"/>
      <c r="I568" s="7"/>
      <c r="J568" s="7"/>
      <c r="K568" s="7"/>
      <c r="L568" s="7"/>
      <c r="M568" s="7"/>
      <c r="N568" s="4"/>
      <c r="O568" s="4"/>
      <c r="P568" s="4"/>
      <c r="Q568" s="4"/>
      <c r="R568" s="4"/>
    </row>
    <row r="569">
      <c r="A569" s="1"/>
      <c r="B569" s="8"/>
      <c r="C569" s="2"/>
      <c r="D569" s="2"/>
      <c r="E569" s="2"/>
      <c r="F569" s="2"/>
      <c r="G569" s="7"/>
      <c r="H569" s="7"/>
      <c r="I569" s="7"/>
      <c r="J569" s="7"/>
      <c r="K569" s="7"/>
      <c r="L569" s="7"/>
      <c r="M569" s="7"/>
      <c r="N569" s="4"/>
      <c r="O569" s="4"/>
      <c r="P569" s="4"/>
      <c r="Q569" s="4"/>
      <c r="R569" s="4"/>
    </row>
    <row r="570">
      <c r="A570" s="1"/>
      <c r="B570" s="8"/>
      <c r="C570" s="2"/>
      <c r="D570" s="2"/>
      <c r="E570" s="2"/>
      <c r="F570" s="2"/>
      <c r="G570" s="7"/>
      <c r="H570" s="7"/>
      <c r="I570" s="7"/>
      <c r="J570" s="7"/>
      <c r="K570" s="7"/>
      <c r="L570" s="7"/>
      <c r="M570" s="7"/>
      <c r="N570" s="4"/>
      <c r="O570" s="4"/>
      <c r="P570" s="4"/>
      <c r="Q570" s="4"/>
      <c r="R570" s="4"/>
    </row>
    <row r="571">
      <c r="A571" s="1"/>
      <c r="B571" s="8"/>
      <c r="C571" s="2"/>
      <c r="D571" s="2"/>
      <c r="E571" s="2"/>
      <c r="F571" s="2"/>
      <c r="G571" s="7"/>
      <c r="H571" s="7"/>
      <c r="I571" s="7"/>
      <c r="J571" s="7"/>
      <c r="K571" s="7"/>
      <c r="L571" s="7"/>
      <c r="M571" s="7"/>
      <c r="N571" s="4"/>
      <c r="O571" s="4"/>
      <c r="P571" s="4"/>
      <c r="Q571" s="4"/>
      <c r="R571" s="4"/>
    </row>
    <row r="572">
      <c r="A572" s="1"/>
      <c r="B572" s="8"/>
      <c r="C572" s="2"/>
      <c r="D572" s="2"/>
      <c r="E572" s="2"/>
      <c r="F572" s="2"/>
      <c r="G572" s="7"/>
      <c r="H572" s="7"/>
      <c r="I572" s="7"/>
      <c r="J572" s="7"/>
      <c r="K572" s="7"/>
      <c r="L572" s="7"/>
      <c r="M572" s="7"/>
      <c r="N572" s="4"/>
      <c r="O572" s="4"/>
      <c r="P572" s="4"/>
      <c r="Q572" s="4"/>
      <c r="R572" s="4"/>
    </row>
    <row r="573">
      <c r="A573" s="1"/>
      <c r="B573" s="8"/>
      <c r="C573" s="2"/>
      <c r="D573" s="2"/>
      <c r="E573" s="2"/>
      <c r="F573" s="2"/>
      <c r="G573" s="7"/>
      <c r="H573" s="7"/>
      <c r="I573" s="7"/>
      <c r="J573" s="7"/>
      <c r="K573" s="7"/>
      <c r="L573" s="7"/>
      <c r="M573" s="7"/>
      <c r="N573" s="4"/>
      <c r="O573" s="4"/>
      <c r="P573" s="4"/>
      <c r="Q573" s="4"/>
      <c r="R573" s="4"/>
    </row>
    <row r="574">
      <c r="A574" s="1"/>
      <c r="B574" s="8"/>
      <c r="C574" s="2"/>
      <c r="D574" s="2"/>
      <c r="E574" s="2"/>
      <c r="F574" s="2"/>
      <c r="G574" s="7"/>
      <c r="H574" s="7"/>
      <c r="I574" s="7"/>
      <c r="J574" s="7"/>
      <c r="K574" s="7"/>
      <c r="L574" s="7"/>
      <c r="M574" s="7"/>
      <c r="N574" s="4"/>
      <c r="O574" s="4"/>
      <c r="P574" s="4"/>
      <c r="Q574" s="4"/>
      <c r="R574" s="4"/>
    </row>
    <row r="575">
      <c r="A575" s="1"/>
      <c r="B575" s="8"/>
      <c r="C575" s="2"/>
      <c r="D575" s="2"/>
      <c r="E575" s="2"/>
      <c r="F575" s="2"/>
      <c r="G575" s="7"/>
      <c r="H575" s="7"/>
      <c r="I575" s="7"/>
      <c r="J575" s="7"/>
      <c r="K575" s="7"/>
      <c r="L575" s="7"/>
      <c r="M575" s="7"/>
      <c r="N575" s="4"/>
      <c r="O575" s="4"/>
      <c r="P575" s="4"/>
      <c r="Q575" s="4"/>
      <c r="R575" s="4"/>
    </row>
    <row r="576">
      <c r="A576" s="1"/>
      <c r="B576" s="8"/>
      <c r="C576" s="2"/>
      <c r="D576" s="2"/>
      <c r="E576" s="2"/>
      <c r="F576" s="2"/>
      <c r="G576" s="7"/>
      <c r="H576" s="7"/>
      <c r="I576" s="7"/>
      <c r="J576" s="7"/>
      <c r="K576" s="7"/>
      <c r="L576" s="7"/>
      <c r="M576" s="7"/>
      <c r="N576" s="4"/>
      <c r="O576" s="4"/>
      <c r="P576" s="4"/>
      <c r="Q576" s="4"/>
      <c r="R576" s="4"/>
    </row>
    <row r="577">
      <c r="A577" s="1"/>
      <c r="B577" s="8"/>
      <c r="C577" s="2"/>
      <c r="D577" s="2"/>
      <c r="E577" s="2"/>
      <c r="F577" s="2"/>
      <c r="G577" s="7"/>
      <c r="H577" s="7"/>
      <c r="I577" s="7"/>
      <c r="J577" s="7"/>
      <c r="K577" s="7"/>
      <c r="L577" s="7"/>
      <c r="M577" s="7"/>
      <c r="N577" s="4"/>
      <c r="O577" s="4"/>
      <c r="P577" s="4"/>
      <c r="Q577" s="4"/>
      <c r="R577" s="4"/>
    </row>
    <row r="578">
      <c r="A578" s="1"/>
      <c r="B578" s="8"/>
      <c r="C578" s="2"/>
      <c r="D578" s="2"/>
      <c r="E578" s="2"/>
      <c r="F578" s="2"/>
      <c r="G578" s="7"/>
      <c r="H578" s="7"/>
      <c r="I578" s="7"/>
      <c r="J578" s="7"/>
      <c r="K578" s="7"/>
      <c r="L578" s="7"/>
      <c r="M578" s="7"/>
      <c r="N578" s="4"/>
      <c r="O578" s="4"/>
      <c r="P578" s="4"/>
      <c r="Q578" s="4"/>
      <c r="R578" s="4"/>
    </row>
    <row r="579">
      <c r="A579" s="1"/>
      <c r="B579" s="8"/>
      <c r="C579" s="2"/>
      <c r="D579" s="2"/>
      <c r="E579" s="2"/>
      <c r="F579" s="2"/>
      <c r="G579" s="7"/>
      <c r="H579" s="7"/>
      <c r="I579" s="7"/>
      <c r="J579" s="7"/>
      <c r="K579" s="7"/>
      <c r="L579" s="7"/>
      <c r="M579" s="7"/>
      <c r="N579" s="4"/>
      <c r="O579" s="4"/>
      <c r="P579" s="4"/>
      <c r="Q579" s="4"/>
      <c r="R579" s="4"/>
    </row>
    <row r="580">
      <c r="A580" s="1"/>
      <c r="B580" s="8"/>
      <c r="C580" s="2"/>
      <c r="D580" s="2"/>
      <c r="E580" s="2"/>
      <c r="F580" s="2"/>
      <c r="G580" s="7"/>
      <c r="H580" s="7"/>
      <c r="I580" s="7"/>
      <c r="J580" s="7"/>
      <c r="K580" s="7"/>
      <c r="L580" s="7"/>
      <c r="M580" s="7"/>
      <c r="N580" s="4"/>
      <c r="O580" s="4"/>
      <c r="P580" s="4"/>
      <c r="Q580" s="4"/>
      <c r="R580" s="4"/>
    </row>
    <row r="581">
      <c r="A581" s="1"/>
      <c r="B581" s="8"/>
      <c r="C581" s="2"/>
      <c r="D581" s="2"/>
      <c r="E581" s="2"/>
      <c r="F581" s="2"/>
      <c r="G581" s="7"/>
      <c r="H581" s="7"/>
      <c r="I581" s="7"/>
      <c r="J581" s="7"/>
      <c r="K581" s="7"/>
      <c r="L581" s="7"/>
      <c r="M581" s="7"/>
      <c r="N581" s="4"/>
      <c r="O581" s="4"/>
      <c r="P581" s="4"/>
      <c r="Q581" s="4"/>
      <c r="R581" s="4"/>
    </row>
    <row r="582">
      <c r="A582" s="1"/>
      <c r="B582" s="8"/>
      <c r="C582" s="2"/>
      <c r="D582" s="2"/>
      <c r="E582" s="2"/>
      <c r="F582" s="2"/>
      <c r="G582" s="7"/>
      <c r="H582" s="7"/>
      <c r="I582" s="7"/>
      <c r="J582" s="7"/>
      <c r="K582" s="7"/>
      <c r="L582" s="7"/>
      <c r="M582" s="7"/>
      <c r="N582" s="4"/>
      <c r="O582" s="4"/>
      <c r="P582" s="4"/>
      <c r="Q582" s="4"/>
      <c r="R582" s="4"/>
    </row>
    <row r="583">
      <c r="A583" s="1"/>
      <c r="B583" s="8"/>
      <c r="C583" s="2"/>
      <c r="D583" s="2"/>
      <c r="E583" s="2"/>
      <c r="F583" s="2"/>
      <c r="G583" s="7"/>
      <c r="H583" s="7"/>
      <c r="I583" s="7"/>
      <c r="J583" s="7"/>
      <c r="K583" s="7"/>
      <c r="L583" s="7"/>
      <c r="M583" s="7"/>
      <c r="N583" s="4"/>
      <c r="O583" s="4"/>
      <c r="P583" s="4"/>
      <c r="Q583" s="4"/>
      <c r="R583" s="4"/>
    </row>
    <row r="584">
      <c r="A584" s="1"/>
      <c r="B584" s="8"/>
      <c r="C584" s="2"/>
      <c r="D584" s="2"/>
      <c r="E584" s="2"/>
      <c r="F584" s="2"/>
      <c r="G584" s="7"/>
      <c r="H584" s="7"/>
      <c r="I584" s="7"/>
      <c r="J584" s="7"/>
      <c r="K584" s="7"/>
      <c r="L584" s="7"/>
      <c r="M584" s="7"/>
      <c r="N584" s="4"/>
      <c r="O584" s="4"/>
      <c r="P584" s="4"/>
      <c r="Q584" s="4"/>
      <c r="R584" s="4"/>
    </row>
    <row r="585">
      <c r="A585" s="1"/>
      <c r="B585" s="8"/>
      <c r="C585" s="2"/>
      <c r="D585" s="2"/>
      <c r="E585" s="2"/>
      <c r="F585" s="2"/>
      <c r="G585" s="7"/>
      <c r="H585" s="7"/>
      <c r="I585" s="7"/>
      <c r="J585" s="7"/>
      <c r="K585" s="7"/>
      <c r="L585" s="7"/>
      <c r="M585" s="7"/>
      <c r="N585" s="4"/>
      <c r="O585" s="4"/>
      <c r="P585" s="4"/>
      <c r="Q585" s="4"/>
      <c r="R585" s="4"/>
    </row>
    <row r="586">
      <c r="A586" s="1"/>
      <c r="B586" s="8"/>
      <c r="C586" s="2"/>
      <c r="D586" s="2"/>
      <c r="E586" s="2"/>
      <c r="F586" s="2"/>
      <c r="G586" s="7"/>
      <c r="H586" s="7"/>
      <c r="I586" s="7"/>
      <c r="J586" s="7"/>
      <c r="K586" s="7"/>
      <c r="L586" s="7"/>
      <c r="M586" s="7"/>
      <c r="N586" s="4"/>
      <c r="O586" s="4"/>
      <c r="P586" s="4"/>
      <c r="Q586" s="4"/>
      <c r="R586" s="4"/>
    </row>
    <row r="587">
      <c r="A587" s="1"/>
      <c r="B587" s="8"/>
      <c r="C587" s="2"/>
      <c r="D587" s="2"/>
      <c r="E587" s="2"/>
      <c r="F587" s="2"/>
      <c r="G587" s="7"/>
      <c r="H587" s="7"/>
      <c r="I587" s="7"/>
      <c r="J587" s="7"/>
      <c r="K587" s="7"/>
      <c r="L587" s="7"/>
      <c r="M587" s="7"/>
      <c r="N587" s="4"/>
      <c r="O587" s="4"/>
      <c r="P587" s="4"/>
      <c r="Q587" s="4"/>
      <c r="R587" s="4"/>
    </row>
    <row r="588">
      <c r="A588" s="1"/>
      <c r="B588" s="8"/>
      <c r="C588" s="2"/>
      <c r="D588" s="2"/>
      <c r="E588" s="2"/>
      <c r="F588" s="2"/>
      <c r="G588" s="7"/>
      <c r="H588" s="7"/>
      <c r="I588" s="7"/>
      <c r="J588" s="7"/>
      <c r="K588" s="7"/>
      <c r="L588" s="7"/>
      <c r="M588" s="7"/>
      <c r="N588" s="4"/>
      <c r="O588" s="4"/>
      <c r="P588" s="4"/>
      <c r="Q588" s="4"/>
      <c r="R588" s="4"/>
    </row>
    <row r="589">
      <c r="A589" s="1"/>
      <c r="B589" s="8"/>
      <c r="C589" s="2"/>
      <c r="D589" s="2"/>
      <c r="E589" s="2"/>
      <c r="F589" s="2"/>
      <c r="G589" s="7"/>
      <c r="H589" s="7"/>
      <c r="I589" s="7"/>
      <c r="J589" s="7"/>
      <c r="K589" s="7"/>
      <c r="L589" s="7"/>
      <c r="M589" s="7"/>
      <c r="N589" s="4"/>
      <c r="O589" s="4"/>
      <c r="P589" s="4"/>
      <c r="Q589" s="4"/>
      <c r="R589" s="4"/>
    </row>
    <row r="590">
      <c r="A590" s="1"/>
      <c r="B590" s="8"/>
      <c r="C590" s="2"/>
      <c r="D590" s="2"/>
      <c r="E590" s="2"/>
      <c r="F590" s="2"/>
      <c r="G590" s="7"/>
      <c r="H590" s="7"/>
      <c r="I590" s="7"/>
      <c r="J590" s="7"/>
      <c r="K590" s="7"/>
      <c r="L590" s="7"/>
      <c r="M590" s="7"/>
      <c r="N590" s="4"/>
      <c r="O590" s="4"/>
      <c r="P590" s="4"/>
      <c r="Q590" s="4"/>
      <c r="R590" s="4"/>
    </row>
    <row r="591">
      <c r="A591" s="1"/>
      <c r="B591" s="8"/>
      <c r="C591" s="2"/>
      <c r="D591" s="2"/>
      <c r="E591" s="2"/>
      <c r="F591" s="2"/>
      <c r="G591" s="7"/>
      <c r="H591" s="7"/>
      <c r="I591" s="7"/>
      <c r="J591" s="7"/>
      <c r="K591" s="7"/>
      <c r="L591" s="7"/>
      <c r="M591" s="7"/>
      <c r="N591" s="4"/>
      <c r="O591" s="4"/>
      <c r="P591" s="4"/>
      <c r="Q591" s="4"/>
      <c r="R591" s="4"/>
    </row>
    <row r="592">
      <c r="A592" s="1"/>
      <c r="B592" s="8"/>
      <c r="C592" s="2"/>
      <c r="D592" s="2"/>
      <c r="E592" s="2"/>
      <c r="F592" s="2"/>
      <c r="G592" s="7"/>
      <c r="H592" s="7"/>
      <c r="I592" s="7"/>
      <c r="J592" s="7"/>
      <c r="K592" s="7"/>
      <c r="L592" s="7"/>
      <c r="M592" s="7"/>
      <c r="N592" s="4"/>
      <c r="O592" s="4"/>
      <c r="P592" s="4"/>
      <c r="Q592" s="4"/>
      <c r="R592" s="4"/>
    </row>
    <row r="593">
      <c r="A593" s="1"/>
      <c r="B593" s="8"/>
      <c r="C593" s="2"/>
      <c r="D593" s="2"/>
      <c r="E593" s="2"/>
      <c r="F593" s="2"/>
      <c r="G593" s="7"/>
      <c r="H593" s="7"/>
      <c r="I593" s="7"/>
      <c r="J593" s="7"/>
      <c r="K593" s="7"/>
      <c r="L593" s="7"/>
      <c r="M593" s="7"/>
      <c r="N593" s="4"/>
      <c r="O593" s="4"/>
      <c r="P593" s="4"/>
      <c r="Q593" s="4"/>
      <c r="R593" s="4"/>
    </row>
    <row r="594">
      <c r="A594" s="1"/>
      <c r="B594" s="8"/>
      <c r="C594" s="2"/>
      <c r="D594" s="2"/>
      <c r="E594" s="2"/>
      <c r="F594" s="2"/>
      <c r="G594" s="7"/>
      <c r="H594" s="7"/>
      <c r="I594" s="7"/>
      <c r="J594" s="7"/>
      <c r="K594" s="7"/>
      <c r="L594" s="7"/>
      <c r="M594" s="7"/>
      <c r="N594" s="4"/>
      <c r="O594" s="4"/>
      <c r="P594" s="4"/>
      <c r="Q594" s="4"/>
      <c r="R594" s="4"/>
    </row>
    <row r="595">
      <c r="A595" s="1"/>
      <c r="B595" s="8"/>
      <c r="C595" s="2"/>
      <c r="D595" s="2"/>
      <c r="E595" s="2"/>
      <c r="F595" s="2"/>
      <c r="G595" s="7"/>
      <c r="H595" s="7"/>
      <c r="I595" s="7"/>
      <c r="J595" s="7"/>
      <c r="K595" s="7"/>
      <c r="L595" s="7"/>
      <c r="M595" s="7"/>
      <c r="N595" s="4"/>
      <c r="O595" s="4"/>
      <c r="P595" s="4"/>
      <c r="Q595" s="4"/>
      <c r="R595" s="4"/>
    </row>
    <row r="596">
      <c r="A596" s="1"/>
      <c r="B596" s="8"/>
      <c r="C596" s="2"/>
      <c r="D596" s="2"/>
      <c r="E596" s="2"/>
      <c r="F596" s="2"/>
      <c r="G596" s="7"/>
      <c r="H596" s="7"/>
      <c r="I596" s="7"/>
      <c r="J596" s="7"/>
      <c r="K596" s="7"/>
      <c r="L596" s="7"/>
      <c r="M596" s="7"/>
      <c r="N596" s="4"/>
      <c r="O596" s="4"/>
      <c r="P596" s="4"/>
      <c r="Q596" s="4"/>
      <c r="R596" s="4"/>
    </row>
    <row r="597">
      <c r="A597" s="1"/>
      <c r="B597" s="8"/>
      <c r="C597" s="2"/>
      <c r="D597" s="2"/>
      <c r="E597" s="2"/>
      <c r="F597" s="2"/>
      <c r="G597" s="7"/>
      <c r="H597" s="7"/>
      <c r="I597" s="7"/>
      <c r="J597" s="7"/>
      <c r="K597" s="7"/>
      <c r="L597" s="7"/>
      <c r="M597" s="7"/>
      <c r="N597" s="4"/>
      <c r="O597" s="4"/>
      <c r="P597" s="4"/>
      <c r="Q597" s="4"/>
      <c r="R597" s="4"/>
    </row>
    <row r="598">
      <c r="A598" s="1"/>
      <c r="B598" s="8"/>
      <c r="C598" s="2"/>
      <c r="D598" s="2"/>
      <c r="E598" s="2"/>
      <c r="F598" s="2"/>
      <c r="G598" s="7"/>
      <c r="H598" s="7"/>
      <c r="I598" s="7"/>
      <c r="J598" s="7"/>
      <c r="K598" s="7"/>
      <c r="L598" s="7"/>
      <c r="M598" s="7"/>
      <c r="N598" s="4"/>
      <c r="O598" s="4"/>
      <c r="P598" s="4"/>
      <c r="Q598" s="4"/>
      <c r="R598" s="4"/>
    </row>
    <row r="599">
      <c r="A599" s="1"/>
      <c r="B599" s="8"/>
      <c r="C599" s="2"/>
      <c r="D599" s="2"/>
      <c r="E599" s="2"/>
      <c r="F599" s="2"/>
      <c r="G599" s="7"/>
      <c r="H599" s="7"/>
      <c r="I599" s="7"/>
      <c r="J599" s="7"/>
      <c r="K599" s="7"/>
      <c r="L599" s="7"/>
      <c r="M599" s="7"/>
      <c r="N599" s="4"/>
      <c r="O599" s="4"/>
      <c r="P599" s="4"/>
      <c r="Q599" s="4"/>
      <c r="R599" s="4"/>
    </row>
    <row r="600">
      <c r="A600" s="1"/>
      <c r="B600" s="8"/>
      <c r="C600" s="2"/>
      <c r="D600" s="2"/>
      <c r="E600" s="2"/>
      <c r="F600" s="2"/>
      <c r="G600" s="7"/>
      <c r="H600" s="7"/>
      <c r="I600" s="7"/>
      <c r="J600" s="7"/>
      <c r="K600" s="7"/>
      <c r="L600" s="7"/>
      <c r="M600" s="7"/>
      <c r="N600" s="4"/>
      <c r="O600" s="4"/>
      <c r="P600" s="4"/>
      <c r="Q600" s="4"/>
      <c r="R600" s="4"/>
    </row>
    <row r="601">
      <c r="A601" s="1"/>
      <c r="B601" s="8"/>
      <c r="C601" s="2"/>
      <c r="D601" s="2"/>
      <c r="E601" s="2"/>
      <c r="F601" s="2"/>
      <c r="G601" s="7"/>
      <c r="H601" s="7"/>
      <c r="I601" s="7"/>
      <c r="J601" s="7"/>
      <c r="K601" s="7"/>
      <c r="L601" s="7"/>
      <c r="M601" s="7"/>
      <c r="N601" s="4"/>
      <c r="O601" s="4"/>
      <c r="P601" s="4"/>
      <c r="Q601" s="4"/>
      <c r="R601" s="4"/>
    </row>
    <row r="602">
      <c r="A602" s="1"/>
      <c r="B602" s="8"/>
      <c r="C602" s="2"/>
      <c r="D602" s="2"/>
      <c r="E602" s="2"/>
      <c r="F602" s="2"/>
      <c r="G602" s="7"/>
      <c r="H602" s="7"/>
      <c r="I602" s="7"/>
      <c r="J602" s="7"/>
      <c r="K602" s="7"/>
      <c r="L602" s="7"/>
      <c r="M602" s="7"/>
      <c r="N602" s="4"/>
      <c r="O602" s="4"/>
      <c r="P602" s="4"/>
      <c r="Q602" s="4"/>
      <c r="R602" s="4"/>
    </row>
    <row r="603">
      <c r="A603" s="1"/>
      <c r="B603" s="8"/>
      <c r="C603" s="2"/>
      <c r="D603" s="2"/>
      <c r="E603" s="2"/>
      <c r="F603" s="2"/>
      <c r="G603" s="7"/>
      <c r="H603" s="7"/>
      <c r="I603" s="7"/>
      <c r="J603" s="7"/>
      <c r="K603" s="7"/>
      <c r="L603" s="7"/>
      <c r="M603" s="7"/>
      <c r="N603" s="4"/>
      <c r="O603" s="4"/>
      <c r="P603" s="4"/>
      <c r="Q603" s="4"/>
      <c r="R603" s="4"/>
    </row>
    <row r="604">
      <c r="A604" s="1"/>
      <c r="B604" s="8"/>
      <c r="C604" s="2"/>
      <c r="D604" s="2"/>
      <c r="E604" s="2"/>
      <c r="F604" s="2"/>
      <c r="G604" s="7"/>
      <c r="H604" s="7"/>
      <c r="I604" s="7"/>
      <c r="J604" s="7"/>
      <c r="K604" s="7"/>
      <c r="L604" s="7"/>
      <c r="M604" s="7"/>
      <c r="N604" s="4"/>
      <c r="O604" s="4"/>
      <c r="P604" s="4"/>
      <c r="Q604" s="4"/>
      <c r="R604" s="4"/>
    </row>
    <row r="605">
      <c r="A605" s="1"/>
      <c r="B605" s="8"/>
      <c r="C605" s="2"/>
      <c r="D605" s="2"/>
      <c r="E605" s="2"/>
      <c r="F605" s="2"/>
      <c r="G605" s="7"/>
      <c r="H605" s="7"/>
      <c r="I605" s="7"/>
      <c r="J605" s="7"/>
      <c r="K605" s="7"/>
      <c r="L605" s="7"/>
      <c r="M605" s="7"/>
      <c r="N605" s="4"/>
      <c r="O605" s="4"/>
      <c r="P605" s="4"/>
      <c r="Q605" s="4"/>
      <c r="R605" s="4"/>
    </row>
    <row r="606">
      <c r="A606" s="1"/>
      <c r="B606" s="8"/>
      <c r="C606" s="2"/>
      <c r="D606" s="2"/>
      <c r="E606" s="2"/>
      <c r="F606" s="2"/>
      <c r="G606" s="7"/>
      <c r="H606" s="7"/>
      <c r="I606" s="7"/>
      <c r="J606" s="7"/>
      <c r="K606" s="7"/>
      <c r="L606" s="7"/>
      <c r="M606" s="7"/>
      <c r="N606" s="4"/>
      <c r="O606" s="4"/>
      <c r="P606" s="4"/>
      <c r="Q606" s="4"/>
      <c r="R606" s="4"/>
    </row>
    <row r="607">
      <c r="A607" s="1"/>
      <c r="B607" s="8"/>
      <c r="C607" s="2"/>
      <c r="D607" s="2"/>
      <c r="E607" s="2"/>
      <c r="F607" s="2"/>
      <c r="G607" s="7"/>
      <c r="H607" s="7"/>
      <c r="I607" s="7"/>
      <c r="J607" s="7"/>
      <c r="K607" s="7"/>
      <c r="L607" s="7"/>
      <c r="M607" s="7"/>
      <c r="N607" s="4"/>
      <c r="O607" s="4"/>
      <c r="P607" s="4"/>
      <c r="Q607" s="4"/>
      <c r="R607" s="4"/>
    </row>
    <row r="608">
      <c r="A608" s="1"/>
      <c r="B608" s="8"/>
      <c r="C608" s="2"/>
      <c r="D608" s="2"/>
      <c r="E608" s="2"/>
      <c r="F608" s="2"/>
      <c r="G608" s="7"/>
      <c r="H608" s="7"/>
      <c r="I608" s="7"/>
      <c r="J608" s="7"/>
      <c r="K608" s="7"/>
      <c r="L608" s="7"/>
      <c r="M608" s="7"/>
      <c r="N608" s="4"/>
      <c r="O608" s="4"/>
      <c r="P608" s="4"/>
      <c r="Q608" s="4"/>
      <c r="R608" s="4"/>
    </row>
    <row r="609">
      <c r="A609" s="1"/>
      <c r="B609" s="8"/>
      <c r="C609" s="2"/>
      <c r="D609" s="2"/>
      <c r="E609" s="2"/>
      <c r="F609" s="2"/>
      <c r="G609" s="7"/>
      <c r="H609" s="7"/>
      <c r="I609" s="7"/>
      <c r="J609" s="7"/>
      <c r="K609" s="7"/>
      <c r="L609" s="7"/>
      <c r="M609" s="7"/>
      <c r="N609" s="4"/>
      <c r="O609" s="4"/>
      <c r="P609" s="4"/>
      <c r="Q609" s="4"/>
      <c r="R609" s="4"/>
    </row>
    <row r="610">
      <c r="A610" s="1"/>
      <c r="B610" s="8"/>
      <c r="C610" s="2"/>
      <c r="D610" s="2"/>
      <c r="E610" s="2"/>
      <c r="F610" s="2"/>
      <c r="G610" s="7"/>
      <c r="H610" s="7"/>
      <c r="I610" s="7"/>
      <c r="J610" s="7"/>
      <c r="K610" s="7"/>
      <c r="L610" s="7"/>
      <c r="M610" s="7"/>
      <c r="N610" s="4"/>
      <c r="O610" s="4"/>
      <c r="P610" s="4"/>
      <c r="Q610" s="4"/>
      <c r="R610" s="4"/>
    </row>
    <row r="611">
      <c r="A611" s="1"/>
      <c r="B611" s="8"/>
      <c r="C611" s="2"/>
      <c r="D611" s="2"/>
      <c r="E611" s="2"/>
      <c r="F611" s="2"/>
      <c r="G611" s="7"/>
      <c r="H611" s="7"/>
      <c r="I611" s="7"/>
      <c r="J611" s="7"/>
      <c r="K611" s="7"/>
      <c r="L611" s="7"/>
      <c r="M611" s="7"/>
      <c r="N611" s="4"/>
      <c r="O611" s="4"/>
      <c r="P611" s="4"/>
      <c r="Q611" s="4"/>
      <c r="R611" s="4"/>
    </row>
    <row r="612">
      <c r="A612" s="1"/>
      <c r="B612" s="8"/>
      <c r="C612" s="2"/>
      <c r="D612" s="2"/>
      <c r="E612" s="2"/>
      <c r="F612" s="2"/>
      <c r="G612" s="7"/>
      <c r="H612" s="7"/>
      <c r="I612" s="7"/>
      <c r="J612" s="7"/>
      <c r="K612" s="7"/>
      <c r="L612" s="7"/>
      <c r="M612" s="7"/>
      <c r="N612" s="4"/>
      <c r="O612" s="4"/>
      <c r="P612" s="4"/>
      <c r="Q612" s="4"/>
      <c r="R612" s="4"/>
    </row>
    <row r="613">
      <c r="A613" s="1"/>
      <c r="B613" s="8"/>
      <c r="C613" s="2"/>
      <c r="D613" s="2"/>
      <c r="E613" s="2"/>
      <c r="F613" s="2"/>
      <c r="G613" s="7"/>
      <c r="H613" s="7"/>
      <c r="I613" s="7"/>
      <c r="J613" s="7"/>
      <c r="K613" s="7"/>
      <c r="L613" s="7"/>
      <c r="M613" s="7"/>
      <c r="N613" s="4"/>
      <c r="O613" s="4"/>
      <c r="P613" s="4"/>
      <c r="Q613" s="4"/>
      <c r="R613" s="4"/>
    </row>
    <row r="614">
      <c r="A614" s="1"/>
      <c r="B614" s="8"/>
      <c r="C614" s="2"/>
      <c r="D614" s="2"/>
      <c r="E614" s="2"/>
      <c r="F614" s="2"/>
      <c r="G614" s="7"/>
      <c r="H614" s="7"/>
      <c r="I614" s="7"/>
      <c r="J614" s="7"/>
      <c r="K614" s="7"/>
      <c r="L614" s="7"/>
      <c r="M614" s="7"/>
      <c r="N614" s="4"/>
      <c r="O614" s="4"/>
      <c r="P614" s="4"/>
      <c r="Q614" s="4"/>
      <c r="R614" s="4"/>
    </row>
    <row r="615">
      <c r="A615" s="1"/>
      <c r="B615" s="8"/>
      <c r="C615" s="2"/>
      <c r="D615" s="2"/>
      <c r="E615" s="2"/>
      <c r="F615" s="2"/>
      <c r="G615" s="7"/>
      <c r="H615" s="7"/>
      <c r="I615" s="7"/>
      <c r="J615" s="7"/>
      <c r="K615" s="7"/>
      <c r="L615" s="7"/>
      <c r="M615" s="7"/>
      <c r="N615" s="4"/>
      <c r="O615" s="4"/>
      <c r="P615" s="4"/>
      <c r="Q615" s="4"/>
      <c r="R615" s="4"/>
    </row>
    <row r="616">
      <c r="A616" s="1"/>
      <c r="B616" s="8"/>
      <c r="C616" s="2"/>
      <c r="D616" s="2"/>
      <c r="E616" s="2"/>
      <c r="F616" s="2"/>
      <c r="G616" s="7"/>
      <c r="H616" s="7"/>
      <c r="I616" s="7"/>
      <c r="J616" s="7"/>
      <c r="K616" s="7"/>
      <c r="L616" s="7"/>
      <c r="M616" s="7"/>
      <c r="N616" s="4"/>
      <c r="O616" s="4"/>
      <c r="P616" s="4"/>
      <c r="Q616" s="4"/>
      <c r="R616" s="4"/>
    </row>
    <row r="617">
      <c r="A617" s="1"/>
      <c r="B617" s="8"/>
      <c r="C617" s="2"/>
      <c r="D617" s="2"/>
      <c r="E617" s="2"/>
      <c r="F617" s="2"/>
      <c r="G617" s="7"/>
      <c r="H617" s="7"/>
      <c r="I617" s="7"/>
      <c r="J617" s="7"/>
      <c r="K617" s="7"/>
      <c r="L617" s="7"/>
      <c r="M617" s="7"/>
      <c r="N617" s="4"/>
      <c r="O617" s="4"/>
      <c r="P617" s="4"/>
      <c r="Q617" s="4"/>
      <c r="R617" s="4"/>
    </row>
    <row r="618">
      <c r="A618" s="1"/>
      <c r="B618" s="8"/>
      <c r="C618" s="2"/>
      <c r="D618" s="2"/>
      <c r="E618" s="2"/>
      <c r="F618" s="2"/>
      <c r="G618" s="7"/>
      <c r="H618" s="7"/>
      <c r="I618" s="7"/>
      <c r="J618" s="7"/>
      <c r="K618" s="7"/>
      <c r="L618" s="7"/>
      <c r="M618" s="7"/>
      <c r="N618" s="4"/>
      <c r="O618" s="4"/>
      <c r="P618" s="4"/>
      <c r="Q618" s="4"/>
      <c r="R618" s="4"/>
    </row>
    <row r="619">
      <c r="A619" s="1"/>
      <c r="B619" s="8"/>
      <c r="C619" s="2"/>
      <c r="D619" s="2"/>
      <c r="E619" s="2"/>
      <c r="F619" s="2"/>
      <c r="G619" s="7"/>
      <c r="H619" s="7"/>
      <c r="I619" s="7"/>
      <c r="J619" s="7"/>
      <c r="K619" s="7"/>
      <c r="L619" s="7"/>
      <c r="M619" s="7"/>
      <c r="N619" s="4"/>
      <c r="O619" s="4"/>
      <c r="P619" s="4"/>
      <c r="Q619" s="4"/>
      <c r="R619" s="4"/>
    </row>
    <row r="620">
      <c r="A620" s="1"/>
      <c r="B620" s="8"/>
      <c r="C620" s="2"/>
      <c r="D620" s="2"/>
      <c r="E620" s="2"/>
      <c r="F620" s="2"/>
      <c r="G620" s="7"/>
      <c r="H620" s="7"/>
      <c r="I620" s="7"/>
      <c r="J620" s="7"/>
      <c r="K620" s="7"/>
      <c r="L620" s="7"/>
      <c r="M620" s="7"/>
      <c r="N620" s="4"/>
      <c r="O620" s="4"/>
      <c r="P620" s="4"/>
      <c r="Q620" s="4"/>
      <c r="R620" s="4"/>
    </row>
    <row r="621">
      <c r="A621" s="1"/>
      <c r="B621" s="8"/>
      <c r="C621" s="2"/>
      <c r="D621" s="2"/>
      <c r="E621" s="2"/>
      <c r="F621" s="2"/>
      <c r="G621" s="7"/>
      <c r="H621" s="7"/>
      <c r="I621" s="7"/>
      <c r="J621" s="7"/>
      <c r="K621" s="7"/>
      <c r="L621" s="7"/>
      <c r="M621" s="7"/>
      <c r="N621" s="4"/>
      <c r="O621" s="4"/>
      <c r="P621" s="4"/>
      <c r="Q621" s="4"/>
      <c r="R621" s="4"/>
    </row>
    <row r="622">
      <c r="A622" s="1"/>
      <c r="B622" s="8"/>
      <c r="C622" s="2"/>
      <c r="D622" s="2"/>
      <c r="E622" s="2"/>
      <c r="F622" s="2"/>
      <c r="G622" s="7"/>
      <c r="H622" s="7"/>
      <c r="I622" s="7"/>
      <c r="J622" s="7"/>
      <c r="K622" s="7"/>
      <c r="L622" s="7"/>
      <c r="M622" s="7"/>
      <c r="N622" s="4"/>
      <c r="O622" s="4"/>
      <c r="P622" s="4"/>
      <c r="Q622" s="4"/>
      <c r="R622" s="4"/>
    </row>
    <row r="623">
      <c r="A623" s="1"/>
      <c r="B623" s="8"/>
      <c r="C623" s="2"/>
      <c r="D623" s="2"/>
      <c r="E623" s="2"/>
      <c r="F623" s="2"/>
      <c r="G623" s="7"/>
      <c r="H623" s="7"/>
      <c r="I623" s="7"/>
      <c r="J623" s="7"/>
      <c r="K623" s="7"/>
      <c r="L623" s="7"/>
      <c r="M623" s="7"/>
      <c r="N623" s="4"/>
      <c r="O623" s="4"/>
      <c r="P623" s="4"/>
      <c r="Q623" s="4"/>
      <c r="R623" s="4"/>
    </row>
    <row r="624">
      <c r="A624" s="1"/>
      <c r="B624" s="8"/>
      <c r="C624" s="2"/>
      <c r="D624" s="2"/>
      <c r="E624" s="2"/>
      <c r="F624" s="2"/>
      <c r="G624" s="7"/>
      <c r="H624" s="7"/>
      <c r="I624" s="7"/>
      <c r="J624" s="7"/>
      <c r="K624" s="7"/>
      <c r="L624" s="7"/>
      <c r="M624" s="7"/>
      <c r="N624" s="4"/>
      <c r="O624" s="4"/>
      <c r="P624" s="4"/>
      <c r="Q624" s="4"/>
      <c r="R624" s="4"/>
    </row>
    <row r="625">
      <c r="A625" s="1"/>
      <c r="B625" s="8"/>
      <c r="C625" s="2"/>
      <c r="D625" s="2"/>
      <c r="E625" s="2"/>
      <c r="F625" s="2"/>
      <c r="G625" s="7"/>
      <c r="H625" s="7"/>
      <c r="I625" s="7"/>
      <c r="J625" s="7"/>
      <c r="K625" s="7"/>
      <c r="L625" s="7"/>
      <c r="M625" s="7"/>
      <c r="N625" s="4"/>
      <c r="O625" s="4"/>
      <c r="P625" s="4"/>
      <c r="Q625" s="4"/>
      <c r="R625" s="4"/>
    </row>
    <row r="626">
      <c r="A626" s="1"/>
      <c r="B626" s="8"/>
      <c r="C626" s="2"/>
      <c r="D626" s="2"/>
      <c r="E626" s="2"/>
      <c r="F626" s="2"/>
      <c r="G626" s="7"/>
      <c r="H626" s="7"/>
      <c r="I626" s="7"/>
      <c r="J626" s="7"/>
      <c r="K626" s="7"/>
      <c r="L626" s="7"/>
      <c r="M626" s="7"/>
      <c r="N626" s="4"/>
      <c r="O626" s="4"/>
      <c r="P626" s="4"/>
      <c r="Q626" s="4"/>
      <c r="R626" s="4"/>
    </row>
    <row r="627">
      <c r="A627" s="1"/>
      <c r="B627" s="8"/>
      <c r="C627" s="2"/>
      <c r="D627" s="2"/>
      <c r="E627" s="2"/>
      <c r="F627" s="2"/>
      <c r="G627" s="7"/>
      <c r="H627" s="7"/>
      <c r="I627" s="7"/>
      <c r="J627" s="7"/>
      <c r="K627" s="7"/>
      <c r="L627" s="7"/>
      <c r="M627" s="7"/>
      <c r="N627" s="4"/>
      <c r="O627" s="4"/>
      <c r="P627" s="4"/>
      <c r="Q627" s="4"/>
      <c r="R627" s="4"/>
    </row>
    <row r="628">
      <c r="A628" s="1"/>
      <c r="B628" s="8"/>
      <c r="C628" s="2"/>
      <c r="D628" s="2"/>
      <c r="E628" s="2"/>
      <c r="F628" s="2"/>
      <c r="G628" s="7"/>
      <c r="H628" s="7"/>
      <c r="I628" s="7"/>
      <c r="J628" s="7"/>
      <c r="K628" s="7"/>
      <c r="L628" s="7"/>
      <c r="M628" s="7"/>
      <c r="N628" s="4"/>
      <c r="O628" s="4"/>
      <c r="P628" s="4"/>
      <c r="Q628" s="4"/>
      <c r="R628" s="4"/>
    </row>
    <row r="629">
      <c r="A629" s="1"/>
      <c r="B629" s="8"/>
      <c r="C629" s="2"/>
      <c r="D629" s="2"/>
      <c r="E629" s="2"/>
      <c r="F629" s="2"/>
      <c r="G629" s="7"/>
      <c r="H629" s="7"/>
      <c r="I629" s="7"/>
      <c r="J629" s="7"/>
      <c r="K629" s="7"/>
      <c r="L629" s="7"/>
      <c r="M629" s="7"/>
      <c r="N629" s="4"/>
      <c r="O629" s="4"/>
      <c r="P629" s="4"/>
      <c r="Q629" s="4"/>
      <c r="R629" s="4"/>
    </row>
    <row r="630">
      <c r="A630" s="1"/>
      <c r="B630" s="8"/>
      <c r="C630" s="2"/>
      <c r="D630" s="2"/>
      <c r="E630" s="2"/>
      <c r="F630" s="2"/>
      <c r="G630" s="7"/>
      <c r="H630" s="7"/>
      <c r="I630" s="7"/>
      <c r="J630" s="7"/>
      <c r="K630" s="7"/>
      <c r="L630" s="7"/>
      <c r="M630" s="7"/>
      <c r="N630" s="4"/>
      <c r="O630" s="4"/>
      <c r="P630" s="4"/>
      <c r="Q630" s="4"/>
      <c r="R630" s="4"/>
    </row>
    <row r="631">
      <c r="A631" s="1"/>
      <c r="B631" s="8"/>
      <c r="C631" s="2"/>
      <c r="D631" s="2"/>
      <c r="E631" s="2"/>
      <c r="F631" s="2"/>
      <c r="G631" s="7"/>
      <c r="H631" s="7"/>
      <c r="I631" s="7"/>
      <c r="J631" s="7"/>
      <c r="K631" s="7"/>
      <c r="L631" s="7"/>
      <c r="M631" s="7"/>
      <c r="N631" s="4"/>
      <c r="O631" s="4"/>
      <c r="P631" s="4"/>
      <c r="Q631" s="4"/>
      <c r="R631" s="4"/>
    </row>
    <row r="632">
      <c r="A632" s="1"/>
      <c r="B632" s="8"/>
      <c r="C632" s="2"/>
      <c r="D632" s="2"/>
      <c r="E632" s="2"/>
      <c r="F632" s="2"/>
      <c r="G632" s="7"/>
      <c r="H632" s="7"/>
      <c r="I632" s="7"/>
      <c r="J632" s="7"/>
      <c r="K632" s="7"/>
      <c r="L632" s="7"/>
      <c r="M632" s="7"/>
      <c r="N632" s="4"/>
      <c r="O632" s="4"/>
      <c r="P632" s="4"/>
      <c r="Q632" s="4"/>
      <c r="R632" s="4"/>
    </row>
    <row r="633">
      <c r="A633" s="1"/>
      <c r="B633" s="8"/>
      <c r="C633" s="2"/>
      <c r="D633" s="2"/>
      <c r="E633" s="2"/>
      <c r="F633" s="2"/>
      <c r="G633" s="7"/>
      <c r="H633" s="7"/>
      <c r="I633" s="7"/>
      <c r="J633" s="7"/>
      <c r="K633" s="7"/>
      <c r="L633" s="7"/>
      <c r="M633" s="7"/>
      <c r="N633" s="4"/>
      <c r="O633" s="4"/>
      <c r="P633" s="4"/>
      <c r="Q633" s="4"/>
      <c r="R633" s="4"/>
    </row>
    <row r="634">
      <c r="A634" s="1"/>
      <c r="B634" s="8"/>
      <c r="C634" s="2"/>
      <c r="D634" s="2"/>
      <c r="E634" s="2"/>
      <c r="F634" s="2"/>
      <c r="G634" s="7"/>
      <c r="H634" s="7"/>
      <c r="I634" s="7"/>
      <c r="J634" s="7"/>
      <c r="K634" s="7"/>
      <c r="L634" s="7"/>
      <c r="M634" s="7"/>
      <c r="N634" s="4"/>
      <c r="O634" s="4"/>
      <c r="P634" s="4"/>
      <c r="Q634" s="4"/>
      <c r="R634" s="4"/>
    </row>
    <row r="635">
      <c r="A635" s="1"/>
      <c r="B635" s="8"/>
      <c r="C635" s="2"/>
      <c r="D635" s="2"/>
      <c r="E635" s="2"/>
      <c r="F635" s="2"/>
      <c r="G635" s="7"/>
      <c r="H635" s="7"/>
      <c r="I635" s="7"/>
      <c r="J635" s="7"/>
      <c r="K635" s="7"/>
      <c r="L635" s="7"/>
      <c r="M635" s="7"/>
      <c r="N635" s="4"/>
      <c r="O635" s="4"/>
      <c r="P635" s="4"/>
      <c r="Q635" s="4"/>
      <c r="R635" s="4"/>
    </row>
    <row r="636">
      <c r="A636" s="1"/>
      <c r="B636" s="8"/>
      <c r="C636" s="2"/>
      <c r="D636" s="2"/>
      <c r="E636" s="2"/>
      <c r="F636" s="2"/>
      <c r="G636" s="7"/>
      <c r="H636" s="7"/>
      <c r="I636" s="7"/>
      <c r="J636" s="7"/>
      <c r="K636" s="7"/>
      <c r="L636" s="7"/>
      <c r="M636" s="7"/>
      <c r="N636" s="4"/>
      <c r="O636" s="4"/>
      <c r="P636" s="4"/>
      <c r="Q636" s="4"/>
      <c r="R636" s="4"/>
    </row>
    <row r="637">
      <c r="A637" s="1"/>
      <c r="B637" s="8"/>
      <c r="C637" s="2"/>
      <c r="D637" s="2"/>
      <c r="E637" s="2"/>
      <c r="F637" s="2"/>
      <c r="G637" s="7"/>
      <c r="H637" s="7"/>
      <c r="I637" s="7"/>
      <c r="J637" s="7"/>
      <c r="K637" s="7"/>
      <c r="L637" s="7"/>
      <c r="M637" s="7"/>
      <c r="N637" s="4"/>
      <c r="O637" s="4"/>
      <c r="P637" s="4"/>
      <c r="Q637" s="4"/>
      <c r="R637" s="4"/>
    </row>
    <row r="638">
      <c r="A638" s="1"/>
      <c r="B638" s="8"/>
      <c r="C638" s="2"/>
      <c r="D638" s="2"/>
      <c r="E638" s="2"/>
      <c r="F638" s="2"/>
      <c r="G638" s="7"/>
      <c r="H638" s="7"/>
      <c r="I638" s="7"/>
      <c r="J638" s="7"/>
      <c r="K638" s="7"/>
      <c r="L638" s="7"/>
      <c r="M638" s="7"/>
      <c r="N638" s="4"/>
      <c r="O638" s="4"/>
      <c r="P638" s="4"/>
      <c r="Q638" s="4"/>
      <c r="R638" s="4"/>
    </row>
    <row r="639">
      <c r="A639" s="1"/>
      <c r="B639" s="8"/>
      <c r="C639" s="2"/>
      <c r="D639" s="2"/>
      <c r="E639" s="2"/>
      <c r="F639" s="2"/>
      <c r="G639" s="7"/>
      <c r="H639" s="7"/>
      <c r="I639" s="7"/>
      <c r="J639" s="7"/>
      <c r="K639" s="7"/>
      <c r="L639" s="7"/>
      <c r="M639" s="7"/>
      <c r="N639" s="4"/>
      <c r="O639" s="4"/>
      <c r="P639" s="4"/>
      <c r="Q639" s="4"/>
      <c r="R639" s="4"/>
    </row>
    <row r="640">
      <c r="A640" s="1"/>
      <c r="B640" s="8"/>
      <c r="C640" s="2"/>
      <c r="D640" s="2"/>
      <c r="E640" s="2"/>
      <c r="F640" s="2"/>
      <c r="G640" s="7"/>
      <c r="H640" s="7"/>
      <c r="I640" s="7"/>
      <c r="J640" s="7"/>
      <c r="K640" s="7"/>
      <c r="L640" s="7"/>
      <c r="M640" s="7"/>
      <c r="N640" s="4"/>
      <c r="O640" s="4"/>
      <c r="P640" s="4"/>
      <c r="Q640" s="4"/>
      <c r="R640" s="4"/>
    </row>
    <row r="641">
      <c r="A641" s="1"/>
      <c r="B641" s="8"/>
      <c r="C641" s="2"/>
      <c r="D641" s="2"/>
      <c r="E641" s="2"/>
      <c r="F641" s="2"/>
      <c r="G641" s="7"/>
      <c r="H641" s="7"/>
      <c r="I641" s="7"/>
      <c r="J641" s="7"/>
      <c r="K641" s="7"/>
      <c r="L641" s="7"/>
      <c r="M641" s="7"/>
      <c r="N641" s="4"/>
      <c r="O641" s="4"/>
      <c r="P641" s="4"/>
      <c r="Q641" s="4"/>
      <c r="R641" s="4"/>
    </row>
    <row r="642">
      <c r="A642" s="1"/>
      <c r="B642" s="8"/>
      <c r="C642" s="2"/>
      <c r="D642" s="2"/>
      <c r="E642" s="2"/>
      <c r="F642" s="2"/>
      <c r="G642" s="7"/>
      <c r="H642" s="7"/>
      <c r="I642" s="7"/>
      <c r="J642" s="7"/>
      <c r="K642" s="7"/>
      <c r="L642" s="7"/>
      <c r="M642" s="7"/>
      <c r="N642" s="4"/>
      <c r="O642" s="4"/>
      <c r="P642" s="4"/>
      <c r="Q642" s="4"/>
      <c r="R642" s="4"/>
    </row>
    <row r="643">
      <c r="A643" s="1"/>
      <c r="B643" s="8"/>
      <c r="C643" s="2"/>
      <c r="D643" s="2"/>
      <c r="E643" s="2"/>
      <c r="F643" s="2"/>
      <c r="G643" s="7"/>
      <c r="H643" s="7"/>
      <c r="I643" s="7"/>
      <c r="J643" s="7"/>
      <c r="K643" s="7"/>
      <c r="L643" s="7"/>
      <c r="M643" s="7"/>
      <c r="N643" s="4"/>
      <c r="O643" s="4"/>
      <c r="P643" s="4"/>
      <c r="Q643" s="4"/>
      <c r="R643" s="4"/>
    </row>
    <row r="644">
      <c r="A644" s="1"/>
      <c r="B644" s="8"/>
      <c r="C644" s="2"/>
      <c r="D644" s="2"/>
      <c r="E644" s="2"/>
      <c r="F644" s="2"/>
      <c r="G644" s="7"/>
      <c r="H644" s="7"/>
      <c r="I644" s="7"/>
      <c r="J644" s="7"/>
      <c r="K644" s="7"/>
      <c r="L644" s="7"/>
      <c r="M644" s="7"/>
      <c r="N644" s="4"/>
      <c r="O644" s="4"/>
      <c r="P644" s="4"/>
      <c r="Q644" s="4"/>
      <c r="R644" s="4"/>
    </row>
    <row r="645">
      <c r="A645" s="1"/>
      <c r="B645" s="8"/>
      <c r="C645" s="2"/>
      <c r="D645" s="2"/>
      <c r="E645" s="2"/>
      <c r="F645" s="2"/>
      <c r="G645" s="7"/>
      <c r="H645" s="7"/>
      <c r="I645" s="7"/>
      <c r="J645" s="7"/>
      <c r="K645" s="7"/>
      <c r="L645" s="7"/>
      <c r="M645" s="7"/>
      <c r="N645" s="4"/>
      <c r="O645" s="4"/>
      <c r="P645" s="4"/>
      <c r="Q645" s="4"/>
      <c r="R645" s="4"/>
    </row>
    <row r="646">
      <c r="A646" s="1"/>
      <c r="B646" s="8"/>
      <c r="C646" s="2"/>
      <c r="D646" s="2"/>
      <c r="E646" s="2"/>
      <c r="F646" s="2"/>
      <c r="G646" s="7"/>
      <c r="H646" s="7"/>
      <c r="I646" s="7"/>
      <c r="J646" s="7"/>
      <c r="K646" s="7"/>
      <c r="L646" s="7"/>
      <c r="M646" s="7"/>
      <c r="N646" s="4"/>
      <c r="O646" s="4"/>
      <c r="P646" s="4"/>
      <c r="Q646" s="4"/>
      <c r="R646" s="4"/>
    </row>
    <row r="647">
      <c r="A647" s="1"/>
      <c r="B647" s="8"/>
      <c r="C647" s="2"/>
      <c r="D647" s="2"/>
      <c r="E647" s="2"/>
      <c r="F647" s="2"/>
      <c r="G647" s="7"/>
      <c r="H647" s="7"/>
      <c r="I647" s="7"/>
      <c r="J647" s="7"/>
      <c r="K647" s="7"/>
      <c r="L647" s="7"/>
      <c r="M647" s="7"/>
      <c r="N647" s="4"/>
      <c r="O647" s="4"/>
      <c r="P647" s="4"/>
      <c r="Q647" s="4"/>
      <c r="R647" s="4"/>
    </row>
    <row r="648">
      <c r="A648" s="1"/>
      <c r="B648" s="8"/>
      <c r="C648" s="2"/>
      <c r="D648" s="2"/>
      <c r="E648" s="2"/>
      <c r="F648" s="2"/>
      <c r="G648" s="7"/>
      <c r="H648" s="7"/>
      <c r="I648" s="7"/>
      <c r="J648" s="7"/>
      <c r="K648" s="7"/>
      <c r="L648" s="7"/>
      <c r="M648" s="7"/>
      <c r="N648" s="4"/>
      <c r="O648" s="4"/>
      <c r="P648" s="4"/>
      <c r="Q648" s="4"/>
      <c r="R648" s="4"/>
    </row>
    <row r="649">
      <c r="A649" s="1"/>
      <c r="B649" s="8"/>
      <c r="C649" s="2"/>
      <c r="D649" s="2"/>
      <c r="E649" s="2"/>
      <c r="F649" s="2"/>
      <c r="G649" s="7"/>
      <c r="H649" s="7"/>
      <c r="I649" s="7"/>
      <c r="J649" s="7"/>
      <c r="K649" s="7"/>
      <c r="L649" s="7"/>
      <c r="M649" s="7"/>
      <c r="N649" s="4"/>
      <c r="O649" s="4"/>
      <c r="P649" s="4"/>
      <c r="Q649" s="4"/>
      <c r="R649" s="4"/>
    </row>
    <row r="650">
      <c r="A650" s="1"/>
      <c r="B650" s="8"/>
      <c r="C650" s="2"/>
      <c r="D650" s="2"/>
      <c r="E650" s="2"/>
      <c r="F650" s="2"/>
      <c r="G650" s="7"/>
      <c r="H650" s="7"/>
      <c r="I650" s="7"/>
      <c r="J650" s="7"/>
      <c r="K650" s="7"/>
      <c r="L650" s="7"/>
      <c r="M650" s="7"/>
      <c r="N650" s="4"/>
      <c r="O650" s="4"/>
      <c r="P650" s="4"/>
      <c r="Q650" s="4"/>
      <c r="R650" s="4"/>
    </row>
    <row r="651">
      <c r="A651" s="1"/>
      <c r="B651" s="8"/>
      <c r="C651" s="2"/>
      <c r="D651" s="2"/>
      <c r="E651" s="2"/>
      <c r="F651" s="2"/>
      <c r="G651" s="7"/>
      <c r="H651" s="7"/>
      <c r="I651" s="7"/>
      <c r="J651" s="7"/>
      <c r="K651" s="7"/>
      <c r="L651" s="7"/>
      <c r="M651" s="7"/>
      <c r="N651" s="4"/>
      <c r="O651" s="4"/>
      <c r="P651" s="4"/>
      <c r="Q651" s="4"/>
      <c r="R651" s="4"/>
    </row>
    <row r="652">
      <c r="A652" s="1"/>
      <c r="B652" s="8"/>
      <c r="C652" s="2"/>
      <c r="D652" s="2"/>
      <c r="E652" s="2"/>
      <c r="F652" s="2"/>
      <c r="G652" s="7"/>
      <c r="H652" s="7"/>
      <c r="I652" s="7"/>
      <c r="J652" s="7"/>
      <c r="K652" s="7"/>
      <c r="L652" s="7"/>
      <c r="M652" s="7"/>
      <c r="N652" s="4"/>
      <c r="O652" s="4"/>
      <c r="P652" s="4"/>
      <c r="Q652" s="4"/>
      <c r="R652" s="4"/>
    </row>
    <row r="653">
      <c r="A653" s="1"/>
      <c r="B653" s="8"/>
      <c r="C653" s="2"/>
      <c r="D653" s="2"/>
      <c r="E653" s="2"/>
      <c r="F653" s="2"/>
      <c r="G653" s="7"/>
      <c r="H653" s="7"/>
      <c r="I653" s="7"/>
      <c r="J653" s="7"/>
      <c r="K653" s="7"/>
      <c r="L653" s="7"/>
      <c r="M653" s="7"/>
      <c r="N653" s="4"/>
      <c r="O653" s="4"/>
      <c r="P653" s="4"/>
      <c r="Q653" s="4"/>
      <c r="R653" s="4"/>
    </row>
    <row r="654">
      <c r="A654" s="1"/>
      <c r="B654" s="8"/>
      <c r="C654" s="2"/>
      <c r="D654" s="2"/>
      <c r="E654" s="2"/>
      <c r="F654" s="2"/>
      <c r="G654" s="7"/>
      <c r="H654" s="7"/>
      <c r="I654" s="7"/>
      <c r="J654" s="7"/>
      <c r="K654" s="7"/>
      <c r="L654" s="7"/>
      <c r="M654" s="7"/>
      <c r="N654" s="4"/>
      <c r="O654" s="4"/>
      <c r="P654" s="4"/>
      <c r="Q654" s="4"/>
      <c r="R654" s="4"/>
    </row>
    <row r="655">
      <c r="A655" s="1"/>
      <c r="B655" s="8"/>
      <c r="C655" s="2"/>
      <c r="D655" s="2"/>
      <c r="E655" s="2"/>
      <c r="F655" s="2"/>
      <c r="G655" s="7"/>
      <c r="H655" s="7"/>
      <c r="I655" s="7"/>
      <c r="J655" s="7"/>
      <c r="K655" s="7"/>
      <c r="L655" s="7"/>
      <c r="M655" s="7"/>
      <c r="N655" s="4"/>
      <c r="O655" s="4"/>
      <c r="P655" s="4"/>
      <c r="Q655" s="4"/>
      <c r="R655" s="4"/>
    </row>
    <row r="656">
      <c r="A656" s="1"/>
      <c r="B656" s="8"/>
      <c r="C656" s="2"/>
      <c r="D656" s="2"/>
      <c r="E656" s="2"/>
      <c r="F656" s="2"/>
      <c r="G656" s="7"/>
      <c r="H656" s="7"/>
      <c r="I656" s="7"/>
      <c r="J656" s="7"/>
      <c r="K656" s="7"/>
      <c r="L656" s="7"/>
      <c r="M656" s="7"/>
      <c r="N656" s="4"/>
      <c r="O656" s="4"/>
      <c r="P656" s="4"/>
      <c r="Q656" s="4"/>
      <c r="R656" s="4"/>
    </row>
    <row r="657">
      <c r="A657" s="1"/>
      <c r="B657" s="8"/>
      <c r="C657" s="2"/>
      <c r="D657" s="2"/>
      <c r="E657" s="2"/>
      <c r="F657" s="2"/>
      <c r="G657" s="7"/>
      <c r="H657" s="7"/>
      <c r="I657" s="7"/>
      <c r="J657" s="7"/>
      <c r="K657" s="7"/>
      <c r="L657" s="7"/>
      <c r="M657" s="7"/>
      <c r="N657" s="4"/>
      <c r="O657" s="4"/>
      <c r="P657" s="4"/>
      <c r="Q657" s="4"/>
      <c r="R657" s="4"/>
    </row>
    <row r="658">
      <c r="A658" s="1"/>
      <c r="B658" s="8"/>
      <c r="C658" s="2"/>
      <c r="D658" s="2"/>
      <c r="E658" s="2"/>
      <c r="F658" s="2"/>
      <c r="G658" s="7"/>
      <c r="H658" s="7"/>
      <c r="I658" s="7"/>
      <c r="J658" s="7"/>
      <c r="K658" s="7"/>
      <c r="L658" s="7"/>
      <c r="M658" s="7"/>
      <c r="N658" s="4"/>
      <c r="O658" s="4"/>
      <c r="P658" s="4"/>
      <c r="Q658" s="4"/>
      <c r="R658" s="4"/>
    </row>
    <row r="659">
      <c r="A659" s="1"/>
      <c r="B659" s="8"/>
      <c r="C659" s="2"/>
      <c r="D659" s="2"/>
      <c r="E659" s="2"/>
      <c r="F659" s="2"/>
      <c r="G659" s="7"/>
      <c r="H659" s="7"/>
      <c r="I659" s="7"/>
      <c r="J659" s="7"/>
      <c r="K659" s="7"/>
      <c r="L659" s="7"/>
      <c r="M659" s="7"/>
      <c r="N659" s="4"/>
      <c r="O659" s="4"/>
      <c r="P659" s="4"/>
      <c r="Q659" s="4"/>
      <c r="R659" s="4"/>
    </row>
    <row r="660">
      <c r="A660" s="1"/>
      <c r="B660" s="8"/>
      <c r="C660" s="2"/>
      <c r="D660" s="2"/>
      <c r="E660" s="2"/>
      <c r="F660" s="2"/>
      <c r="G660" s="7"/>
      <c r="H660" s="7"/>
      <c r="I660" s="7"/>
      <c r="J660" s="7"/>
      <c r="K660" s="7"/>
      <c r="L660" s="7"/>
      <c r="M660" s="7"/>
      <c r="N660" s="4"/>
      <c r="O660" s="4"/>
      <c r="P660" s="4"/>
      <c r="Q660" s="4"/>
      <c r="R660" s="4"/>
    </row>
    <row r="661">
      <c r="A661" s="1"/>
      <c r="B661" s="8"/>
      <c r="C661" s="2"/>
      <c r="D661" s="2"/>
      <c r="E661" s="2"/>
      <c r="F661" s="2"/>
      <c r="G661" s="7"/>
      <c r="H661" s="7"/>
      <c r="I661" s="7"/>
      <c r="J661" s="7"/>
      <c r="K661" s="7"/>
      <c r="L661" s="7"/>
      <c r="M661" s="7"/>
      <c r="N661" s="4"/>
      <c r="O661" s="4"/>
      <c r="P661" s="4"/>
      <c r="Q661" s="4"/>
      <c r="R661" s="4"/>
    </row>
    <row r="662">
      <c r="A662" s="1"/>
      <c r="B662" s="8"/>
      <c r="C662" s="2"/>
      <c r="D662" s="2"/>
      <c r="E662" s="2"/>
      <c r="F662" s="2"/>
      <c r="G662" s="7"/>
      <c r="H662" s="7"/>
      <c r="I662" s="7"/>
      <c r="J662" s="7"/>
      <c r="K662" s="7"/>
      <c r="L662" s="7"/>
      <c r="M662" s="7"/>
      <c r="N662" s="4"/>
      <c r="O662" s="4"/>
      <c r="P662" s="4"/>
      <c r="Q662" s="4"/>
      <c r="R662" s="4"/>
    </row>
    <row r="663">
      <c r="A663" s="1"/>
      <c r="B663" s="8"/>
      <c r="C663" s="2"/>
      <c r="D663" s="2"/>
      <c r="E663" s="2"/>
      <c r="F663" s="2"/>
      <c r="G663" s="7"/>
      <c r="H663" s="7"/>
      <c r="I663" s="7"/>
      <c r="J663" s="7"/>
      <c r="K663" s="7"/>
      <c r="L663" s="7"/>
      <c r="M663" s="7"/>
      <c r="N663" s="4"/>
      <c r="O663" s="4"/>
      <c r="P663" s="4"/>
      <c r="Q663" s="4"/>
      <c r="R663" s="4"/>
    </row>
    <row r="664">
      <c r="A664" s="1"/>
      <c r="B664" s="8"/>
      <c r="C664" s="2"/>
      <c r="D664" s="2"/>
      <c r="E664" s="2"/>
      <c r="F664" s="2"/>
      <c r="G664" s="7"/>
      <c r="H664" s="7"/>
      <c r="I664" s="7"/>
      <c r="J664" s="7"/>
      <c r="K664" s="7"/>
      <c r="L664" s="7"/>
      <c r="M664" s="7"/>
      <c r="N664" s="4"/>
      <c r="O664" s="4"/>
      <c r="P664" s="4"/>
      <c r="Q664" s="4"/>
      <c r="R664" s="4"/>
    </row>
    <row r="665">
      <c r="A665" s="1"/>
      <c r="B665" s="8"/>
      <c r="C665" s="2"/>
      <c r="D665" s="2"/>
      <c r="E665" s="2"/>
      <c r="F665" s="2"/>
      <c r="G665" s="7"/>
      <c r="H665" s="7"/>
      <c r="I665" s="7"/>
      <c r="J665" s="7"/>
      <c r="K665" s="7"/>
      <c r="L665" s="7"/>
      <c r="M665" s="7"/>
      <c r="N665" s="4"/>
      <c r="O665" s="4"/>
      <c r="P665" s="4"/>
      <c r="Q665" s="4"/>
      <c r="R665" s="4"/>
    </row>
    <row r="666">
      <c r="A666" s="1"/>
      <c r="B666" s="8"/>
      <c r="C666" s="2"/>
      <c r="D666" s="2"/>
      <c r="E666" s="2"/>
      <c r="F666" s="2"/>
      <c r="G666" s="7"/>
      <c r="H666" s="7"/>
      <c r="I666" s="7"/>
      <c r="J666" s="7"/>
      <c r="K666" s="7"/>
      <c r="L666" s="7"/>
      <c r="M666" s="7"/>
      <c r="N666" s="4"/>
      <c r="O666" s="4"/>
      <c r="P666" s="4"/>
      <c r="Q666" s="4"/>
      <c r="R666" s="4"/>
    </row>
    <row r="667">
      <c r="A667" s="1"/>
      <c r="B667" s="8"/>
      <c r="C667" s="2"/>
      <c r="D667" s="2"/>
      <c r="E667" s="2"/>
      <c r="F667" s="2"/>
      <c r="G667" s="7"/>
      <c r="H667" s="7"/>
      <c r="I667" s="7"/>
      <c r="J667" s="7"/>
      <c r="K667" s="7"/>
      <c r="L667" s="7"/>
      <c r="M667" s="7"/>
      <c r="N667" s="4"/>
      <c r="O667" s="4"/>
      <c r="P667" s="4"/>
      <c r="Q667" s="4"/>
      <c r="R667" s="4"/>
    </row>
    <row r="668">
      <c r="A668" s="1"/>
      <c r="B668" s="8"/>
      <c r="C668" s="2"/>
      <c r="D668" s="2"/>
      <c r="E668" s="2"/>
      <c r="F668" s="2"/>
      <c r="G668" s="7"/>
      <c r="H668" s="7"/>
      <c r="I668" s="7"/>
      <c r="J668" s="7"/>
      <c r="K668" s="7"/>
      <c r="L668" s="7"/>
      <c r="M668" s="7"/>
      <c r="N668" s="4"/>
      <c r="O668" s="4"/>
      <c r="P668" s="4"/>
      <c r="Q668" s="4"/>
      <c r="R668" s="4"/>
    </row>
    <row r="669">
      <c r="A669" s="1"/>
      <c r="B669" s="8"/>
      <c r="C669" s="2"/>
      <c r="D669" s="2"/>
      <c r="E669" s="2"/>
      <c r="F669" s="2"/>
      <c r="G669" s="7"/>
      <c r="H669" s="7"/>
      <c r="I669" s="7"/>
      <c r="J669" s="7"/>
      <c r="K669" s="7"/>
      <c r="L669" s="7"/>
      <c r="M669" s="7"/>
      <c r="N669" s="4"/>
      <c r="O669" s="4"/>
      <c r="P669" s="4"/>
      <c r="Q669" s="4"/>
      <c r="R669" s="4"/>
    </row>
    <row r="670">
      <c r="A670" s="1"/>
      <c r="B670" s="8"/>
      <c r="C670" s="2"/>
      <c r="D670" s="2"/>
      <c r="E670" s="2"/>
      <c r="F670" s="2"/>
      <c r="G670" s="7"/>
      <c r="H670" s="7"/>
      <c r="I670" s="7"/>
      <c r="J670" s="7"/>
      <c r="K670" s="7"/>
      <c r="L670" s="7"/>
      <c r="M670" s="7"/>
      <c r="N670" s="4"/>
      <c r="O670" s="4"/>
      <c r="P670" s="4"/>
      <c r="Q670" s="4"/>
      <c r="R670" s="4"/>
    </row>
    <row r="671">
      <c r="A671" s="1"/>
      <c r="B671" s="8"/>
      <c r="C671" s="2"/>
      <c r="D671" s="2"/>
      <c r="E671" s="2"/>
      <c r="F671" s="2"/>
      <c r="G671" s="7"/>
      <c r="H671" s="7"/>
      <c r="I671" s="7"/>
      <c r="J671" s="7"/>
      <c r="K671" s="7"/>
      <c r="L671" s="7"/>
      <c r="M671" s="7"/>
      <c r="N671" s="4"/>
      <c r="O671" s="4"/>
      <c r="P671" s="4"/>
      <c r="Q671" s="4"/>
      <c r="R671" s="4"/>
    </row>
    <row r="672">
      <c r="A672" s="1"/>
      <c r="B672" s="8"/>
      <c r="C672" s="2"/>
      <c r="D672" s="2"/>
      <c r="E672" s="2"/>
      <c r="F672" s="2"/>
      <c r="G672" s="7"/>
      <c r="H672" s="7"/>
      <c r="I672" s="7"/>
      <c r="J672" s="7"/>
      <c r="K672" s="7"/>
      <c r="L672" s="7"/>
      <c r="M672" s="7"/>
      <c r="N672" s="4"/>
      <c r="O672" s="4"/>
      <c r="P672" s="4"/>
      <c r="Q672" s="4"/>
      <c r="R672" s="4"/>
    </row>
    <row r="673">
      <c r="A673" s="1"/>
      <c r="B673" s="8"/>
      <c r="C673" s="2"/>
      <c r="D673" s="2"/>
      <c r="E673" s="2"/>
      <c r="F673" s="2"/>
      <c r="G673" s="7"/>
      <c r="H673" s="7"/>
      <c r="I673" s="7"/>
      <c r="J673" s="7"/>
      <c r="K673" s="7"/>
      <c r="L673" s="7"/>
      <c r="M673" s="7"/>
      <c r="N673" s="4"/>
      <c r="O673" s="4"/>
      <c r="P673" s="4"/>
      <c r="Q673" s="4"/>
      <c r="R673" s="4"/>
    </row>
    <row r="674">
      <c r="A674" s="1"/>
      <c r="B674" s="8"/>
      <c r="C674" s="2"/>
      <c r="D674" s="2"/>
      <c r="E674" s="2"/>
      <c r="F674" s="2"/>
      <c r="G674" s="7"/>
      <c r="H674" s="7"/>
      <c r="I674" s="7"/>
      <c r="J674" s="7"/>
      <c r="K674" s="7"/>
      <c r="L674" s="7"/>
      <c r="M674" s="7"/>
      <c r="N674" s="4"/>
      <c r="O674" s="4"/>
      <c r="P674" s="4"/>
      <c r="Q674" s="4"/>
      <c r="R674" s="4"/>
    </row>
    <row r="675">
      <c r="A675" s="1"/>
      <c r="B675" s="8"/>
      <c r="C675" s="2"/>
      <c r="D675" s="2"/>
      <c r="E675" s="2"/>
      <c r="F675" s="2"/>
      <c r="G675" s="7"/>
      <c r="H675" s="7"/>
      <c r="I675" s="7"/>
      <c r="J675" s="7"/>
      <c r="K675" s="7"/>
      <c r="L675" s="7"/>
      <c r="M675" s="7"/>
      <c r="N675" s="4"/>
      <c r="O675" s="4"/>
      <c r="P675" s="4"/>
      <c r="Q675" s="4"/>
      <c r="R675" s="4"/>
    </row>
    <row r="676">
      <c r="A676" s="1"/>
      <c r="B676" s="8"/>
      <c r="C676" s="2"/>
      <c r="D676" s="2"/>
      <c r="E676" s="2"/>
      <c r="F676" s="2"/>
      <c r="G676" s="7"/>
      <c r="H676" s="7"/>
      <c r="I676" s="7"/>
      <c r="J676" s="7"/>
      <c r="K676" s="7"/>
      <c r="L676" s="7"/>
      <c r="M676" s="7"/>
      <c r="N676" s="4"/>
      <c r="O676" s="4"/>
      <c r="P676" s="4"/>
      <c r="Q676" s="4"/>
      <c r="R676" s="4"/>
    </row>
    <row r="677">
      <c r="A677" s="1"/>
      <c r="B677" s="8"/>
      <c r="C677" s="2"/>
      <c r="D677" s="2"/>
      <c r="E677" s="2"/>
      <c r="F677" s="2"/>
      <c r="G677" s="7"/>
      <c r="H677" s="7"/>
      <c r="I677" s="7"/>
      <c r="J677" s="7"/>
      <c r="K677" s="7"/>
      <c r="L677" s="7"/>
      <c r="M677" s="7"/>
      <c r="N677" s="4"/>
      <c r="O677" s="4"/>
      <c r="P677" s="4"/>
      <c r="Q677" s="4"/>
      <c r="R677" s="4"/>
    </row>
    <row r="678">
      <c r="A678" s="1"/>
      <c r="B678" s="8"/>
      <c r="C678" s="2"/>
      <c r="D678" s="2"/>
      <c r="E678" s="2"/>
      <c r="F678" s="2"/>
      <c r="G678" s="7"/>
      <c r="H678" s="7"/>
      <c r="I678" s="7"/>
      <c r="J678" s="7"/>
      <c r="K678" s="7"/>
      <c r="L678" s="7"/>
      <c r="M678" s="7"/>
      <c r="N678" s="4"/>
      <c r="O678" s="4"/>
      <c r="P678" s="4"/>
      <c r="Q678" s="4"/>
      <c r="R678" s="4"/>
    </row>
    <row r="679">
      <c r="A679" s="1"/>
      <c r="B679" s="8"/>
      <c r="C679" s="2"/>
      <c r="D679" s="2"/>
      <c r="E679" s="2"/>
      <c r="F679" s="2"/>
      <c r="G679" s="7"/>
      <c r="H679" s="7"/>
      <c r="I679" s="7"/>
      <c r="J679" s="7"/>
      <c r="K679" s="7"/>
      <c r="L679" s="7"/>
      <c r="M679" s="7"/>
      <c r="N679" s="4"/>
      <c r="O679" s="4"/>
      <c r="P679" s="4"/>
      <c r="Q679" s="4"/>
      <c r="R679" s="4"/>
    </row>
    <row r="680">
      <c r="A680" s="1"/>
      <c r="B680" s="8"/>
      <c r="C680" s="2"/>
      <c r="D680" s="2"/>
      <c r="E680" s="2"/>
      <c r="F680" s="2"/>
      <c r="G680" s="7"/>
      <c r="H680" s="7"/>
      <c r="I680" s="7"/>
      <c r="J680" s="7"/>
      <c r="K680" s="7"/>
      <c r="L680" s="7"/>
      <c r="M680" s="7"/>
      <c r="N680" s="4"/>
      <c r="O680" s="4"/>
      <c r="P680" s="4"/>
      <c r="Q680" s="4"/>
      <c r="R680" s="4"/>
    </row>
    <row r="681">
      <c r="A681" s="1"/>
      <c r="B681" s="8"/>
      <c r="C681" s="2"/>
      <c r="D681" s="2"/>
      <c r="E681" s="2"/>
      <c r="F681" s="2"/>
      <c r="G681" s="7"/>
      <c r="H681" s="7"/>
      <c r="I681" s="7"/>
      <c r="J681" s="7"/>
      <c r="K681" s="7"/>
      <c r="L681" s="7"/>
      <c r="M681" s="7"/>
      <c r="N681" s="4"/>
      <c r="O681" s="4"/>
      <c r="P681" s="4"/>
      <c r="Q681" s="4"/>
      <c r="R681" s="4"/>
    </row>
    <row r="682">
      <c r="A682" s="1"/>
      <c r="B682" s="8"/>
      <c r="C682" s="2"/>
      <c r="D682" s="2"/>
      <c r="E682" s="2"/>
      <c r="F682" s="2"/>
      <c r="G682" s="7"/>
      <c r="H682" s="7"/>
      <c r="I682" s="7"/>
      <c r="J682" s="7"/>
      <c r="K682" s="7"/>
      <c r="L682" s="7"/>
      <c r="M682" s="7"/>
      <c r="N682" s="4"/>
      <c r="O682" s="4"/>
      <c r="P682" s="4"/>
      <c r="Q682" s="4"/>
      <c r="R682" s="4"/>
    </row>
    <row r="683">
      <c r="A683" s="1"/>
      <c r="B683" s="8"/>
      <c r="C683" s="2"/>
      <c r="D683" s="2"/>
      <c r="E683" s="2"/>
      <c r="F683" s="2"/>
      <c r="G683" s="7"/>
      <c r="H683" s="7"/>
      <c r="I683" s="7"/>
      <c r="J683" s="7"/>
      <c r="K683" s="7"/>
      <c r="L683" s="7"/>
      <c r="M683" s="7"/>
      <c r="N683" s="4"/>
      <c r="O683" s="4"/>
      <c r="P683" s="4"/>
      <c r="Q683" s="4"/>
      <c r="R683" s="4"/>
    </row>
    <row r="684">
      <c r="A684" s="1"/>
      <c r="B684" s="8"/>
      <c r="C684" s="2"/>
      <c r="D684" s="2"/>
      <c r="E684" s="2"/>
      <c r="F684" s="2"/>
      <c r="G684" s="7"/>
      <c r="H684" s="7"/>
      <c r="I684" s="7"/>
      <c r="J684" s="7"/>
      <c r="K684" s="7"/>
      <c r="L684" s="7"/>
      <c r="M684" s="7"/>
      <c r="N684" s="4"/>
      <c r="O684" s="4"/>
      <c r="P684" s="4"/>
      <c r="Q684" s="4"/>
      <c r="R684" s="4"/>
    </row>
    <row r="685">
      <c r="A685" s="1"/>
      <c r="B685" s="8"/>
      <c r="C685" s="2"/>
      <c r="D685" s="2"/>
      <c r="E685" s="2"/>
      <c r="F685" s="2"/>
      <c r="G685" s="7"/>
      <c r="H685" s="7"/>
      <c r="I685" s="7"/>
      <c r="J685" s="7"/>
      <c r="K685" s="7"/>
      <c r="L685" s="7"/>
      <c r="M685" s="7"/>
      <c r="N685" s="4"/>
      <c r="O685" s="4"/>
      <c r="P685" s="4"/>
      <c r="Q685" s="4"/>
      <c r="R685" s="4"/>
    </row>
    <row r="686">
      <c r="A686" s="1"/>
      <c r="B686" s="8"/>
      <c r="C686" s="2"/>
      <c r="D686" s="2"/>
      <c r="E686" s="2"/>
      <c r="F686" s="2"/>
      <c r="G686" s="7"/>
      <c r="H686" s="7"/>
      <c r="I686" s="7"/>
      <c r="J686" s="7"/>
      <c r="K686" s="7"/>
      <c r="L686" s="7"/>
      <c r="M686" s="7"/>
      <c r="N686" s="4"/>
      <c r="O686" s="4"/>
      <c r="P686" s="4"/>
      <c r="Q686" s="4"/>
      <c r="R686" s="4"/>
    </row>
    <row r="687">
      <c r="A687" s="1"/>
      <c r="B687" s="8"/>
      <c r="C687" s="2"/>
      <c r="D687" s="2"/>
      <c r="E687" s="2"/>
      <c r="F687" s="2"/>
      <c r="G687" s="7"/>
      <c r="H687" s="7"/>
      <c r="I687" s="7"/>
      <c r="J687" s="7"/>
      <c r="K687" s="7"/>
      <c r="L687" s="7"/>
      <c r="M687" s="7"/>
      <c r="N687" s="4"/>
      <c r="O687" s="4"/>
      <c r="P687" s="4"/>
      <c r="Q687" s="4"/>
      <c r="R687" s="4"/>
    </row>
    <row r="688">
      <c r="A688" s="1"/>
      <c r="B688" s="8"/>
      <c r="C688" s="2"/>
      <c r="D688" s="2"/>
      <c r="E688" s="2"/>
      <c r="F688" s="2"/>
      <c r="G688" s="7"/>
      <c r="H688" s="7"/>
      <c r="I688" s="7"/>
      <c r="J688" s="7"/>
      <c r="K688" s="7"/>
      <c r="L688" s="7"/>
      <c r="M688" s="7"/>
      <c r="N688" s="4"/>
      <c r="O688" s="4"/>
      <c r="P688" s="4"/>
      <c r="Q688" s="4"/>
      <c r="R688" s="4"/>
    </row>
    <row r="689">
      <c r="A689" s="1"/>
      <c r="B689" s="8"/>
      <c r="C689" s="2"/>
      <c r="D689" s="2"/>
      <c r="E689" s="2"/>
      <c r="F689" s="2"/>
      <c r="G689" s="7"/>
      <c r="H689" s="7"/>
      <c r="I689" s="7"/>
      <c r="J689" s="7"/>
      <c r="K689" s="7"/>
      <c r="L689" s="7"/>
      <c r="M689" s="7"/>
      <c r="N689" s="4"/>
      <c r="O689" s="4"/>
      <c r="P689" s="4"/>
      <c r="Q689" s="4"/>
      <c r="R689" s="4"/>
    </row>
    <row r="690">
      <c r="A690" s="1"/>
      <c r="B690" s="8"/>
      <c r="C690" s="2"/>
      <c r="D690" s="2"/>
      <c r="E690" s="2"/>
      <c r="F690" s="2"/>
      <c r="G690" s="7"/>
      <c r="H690" s="7"/>
      <c r="I690" s="7"/>
      <c r="J690" s="7"/>
      <c r="K690" s="7"/>
      <c r="L690" s="7"/>
      <c r="M690" s="7"/>
      <c r="N690" s="4"/>
      <c r="O690" s="4"/>
      <c r="P690" s="4"/>
      <c r="Q690" s="4"/>
      <c r="R690" s="4"/>
    </row>
    <row r="691">
      <c r="A691" s="1"/>
      <c r="B691" s="8"/>
      <c r="C691" s="2"/>
      <c r="D691" s="2"/>
      <c r="E691" s="2"/>
      <c r="F691" s="2"/>
      <c r="G691" s="7"/>
      <c r="H691" s="7"/>
      <c r="I691" s="7"/>
      <c r="J691" s="7"/>
      <c r="K691" s="7"/>
      <c r="L691" s="7"/>
      <c r="M691" s="7"/>
      <c r="N691" s="4"/>
      <c r="O691" s="4"/>
      <c r="P691" s="4"/>
      <c r="Q691" s="4"/>
      <c r="R691" s="4"/>
    </row>
    <row r="692">
      <c r="A692" s="1"/>
      <c r="B692" s="8"/>
      <c r="C692" s="2"/>
      <c r="D692" s="2"/>
      <c r="E692" s="2"/>
      <c r="F692" s="2"/>
      <c r="G692" s="7"/>
      <c r="H692" s="7"/>
      <c r="I692" s="7"/>
      <c r="J692" s="7"/>
      <c r="K692" s="7"/>
      <c r="L692" s="7"/>
      <c r="M692" s="7"/>
      <c r="N692" s="4"/>
      <c r="O692" s="4"/>
      <c r="P692" s="4"/>
      <c r="Q692" s="4"/>
      <c r="R692" s="4"/>
    </row>
    <row r="693">
      <c r="A693" s="1"/>
      <c r="B693" s="8"/>
      <c r="C693" s="2"/>
      <c r="D693" s="2"/>
      <c r="E693" s="2"/>
      <c r="F693" s="2"/>
      <c r="G693" s="7"/>
      <c r="H693" s="7"/>
      <c r="I693" s="7"/>
      <c r="J693" s="7"/>
      <c r="K693" s="7"/>
      <c r="L693" s="7"/>
      <c r="M693" s="7"/>
      <c r="N693" s="4"/>
      <c r="O693" s="4"/>
      <c r="P693" s="4"/>
      <c r="Q693" s="4"/>
      <c r="R693" s="4"/>
    </row>
    <row r="694">
      <c r="A694" s="1"/>
      <c r="B694" s="8"/>
      <c r="C694" s="2"/>
      <c r="D694" s="2"/>
      <c r="E694" s="2"/>
      <c r="F694" s="2"/>
      <c r="G694" s="7"/>
      <c r="H694" s="7"/>
      <c r="I694" s="7"/>
      <c r="J694" s="7"/>
      <c r="K694" s="7"/>
      <c r="L694" s="7"/>
      <c r="M694" s="7"/>
      <c r="N694" s="4"/>
      <c r="O694" s="4"/>
      <c r="P694" s="4"/>
      <c r="Q694" s="4"/>
      <c r="R694" s="4"/>
    </row>
    <row r="695">
      <c r="A695" s="1"/>
      <c r="B695" s="8"/>
      <c r="C695" s="2"/>
      <c r="D695" s="2"/>
      <c r="E695" s="2"/>
      <c r="F695" s="2"/>
      <c r="G695" s="7"/>
      <c r="H695" s="7"/>
      <c r="I695" s="7"/>
      <c r="J695" s="7"/>
      <c r="K695" s="7"/>
      <c r="L695" s="7"/>
      <c r="M695" s="7"/>
      <c r="N695" s="4"/>
      <c r="O695" s="4"/>
      <c r="P695" s="4"/>
      <c r="Q695" s="4"/>
      <c r="R695" s="4"/>
    </row>
    <row r="696">
      <c r="A696" s="1"/>
      <c r="B696" s="8"/>
      <c r="C696" s="2"/>
      <c r="D696" s="2"/>
      <c r="E696" s="2"/>
      <c r="F696" s="2"/>
      <c r="G696" s="7"/>
      <c r="H696" s="7"/>
      <c r="I696" s="7"/>
      <c r="J696" s="7"/>
      <c r="K696" s="7"/>
      <c r="L696" s="7"/>
      <c r="M696" s="7"/>
      <c r="N696" s="4"/>
      <c r="O696" s="4"/>
      <c r="P696" s="4"/>
      <c r="Q696" s="4"/>
      <c r="R696" s="4"/>
    </row>
    <row r="697">
      <c r="A697" s="1"/>
      <c r="B697" s="8"/>
      <c r="C697" s="2"/>
      <c r="D697" s="2"/>
      <c r="E697" s="2"/>
      <c r="F697" s="2"/>
      <c r="G697" s="7"/>
      <c r="H697" s="7"/>
      <c r="I697" s="7"/>
      <c r="J697" s="7"/>
      <c r="K697" s="7"/>
      <c r="L697" s="7"/>
      <c r="M697" s="7"/>
      <c r="N697" s="4"/>
      <c r="O697" s="4"/>
      <c r="P697" s="4"/>
      <c r="Q697" s="4"/>
      <c r="R697" s="4"/>
    </row>
    <row r="698">
      <c r="A698" s="1"/>
      <c r="B698" s="8"/>
      <c r="C698" s="2"/>
      <c r="D698" s="2"/>
      <c r="E698" s="2"/>
      <c r="F698" s="2"/>
      <c r="G698" s="7"/>
      <c r="H698" s="7"/>
      <c r="I698" s="7"/>
      <c r="J698" s="7"/>
      <c r="K698" s="7"/>
      <c r="L698" s="7"/>
      <c r="M698" s="7"/>
      <c r="N698" s="4"/>
      <c r="O698" s="4"/>
      <c r="P698" s="4"/>
      <c r="Q698" s="4"/>
      <c r="R698" s="4"/>
    </row>
    <row r="699">
      <c r="A699" s="1"/>
      <c r="B699" s="8"/>
      <c r="C699" s="2"/>
      <c r="D699" s="2"/>
      <c r="E699" s="2"/>
      <c r="F699" s="2"/>
      <c r="G699" s="7"/>
      <c r="H699" s="7"/>
      <c r="I699" s="7"/>
      <c r="J699" s="7"/>
      <c r="K699" s="7"/>
      <c r="L699" s="7"/>
      <c r="M699" s="7"/>
      <c r="N699" s="4"/>
      <c r="O699" s="4"/>
      <c r="P699" s="4"/>
      <c r="Q699" s="4"/>
      <c r="R699" s="4"/>
    </row>
    <row r="700">
      <c r="A700" s="1"/>
      <c r="B700" s="8"/>
      <c r="C700" s="2"/>
      <c r="D700" s="2"/>
      <c r="E700" s="2"/>
      <c r="F700" s="2"/>
      <c r="G700" s="7"/>
      <c r="H700" s="7"/>
      <c r="I700" s="7"/>
      <c r="J700" s="7"/>
      <c r="K700" s="7"/>
      <c r="L700" s="7"/>
      <c r="M700" s="7"/>
      <c r="N700" s="4"/>
      <c r="O700" s="4"/>
      <c r="P700" s="4"/>
      <c r="Q700" s="4"/>
      <c r="R700" s="4"/>
    </row>
    <row r="701">
      <c r="A701" s="1"/>
      <c r="B701" s="8"/>
      <c r="C701" s="2"/>
      <c r="D701" s="2"/>
      <c r="E701" s="2"/>
      <c r="F701" s="2"/>
      <c r="G701" s="7"/>
      <c r="H701" s="7"/>
      <c r="I701" s="7"/>
      <c r="J701" s="7"/>
      <c r="K701" s="7"/>
      <c r="L701" s="7"/>
      <c r="M701" s="7"/>
      <c r="N701" s="4"/>
      <c r="O701" s="4"/>
      <c r="P701" s="4"/>
      <c r="Q701" s="4"/>
      <c r="R701" s="4"/>
    </row>
    <row r="702">
      <c r="A702" s="1"/>
      <c r="B702" s="8"/>
      <c r="C702" s="2"/>
      <c r="D702" s="2"/>
      <c r="E702" s="2"/>
      <c r="F702" s="2"/>
      <c r="G702" s="7"/>
      <c r="H702" s="7"/>
      <c r="I702" s="7"/>
      <c r="J702" s="7"/>
      <c r="K702" s="7"/>
      <c r="L702" s="7"/>
      <c r="M702" s="7"/>
      <c r="N702" s="4"/>
      <c r="O702" s="4"/>
      <c r="P702" s="4"/>
      <c r="Q702" s="4"/>
      <c r="R702" s="4"/>
    </row>
    <row r="703">
      <c r="A703" s="1"/>
      <c r="B703" s="8"/>
      <c r="C703" s="2"/>
      <c r="D703" s="2"/>
      <c r="E703" s="2"/>
      <c r="F703" s="2"/>
      <c r="G703" s="7"/>
      <c r="H703" s="7"/>
      <c r="I703" s="7"/>
      <c r="J703" s="7"/>
      <c r="K703" s="7"/>
      <c r="L703" s="7"/>
      <c r="M703" s="7"/>
      <c r="N703" s="4"/>
      <c r="O703" s="4"/>
      <c r="P703" s="4"/>
      <c r="Q703" s="4"/>
      <c r="R703" s="4"/>
    </row>
    <row r="704">
      <c r="A704" s="1"/>
      <c r="B704" s="8"/>
      <c r="C704" s="2"/>
      <c r="D704" s="2"/>
      <c r="E704" s="2"/>
      <c r="F704" s="2"/>
      <c r="G704" s="7"/>
      <c r="H704" s="7"/>
      <c r="I704" s="7"/>
      <c r="J704" s="7"/>
      <c r="K704" s="7"/>
      <c r="L704" s="7"/>
      <c r="M704" s="7"/>
      <c r="N704" s="4"/>
      <c r="O704" s="4"/>
      <c r="P704" s="4"/>
      <c r="Q704" s="4"/>
      <c r="R704" s="4"/>
    </row>
    <row r="705">
      <c r="A705" s="1"/>
      <c r="B705" s="8"/>
      <c r="C705" s="2"/>
      <c r="D705" s="2"/>
      <c r="E705" s="2"/>
      <c r="F705" s="2"/>
      <c r="G705" s="7"/>
      <c r="H705" s="7"/>
      <c r="I705" s="7"/>
      <c r="J705" s="7"/>
      <c r="K705" s="7"/>
      <c r="L705" s="7"/>
      <c r="M705" s="7"/>
      <c r="N705" s="4"/>
      <c r="O705" s="4"/>
      <c r="P705" s="4"/>
      <c r="Q705" s="4"/>
      <c r="R705" s="4"/>
    </row>
    <row r="706">
      <c r="A706" s="1"/>
      <c r="B706" s="8"/>
      <c r="C706" s="2"/>
      <c r="D706" s="2"/>
      <c r="E706" s="2"/>
      <c r="F706" s="2"/>
      <c r="G706" s="7"/>
      <c r="H706" s="7"/>
      <c r="I706" s="7"/>
      <c r="J706" s="7"/>
      <c r="K706" s="7"/>
      <c r="L706" s="7"/>
      <c r="M706" s="7"/>
      <c r="N706" s="4"/>
      <c r="O706" s="4"/>
      <c r="P706" s="4"/>
      <c r="Q706" s="4"/>
      <c r="R706" s="4"/>
    </row>
    <row r="707">
      <c r="A707" s="1"/>
      <c r="B707" s="8"/>
      <c r="C707" s="2"/>
      <c r="D707" s="2"/>
      <c r="E707" s="2"/>
      <c r="F707" s="2"/>
      <c r="G707" s="7"/>
      <c r="H707" s="7"/>
      <c r="I707" s="7"/>
      <c r="J707" s="7"/>
      <c r="K707" s="7"/>
      <c r="L707" s="7"/>
      <c r="M707" s="7"/>
      <c r="N707" s="4"/>
      <c r="O707" s="4"/>
      <c r="P707" s="4"/>
      <c r="Q707" s="4"/>
      <c r="R707" s="4"/>
    </row>
    <row r="708">
      <c r="A708" s="1"/>
      <c r="B708" s="8"/>
      <c r="C708" s="2"/>
      <c r="D708" s="2"/>
      <c r="E708" s="2"/>
      <c r="F708" s="2"/>
      <c r="G708" s="7"/>
      <c r="H708" s="7"/>
      <c r="I708" s="7"/>
      <c r="J708" s="7"/>
      <c r="K708" s="7"/>
      <c r="L708" s="7"/>
      <c r="M708" s="7"/>
      <c r="N708" s="4"/>
      <c r="O708" s="4"/>
      <c r="P708" s="4"/>
      <c r="Q708" s="4"/>
      <c r="R708" s="4"/>
    </row>
    <row r="709">
      <c r="A709" s="1"/>
      <c r="B709" s="8"/>
      <c r="C709" s="2"/>
      <c r="D709" s="2"/>
      <c r="E709" s="2"/>
      <c r="F709" s="2"/>
      <c r="G709" s="7"/>
      <c r="H709" s="7"/>
      <c r="I709" s="7"/>
      <c r="J709" s="7"/>
      <c r="K709" s="7"/>
      <c r="L709" s="7"/>
      <c r="M709" s="7"/>
      <c r="N709" s="4"/>
      <c r="O709" s="4"/>
      <c r="P709" s="4"/>
      <c r="Q709" s="4"/>
      <c r="R709" s="4"/>
    </row>
    <row r="710">
      <c r="A710" s="1"/>
      <c r="B710" s="8"/>
      <c r="C710" s="2"/>
      <c r="D710" s="2"/>
      <c r="E710" s="2"/>
      <c r="F710" s="2"/>
      <c r="G710" s="7"/>
      <c r="H710" s="7"/>
      <c r="I710" s="7"/>
      <c r="J710" s="7"/>
      <c r="K710" s="7"/>
      <c r="L710" s="7"/>
      <c r="M710" s="7"/>
      <c r="N710" s="4"/>
      <c r="O710" s="4"/>
      <c r="P710" s="4"/>
      <c r="Q710" s="4"/>
      <c r="R710" s="4"/>
    </row>
    <row r="711">
      <c r="A711" s="1"/>
      <c r="B711" s="8"/>
      <c r="C711" s="2"/>
      <c r="D711" s="2"/>
      <c r="E711" s="2"/>
      <c r="F711" s="2"/>
      <c r="G711" s="7"/>
      <c r="H711" s="7"/>
      <c r="I711" s="7"/>
      <c r="J711" s="7"/>
      <c r="K711" s="7"/>
      <c r="L711" s="7"/>
      <c r="M711" s="7"/>
      <c r="N711" s="4"/>
      <c r="O711" s="4"/>
      <c r="P711" s="4"/>
      <c r="Q711" s="4"/>
      <c r="R711" s="4"/>
    </row>
    <row r="712">
      <c r="A712" s="1"/>
      <c r="B712" s="8"/>
      <c r="C712" s="2"/>
      <c r="D712" s="2"/>
      <c r="E712" s="2"/>
      <c r="F712" s="2"/>
      <c r="G712" s="7"/>
      <c r="H712" s="7"/>
      <c r="I712" s="7"/>
      <c r="J712" s="7"/>
      <c r="K712" s="7"/>
      <c r="L712" s="7"/>
      <c r="M712" s="7"/>
      <c r="N712" s="4"/>
      <c r="O712" s="4"/>
      <c r="P712" s="4"/>
      <c r="Q712" s="4"/>
      <c r="R712" s="4"/>
    </row>
    <row r="713">
      <c r="A713" s="1"/>
      <c r="B713" s="8"/>
      <c r="C713" s="2"/>
      <c r="D713" s="2"/>
      <c r="E713" s="2"/>
      <c r="F713" s="2"/>
      <c r="G713" s="7"/>
      <c r="H713" s="7"/>
      <c r="I713" s="7"/>
      <c r="J713" s="7"/>
      <c r="K713" s="7"/>
      <c r="L713" s="7"/>
      <c r="M713" s="7"/>
      <c r="N713" s="4"/>
      <c r="O713" s="4"/>
      <c r="P713" s="4"/>
      <c r="Q713" s="4"/>
      <c r="R713" s="4"/>
    </row>
    <row r="714">
      <c r="A714" s="1"/>
      <c r="B714" s="8"/>
      <c r="C714" s="2"/>
      <c r="D714" s="2"/>
      <c r="E714" s="2"/>
      <c r="F714" s="2"/>
      <c r="G714" s="7"/>
      <c r="H714" s="7"/>
      <c r="I714" s="7"/>
      <c r="J714" s="7"/>
      <c r="K714" s="7"/>
      <c r="L714" s="7"/>
      <c r="M714" s="7"/>
      <c r="N714" s="4"/>
      <c r="O714" s="4"/>
      <c r="P714" s="4"/>
      <c r="Q714" s="4"/>
      <c r="R714" s="4"/>
    </row>
    <row r="715">
      <c r="A715" s="1"/>
      <c r="B715" s="8"/>
      <c r="C715" s="2"/>
      <c r="D715" s="2"/>
      <c r="E715" s="2"/>
      <c r="F715" s="2"/>
      <c r="G715" s="7"/>
      <c r="H715" s="7"/>
      <c r="I715" s="7"/>
      <c r="J715" s="7"/>
      <c r="K715" s="7"/>
      <c r="L715" s="7"/>
      <c r="M715" s="7"/>
      <c r="N715" s="4"/>
      <c r="O715" s="4"/>
      <c r="P715" s="4"/>
      <c r="Q715" s="4"/>
      <c r="R715" s="4"/>
    </row>
    <row r="716">
      <c r="A716" s="1"/>
      <c r="B716" s="8"/>
      <c r="C716" s="2"/>
      <c r="D716" s="2"/>
      <c r="E716" s="2"/>
      <c r="F716" s="2"/>
      <c r="G716" s="7"/>
      <c r="H716" s="7"/>
      <c r="I716" s="7"/>
      <c r="J716" s="7"/>
      <c r="K716" s="7"/>
      <c r="L716" s="7"/>
      <c r="M716" s="7"/>
      <c r="N716" s="4"/>
      <c r="O716" s="4"/>
      <c r="P716" s="4"/>
      <c r="Q716" s="4"/>
      <c r="R716" s="4"/>
    </row>
    <row r="717">
      <c r="A717" s="1"/>
      <c r="B717" s="8"/>
      <c r="C717" s="2"/>
      <c r="D717" s="2"/>
      <c r="E717" s="2"/>
      <c r="F717" s="2"/>
      <c r="G717" s="7"/>
      <c r="H717" s="7"/>
      <c r="I717" s="7"/>
      <c r="J717" s="7"/>
      <c r="K717" s="7"/>
      <c r="L717" s="7"/>
      <c r="M717" s="7"/>
      <c r="N717" s="4"/>
      <c r="O717" s="4"/>
      <c r="P717" s="4"/>
      <c r="Q717" s="4"/>
      <c r="R717" s="4"/>
    </row>
    <row r="718">
      <c r="A718" s="1"/>
      <c r="B718" s="8"/>
      <c r="C718" s="2"/>
      <c r="D718" s="2"/>
      <c r="E718" s="2"/>
      <c r="F718" s="2"/>
      <c r="G718" s="7"/>
      <c r="H718" s="7"/>
      <c r="I718" s="7"/>
      <c r="J718" s="7"/>
      <c r="K718" s="7"/>
      <c r="L718" s="7"/>
      <c r="M718" s="7"/>
      <c r="N718" s="4"/>
      <c r="O718" s="4"/>
      <c r="P718" s="4"/>
      <c r="Q718" s="4"/>
      <c r="R718" s="4"/>
    </row>
    <row r="719">
      <c r="A719" s="1"/>
      <c r="B719" s="8"/>
      <c r="C719" s="2"/>
      <c r="D719" s="2"/>
      <c r="E719" s="2"/>
      <c r="F719" s="2"/>
      <c r="G719" s="7"/>
      <c r="H719" s="7"/>
      <c r="I719" s="7"/>
      <c r="J719" s="7"/>
      <c r="K719" s="7"/>
      <c r="L719" s="7"/>
      <c r="M719" s="7"/>
      <c r="N719" s="4"/>
      <c r="O719" s="4"/>
      <c r="P719" s="4"/>
      <c r="Q719" s="4"/>
      <c r="R719" s="4"/>
    </row>
    <row r="720">
      <c r="A720" s="1"/>
      <c r="B720" s="8"/>
      <c r="C720" s="2"/>
      <c r="D720" s="2"/>
      <c r="E720" s="2"/>
      <c r="F720" s="2"/>
      <c r="G720" s="7"/>
      <c r="H720" s="7"/>
      <c r="I720" s="7"/>
      <c r="J720" s="7"/>
      <c r="K720" s="7"/>
      <c r="L720" s="7"/>
      <c r="M720" s="7"/>
      <c r="N720" s="4"/>
      <c r="O720" s="4"/>
      <c r="P720" s="4"/>
      <c r="Q720" s="4"/>
      <c r="R720" s="4"/>
    </row>
    <row r="721">
      <c r="A721" s="1"/>
      <c r="B721" s="8"/>
      <c r="C721" s="2"/>
      <c r="D721" s="2"/>
      <c r="E721" s="2"/>
      <c r="F721" s="2"/>
      <c r="G721" s="7"/>
      <c r="H721" s="7"/>
      <c r="I721" s="7"/>
      <c r="J721" s="7"/>
      <c r="K721" s="7"/>
      <c r="L721" s="7"/>
      <c r="M721" s="7"/>
      <c r="N721" s="4"/>
      <c r="O721" s="4"/>
      <c r="P721" s="4"/>
      <c r="Q721" s="4"/>
      <c r="R721" s="4"/>
    </row>
    <row r="722">
      <c r="A722" s="1"/>
      <c r="B722" s="8"/>
      <c r="C722" s="2"/>
      <c r="D722" s="2"/>
      <c r="E722" s="2"/>
      <c r="F722" s="2"/>
      <c r="G722" s="7"/>
      <c r="H722" s="7"/>
      <c r="I722" s="7"/>
      <c r="J722" s="7"/>
      <c r="K722" s="7"/>
      <c r="L722" s="7"/>
      <c r="M722" s="7"/>
      <c r="N722" s="4"/>
      <c r="O722" s="4"/>
      <c r="P722" s="4"/>
      <c r="Q722" s="4"/>
      <c r="R722" s="4"/>
    </row>
    <row r="723">
      <c r="A723" s="1"/>
      <c r="B723" s="8"/>
      <c r="C723" s="2"/>
      <c r="D723" s="2"/>
      <c r="E723" s="2"/>
      <c r="F723" s="2"/>
      <c r="G723" s="7"/>
      <c r="H723" s="7"/>
      <c r="I723" s="7"/>
      <c r="J723" s="7"/>
      <c r="K723" s="7"/>
      <c r="L723" s="7"/>
      <c r="M723" s="7"/>
      <c r="N723" s="4"/>
      <c r="O723" s="4"/>
      <c r="P723" s="4"/>
      <c r="Q723" s="4"/>
      <c r="R723" s="4"/>
    </row>
    <row r="724">
      <c r="A724" s="1"/>
      <c r="B724" s="8"/>
      <c r="C724" s="2"/>
      <c r="D724" s="2"/>
      <c r="E724" s="2"/>
      <c r="F724" s="2"/>
      <c r="G724" s="7"/>
      <c r="H724" s="7"/>
      <c r="I724" s="7"/>
      <c r="J724" s="7"/>
      <c r="K724" s="7"/>
      <c r="L724" s="7"/>
      <c r="M724" s="7"/>
      <c r="N724" s="4"/>
      <c r="O724" s="4"/>
      <c r="P724" s="4"/>
      <c r="Q724" s="4"/>
      <c r="R724" s="4"/>
    </row>
    <row r="725">
      <c r="A725" s="1"/>
      <c r="B725" s="8"/>
      <c r="C725" s="2"/>
      <c r="D725" s="2"/>
      <c r="E725" s="2"/>
      <c r="F725" s="2"/>
      <c r="G725" s="7"/>
      <c r="H725" s="7"/>
      <c r="I725" s="7"/>
      <c r="J725" s="7"/>
      <c r="K725" s="7"/>
      <c r="L725" s="7"/>
      <c r="M725" s="7"/>
      <c r="N725" s="4"/>
      <c r="O725" s="4"/>
      <c r="P725" s="4"/>
      <c r="Q725" s="4"/>
      <c r="R725" s="4"/>
    </row>
    <row r="726">
      <c r="A726" s="1"/>
      <c r="B726" s="8"/>
      <c r="C726" s="2"/>
      <c r="D726" s="2"/>
      <c r="E726" s="2"/>
      <c r="F726" s="2"/>
      <c r="G726" s="7"/>
      <c r="H726" s="7"/>
      <c r="I726" s="7"/>
      <c r="J726" s="7"/>
      <c r="K726" s="7"/>
      <c r="L726" s="7"/>
      <c r="M726" s="7"/>
      <c r="N726" s="4"/>
      <c r="O726" s="4"/>
      <c r="P726" s="4"/>
      <c r="Q726" s="4"/>
      <c r="R726" s="4"/>
    </row>
    <row r="727">
      <c r="A727" s="1"/>
      <c r="B727" s="8"/>
      <c r="C727" s="2"/>
      <c r="D727" s="2"/>
      <c r="E727" s="2"/>
      <c r="F727" s="2"/>
      <c r="G727" s="7"/>
      <c r="H727" s="7"/>
      <c r="I727" s="7"/>
      <c r="J727" s="7"/>
      <c r="K727" s="7"/>
      <c r="L727" s="7"/>
      <c r="M727" s="7"/>
      <c r="N727" s="4"/>
      <c r="O727" s="4"/>
      <c r="P727" s="4"/>
      <c r="Q727" s="4"/>
      <c r="R727" s="4"/>
    </row>
    <row r="728">
      <c r="A728" s="1"/>
      <c r="B728" s="8"/>
      <c r="C728" s="2"/>
      <c r="D728" s="2"/>
      <c r="E728" s="2"/>
      <c r="F728" s="2"/>
      <c r="G728" s="7"/>
      <c r="H728" s="7"/>
      <c r="I728" s="7"/>
      <c r="J728" s="7"/>
      <c r="K728" s="7"/>
      <c r="L728" s="7"/>
      <c r="M728" s="7"/>
      <c r="N728" s="4"/>
      <c r="O728" s="4"/>
      <c r="P728" s="4"/>
      <c r="Q728" s="4"/>
      <c r="R728" s="4"/>
    </row>
    <row r="729">
      <c r="A729" s="1"/>
      <c r="B729" s="8"/>
      <c r="C729" s="2"/>
      <c r="D729" s="2"/>
      <c r="E729" s="2"/>
      <c r="F729" s="2"/>
      <c r="G729" s="7"/>
      <c r="H729" s="7"/>
      <c r="I729" s="7"/>
      <c r="J729" s="7"/>
      <c r="K729" s="7"/>
      <c r="L729" s="7"/>
      <c r="M729" s="7"/>
      <c r="N729" s="4"/>
      <c r="O729" s="4"/>
      <c r="P729" s="4"/>
      <c r="Q729" s="4"/>
      <c r="R729" s="4"/>
    </row>
    <row r="730">
      <c r="A730" s="1"/>
      <c r="B730" s="8"/>
      <c r="C730" s="2"/>
      <c r="D730" s="2"/>
      <c r="E730" s="2"/>
      <c r="F730" s="2"/>
      <c r="G730" s="7"/>
      <c r="H730" s="7"/>
      <c r="I730" s="7"/>
      <c r="J730" s="7"/>
      <c r="K730" s="7"/>
      <c r="L730" s="7"/>
      <c r="M730" s="7"/>
      <c r="N730" s="4"/>
      <c r="O730" s="4"/>
      <c r="P730" s="4"/>
      <c r="Q730" s="4"/>
      <c r="R730" s="4"/>
    </row>
    <row r="731">
      <c r="A731" s="1"/>
      <c r="B731" s="8"/>
      <c r="C731" s="2"/>
      <c r="D731" s="2"/>
      <c r="E731" s="2"/>
      <c r="F731" s="2"/>
      <c r="G731" s="7"/>
      <c r="H731" s="7"/>
      <c r="I731" s="7"/>
      <c r="J731" s="7"/>
      <c r="K731" s="7"/>
      <c r="L731" s="7"/>
      <c r="M731" s="7"/>
      <c r="N731" s="4"/>
      <c r="O731" s="4"/>
      <c r="P731" s="4"/>
      <c r="Q731" s="4"/>
      <c r="R731" s="4"/>
    </row>
    <row r="732">
      <c r="A732" s="1"/>
      <c r="B732" s="8"/>
      <c r="C732" s="2"/>
      <c r="D732" s="2"/>
      <c r="E732" s="2"/>
      <c r="F732" s="2"/>
      <c r="G732" s="7"/>
      <c r="H732" s="7"/>
      <c r="I732" s="7"/>
      <c r="J732" s="7"/>
      <c r="K732" s="7"/>
      <c r="L732" s="7"/>
      <c r="M732" s="7"/>
      <c r="N732" s="4"/>
      <c r="O732" s="4"/>
      <c r="P732" s="4"/>
      <c r="Q732" s="4"/>
      <c r="R732" s="4"/>
    </row>
    <row r="733">
      <c r="A733" s="1"/>
      <c r="B733" s="8"/>
      <c r="C733" s="2"/>
      <c r="D733" s="2"/>
      <c r="E733" s="2"/>
      <c r="F733" s="2"/>
      <c r="G733" s="7"/>
      <c r="H733" s="7"/>
      <c r="I733" s="7"/>
      <c r="J733" s="7"/>
      <c r="K733" s="7"/>
      <c r="L733" s="7"/>
      <c r="M733" s="7"/>
      <c r="N733" s="4"/>
      <c r="O733" s="4"/>
      <c r="P733" s="4"/>
      <c r="Q733" s="4"/>
      <c r="R733" s="4"/>
    </row>
    <row r="734">
      <c r="A734" s="1"/>
      <c r="B734" s="8"/>
      <c r="C734" s="2"/>
      <c r="D734" s="2"/>
      <c r="E734" s="2"/>
      <c r="F734" s="2"/>
      <c r="G734" s="7"/>
      <c r="H734" s="7"/>
      <c r="I734" s="7"/>
      <c r="J734" s="7"/>
      <c r="K734" s="7"/>
      <c r="L734" s="7"/>
      <c r="M734" s="7"/>
      <c r="N734" s="4"/>
      <c r="O734" s="4"/>
      <c r="P734" s="4"/>
      <c r="Q734" s="4"/>
      <c r="R734" s="4"/>
    </row>
    <row r="735">
      <c r="A735" s="1"/>
      <c r="B735" s="8"/>
      <c r="C735" s="2"/>
      <c r="D735" s="2"/>
      <c r="E735" s="2"/>
      <c r="F735" s="2"/>
      <c r="G735" s="7"/>
      <c r="H735" s="7"/>
      <c r="I735" s="7"/>
      <c r="J735" s="7"/>
      <c r="K735" s="7"/>
      <c r="L735" s="7"/>
      <c r="M735" s="7"/>
      <c r="N735" s="4"/>
      <c r="O735" s="4"/>
      <c r="P735" s="4"/>
      <c r="Q735" s="4"/>
      <c r="R735" s="4"/>
    </row>
    <row r="736">
      <c r="A736" s="1"/>
      <c r="B736" s="8"/>
      <c r="C736" s="2"/>
      <c r="D736" s="2"/>
      <c r="E736" s="2"/>
      <c r="F736" s="2"/>
      <c r="G736" s="7"/>
      <c r="H736" s="7"/>
      <c r="I736" s="7"/>
      <c r="J736" s="7"/>
      <c r="K736" s="7"/>
      <c r="L736" s="7"/>
      <c r="M736" s="7"/>
      <c r="N736" s="4"/>
      <c r="O736" s="4"/>
      <c r="P736" s="4"/>
      <c r="Q736" s="4"/>
      <c r="R736" s="4"/>
    </row>
    <row r="737">
      <c r="A737" s="1"/>
      <c r="B737" s="8"/>
      <c r="C737" s="2"/>
      <c r="D737" s="2"/>
      <c r="E737" s="2"/>
      <c r="F737" s="2"/>
      <c r="G737" s="7"/>
      <c r="H737" s="7"/>
      <c r="I737" s="7"/>
      <c r="J737" s="7"/>
      <c r="K737" s="7"/>
      <c r="L737" s="7"/>
      <c r="M737" s="7"/>
      <c r="N737" s="4"/>
      <c r="O737" s="4"/>
      <c r="P737" s="4"/>
      <c r="Q737" s="4"/>
      <c r="R737" s="4"/>
    </row>
    <row r="738">
      <c r="A738" s="1"/>
      <c r="B738" s="8"/>
      <c r="C738" s="2"/>
      <c r="D738" s="2"/>
      <c r="E738" s="2"/>
      <c r="F738" s="2"/>
      <c r="G738" s="7"/>
      <c r="H738" s="7"/>
      <c r="I738" s="7"/>
      <c r="J738" s="7"/>
      <c r="K738" s="7"/>
      <c r="L738" s="7"/>
      <c r="M738" s="7"/>
      <c r="N738" s="4"/>
      <c r="O738" s="4"/>
      <c r="P738" s="4"/>
      <c r="Q738" s="4"/>
      <c r="R738" s="4"/>
    </row>
    <row r="739">
      <c r="A739" s="1"/>
      <c r="B739" s="8"/>
      <c r="C739" s="2"/>
      <c r="D739" s="2"/>
      <c r="E739" s="2"/>
      <c r="F739" s="2"/>
      <c r="G739" s="7"/>
      <c r="H739" s="7"/>
      <c r="I739" s="7"/>
      <c r="J739" s="7"/>
      <c r="K739" s="7"/>
      <c r="L739" s="7"/>
      <c r="M739" s="7"/>
      <c r="N739" s="4"/>
      <c r="O739" s="4"/>
      <c r="P739" s="4"/>
      <c r="Q739" s="4"/>
      <c r="R739" s="4"/>
    </row>
    <row r="740">
      <c r="A740" s="1"/>
      <c r="B740" s="8"/>
      <c r="C740" s="2"/>
      <c r="D740" s="2"/>
      <c r="E740" s="2"/>
      <c r="F740" s="2"/>
      <c r="G740" s="7"/>
      <c r="H740" s="7"/>
      <c r="I740" s="7"/>
      <c r="J740" s="7"/>
      <c r="K740" s="7"/>
      <c r="L740" s="7"/>
      <c r="M740" s="7"/>
      <c r="N740" s="4"/>
      <c r="O740" s="4"/>
      <c r="P740" s="4"/>
      <c r="Q740" s="4"/>
      <c r="R740" s="4"/>
    </row>
    <row r="741">
      <c r="A741" s="1"/>
      <c r="B741" s="8"/>
      <c r="C741" s="2"/>
      <c r="D741" s="2"/>
      <c r="E741" s="2"/>
      <c r="F741" s="2"/>
      <c r="G741" s="7"/>
      <c r="H741" s="7"/>
      <c r="I741" s="7"/>
      <c r="J741" s="7"/>
      <c r="K741" s="7"/>
      <c r="L741" s="7"/>
      <c r="M741" s="7"/>
      <c r="N741" s="4"/>
      <c r="O741" s="4"/>
      <c r="P741" s="4"/>
      <c r="Q741" s="4"/>
      <c r="R741" s="4"/>
    </row>
    <row r="742">
      <c r="A742" s="1"/>
      <c r="B742" s="8"/>
      <c r="C742" s="2"/>
      <c r="D742" s="2"/>
      <c r="E742" s="2"/>
      <c r="F742" s="2"/>
      <c r="G742" s="7"/>
      <c r="H742" s="7"/>
      <c r="I742" s="7"/>
      <c r="J742" s="7"/>
      <c r="K742" s="7"/>
      <c r="L742" s="7"/>
      <c r="M742" s="7"/>
      <c r="N742" s="4"/>
      <c r="O742" s="4"/>
      <c r="P742" s="4"/>
      <c r="Q742" s="4"/>
      <c r="R742" s="4"/>
    </row>
    <row r="743">
      <c r="A743" s="1"/>
      <c r="B743" s="8"/>
      <c r="C743" s="2"/>
      <c r="D743" s="2"/>
      <c r="E743" s="2"/>
      <c r="F743" s="2"/>
      <c r="G743" s="7"/>
      <c r="H743" s="7"/>
      <c r="I743" s="7"/>
      <c r="J743" s="7"/>
      <c r="K743" s="7"/>
      <c r="L743" s="7"/>
      <c r="M743" s="7"/>
      <c r="N743" s="4"/>
      <c r="O743" s="4"/>
      <c r="P743" s="4"/>
      <c r="Q743" s="4"/>
      <c r="R743" s="4"/>
    </row>
    <row r="744">
      <c r="A744" s="1"/>
      <c r="B744" s="8"/>
      <c r="C744" s="2"/>
      <c r="D744" s="2"/>
      <c r="E744" s="2"/>
      <c r="F744" s="2"/>
      <c r="G744" s="7"/>
      <c r="H744" s="7"/>
      <c r="I744" s="7"/>
      <c r="J744" s="7"/>
      <c r="K744" s="7"/>
      <c r="L744" s="7"/>
      <c r="M744" s="7"/>
      <c r="N744" s="4"/>
      <c r="O744" s="4"/>
      <c r="P744" s="4"/>
      <c r="Q744" s="4"/>
      <c r="R744" s="4"/>
    </row>
    <row r="745">
      <c r="A745" s="1"/>
      <c r="B745" s="8"/>
      <c r="C745" s="2"/>
      <c r="D745" s="2"/>
      <c r="E745" s="2"/>
      <c r="F745" s="2"/>
      <c r="G745" s="7"/>
      <c r="H745" s="7"/>
      <c r="I745" s="7"/>
      <c r="J745" s="7"/>
      <c r="K745" s="7"/>
      <c r="L745" s="7"/>
      <c r="M745" s="7"/>
      <c r="N745" s="4"/>
      <c r="O745" s="4"/>
      <c r="P745" s="4"/>
      <c r="Q745" s="4"/>
      <c r="R745" s="4"/>
    </row>
    <row r="746">
      <c r="A746" s="1"/>
      <c r="B746" s="8"/>
      <c r="C746" s="2"/>
      <c r="D746" s="2"/>
      <c r="E746" s="2"/>
      <c r="F746" s="2"/>
      <c r="G746" s="7"/>
      <c r="H746" s="7"/>
      <c r="I746" s="7"/>
      <c r="J746" s="7"/>
      <c r="K746" s="7"/>
      <c r="L746" s="7"/>
      <c r="M746" s="7"/>
      <c r="N746" s="4"/>
      <c r="O746" s="4"/>
      <c r="P746" s="4"/>
      <c r="Q746" s="4"/>
      <c r="R746" s="4"/>
    </row>
    <row r="747">
      <c r="A747" s="1"/>
      <c r="B747" s="8"/>
      <c r="C747" s="2"/>
      <c r="D747" s="2"/>
      <c r="E747" s="2"/>
      <c r="F747" s="2"/>
      <c r="G747" s="7"/>
      <c r="H747" s="7"/>
      <c r="I747" s="7"/>
      <c r="J747" s="7"/>
      <c r="K747" s="7"/>
      <c r="L747" s="7"/>
      <c r="M747" s="7"/>
      <c r="N747" s="4"/>
      <c r="O747" s="4"/>
      <c r="P747" s="4"/>
      <c r="Q747" s="4"/>
      <c r="R747" s="4"/>
    </row>
    <row r="748">
      <c r="A748" s="1"/>
      <c r="B748" s="8"/>
      <c r="C748" s="2"/>
      <c r="D748" s="2"/>
      <c r="E748" s="2"/>
      <c r="F748" s="2"/>
      <c r="G748" s="7"/>
      <c r="H748" s="7"/>
      <c r="I748" s="7"/>
      <c r="J748" s="7"/>
      <c r="K748" s="7"/>
      <c r="L748" s="7"/>
      <c r="M748" s="7"/>
      <c r="N748" s="4"/>
      <c r="O748" s="4"/>
      <c r="P748" s="4"/>
      <c r="Q748" s="4"/>
      <c r="R748" s="4"/>
    </row>
    <row r="749">
      <c r="A749" s="1"/>
      <c r="B749" s="8"/>
      <c r="C749" s="2"/>
      <c r="D749" s="2"/>
      <c r="E749" s="2"/>
      <c r="F749" s="2"/>
      <c r="G749" s="7"/>
      <c r="H749" s="7"/>
      <c r="I749" s="7"/>
      <c r="J749" s="7"/>
      <c r="K749" s="7"/>
      <c r="L749" s="7"/>
      <c r="M749" s="7"/>
      <c r="N749" s="4"/>
      <c r="O749" s="4"/>
      <c r="P749" s="4"/>
      <c r="Q749" s="4"/>
      <c r="R749" s="4"/>
    </row>
    <row r="750">
      <c r="A750" s="1"/>
      <c r="B750" s="8"/>
      <c r="C750" s="2"/>
      <c r="D750" s="2"/>
      <c r="E750" s="2"/>
      <c r="F750" s="2"/>
      <c r="G750" s="7"/>
      <c r="H750" s="7"/>
      <c r="I750" s="7"/>
      <c r="J750" s="7"/>
      <c r="K750" s="7"/>
      <c r="L750" s="7"/>
      <c r="M750" s="7"/>
      <c r="N750" s="4"/>
      <c r="O750" s="4"/>
      <c r="P750" s="4"/>
      <c r="Q750" s="4"/>
      <c r="R750" s="4"/>
    </row>
    <row r="751">
      <c r="A751" s="1"/>
      <c r="B751" s="8"/>
      <c r="C751" s="2"/>
      <c r="D751" s="2"/>
      <c r="E751" s="2"/>
      <c r="F751" s="2"/>
      <c r="G751" s="7"/>
      <c r="H751" s="7"/>
      <c r="I751" s="7"/>
      <c r="J751" s="7"/>
      <c r="K751" s="7"/>
      <c r="L751" s="7"/>
      <c r="M751" s="7"/>
      <c r="N751" s="4"/>
      <c r="O751" s="4"/>
      <c r="P751" s="4"/>
      <c r="Q751" s="4"/>
      <c r="R751" s="4"/>
    </row>
    <row r="752">
      <c r="A752" s="1"/>
      <c r="B752" s="8"/>
      <c r="C752" s="2"/>
      <c r="D752" s="2"/>
      <c r="E752" s="2"/>
      <c r="F752" s="2"/>
      <c r="G752" s="7"/>
      <c r="H752" s="7"/>
      <c r="I752" s="7"/>
      <c r="J752" s="7"/>
      <c r="K752" s="7"/>
      <c r="L752" s="7"/>
      <c r="M752" s="7"/>
      <c r="N752" s="4"/>
      <c r="O752" s="4"/>
      <c r="P752" s="4"/>
      <c r="Q752" s="4"/>
      <c r="R752" s="4"/>
    </row>
    <row r="753">
      <c r="A753" s="1"/>
      <c r="B753" s="8"/>
      <c r="C753" s="2"/>
      <c r="D753" s="2"/>
      <c r="E753" s="2"/>
      <c r="F753" s="2"/>
      <c r="G753" s="7"/>
      <c r="H753" s="7"/>
      <c r="I753" s="7"/>
      <c r="J753" s="7"/>
      <c r="K753" s="7"/>
      <c r="L753" s="7"/>
      <c r="M753" s="7"/>
      <c r="N753" s="4"/>
      <c r="O753" s="4"/>
      <c r="P753" s="4"/>
      <c r="Q753" s="4"/>
      <c r="R753" s="4"/>
    </row>
    <row r="754">
      <c r="A754" s="1"/>
      <c r="B754" s="8"/>
      <c r="C754" s="2"/>
      <c r="D754" s="2"/>
      <c r="E754" s="2"/>
      <c r="F754" s="2"/>
      <c r="G754" s="7"/>
      <c r="H754" s="7"/>
      <c r="I754" s="7"/>
      <c r="J754" s="7"/>
      <c r="K754" s="7"/>
      <c r="L754" s="7"/>
      <c r="M754" s="7"/>
      <c r="N754" s="4"/>
      <c r="O754" s="4"/>
      <c r="P754" s="4"/>
      <c r="Q754" s="4"/>
      <c r="R754" s="4"/>
    </row>
    <row r="755">
      <c r="A755" s="1"/>
      <c r="B755" s="8"/>
      <c r="C755" s="2"/>
      <c r="D755" s="2"/>
      <c r="E755" s="2"/>
      <c r="F755" s="2"/>
      <c r="G755" s="7"/>
      <c r="H755" s="7"/>
      <c r="I755" s="7"/>
      <c r="J755" s="7"/>
      <c r="K755" s="7"/>
      <c r="L755" s="7"/>
      <c r="M755" s="7"/>
      <c r="N755" s="4"/>
      <c r="O755" s="4"/>
      <c r="P755" s="4"/>
      <c r="Q755" s="4"/>
      <c r="R755" s="4"/>
    </row>
    <row r="756">
      <c r="A756" s="1"/>
      <c r="B756" s="8"/>
      <c r="C756" s="2"/>
      <c r="D756" s="2"/>
      <c r="E756" s="2"/>
      <c r="F756" s="2"/>
      <c r="G756" s="7"/>
      <c r="H756" s="7"/>
      <c r="I756" s="7"/>
      <c r="J756" s="7"/>
      <c r="K756" s="7"/>
      <c r="L756" s="7"/>
      <c r="M756" s="7"/>
      <c r="N756" s="4"/>
      <c r="O756" s="4"/>
      <c r="P756" s="4"/>
      <c r="Q756" s="4"/>
      <c r="R756" s="4"/>
    </row>
    <row r="757">
      <c r="A757" s="1"/>
      <c r="B757" s="8"/>
      <c r="C757" s="2"/>
      <c r="D757" s="2"/>
      <c r="E757" s="2"/>
      <c r="F757" s="2"/>
      <c r="G757" s="7"/>
      <c r="H757" s="7"/>
      <c r="I757" s="7"/>
      <c r="J757" s="7"/>
      <c r="K757" s="7"/>
      <c r="L757" s="7"/>
      <c r="M757" s="7"/>
      <c r="N757" s="4"/>
      <c r="O757" s="4"/>
      <c r="P757" s="4"/>
      <c r="Q757" s="4"/>
      <c r="R757" s="4"/>
    </row>
    <row r="758">
      <c r="A758" s="1"/>
      <c r="B758" s="8"/>
      <c r="C758" s="2"/>
      <c r="D758" s="2"/>
      <c r="E758" s="2"/>
      <c r="F758" s="2"/>
      <c r="G758" s="7"/>
      <c r="H758" s="7"/>
      <c r="I758" s="7"/>
      <c r="J758" s="7"/>
      <c r="K758" s="7"/>
      <c r="L758" s="7"/>
      <c r="M758" s="7"/>
      <c r="N758" s="4"/>
      <c r="O758" s="4"/>
      <c r="P758" s="4"/>
      <c r="Q758" s="4"/>
      <c r="R758" s="4"/>
    </row>
    <row r="759">
      <c r="A759" s="1"/>
      <c r="B759" s="8"/>
      <c r="C759" s="2"/>
      <c r="D759" s="2"/>
      <c r="E759" s="2"/>
      <c r="F759" s="2"/>
      <c r="G759" s="7"/>
      <c r="H759" s="7"/>
      <c r="I759" s="7"/>
      <c r="J759" s="7"/>
      <c r="K759" s="7"/>
      <c r="L759" s="7"/>
      <c r="M759" s="7"/>
      <c r="N759" s="4"/>
      <c r="O759" s="4"/>
      <c r="P759" s="4"/>
      <c r="Q759" s="4"/>
      <c r="R759" s="4"/>
    </row>
    <row r="760">
      <c r="A760" s="1"/>
      <c r="B760" s="8"/>
      <c r="C760" s="2"/>
      <c r="D760" s="2"/>
      <c r="E760" s="2"/>
      <c r="F760" s="2"/>
      <c r="G760" s="7"/>
      <c r="H760" s="7"/>
      <c r="I760" s="7"/>
      <c r="J760" s="7"/>
      <c r="K760" s="7"/>
      <c r="L760" s="7"/>
      <c r="M760" s="7"/>
      <c r="N760" s="4"/>
      <c r="O760" s="4"/>
      <c r="P760" s="4"/>
      <c r="Q760" s="4"/>
      <c r="R760" s="4"/>
    </row>
    <row r="761">
      <c r="A761" s="1"/>
      <c r="B761" s="8"/>
      <c r="C761" s="2"/>
      <c r="D761" s="2"/>
      <c r="E761" s="2"/>
      <c r="F761" s="2"/>
      <c r="G761" s="7"/>
      <c r="H761" s="7"/>
      <c r="I761" s="7"/>
      <c r="J761" s="7"/>
      <c r="K761" s="7"/>
      <c r="L761" s="7"/>
      <c r="M761" s="7"/>
      <c r="N761" s="4"/>
      <c r="O761" s="4"/>
      <c r="P761" s="4"/>
      <c r="Q761" s="4"/>
      <c r="R761" s="4"/>
    </row>
    <row r="762">
      <c r="A762" s="1"/>
      <c r="B762" s="8"/>
      <c r="C762" s="2"/>
      <c r="D762" s="2"/>
      <c r="E762" s="2"/>
      <c r="F762" s="2"/>
      <c r="G762" s="7"/>
      <c r="H762" s="7"/>
      <c r="I762" s="7"/>
      <c r="J762" s="7"/>
      <c r="K762" s="7"/>
      <c r="L762" s="7"/>
      <c r="M762" s="7"/>
      <c r="N762" s="4"/>
      <c r="O762" s="4"/>
      <c r="P762" s="4"/>
      <c r="Q762" s="4"/>
      <c r="R762" s="4"/>
    </row>
    <row r="763">
      <c r="A763" s="1"/>
      <c r="B763" s="8"/>
      <c r="C763" s="2"/>
      <c r="D763" s="2"/>
      <c r="E763" s="2"/>
      <c r="F763" s="2"/>
      <c r="G763" s="7"/>
      <c r="H763" s="7"/>
      <c r="I763" s="7"/>
      <c r="J763" s="7"/>
      <c r="K763" s="7"/>
      <c r="L763" s="7"/>
      <c r="M763" s="7"/>
      <c r="N763" s="4"/>
      <c r="O763" s="4"/>
      <c r="P763" s="4"/>
      <c r="Q763" s="4"/>
      <c r="R763" s="4"/>
    </row>
    <row r="764">
      <c r="A764" s="1"/>
      <c r="B764" s="8"/>
      <c r="C764" s="2"/>
      <c r="D764" s="2"/>
      <c r="E764" s="2"/>
      <c r="F764" s="2"/>
      <c r="G764" s="7"/>
      <c r="H764" s="7"/>
      <c r="I764" s="7"/>
      <c r="J764" s="7"/>
      <c r="K764" s="7"/>
      <c r="L764" s="7"/>
      <c r="M764" s="7"/>
      <c r="N764" s="4"/>
      <c r="O764" s="4"/>
      <c r="P764" s="4"/>
      <c r="Q764" s="4"/>
      <c r="R764" s="4"/>
    </row>
    <row r="765">
      <c r="A765" s="1"/>
      <c r="B765" s="8"/>
      <c r="C765" s="2"/>
      <c r="D765" s="2"/>
      <c r="E765" s="2"/>
      <c r="F765" s="2"/>
      <c r="G765" s="7"/>
      <c r="H765" s="7"/>
      <c r="I765" s="7"/>
      <c r="J765" s="7"/>
      <c r="K765" s="7"/>
      <c r="L765" s="7"/>
      <c r="M765" s="7"/>
      <c r="N765" s="4"/>
      <c r="O765" s="4"/>
      <c r="P765" s="4"/>
      <c r="Q765" s="4"/>
      <c r="R765" s="4"/>
    </row>
    <row r="766">
      <c r="A766" s="1"/>
      <c r="B766" s="8"/>
      <c r="C766" s="2"/>
      <c r="D766" s="2"/>
      <c r="E766" s="2"/>
      <c r="F766" s="2"/>
      <c r="G766" s="7"/>
      <c r="H766" s="7"/>
      <c r="I766" s="7"/>
      <c r="J766" s="7"/>
      <c r="K766" s="7"/>
      <c r="L766" s="7"/>
      <c r="M766" s="7"/>
      <c r="N766" s="4"/>
      <c r="O766" s="4"/>
      <c r="P766" s="4"/>
      <c r="Q766" s="4"/>
      <c r="R766" s="4"/>
    </row>
    <row r="767">
      <c r="A767" s="1"/>
      <c r="B767" s="8"/>
      <c r="C767" s="2"/>
      <c r="D767" s="2"/>
      <c r="E767" s="2"/>
      <c r="F767" s="2"/>
      <c r="G767" s="7"/>
      <c r="H767" s="7"/>
      <c r="I767" s="7"/>
      <c r="J767" s="7"/>
      <c r="K767" s="7"/>
      <c r="L767" s="7"/>
      <c r="M767" s="7"/>
      <c r="N767" s="4"/>
      <c r="O767" s="4"/>
      <c r="P767" s="4"/>
      <c r="Q767" s="4"/>
      <c r="R767" s="4"/>
    </row>
    <row r="768">
      <c r="A768" s="1"/>
      <c r="B768" s="8"/>
      <c r="C768" s="2"/>
      <c r="D768" s="2"/>
      <c r="E768" s="2"/>
      <c r="F768" s="2"/>
      <c r="G768" s="7"/>
      <c r="H768" s="7"/>
      <c r="I768" s="7"/>
      <c r="J768" s="7"/>
      <c r="K768" s="7"/>
      <c r="L768" s="7"/>
      <c r="M768" s="7"/>
      <c r="N768" s="4"/>
      <c r="O768" s="4"/>
      <c r="P768" s="4"/>
      <c r="Q768" s="4"/>
      <c r="R768" s="4"/>
    </row>
    <row r="769">
      <c r="A769" s="1"/>
      <c r="B769" s="8"/>
      <c r="C769" s="2"/>
      <c r="D769" s="2"/>
      <c r="E769" s="2"/>
      <c r="F769" s="2"/>
      <c r="G769" s="7"/>
      <c r="H769" s="7"/>
      <c r="I769" s="7"/>
      <c r="J769" s="7"/>
      <c r="K769" s="7"/>
      <c r="L769" s="7"/>
      <c r="M769" s="7"/>
      <c r="N769" s="4"/>
      <c r="O769" s="4"/>
      <c r="P769" s="4"/>
      <c r="Q769" s="4"/>
      <c r="R769" s="4"/>
    </row>
    <row r="770">
      <c r="A770" s="1"/>
      <c r="B770" s="8"/>
      <c r="C770" s="2"/>
      <c r="D770" s="2"/>
      <c r="E770" s="2"/>
      <c r="F770" s="2"/>
      <c r="G770" s="7"/>
      <c r="H770" s="7"/>
      <c r="I770" s="7"/>
      <c r="J770" s="7"/>
      <c r="K770" s="7"/>
      <c r="L770" s="7"/>
      <c r="M770" s="7"/>
      <c r="N770" s="4"/>
      <c r="O770" s="4"/>
      <c r="P770" s="4"/>
      <c r="Q770" s="4"/>
      <c r="R770" s="4"/>
    </row>
    <row r="771">
      <c r="A771" s="1"/>
      <c r="B771" s="8"/>
      <c r="C771" s="2"/>
      <c r="D771" s="2"/>
      <c r="E771" s="2"/>
      <c r="F771" s="2"/>
      <c r="G771" s="7"/>
      <c r="H771" s="7"/>
      <c r="I771" s="7"/>
      <c r="J771" s="7"/>
      <c r="K771" s="7"/>
      <c r="L771" s="7"/>
      <c r="M771" s="7"/>
      <c r="N771" s="4"/>
      <c r="O771" s="4"/>
      <c r="P771" s="4"/>
      <c r="Q771" s="4"/>
      <c r="R771" s="4"/>
    </row>
    <row r="772">
      <c r="A772" s="1"/>
      <c r="B772" s="8"/>
      <c r="C772" s="2"/>
      <c r="D772" s="2"/>
      <c r="E772" s="2"/>
      <c r="F772" s="2"/>
      <c r="G772" s="7"/>
      <c r="H772" s="7"/>
      <c r="I772" s="7"/>
      <c r="J772" s="7"/>
      <c r="K772" s="7"/>
      <c r="L772" s="7"/>
      <c r="M772" s="7"/>
      <c r="N772" s="4"/>
      <c r="O772" s="4"/>
      <c r="P772" s="4"/>
      <c r="Q772" s="4"/>
      <c r="R772" s="4"/>
    </row>
    <row r="773">
      <c r="A773" s="1"/>
      <c r="B773" s="8"/>
      <c r="C773" s="2"/>
      <c r="D773" s="2"/>
      <c r="E773" s="2"/>
      <c r="F773" s="2"/>
      <c r="G773" s="7"/>
      <c r="H773" s="7"/>
      <c r="I773" s="7"/>
      <c r="J773" s="7"/>
      <c r="K773" s="7"/>
      <c r="L773" s="7"/>
      <c r="M773" s="7"/>
      <c r="N773" s="4"/>
      <c r="O773" s="4"/>
      <c r="P773" s="4"/>
      <c r="Q773" s="4"/>
      <c r="R773" s="4"/>
    </row>
    <row r="774">
      <c r="A774" s="1"/>
      <c r="B774" s="8"/>
      <c r="C774" s="2"/>
      <c r="D774" s="2"/>
      <c r="E774" s="2"/>
      <c r="F774" s="2"/>
      <c r="G774" s="7"/>
      <c r="H774" s="7"/>
      <c r="I774" s="7"/>
      <c r="J774" s="7"/>
      <c r="K774" s="7"/>
      <c r="L774" s="7"/>
      <c r="M774" s="7"/>
      <c r="N774" s="4"/>
      <c r="O774" s="4"/>
      <c r="P774" s="4"/>
      <c r="Q774" s="4"/>
      <c r="R774" s="4"/>
    </row>
    <row r="775">
      <c r="A775" s="1"/>
      <c r="B775" s="8"/>
      <c r="C775" s="2"/>
      <c r="D775" s="2"/>
      <c r="E775" s="2"/>
      <c r="F775" s="2"/>
      <c r="G775" s="7"/>
      <c r="H775" s="7"/>
      <c r="I775" s="7"/>
      <c r="J775" s="7"/>
      <c r="K775" s="7"/>
      <c r="L775" s="7"/>
      <c r="M775" s="7"/>
      <c r="N775" s="4"/>
      <c r="O775" s="4"/>
      <c r="P775" s="4"/>
      <c r="Q775" s="4"/>
      <c r="R775" s="4"/>
    </row>
    <row r="776">
      <c r="A776" s="1"/>
      <c r="B776" s="8"/>
      <c r="C776" s="2"/>
      <c r="D776" s="2"/>
      <c r="E776" s="2"/>
      <c r="F776" s="2"/>
      <c r="G776" s="7"/>
      <c r="H776" s="7"/>
      <c r="I776" s="7"/>
      <c r="J776" s="7"/>
      <c r="K776" s="7"/>
      <c r="L776" s="7"/>
      <c r="M776" s="7"/>
      <c r="N776" s="4"/>
      <c r="O776" s="4"/>
      <c r="P776" s="4"/>
      <c r="Q776" s="4"/>
      <c r="R776" s="4"/>
    </row>
    <row r="777">
      <c r="A777" s="1"/>
      <c r="B777" s="8"/>
      <c r="C777" s="2"/>
      <c r="D777" s="2"/>
      <c r="E777" s="2"/>
      <c r="F777" s="2"/>
      <c r="G777" s="7"/>
      <c r="H777" s="7"/>
      <c r="I777" s="7"/>
      <c r="J777" s="7"/>
      <c r="K777" s="7"/>
      <c r="L777" s="7"/>
      <c r="M777" s="7"/>
      <c r="N777" s="4"/>
      <c r="O777" s="4"/>
      <c r="P777" s="4"/>
      <c r="Q777" s="4"/>
      <c r="R777" s="4"/>
    </row>
    <row r="778">
      <c r="A778" s="1"/>
      <c r="B778" s="8"/>
      <c r="C778" s="2"/>
      <c r="D778" s="2"/>
      <c r="E778" s="2"/>
      <c r="F778" s="2"/>
      <c r="G778" s="7"/>
      <c r="H778" s="7"/>
      <c r="I778" s="7"/>
      <c r="J778" s="7"/>
      <c r="K778" s="7"/>
      <c r="L778" s="7"/>
      <c r="M778" s="7"/>
      <c r="N778" s="4"/>
      <c r="O778" s="4"/>
      <c r="P778" s="4"/>
      <c r="Q778" s="4"/>
      <c r="R778" s="4"/>
    </row>
    <row r="779">
      <c r="A779" s="1"/>
      <c r="B779" s="8"/>
      <c r="C779" s="2"/>
      <c r="D779" s="2"/>
      <c r="E779" s="2"/>
      <c r="F779" s="2"/>
      <c r="G779" s="7"/>
      <c r="H779" s="7"/>
      <c r="I779" s="7"/>
      <c r="J779" s="7"/>
      <c r="K779" s="7"/>
      <c r="L779" s="7"/>
      <c r="M779" s="7"/>
      <c r="N779" s="4"/>
      <c r="O779" s="4"/>
      <c r="P779" s="4"/>
      <c r="Q779" s="4"/>
      <c r="R779" s="4"/>
    </row>
    <row r="780">
      <c r="A780" s="1"/>
      <c r="B780" s="8"/>
      <c r="C780" s="2"/>
      <c r="D780" s="2"/>
      <c r="E780" s="2"/>
      <c r="F780" s="2"/>
      <c r="G780" s="7"/>
      <c r="H780" s="7"/>
      <c r="I780" s="7"/>
      <c r="J780" s="7"/>
      <c r="K780" s="7"/>
      <c r="L780" s="7"/>
      <c r="M780" s="7"/>
      <c r="N780" s="4"/>
      <c r="O780" s="4"/>
      <c r="P780" s="4"/>
      <c r="Q780" s="4"/>
      <c r="R780" s="4"/>
    </row>
    <row r="781">
      <c r="A781" s="1"/>
      <c r="B781" s="8"/>
      <c r="C781" s="2"/>
      <c r="D781" s="2"/>
      <c r="E781" s="2"/>
      <c r="F781" s="2"/>
      <c r="G781" s="7"/>
      <c r="H781" s="7"/>
      <c r="I781" s="7"/>
      <c r="J781" s="7"/>
      <c r="K781" s="7"/>
      <c r="L781" s="7"/>
      <c r="M781" s="7"/>
      <c r="N781" s="4"/>
      <c r="O781" s="4"/>
      <c r="P781" s="4"/>
      <c r="Q781" s="4"/>
      <c r="R781" s="4"/>
    </row>
    <row r="782">
      <c r="A782" s="1"/>
      <c r="B782" s="8"/>
      <c r="C782" s="2"/>
      <c r="D782" s="2"/>
      <c r="E782" s="2"/>
      <c r="F782" s="2"/>
      <c r="G782" s="7"/>
      <c r="H782" s="7"/>
      <c r="I782" s="7"/>
      <c r="J782" s="7"/>
      <c r="K782" s="7"/>
      <c r="L782" s="7"/>
      <c r="M782" s="7"/>
      <c r="N782" s="4"/>
      <c r="O782" s="4"/>
      <c r="P782" s="4"/>
      <c r="Q782" s="4"/>
      <c r="R782" s="4"/>
    </row>
    <row r="783">
      <c r="A783" s="1"/>
      <c r="B783" s="8"/>
      <c r="C783" s="2"/>
      <c r="D783" s="2"/>
      <c r="E783" s="2"/>
      <c r="F783" s="2"/>
      <c r="G783" s="7"/>
      <c r="H783" s="7"/>
      <c r="I783" s="7"/>
      <c r="J783" s="7"/>
      <c r="K783" s="7"/>
      <c r="L783" s="7"/>
      <c r="M783" s="7"/>
      <c r="N783" s="4"/>
      <c r="O783" s="4"/>
      <c r="P783" s="4"/>
      <c r="Q783" s="4"/>
      <c r="R783" s="4"/>
    </row>
    <row r="784">
      <c r="A784" s="1"/>
      <c r="B784" s="8"/>
      <c r="C784" s="2"/>
      <c r="D784" s="2"/>
      <c r="E784" s="2"/>
      <c r="F784" s="2"/>
      <c r="G784" s="7"/>
      <c r="H784" s="7"/>
      <c r="I784" s="7"/>
      <c r="J784" s="7"/>
      <c r="K784" s="7"/>
      <c r="L784" s="7"/>
      <c r="M784" s="7"/>
      <c r="N784" s="4"/>
      <c r="O784" s="4"/>
      <c r="P784" s="4"/>
      <c r="Q784" s="4"/>
      <c r="R784" s="4"/>
    </row>
    <row r="785">
      <c r="A785" s="1"/>
      <c r="B785" s="8"/>
      <c r="C785" s="2"/>
      <c r="D785" s="2"/>
      <c r="E785" s="2"/>
      <c r="F785" s="2"/>
      <c r="G785" s="7"/>
      <c r="H785" s="7"/>
      <c r="I785" s="7"/>
      <c r="J785" s="7"/>
      <c r="K785" s="7"/>
      <c r="L785" s="7"/>
      <c r="M785" s="7"/>
      <c r="N785" s="4"/>
      <c r="O785" s="4"/>
      <c r="P785" s="4"/>
      <c r="Q785" s="4"/>
      <c r="R785" s="4"/>
    </row>
    <row r="786">
      <c r="A786" s="1"/>
      <c r="B786" s="8"/>
      <c r="C786" s="2"/>
      <c r="D786" s="2"/>
      <c r="E786" s="2"/>
      <c r="F786" s="2"/>
      <c r="G786" s="7"/>
      <c r="H786" s="7"/>
      <c r="I786" s="7"/>
      <c r="J786" s="7"/>
      <c r="K786" s="7"/>
      <c r="L786" s="7"/>
      <c r="M786" s="7"/>
      <c r="N786" s="4"/>
      <c r="O786" s="4"/>
      <c r="P786" s="4"/>
      <c r="Q786" s="4"/>
      <c r="R786" s="4"/>
    </row>
    <row r="787">
      <c r="A787" s="1"/>
      <c r="B787" s="8"/>
      <c r="C787" s="2"/>
      <c r="D787" s="2"/>
      <c r="E787" s="2"/>
      <c r="F787" s="2"/>
      <c r="G787" s="7"/>
      <c r="H787" s="7"/>
      <c r="I787" s="7"/>
      <c r="J787" s="7"/>
      <c r="K787" s="7"/>
      <c r="L787" s="7"/>
      <c r="M787" s="7"/>
      <c r="N787" s="4"/>
      <c r="O787" s="4"/>
      <c r="P787" s="4"/>
      <c r="Q787" s="4"/>
      <c r="R787" s="4"/>
    </row>
    <row r="788">
      <c r="A788" s="1"/>
      <c r="B788" s="8"/>
      <c r="C788" s="2"/>
      <c r="D788" s="2"/>
      <c r="E788" s="2"/>
      <c r="F788" s="2"/>
      <c r="G788" s="7"/>
      <c r="H788" s="7"/>
      <c r="I788" s="7"/>
      <c r="J788" s="7"/>
      <c r="K788" s="7"/>
      <c r="L788" s="7"/>
      <c r="M788" s="7"/>
      <c r="N788" s="4"/>
      <c r="O788" s="4"/>
      <c r="P788" s="4"/>
      <c r="Q788" s="4"/>
      <c r="R788" s="4"/>
    </row>
    <row r="789">
      <c r="A789" s="1"/>
      <c r="B789" s="8"/>
      <c r="C789" s="2"/>
      <c r="D789" s="2"/>
      <c r="E789" s="2"/>
      <c r="F789" s="2"/>
      <c r="G789" s="7"/>
      <c r="H789" s="7"/>
      <c r="I789" s="7"/>
      <c r="J789" s="7"/>
      <c r="K789" s="7"/>
      <c r="L789" s="7"/>
      <c r="M789" s="7"/>
      <c r="N789" s="4"/>
      <c r="O789" s="4"/>
      <c r="P789" s="4"/>
      <c r="Q789" s="4"/>
      <c r="R789" s="4"/>
    </row>
    <row r="790">
      <c r="A790" s="1"/>
      <c r="B790" s="8"/>
      <c r="C790" s="2"/>
      <c r="D790" s="2"/>
      <c r="E790" s="2"/>
      <c r="F790" s="2"/>
      <c r="G790" s="7"/>
      <c r="H790" s="7"/>
      <c r="I790" s="7"/>
      <c r="J790" s="7"/>
      <c r="K790" s="7"/>
      <c r="L790" s="7"/>
      <c r="M790" s="7"/>
      <c r="N790" s="4"/>
      <c r="O790" s="4"/>
      <c r="P790" s="4"/>
      <c r="Q790" s="4"/>
      <c r="R790" s="4"/>
    </row>
    <row r="791">
      <c r="A791" s="1"/>
      <c r="B791" s="8"/>
      <c r="C791" s="2"/>
      <c r="D791" s="2"/>
      <c r="E791" s="2"/>
      <c r="F791" s="2"/>
      <c r="G791" s="7"/>
      <c r="H791" s="7"/>
      <c r="I791" s="7"/>
      <c r="J791" s="7"/>
      <c r="K791" s="7"/>
      <c r="L791" s="7"/>
      <c r="M791" s="7"/>
      <c r="N791" s="4"/>
      <c r="O791" s="4"/>
      <c r="P791" s="4"/>
      <c r="Q791" s="4"/>
      <c r="R791" s="4"/>
    </row>
    <row r="792">
      <c r="A792" s="1"/>
      <c r="B792" s="8"/>
      <c r="C792" s="2"/>
      <c r="D792" s="2"/>
      <c r="E792" s="2"/>
      <c r="F792" s="2"/>
      <c r="G792" s="7"/>
      <c r="H792" s="7"/>
      <c r="I792" s="7"/>
      <c r="J792" s="7"/>
      <c r="K792" s="7"/>
      <c r="L792" s="7"/>
      <c r="M792" s="7"/>
      <c r="N792" s="4"/>
      <c r="O792" s="4"/>
      <c r="P792" s="4"/>
      <c r="Q792" s="4"/>
      <c r="R792" s="4"/>
    </row>
    <row r="793">
      <c r="A793" s="1"/>
      <c r="B793" s="8"/>
      <c r="C793" s="2"/>
      <c r="D793" s="2"/>
      <c r="E793" s="2"/>
      <c r="F793" s="2"/>
      <c r="G793" s="7"/>
      <c r="H793" s="7"/>
      <c r="I793" s="7"/>
      <c r="J793" s="7"/>
      <c r="K793" s="7"/>
      <c r="L793" s="7"/>
      <c r="M793" s="7"/>
      <c r="N793" s="4"/>
      <c r="O793" s="4"/>
      <c r="P793" s="4"/>
      <c r="Q793" s="4"/>
      <c r="R793" s="4"/>
    </row>
    <row r="794">
      <c r="A794" s="1"/>
      <c r="B794" s="8"/>
      <c r="C794" s="2"/>
      <c r="D794" s="2"/>
      <c r="E794" s="2"/>
      <c r="F794" s="2"/>
      <c r="G794" s="7"/>
      <c r="H794" s="7"/>
      <c r="I794" s="7"/>
      <c r="J794" s="7"/>
      <c r="K794" s="7"/>
      <c r="L794" s="7"/>
      <c r="M794" s="7"/>
      <c r="N794" s="4"/>
      <c r="O794" s="4"/>
      <c r="P794" s="4"/>
      <c r="Q794" s="4"/>
      <c r="R794" s="4"/>
    </row>
    <row r="795">
      <c r="A795" s="1"/>
      <c r="B795" s="8"/>
      <c r="C795" s="2"/>
      <c r="D795" s="2"/>
      <c r="E795" s="2"/>
      <c r="F795" s="2"/>
      <c r="G795" s="7"/>
      <c r="H795" s="7"/>
      <c r="I795" s="7"/>
      <c r="J795" s="7"/>
      <c r="K795" s="7"/>
      <c r="L795" s="7"/>
      <c r="M795" s="7"/>
      <c r="N795" s="4"/>
      <c r="O795" s="4"/>
      <c r="P795" s="4"/>
      <c r="Q795" s="4"/>
      <c r="R795" s="4"/>
    </row>
    <row r="796">
      <c r="A796" s="1"/>
      <c r="B796" s="8"/>
      <c r="C796" s="2"/>
      <c r="D796" s="2"/>
      <c r="E796" s="2"/>
      <c r="F796" s="2"/>
      <c r="G796" s="7"/>
      <c r="H796" s="7"/>
      <c r="I796" s="7"/>
      <c r="J796" s="7"/>
      <c r="K796" s="7"/>
      <c r="L796" s="7"/>
      <c r="M796" s="7"/>
      <c r="N796" s="4"/>
      <c r="O796" s="4"/>
      <c r="P796" s="4"/>
      <c r="Q796" s="4"/>
      <c r="R796" s="4"/>
    </row>
    <row r="797">
      <c r="A797" s="1"/>
      <c r="B797" s="8"/>
      <c r="C797" s="2"/>
      <c r="D797" s="2"/>
      <c r="E797" s="2"/>
      <c r="F797" s="2"/>
      <c r="G797" s="7"/>
      <c r="H797" s="7"/>
      <c r="I797" s="7"/>
      <c r="J797" s="7"/>
      <c r="K797" s="7"/>
      <c r="L797" s="7"/>
      <c r="M797" s="7"/>
      <c r="N797" s="4"/>
      <c r="O797" s="4"/>
      <c r="P797" s="4"/>
      <c r="Q797" s="4"/>
      <c r="R797" s="4"/>
    </row>
    <row r="798">
      <c r="A798" s="1"/>
      <c r="B798" s="8"/>
      <c r="C798" s="2"/>
      <c r="D798" s="2"/>
      <c r="E798" s="2"/>
      <c r="F798" s="2"/>
      <c r="G798" s="7"/>
      <c r="H798" s="7"/>
      <c r="I798" s="7"/>
      <c r="J798" s="7"/>
      <c r="K798" s="7"/>
      <c r="L798" s="7"/>
      <c r="M798" s="7"/>
      <c r="N798" s="4"/>
      <c r="O798" s="4"/>
      <c r="P798" s="4"/>
      <c r="Q798" s="4"/>
      <c r="R798" s="4"/>
    </row>
    <row r="799">
      <c r="A799" s="1"/>
      <c r="B799" s="8"/>
      <c r="C799" s="2"/>
      <c r="D799" s="2"/>
      <c r="E799" s="2"/>
      <c r="F799" s="2"/>
      <c r="G799" s="7"/>
      <c r="H799" s="7"/>
      <c r="I799" s="7"/>
      <c r="J799" s="7"/>
      <c r="K799" s="7"/>
      <c r="L799" s="7"/>
      <c r="M799" s="7"/>
      <c r="N799" s="4"/>
      <c r="O799" s="4"/>
      <c r="P799" s="4"/>
      <c r="Q799" s="4"/>
      <c r="R799" s="4"/>
    </row>
    <row r="800">
      <c r="A800" s="1"/>
      <c r="B800" s="8"/>
      <c r="C800" s="2"/>
      <c r="D800" s="2"/>
      <c r="E800" s="2"/>
      <c r="F800" s="2"/>
      <c r="G800" s="7"/>
      <c r="H800" s="7"/>
      <c r="I800" s="7"/>
      <c r="J800" s="7"/>
      <c r="K800" s="7"/>
      <c r="L800" s="7"/>
      <c r="M800" s="7"/>
      <c r="N800" s="4"/>
      <c r="O800" s="4"/>
      <c r="P800" s="4"/>
      <c r="Q800" s="4"/>
      <c r="R800" s="4"/>
    </row>
    <row r="801">
      <c r="A801" s="1"/>
      <c r="B801" s="8"/>
      <c r="C801" s="2"/>
      <c r="D801" s="2"/>
      <c r="E801" s="2"/>
      <c r="F801" s="2"/>
      <c r="G801" s="7"/>
      <c r="H801" s="7"/>
      <c r="I801" s="7"/>
      <c r="J801" s="7"/>
      <c r="K801" s="7"/>
      <c r="L801" s="7"/>
      <c r="M801" s="7"/>
      <c r="N801" s="4"/>
      <c r="O801" s="4"/>
      <c r="P801" s="4"/>
      <c r="Q801" s="4"/>
      <c r="R801" s="4"/>
    </row>
    <row r="802">
      <c r="A802" s="1"/>
      <c r="B802" s="8"/>
      <c r="C802" s="2"/>
      <c r="D802" s="2"/>
      <c r="E802" s="2"/>
      <c r="F802" s="2"/>
      <c r="G802" s="7"/>
      <c r="H802" s="7"/>
      <c r="I802" s="7"/>
      <c r="J802" s="7"/>
      <c r="K802" s="7"/>
      <c r="L802" s="7"/>
      <c r="M802" s="7"/>
      <c r="N802" s="4"/>
      <c r="O802" s="4"/>
      <c r="P802" s="4"/>
      <c r="Q802" s="4"/>
      <c r="R802" s="4"/>
    </row>
    <row r="803">
      <c r="A803" s="1"/>
      <c r="B803" s="8"/>
      <c r="C803" s="2"/>
      <c r="D803" s="2"/>
      <c r="E803" s="2"/>
      <c r="F803" s="2"/>
      <c r="G803" s="7"/>
      <c r="H803" s="7"/>
      <c r="I803" s="7"/>
      <c r="J803" s="7"/>
      <c r="K803" s="7"/>
      <c r="L803" s="7"/>
      <c r="M803" s="7"/>
      <c r="N803" s="4"/>
      <c r="O803" s="4"/>
      <c r="P803" s="4"/>
      <c r="Q803" s="4"/>
      <c r="R803" s="4"/>
    </row>
    <row r="804">
      <c r="A804" s="1"/>
      <c r="B804" s="8"/>
      <c r="C804" s="2"/>
      <c r="D804" s="2"/>
      <c r="E804" s="2"/>
      <c r="F804" s="2"/>
      <c r="G804" s="7"/>
      <c r="H804" s="7"/>
      <c r="I804" s="7"/>
      <c r="J804" s="7"/>
      <c r="K804" s="7"/>
      <c r="L804" s="7"/>
      <c r="M804" s="7"/>
      <c r="N804" s="4"/>
      <c r="O804" s="4"/>
      <c r="P804" s="4"/>
      <c r="Q804" s="4"/>
      <c r="R804" s="4"/>
    </row>
    <row r="805">
      <c r="A805" s="1"/>
      <c r="B805" s="8"/>
      <c r="C805" s="2"/>
      <c r="D805" s="2"/>
      <c r="E805" s="2"/>
      <c r="F805" s="2"/>
      <c r="G805" s="7"/>
      <c r="H805" s="7"/>
      <c r="I805" s="7"/>
      <c r="J805" s="7"/>
      <c r="K805" s="7"/>
      <c r="L805" s="7"/>
      <c r="M805" s="7"/>
      <c r="N805" s="4"/>
      <c r="O805" s="4"/>
      <c r="P805" s="4"/>
      <c r="Q805" s="4"/>
      <c r="R805" s="4"/>
    </row>
    <row r="806">
      <c r="A806" s="1"/>
      <c r="B806" s="8"/>
      <c r="C806" s="2"/>
      <c r="D806" s="2"/>
      <c r="E806" s="2"/>
      <c r="F806" s="2"/>
      <c r="G806" s="7"/>
      <c r="H806" s="7"/>
      <c r="I806" s="7"/>
      <c r="J806" s="7"/>
      <c r="K806" s="7"/>
      <c r="L806" s="7"/>
      <c r="M806" s="7"/>
      <c r="N806" s="4"/>
      <c r="O806" s="4"/>
      <c r="P806" s="4"/>
      <c r="Q806" s="4"/>
      <c r="R806" s="4"/>
    </row>
    <row r="807">
      <c r="A807" s="1"/>
      <c r="B807" s="8"/>
      <c r="C807" s="2"/>
      <c r="D807" s="2"/>
      <c r="E807" s="2"/>
      <c r="F807" s="2"/>
      <c r="G807" s="7"/>
      <c r="H807" s="7"/>
      <c r="I807" s="7"/>
      <c r="J807" s="7"/>
      <c r="K807" s="7"/>
      <c r="L807" s="7"/>
      <c r="M807" s="7"/>
      <c r="N807" s="4"/>
      <c r="O807" s="4"/>
      <c r="P807" s="4"/>
      <c r="Q807" s="4"/>
      <c r="R807" s="4"/>
    </row>
    <row r="808">
      <c r="A808" s="1"/>
      <c r="B808" s="8"/>
      <c r="C808" s="2"/>
      <c r="D808" s="2"/>
      <c r="E808" s="2"/>
      <c r="F808" s="2"/>
      <c r="G808" s="7"/>
      <c r="H808" s="7"/>
      <c r="I808" s="7"/>
      <c r="J808" s="7"/>
      <c r="K808" s="7"/>
      <c r="L808" s="7"/>
      <c r="M808" s="7"/>
      <c r="N808" s="4"/>
      <c r="O808" s="4"/>
      <c r="P808" s="4"/>
      <c r="Q808" s="4"/>
      <c r="R808" s="4"/>
    </row>
    <row r="809">
      <c r="A809" s="1"/>
      <c r="B809" s="8"/>
      <c r="C809" s="2"/>
      <c r="D809" s="2"/>
      <c r="E809" s="2"/>
      <c r="F809" s="2"/>
      <c r="G809" s="7"/>
      <c r="H809" s="7"/>
      <c r="I809" s="7"/>
      <c r="J809" s="7"/>
      <c r="K809" s="7"/>
      <c r="L809" s="7"/>
      <c r="M809" s="7"/>
      <c r="N809" s="4"/>
      <c r="O809" s="4"/>
      <c r="P809" s="4"/>
      <c r="Q809" s="4"/>
      <c r="R809" s="4"/>
    </row>
    <row r="810">
      <c r="A810" s="1"/>
      <c r="B810" s="8"/>
      <c r="C810" s="2"/>
      <c r="D810" s="2"/>
      <c r="E810" s="2"/>
      <c r="F810" s="2"/>
      <c r="G810" s="7"/>
      <c r="H810" s="7"/>
      <c r="I810" s="7"/>
      <c r="J810" s="7"/>
      <c r="K810" s="7"/>
      <c r="L810" s="7"/>
      <c r="M810" s="7"/>
      <c r="N810" s="4"/>
      <c r="O810" s="4"/>
      <c r="P810" s="4"/>
      <c r="Q810" s="4"/>
      <c r="R810" s="4"/>
    </row>
    <row r="811">
      <c r="A811" s="1"/>
      <c r="B811" s="8"/>
      <c r="C811" s="2"/>
      <c r="D811" s="2"/>
      <c r="E811" s="2"/>
      <c r="F811" s="2"/>
      <c r="G811" s="7"/>
      <c r="H811" s="7"/>
      <c r="I811" s="7"/>
      <c r="J811" s="7"/>
      <c r="K811" s="7"/>
      <c r="L811" s="7"/>
      <c r="M811" s="7"/>
      <c r="N811" s="4"/>
      <c r="O811" s="4"/>
      <c r="P811" s="4"/>
      <c r="Q811" s="4"/>
      <c r="R811" s="4"/>
    </row>
    <row r="812">
      <c r="A812" s="1"/>
      <c r="B812" s="8"/>
      <c r="C812" s="2"/>
      <c r="D812" s="2"/>
      <c r="E812" s="2"/>
      <c r="F812" s="2"/>
      <c r="G812" s="7"/>
      <c r="H812" s="7"/>
      <c r="I812" s="7"/>
      <c r="J812" s="7"/>
      <c r="K812" s="7"/>
      <c r="L812" s="7"/>
      <c r="M812" s="7"/>
      <c r="N812" s="4"/>
      <c r="O812" s="4"/>
      <c r="P812" s="4"/>
      <c r="Q812" s="4"/>
      <c r="R812" s="4"/>
    </row>
    <row r="813">
      <c r="A813" s="1"/>
      <c r="B813" s="8"/>
      <c r="C813" s="2"/>
      <c r="D813" s="2"/>
      <c r="E813" s="2"/>
      <c r="F813" s="2"/>
      <c r="G813" s="7"/>
      <c r="H813" s="7"/>
      <c r="I813" s="7"/>
      <c r="J813" s="7"/>
      <c r="K813" s="7"/>
      <c r="L813" s="7"/>
      <c r="M813" s="7"/>
      <c r="N813" s="4"/>
      <c r="O813" s="4"/>
      <c r="P813" s="4"/>
      <c r="Q813" s="4"/>
      <c r="R813" s="4"/>
    </row>
    <row r="814">
      <c r="A814" s="1"/>
      <c r="B814" s="8"/>
      <c r="C814" s="2"/>
      <c r="D814" s="2"/>
      <c r="E814" s="2"/>
      <c r="F814" s="2"/>
      <c r="G814" s="7"/>
      <c r="H814" s="7"/>
      <c r="I814" s="7"/>
      <c r="J814" s="7"/>
      <c r="K814" s="7"/>
      <c r="L814" s="7"/>
      <c r="M814" s="7"/>
      <c r="N814" s="4"/>
      <c r="O814" s="4"/>
      <c r="P814" s="4"/>
      <c r="Q814" s="4"/>
      <c r="R814" s="4"/>
    </row>
    <row r="815">
      <c r="A815" s="1"/>
      <c r="B815" s="8"/>
      <c r="C815" s="2"/>
      <c r="D815" s="2"/>
      <c r="E815" s="2"/>
      <c r="F815" s="2"/>
      <c r="G815" s="7"/>
      <c r="H815" s="7"/>
      <c r="I815" s="7"/>
      <c r="J815" s="7"/>
      <c r="K815" s="7"/>
      <c r="L815" s="7"/>
      <c r="M815" s="7"/>
      <c r="N815" s="4"/>
      <c r="O815" s="4"/>
      <c r="P815" s="4"/>
      <c r="Q815" s="4"/>
      <c r="R815" s="4"/>
    </row>
    <row r="816">
      <c r="A816" s="1"/>
      <c r="B816" s="8"/>
      <c r="C816" s="2"/>
      <c r="D816" s="2"/>
      <c r="E816" s="2"/>
      <c r="F816" s="2"/>
      <c r="G816" s="7"/>
      <c r="H816" s="7"/>
      <c r="I816" s="7"/>
      <c r="J816" s="7"/>
      <c r="K816" s="7"/>
      <c r="L816" s="7"/>
      <c r="M816" s="7"/>
      <c r="N816" s="4"/>
      <c r="O816" s="4"/>
      <c r="P816" s="4"/>
      <c r="Q816" s="4"/>
      <c r="R816" s="4"/>
    </row>
    <row r="817">
      <c r="A817" s="1"/>
      <c r="B817" s="8"/>
      <c r="C817" s="2"/>
      <c r="D817" s="2"/>
      <c r="E817" s="2"/>
      <c r="F817" s="2"/>
      <c r="G817" s="7"/>
      <c r="H817" s="7"/>
      <c r="I817" s="7"/>
      <c r="J817" s="7"/>
      <c r="K817" s="7"/>
      <c r="L817" s="7"/>
      <c r="M817" s="7"/>
      <c r="N817" s="4"/>
      <c r="O817" s="4"/>
      <c r="P817" s="4"/>
      <c r="Q817" s="4"/>
      <c r="R817" s="4"/>
    </row>
    <row r="818">
      <c r="A818" s="1"/>
      <c r="B818" s="8"/>
      <c r="C818" s="2"/>
      <c r="D818" s="2"/>
      <c r="E818" s="2"/>
      <c r="F818" s="2"/>
      <c r="G818" s="7"/>
      <c r="H818" s="7"/>
      <c r="I818" s="7"/>
      <c r="J818" s="7"/>
      <c r="K818" s="7"/>
      <c r="L818" s="7"/>
      <c r="M818" s="7"/>
      <c r="N818" s="4"/>
      <c r="O818" s="4"/>
      <c r="P818" s="4"/>
      <c r="Q818" s="4"/>
      <c r="R818" s="4"/>
    </row>
    <row r="819">
      <c r="A819" s="1"/>
      <c r="B819" s="8"/>
      <c r="C819" s="2"/>
      <c r="D819" s="2"/>
      <c r="E819" s="2"/>
      <c r="F819" s="2"/>
      <c r="G819" s="7"/>
      <c r="H819" s="7"/>
      <c r="I819" s="7"/>
      <c r="J819" s="7"/>
      <c r="K819" s="7"/>
      <c r="L819" s="7"/>
      <c r="M819" s="7"/>
      <c r="N819" s="4"/>
      <c r="O819" s="4"/>
      <c r="P819" s="4"/>
      <c r="Q819" s="4"/>
      <c r="R819" s="4"/>
    </row>
    <row r="820">
      <c r="A820" s="1"/>
      <c r="B820" s="8"/>
      <c r="C820" s="2"/>
      <c r="D820" s="2"/>
      <c r="E820" s="2"/>
      <c r="F820" s="2"/>
      <c r="G820" s="7"/>
      <c r="H820" s="7"/>
      <c r="I820" s="7"/>
      <c r="J820" s="7"/>
      <c r="K820" s="7"/>
      <c r="L820" s="7"/>
      <c r="M820" s="7"/>
      <c r="N820" s="4"/>
      <c r="O820" s="4"/>
      <c r="P820" s="4"/>
      <c r="Q820" s="4"/>
      <c r="R820" s="4"/>
    </row>
    <row r="821">
      <c r="A821" s="1"/>
      <c r="B821" s="8"/>
      <c r="C821" s="2"/>
      <c r="D821" s="2"/>
      <c r="E821" s="2"/>
      <c r="F821" s="2"/>
      <c r="G821" s="7"/>
      <c r="H821" s="7"/>
      <c r="I821" s="7"/>
      <c r="J821" s="7"/>
      <c r="K821" s="7"/>
      <c r="L821" s="7"/>
      <c r="M821" s="7"/>
      <c r="N821" s="4"/>
      <c r="O821" s="4"/>
      <c r="P821" s="4"/>
      <c r="Q821" s="4"/>
      <c r="R821" s="4"/>
    </row>
    <row r="822">
      <c r="A822" s="1"/>
      <c r="B822" s="8"/>
      <c r="C822" s="2"/>
      <c r="D822" s="2"/>
      <c r="E822" s="2"/>
      <c r="F822" s="2"/>
      <c r="G822" s="7"/>
      <c r="H822" s="7"/>
      <c r="I822" s="7"/>
      <c r="J822" s="7"/>
      <c r="K822" s="7"/>
      <c r="L822" s="7"/>
      <c r="M822" s="7"/>
      <c r="N822" s="4"/>
      <c r="O822" s="4"/>
      <c r="P822" s="4"/>
      <c r="Q822" s="4"/>
      <c r="R822" s="4"/>
    </row>
    <row r="823">
      <c r="A823" s="1"/>
      <c r="B823" s="8"/>
      <c r="C823" s="2"/>
      <c r="D823" s="2"/>
      <c r="E823" s="2"/>
      <c r="F823" s="2"/>
      <c r="G823" s="7"/>
      <c r="H823" s="7"/>
      <c r="I823" s="7"/>
      <c r="J823" s="7"/>
      <c r="K823" s="7"/>
      <c r="L823" s="7"/>
      <c r="M823" s="7"/>
      <c r="N823" s="4"/>
      <c r="O823" s="4"/>
      <c r="P823" s="4"/>
      <c r="Q823" s="4"/>
      <c r="R823" s="4"/>
    </row>
    <row r="824">
      <c r="A824" s="1"/>
      <c r="B824" s="8"/>
      <c r="C824" s="2"/>
      <c r="D824" s="2"/>
      <c r="E824" s="2"/>
      <c r="F824" s="2"/>
      <c r="G824" s="7"/>
      <c r="H824" s="7"/>
      <c r="I824" s="7"/>
      <c r="J824" s="7"/>
      <c r="K824" s="7"/>
      <c r="L824" s="7"/>
      <c r="M824" s="7"/>
      <c r="N824" s="4"/>
      <c r="O824" s="4"/>
      <c r="P824" s="4"/>
      <c r="Q824" s="4"/>
      <c r="R824" s="4"/>
    </row>
    <row r="825">
      <c r="A825" s="1"/>
      <c r="B825" s="8"/>
      <c r="C825" s="2"/>
      <c r="D825" s="2"/>
      <c r="E825" s="2"/>
      <c r="F825" s="2"/>
      <c r="G825" s="7"/>
      <c r="H825" s="7"/>
      <c r="I825" s="7"/>
      <c r="J825" s="7"/>
      <c r="K825" s="7"/>
      <c r="L825" s="7"/>
      <c r="M825" s="7"/>
      <c r="N825" s="4"/>
      <c r="O825" s="4"/>
      <c r="P825" s="4"/>
      <c r="Q825" s="4"/>
      <c r="R825" s="4"/>
    </row>
    <row r="826">
      <c r="A826" s="1"/>
      <c r="B826" s="8"/>
      <c r="C826" s="2"/>
      <c r="D826" s="2"/>
      <c r="E826" s="2"/>
      <c r="F826" s="2"/>
      <c r="G826" s="7"/>
      <c r="H826" s="7"/>
      <c r="I826" s="7"/>
      <c r="J826" s="7"/>
      <c r="K826" s="7"/>
      <c r="L826" s="7"/>
      <c r="M826" s="7"/>
      <c r="N826" s="4"/>
      <c r="O826" s="4"/>
      <c r="P826" s="4"/>
      <c r="Q826" s="4"/>
      <c r="R826" s="4"/>
    </row>
    <row r="827">
      <c r="A827" s="1"/>
      <c r="B827" s="8"/>
      <c r="C827" s="2"/>
      <c r="D827" s="2"/>
      <c r="E827" s="2"/>
      <c r="F827" s="2"/>
      <c r="G827" s="7"/>
      <c r="H827" s="7"/>
      <c r="I827" s="7"/>
      <c r="J827" s="7"/>
      <c r="K827" s="7"/>
      <c r="L827" s="7"/>
      <c r="M827" s="7"/>
      <c r="N827" s="4"/>
      <c r="O827" s="4"/>
      <c r="P827" s="4"/>
      <c r="Q827" s="4"/>
      <c r="R827" s="4"/>
    </row>
    <row r="828">
      <c r="A828" s="1"/>
      <c r="B828" s="8"/>
      <c r="C828" s="2"/>
      <c r="D828" s="2"/>
      <c r="E828" s="2"/>
      <c r="F828" s="2"/>
      <c r="G828" s="7"/>
      <c r="H828" s="7"/>
      <c r="I828" s="7"/>
      <c r="J828" s="7"/>
      <c r="K828" s="7"/>
      <c r="L828" s="7"/>
      <c r="M828" s="7"/>
      <c r="N828" s="4"/>
      <c r="O828" s="4"/>
      <c r="P828" s="4"/>
      <c r="Q828" s="4"/>
      <c r="R828" s="4"/>
    </row>
    <row r="829">
      <c r="A829" s="1"/>
      <c r="B829" s="8"/>
      <c r="C829" s="2"/>
      <c r="D829" s="2"/>
      <c r="E829" s="2"/>
      <c r="F829" s="2"/>
      <c r="G829" s="7"/>
      <c r="H829" s="7"/>
      <c r="I829" s="7"/>
      <c r="J829" s="7"/>
      <c r="K829" s="7"/>
      <c r="L829" s="7"/>
      <c r="M829" s="7"/>
      <c r="N829" s="4"/>
      <c r="O829" s="4"/>
      <c r="P829" s="4"/>
      <c r="Q829" s="4"/>
      <c r="R829" s="4"/>
    </row>
    <row r="830">
      <c r="A830" s="1"/>
      <c r="B830" s="8"/>
      <c r="C830" s="2"/>
      <c r="D830" s="2"/>
      <c r="E830" s="2"/>
      <c r="F830" s="2"/>
      <c r="G830" s="7"/>
      <c r="H830" s="7"/>
      <c r="I830" s="7"/>
      <c r="J830" s="7"/>
      <c r="K830" s="7"/>
      <c r="L830" s="7"/>
      <c r="M830" s="7"/>
      <c r="N830" s="4"/>
      <c r="O830" s="4"/>
      <c r="P830" s="4"/>
      <c r="Q830" s="4"/>
      <c r="R830" s="4"/>
    </row>
    <row r="831">
      <c r="A831" s="1"/>
      <c r="B831" s="8"/>
      <c r="C831" s="2"/>
      <c r="D831" s="2"/>
      <c r="E831" s="2"/>
      <c r="F831" s="2"/>
      <c r="G831" s="7"/>
      <c r="H831" s="7"/>
      <c r="I831" s="7"/>
      <c r="J831" s="7"/>
      <c r="K831" s="7"/>
      <c r="L831" s="7"/>
      <c r="M831" s="7"/>
      <c r="N831" s="4"/>
      <c r="O831" s="4"/>
      <c r="P831" s="4"/>
      <c r="Q831" s="4"/>
      <c r="R831" s="4"/>
    </row>
    <row r="832">
      <c r="A832" s="1"/>
      <c r="B832" s="8"/>
      <c r="C832" s="2"/>
      <c r="D832" s="2"/>
      <c r="E832" s="2"/>
      <c r="F832" s="2"/>
      <c r="G832" s="7"/>
      <c r="H832" s="7"/>
      <c r="I832" s="7"/>
      <c r="J832" s="7"/>
      <c r="K832" s="7"/>
      <c r="L832" s="7"/>
      <c r="M832" s="7"/>
      <c r="N832" s="4"/>
      <c r="O832" s="4"/>
      <c r="P832" s="4"/>
      <c r="Q832" s="4"/>
      <c r="R832" s="4"/>
    </row>
    <row r="833">
      <c r="A833" s="1"/>
      <c r="B833" s="8"/>
      <c r="C833" s="2"/>
      <c r="D833" s="2"/>
      <c r="E833" s="2"/>
      <c r="F833" s="2"/>
      <c r="G833" s="7"/>
      <c r="H833" s="7"/>
      <c r="I833" s="7"/>
      <c r="J833" s="7"/>
      <c r="K833" s="7"/>
      <c r="L833" s="7"/>
      <c r="M833" s="7"/>
      <c r="N833" s="4"/>
      <c r="O833" s="4"/>
      <c r="P833" s="4"/>
      <c r="Q833" s="4"/>
      <c r="R833" s="4"/>
    </row>
    <row r="834">
      <c r="A834" s="1"/>
      <c r="B834" s="8"/>
      <c r="C834" s="2"/>
      <c r="D834" s="2"/>
      <c r="E834" s="2"/>
      <c r="F834" s="2"/>
      <c r="G834" s="7"/>
      <c r="H834" s="7"/>
      <c r="I834" s="7"/>
      <c r="J834" s="7"/>
      <c r="K834" s="7"/>
      <c r="L834" s="7"/>
      <c r="M834" s="7"/>
      <c r="N834" s="4"/>
      <c r="O834" s="4"/>
      <c r="P834" s="4"/>
      <c r="Q834" s="4"/>
      <c r="R834" s="4"/>
    </row>
    <row r="835">
      <c r="A835" s="1"/>
      <c r="B835" s="8"/>
      <c r="C835" s="2"/>
      <c r="D835" s="2"/>
      <c r="E835" s="2"/>
      <c r="F835" s="2"/>
      <c r="G835" s="7"/>
      <c r="H835" s="7"/>
      <c r="I835" s="7"/>
      <c r="J835" s="7"/>
      <c r="K835" s="7"/>
      <c r="L835" s="7"/>
      <c r="M835" s="7"/>
      <c r="N835" s="4"/>
      <c r="O835" s="4"/>
      <c r="P835" s="4"/>
      <c r="Q835" s="4"/>
      <c r="R835" s="4"/>
    </row>
    <row r="836">
      <c r="A836" s="1"/>
      <c r="B836" s="8"/>
      <c r="C836" s="2"/>
      <c r="D836" s="2"/>
      <c r="E836" s="2"/>
      <c r="F836" s="2"/>
      <c r="G836" s="7"/>
      <c r="H836" s="7"/>
      <c r="I836" s="7"/>
      <c r="J836" s="7"/>
      <c r="K836" s="7"/>
      <c r="L836" s="7"/>
      <c r="M836" s="7"/>
      <c r="N836" s="4"/>
      <c r="O836" s="4"/>
      <c r="P836" s="4"/>
      <c r="Q836" s="4"/>
      <c r="R836" s="4"/>
    </row>
    <row r="837">
      <c r="A837" s="1"/>
      <c r="B837" s="8"/>
      <c r="C837" s="2"/>
      <c r="D837" s="2"/>
      <c r="E837" s="2"/>
      <c r="F837" s="2"/>
      <c r="G837" s="7"/>
      <c r="H837" s="7"/>
      <c r="I837" s="7"/>
      <c r="J837" s="7"/>
      <c r="K837" s="7"/>
      <c r="L837" s="7"/>
      <c r="M837" s="7"/>
      <c r="N837" s="4"/>
      <c r="O837" s="4"/>
      <c r="P837" s="4"/>
      <c r="Q837" s="4"/>
      <c r="R837" s="4"/>
    </row>
    <row r="838">
      <c r="A838" s="1"/>
      <c r="B838" s="8"/>
      <c r="C838" s="2"/>
      <c r="D838" s="2"/>
      <c r="E838" s="2"/>
      <c r="F838" s="2"/>
      <c r="G838" s="7"/>
      <c r="H838" s="7"/>
      <c r="I838" s="7"/>
      <c r="J838" s="7"/>
      <c r="K838" s="7"/>
      <c r="L838" s="7"/>
      <c r="M838" s="7"/>
      <c r="N838" s="4"/>
      <c r="O838" s="4"/>
      <c r="P838" s="4"/>
      <c r="Q838" s="4"/>
      <c r="R838" s="4"/>
    </row>
    <row r="839">
      <c r="A839" s="1"/>
      <c r="B839" s="8"/>
      <c r="C839" s="2"/>
      <c r="D839" s="2"/>
      <c r="E839" s="2"/>
      <c r="F839" s="2"/>
      <c r="G839" s="7"/>
      <c r="H839" s="7"/>
      <c r="I839" s="7"/>
      <c r="J839" s="7"/>
      <c r="K839" s="7"/>
      <c r="L839" s="7"/>
      <c r="M839" s="7"/>
      <c r="N839" s="4"/>
      <c r="O839" s="4"/>
      <c r="P839" s="4"/>
      <c r="Q839" s="4"/>
      <c r="R839" s="4"/>
    </row>
    <row r="840">
      <c r="A840" s="1"/>
      <c r="B840" s="8"/>
      <c r="C840" s="2"/>
      <c r="D840" s="2"/>
      <c r="E840" s="2"/>
      <c r="F840" s="2"/>
      <c r="G840" s="7"/>
      <c r="H840" s="7"/>
      <c r="I840" s="7"/>
      <c r="J840" s="7"/>
      <c r="K840" s="7"/>
      <c r="L840" s="7"/>
      <c r="M840" s="7"/>
      <c r="N840" s="4"/>
      <c r="O840" s="4"/>
      <c r="P840" s="4"/>
      <c r="Q840" s="4"/>
      <c r="R840" s="4"/>
    </row>
    <row r="841">
      <c r="A841" s="1"/>
      <c r="B841" s="8"/>
      <c r="C841" s="2"/>
      <c r="D841" s="2"/>
      <c r="E841" s="2"/>
      <c r="F841" s="2"/>
      <c r="G841" s="7"/>
      <c r="H841" s="7"/>
      <c r="I841" s="7"/>
      <c r="J841" s="7"/>
      <c r="K841" s="7"/>
      <c r="L841" s="7"/>
      <c r="M841" s="7"/>
      <c r="N841" s="4"/>
      <c r="O841" s="4"/>
      <c r="P841" s="4"/>
      <c r="Q841" s="4"/>
      <c r="R841" s="4"/>
    </row>
    <row r="842">
      <c r="A842" s="1"/>
      <c r="B842" s="8"/>
      <c r="C842" s="2"/>
      <c r="D842" s="2"/>
      <c r="E842" s="2"/>
      <c r="F842" s="2"/>
      <c r="G842" s="7"/>
      <c r="H842" s="7"/>
      <c r="I842" s="7"/>
      <c r="J842" s="7"/>
      <c r="K842" s="7"/>
      <c r="L842" s="7"/>
      <c r="M842" s="7"/>
      <c r="N842" s="4"/>
      <c r="O842" s="4"/>
      <c r="P842" s="4"/>
      <c r="Q842" s="4"/>
      <c r="R842" s="4"/>
    </row>
    <row r="843">
      <c r="A843" s="1"/>
      <c r="B843" s="8"/>
      <c r="C843" s="2"/>
      <c r="D843" s="2"/>
      <c r="E843" s="2"/>
      <c r="F843" s="2"/>
      <c r="G843" s="7"/>
      <c r="H843" s="7"/>
      <c r="I843" s="7"/>
      <c r="J843" s="7"/>
      <c r="K843" s="7"/>
      <c r="L843" s="7"/>
      <c r="M843" s="7"/>
      <c r="N843" s="4"/>
      <c r="O843" s="4"/>
      <c r="P843" s="4"/>
      <c r="Q843" s="4"/>
      <c r="R843" s="4"/>
    </row>
    <row r="844">
      <c r="A844" s="1"/>
      <c r="B844" s="8"/>
      <c r="C844" s="2"/>
      <c r="D844" s="2"/>
      <c r="E844" s="2"/>
      <c r="F844" s="2"/>
      <c r="G844" s="7"/>
      <c r="H844" s="7"/>
      <c r="I844" s="7"/>
      <c r="J844" s="7"/>
      <c r="K844" s="7"/>
      <c r="L844" s="7"/>
      <c r="M844" s="7"/>
      <c r="N844" s="4"/>
      <c r="O844" s="4"/>
      <c r="P844" s="4"/>
      <c r="Q844" s="4"/>
      <c r="R844" s="4"/>
    </row>
    <row r="845">
      <c r="A845" s="1"/>
      <c r="B845" s="8"/>
      <c r="C845" s="2"/>
      <c r="D845" s="2"/>
      <c r="E845" s="2"/>
      <c r="F845" s="2"/>
      <c r="G845" s="7"/>
      <c r="H845" s="7"/>
      <c r="I845" s="7"/>
      <c r="J845" s="7"/>
      <c r="K845" s="7"/>
      <c r="L845" s="7"/>
      <c r="M845" s="7"/>
      <c r="N845" s="4"/>
      <c r="O845" s="4"/>
      <c r="P845" s="4"/>
      <c r="Q845" s="4"/>
      <c r="R845" s="4"/>
    </row>
    <row r="846">
      <c r="A846" s="1"/>
      <c r="B846" s="8"/>
      <c r="C846" s="2"/>
      <c r="D846" s="2"/>
      <c r="E846" s="2"/>
      <c r="F846" s="2"/>
      <c r="G846" s="7"/>
      <c r="H846" s="7"/>
      <c r="I846" s="7"/>
      <c r="J846" s="7"/>
      <c r="K846" s="7"/>
      <c r="L846" s="7"/>
      <c r="M846" s="7"/>
      <c r="N846" s="4"/>
      <c r="O846" s="4"/>
      <c r="P846" s="4"/>
      <c r="Q846" s="4"/>
      <c r="R846" s="4"/>
    </row>
    <row r="847">
      <c r="A847" s="1"/>
      <c r="B847" s="8"/>
      <c r="C847" s="2"/>
      <c r="D847" s="2"/>
      <c r="E847" s="2"/>
      <c r="F847" s="2"/>
      <c r="G847" s="7"/>
      <c r="H847" s="7"/>
      <c r="I847" s="7"/>
      <c r="J847" s="7"/>
      <c r="K847" s="7"/>
      <c r="L847" s="7"/>
      <c r="M847" s="7"/>
      <c r="N847" s="4"/>
      <c r="O847" s="4"/>
      <c r="P847" s="4"/>
      <c r="Q847" s="4"/>
      <c r="R847" s="4"/>
    </row>
    <row r="848">
      <c r="A848" s="1"/>
      <c r="B848" s="8"/>
      <c r="C848" s="2"/>
      <c r="D848" s="2"/>
      <c r="E848" s="2"/>
      <c r="F848" s="2"/>
      <c r="G848" s="7"/>
      <c r="H848" s="7"/>
      <c r="I848" s="7"/>
      <c r="J848" s="7"/>
      <c r="K848" s="7"/>
      <c r="L848" s="7"/>
      <c r="M848" s="7"/>
      <c r="N848" s="4"/>
      <c r="O848" s="4"/>
      <c r="P848" s="4"/>
      <c r="Q848" s="4"/>
      <c r="R848" s="4"/>
    </row>
    <row r="849">
      <c r="A849" s="1"/>
      <c r="B849" s="8"/>
      <c r="C849" s="2"/>
      <c r="D849" s="2"/>
      <c r="E849" s="2"/>
      <c r="F849" s="2"/>
      <c r="G849" s="7"/>
      <c r="H849" s="7"/>
      <c r="I849" s="7"/>
      <c r="J849" s="7"/>
      <c r="K849" s="7"/>
      <c r="L849" s="7"/>
      <c r="M849" s="7"/>
      <c r="N849" s="4"/>
      <c r="O849" s="4"/>
      <c r="P849" s="4"/>
      <c r="Q849" s="4"/>
      <c r="R849" s="4"/>
    </row>
    <row r="850">
      <c r="A850" s="1"/>
      <c r="B850" s="8"/>
      <c r="C850" s="2"/>
      <c r="D850" s="2"/>
      <c r="E850" s="2"/>
      <c r="F850" s="2"/>
      <c r="G850" s="7"/>
      <c r="H850" s="7"/>
      <c r="I850" s="7"/>
      <c r="J850" s="7"/>
      <c r="K850" s="7"/>
      <c r="L850" s="7"/>
      <c r="M850" s="7"/>
      <c r="N850" s="4"/>
      <c r="O850" s="4"/>
      <c r="P850" s="4"/>
      <c r="Q850" s="4"/>
      <c r="R850" s="4"/>
    </row>
    <row r="851">
      <c r="A851" s="1"/>
      <c r="B851" s="8"/>
      <c r="C851" s="2"/>
      <c r="D851" s="2"/>
      <c r="E851" s="2"/>
      <c r="F851" s="2"/>
      <c r="G851" s="7"/>
      <c r="H851" s="7"/>
      <c r="I851" s="7"/>
      <c r="J851" s="7"/>
      <c r="K851" s="7"/>
      <c r="L851" s="7"/>
      <c r="M851" s="7"/>
      <c r="N851" s="4"/>
      <c r="O851" s="4"/>
      <c r="P851" s="4"/>
      <c r="Q851" s="4"/>
      <c r="R851" s="4"/>
    </row>
    <row r="852">
      <c r="A852" s="1"/>
      <c r="B852" s="8"/>
      <c r="C852" s="2"/>
      <c r="D852" s="2"/>
      <c r="E852" s="2"/>
      <c r="F852" s="2"/>
      <c r="G852" s="7"/>
      <c r="H852" s="7"/>
      <c r="I852" s="7"/>
      <c r="J852" s="7"/>
      <c r="K852" s="7"/>
      <c r="L852" s="7"/>
      <c r="M852" s="7"/>
      <c r="N852" s="4"/>
      <c r="O852" s="4"/>
      <c r="P852" s="4"/>
      <c r="Q852" s="4"/>
      <c r="R852" s="4"/>
    </row>
    <row r="853">
      <c r="A853" s="1"/>
      <c r="B853" s="8"/>
      <c r="C853" s="2"/>
      <c r="D853" s="2"/>
      <c r="E853" s="2"/>
      <c r="F853" s="2"/>
      <c r="G853" s="7"/>
      <c r="H853" s="7"/>
      <c r="I853" s="7"/>
      <c r="J853" s="7"/>
      <c r="K853" s="7"/>
      <c r="L853" s="7"/>
      <c r="M853" s="7"/>
      <c r="N853" s="4"/>
      <c r="O853" s="4"/>
      <c r="P853" s="4"/>
      <c r="Q853" s="4"/>
      <c r="R853" s="4"/>
    </row>
    <row r="854">
      <c r="A854" s="1"/>
      <c r="B854" s="8"/>
      <c r="C854" s="2"/>
      <c r="D854" s="2"/>
      <c r="E854" s="2"/>
      <c r="F854" s="2"/>
      <c r="G854" s="7"/>
      <c r="H854" s="7"/>
      <c r="I854" s="7"/>
      <c r="J854" s="7"/>
      <c r="K854" s="7"/>
      <c r="L854" s="7"/>
      <c r="M854" s="7"/>
      <c r="N854" s="4"/>
      <c r="O854" s="4"/>
      <c r="P854" s="4"/>
      <c r="Q854" s="4"/>
      <c r="R854" s="4"/>
    </row>
    <row r="855">
      <c r="A855" s="1"/>
      <c r="B855" s="8"/>
      <c r="C855" s="2"/>
      <c r="D855" s="2"/>
      <c r="E855" s="2"/>
      <c r="F855" s="2"/>
      <c r="G855" s="7"/>
      <c r="H855" s="7"/>
      <c r="I855" s="7"/>
      <c r="J855" s="7"/>
      <c r="K855" s="7"/>
      <c r="L855" s="7"/>
      <c r="M855" s="7"/>
      <c r="N855" s="4"/>
      <c r="O855" s="4"/>
      <c r="P855" s="4"/>
      <c r="Q855" s="4"/>
      <c r="R855" s="4"/>
    </row>
    <row r="856">
      <c r="A856" s="1"/>
      <c r="B856" s="8"/>
      <c r="C856" s="2"/>
      <c r="D856" s="2"/>
      <c r="E856" s="2"/>
      <c r="F856" s="2"/>
      <c r="G856" s="7"/>
      <c r="H856" s="7"/>
      <c r="I856" s="7"/>
      <c r="J856" s="7"/>
      <c r="K856" s="7"/>
      <c r="L856" s="7"/>
      <c r="M856" s="7"/>
      <c r="N856" s="4"/>
      <c r="O856" s="4"/>
      <c r="P856" s="4"/>
      <c r="Q856" s="4"/>
      <c r="R856" s="4"/>
    </row>
    <row r="857">
      <c r="A857" s="1"/>
      <c r="B857" s="8"/>
      <c r="C857" s="2"/>
      <c r="D857" s="2"/>
      <c r="E857" s="2"/>
      <c r="F857" s="2"/>
      <c r="G857" s="7"/>
      <c r="H857" s="7"/>
      <c r="I857" s="7"/>
      <c r="J857" s="7"/>
      <c r="K857" s="7"/>
      <c r="L857" s="7"/>
      <c r="M857" s="7"/>
      <c r="N857" s="4"/>
      <c r="O857" s="4"/>
      <c r="P857" s="4"/>
      <c r="Q857" s="4"/>
      <c r="R857" s="4"/>
    </row>
    <row r="858">
      <c r="A858" s="1"/>
      <c r="B858" s="8"/>
      <c r="C858" s="2"/>
      <c r="D858" s="2"/>
      <c r="E858" s="2"/>
      <c r="F858" s="2"/>
      <c r="G858" s="7"/>
      <c r="H858" s="7"/>
      <c r="I858" s="7"/>
      <c r="J858" s="7"/>
      <c r="K858" s="7"/>
      <c r="L858" s="7"/>
      <c r="M858" s="7"/>
      <c r="N858" s="4"/>
      <c r="O858" s="4"/>
      <c r="P858" s="4"/>
      <c r="Q858" s="4"/>
      <c r="R858" s="4"/>
    </row>
    <row r="859">
      <c r="A859" s="1"/>
      <c r="B859" s="8"/>
      <c r="C859" s="2"/>
      <c r="D859" s="2"/>
      <c r="E859" s="2"/>
      <c r="F859" s="2"/>
      <c r="G859" s="7"/>
      <c r="H859" s="7"/>
      <c r="I859" s="7"/>
      <c r="J859" s="7"/>
      <c r="K859" s="7"/>
      <c r="L859" s="7"/>
      <c r="M859" s="7"/>
      <c r="N859" s="4"/>
      <c r="O859" s="4"/>
      <c r="P859" s="4"/>
      <c r="Q859" s="4"/>
      <c r="R859" s="4"/>
    </row>
    <row r="860">
      <c r="A860" s="1"/>
      <c r="B860" s="8"/>
      <c r="C860" s="2"/>
      <c r="D860" s="2"/>
      <c r="E860" s="2"/>
      <c r="F860" s="2"/>
      <c r="G860" s="7"/>
      <c r="H860" s="7"/>
      <c r="I860" s="7"/>
      <c r="J860" s="7"/>
      <c r="K860" s="7"/>
      <c r="L860" s="7"/>
      <c r="M860" s="7"/>
      <c r="N860" s="4"/>
      <c r="O860" s="4"/>
      <c r="P860" s="4"/>
      <c r="Q860" s="4"/>
      <c r="R860" s="4"/>
    </row>
    <row r="861">
      <c r="A861" s="1"/>
      <c r="B861" s="8"/>
      <c r="C861" s="2"/>
      <c r="D861" s="2"/>
      <c r="E861" s="2"/>
      <c r="F861" s="2"/>
      <c r="G861" s="7"/>
      <c r="H861" s="7"/>
      <c r="I861" s="7"/>
      <c r="J861" s="7"/>
      <c r="K861" s="7"/>
      <c r="L861" s="7"/>
      <c r="M861" s="7"/>
      <c r="N861" s="4"/>
      <c r="O861" s="4"/>
      <c r="P861" s="4"/>
      <c r="Q861" s="4"/>
      <c r="R861" s="4"/>
    </row>
    <row r="862">
      <c r="A862" s="1"/>
      <c r="B862" s="8"/>
      <c r="C862" s="2"/>
      <c r="D862" s="2"/>
      <c r="E862" s="2"/>
      <c r="F862" s="2"/>
      <c r="G862" s="7"/>
      <c r="H862" s="7"/>
      <c r="I862" s="7"/>
      <c r="J862" s="7"/>
      <c r="K862" s="7"/>
      <c r="L862" s="7"/>
      <c r="M862" s="7"/>
      <c r="N862" s="4"/>
      <c r="O862" s="4"/>
      <c r="P862" s="4"/>
      <c r="Q862" s="4"/>
      <c r="R862" s="4"/>
    </row>
    <row r="863">
      <c r="A863" s="1"/>
      <c r="B863" s="8"/>
      <c r="C863" s="2"/>
      <c r="D863" s="2"/>
      <c r="E863" s="2"/>
      <c r="F863" s="2"/>
      <c r="G863" s="7"/>
      <c r="H863" s="7"/>
      <c r="I863" s="7"/>
      <c r="J863" s="7"/>
      <c r="K863" s="7"/>
      <c r="L863" s="7"/>
      <c r="M863" s="7"/>
      <c r="N863" s="4"/>
      <c r="O863" s="4"/>
      <c r="P863" s="4"/>
      <c r="Q863" s="4"/>
      <c r="R863" s="4"/>
    </row>
    <row r="864">
      <c r="A864" s="1"/>
      <c r="B864" s="8"/>
      <c r="C864" s="2"/>
      <c r="D864" s="2"/>
      <c r="E864" s="2"/>
      <c r="F864" s="2"/>
      <c r="G864" s="7"/>
      <c r="H864" s="7"/>
      <c r="I864" s="7"/>
      <c r="J864" s="7"/>
      <c r="K864" s="7"/>
      <c r="L864" s="7"/>
      <c r="M864" s="7"/>
      <c r="N864" s="4"/>
      <c r="O864" s="4"/>
      <c r="P864" s="4"/>
      <c r="Q864" s="4"/>
      <c r="R864" s="4"/>
    </row>
    <row r="865">
      <c r="A865" s="1"/>
      <c r="B865" s="8"/>
      <c r="C865" s="2"/>
      <c r="D865" s="2"/>
      <c r="E865" s="2"/>
      <c r="F865" s="2"/>
      <c r="G865" s="7"/>
      <c r="H865" s="7"/>
      <c r="I865" s="7"/>
      <c r="J865" s="7"/>
      <c r="K865" s="7"/>
      <c r="L865" s="7"/>
      <c r="M865" s="7"/>
      <c r="N865" s="4"/>
      <c r="O865" s="4"/>
      <c r="P865" s="4"/>
      <c r="Q865" s="4"/>
      <c r="R865" s="4"/>
    </row>
    <row r="866">
      <c r="A866" s="1"/>
      <c r="B866" s="8"/>
      <c r="C866" s="2"/>
      <c r="D866" s="2"/>
      <c r="E866" s="2"/>
      <c r="F866" s="2"/>
      <c r="G866" s="7"/>
      <c r="H866" s="7"/>
      <c r="I866" s="7"/>
      <c r="J866" s="7"/>
      <c r="K866" s="7"/>
      <c r="L866" s="7"/>
      <c r="M866" s="7"/>
      <c r="N866" s="4"/>
      <c r="O866" s="4"/>
      <c r="P866" s="4"/>
      <c r="Q866" s="4"/>
      <c r="R866" s="4"/>
    </row>
    <row r="867">
      <c r="A867" s="1"/>
      <c r="B867" s="8"/>
      <c r="C867" s="2"/>
      <c r="D867" s="2"/>
      <c r="E867" s="2"/>
      <c r="F867" s="2"/>
      <c r="G867" s="7"/>
      <c r="H867" s="7"/>
      <c r="I867" s="7"/>
      <c r="J867" s="7"/>
      <c r="K867" s="7"/>
      <c r="L867" s="7"/>
      <c r="M867" s="7"/>
      <c r="N867" s="4"/>
      <c r="O867" s="4"/>
      <c r="P867" s="4"/>
      <c r="Q867" s="4"/>
      <c r="R867" s="4"/>
    </row>
    <row r="868">
      <c r="A868" s="1"/>
      <c r="B868" s="8"/>
      <c r="C868" s="2"/>
      <c r="D868" s="2"/>
      <c r="E868" s="2"/>
      <c r="F868" s="2"/>
      <c r="G868" s="7"/>
      <c r="H868" s="7"/>
      <c r="I868" s="7"/>
      <c r="J868" s="7"/>
      <c r="K868" s="7"/>
      <c r="L868" s="7"/>
      <c r="M868" s="7"/>
      <c r="N868" s="4"/>
      <c r="O868" s="4"/>
      <c r="P868" s="4"/>
      <c r="Q868" s="4"/>
      <c r="R868" s="4"/>
    </row>
    <row r="869">
      <c r="A869" s="1"/>
      <c r="B869" s="8"/>
      <c r="C869" s="2"/>
      <c r="D869" s="2"/>
      <c r="E869" s="2"/>
      <c r="F869" s="2"/>
      <c r="G869" s="7"/>
      <c r="H869" s="7"/>
      <c r="I869" s="7"/>
      <c r="J869" s="7"/>
      <c r="K869" s="7"/>
      <c r="L869" s="7"/>
      <c r="M869" s="7"/>
      <c r="N869" s="4"/>
      <c r="O869" s="4"/>
      <c r="P869" s="4"/>
      <c r="Q869" s="4"/>
      <c r="R869" s="4"/>
    </row>
    <row r="870">
      <c r="A870" s="1"/>
      <c r="B870" s="8"/>
      <c r="C870" s="2"/>
      <c r="D870" s="2"/>
      <c r="E870" s="2"/>
      <c r="F870" s="2"/>
      <c r="G870" s="7"/>
      <c r="H870" s="7"/>
      <c r="I870" s="7"/>
      <c r="J870" s="7"/>
      <c r="K870" s="7"/>
      <c r="L870" s="7"/>
      <c r="M870" s="7"/>
      <c r="N870" s="4"/>
      <c r="O870" s="4"/>
      <c r="P870" s="4"/>
      <c r="Q870" s="4"/>
      <c r="R870" s="4"/>
    </row>
    <row r="871">
      <c r="A871" s="1"/>
      <c r="B871" s="8"/>
      <c r="C871" s="2"/>
      <c r="D871" s="2"/>
      <c r="E871" s="2"/>
      <c r="F871" s="2"/>
      <c r="G871" s="7"/>
      <c r="H871" s="7"/>
      <c r="I871" s="7"/>
      <c r="J871" s="7"/>
      <c r="K871" s="7"/>
      <c r="L871" s="7"/>
      <c r="M871" s="7"/>
      <c r="N871" s="4"/>
      <c r="O871" s="4"/>
      <c r="P871" s="4"/>
      <c r="Q871" s="4"/>
      <c r="R871" s="4"/>
    </row>
    <row r="872">
      <c r="A872" s="1"/>
      <c r="B872" s="8"/>
      <c r="C872" s="2"/>
      <c r="D872" s="2"/>
      <c r="E872" s="2"/>
      <c r="F872" s="2"/>
      <c r="G872" s="7"/>
      <c r="H872" s="7"/>
      <c r="I872" s="7"/>
      <c r="J872" s="7"/>
      <c r="K872" s="7"/>
      <c r="L872" s="7"/>
      <c r="M872" s="7"/>
      <c r="N872" s="4"/>
      <c r="O872" s="4"/>
      <c r="P872" s="4"/>
      <c r="Q872" s="4"/>
      <c r="R872" s="4"/>
    </row>
    <row r="873">
      <c r="A873" s="1"/>
      <c r="B873" s="8"/>
      <c r="C873" s="2"/>
      <c r="D873" s="2"/>
      <c r="E873" s="2"/>
      <c r="F873" s="2"/>
      <c r="G873" s="7"/>
      <c r="H873" s="7"/>
      <c r="I873" s="7"/>
      <c r="J873" s="7"/>
      <c r="K873" s="7"/>
      <c r="L873" s="7"/>
      <c r="M873" s="7"/>
      <c r="N873" s="4"/>
      <c r="O873" s="4"/>
      <c r="P873" s="4"/>
      <c r="Q873" s="4"/>
      <c r="R873" s="4"/>
    </row>
    <row r="874">
      <c r="A874" s="1"/>
      <c r="B874" s="8"/>
      <c r="C874" s="2"/>
      <c r="D874" s="2"/>
      <c r="E874" s="2"/>
      <c r="F874" s="2"/>
      <c r="G874" s="7"/>
      <c r="H874" s="7"/>
      <c r="I874" s="7"/>
      <c r="J874" s="7"/>
      <c r="K874" s="7"/>
      <c r="L874" s="7"/>
      <c r="M874" s="7"/>
      <c r="N874" s="4"/>
      <c r="O874" s="4"/>
      <c r="P874" s="4"/>
      <c r="Q874" s="4"/>
      <c r="R874" s="4"/>
    </row>
    <row r="875">
      <c r="A875" s="1"/>
      <c r="B875" s="8"/>
      <c r="C875" s="2"/>
      <c r="D875" s="2"/>
      <c r="E875" s="2"/>
      <c r="F875" s="2"/>
      <c r="G875" s="7"/>
      <c r="H875" s="7"/>
      <c r="I875" s="7"/>
      <c r="J875" s="7"/>
      <c r="K875" s="7"/>
      <c r="L875" s="7"/>
      <c r="M875" s="7"/>
      <c r="N875" s="4"/>
      <c r="O875" s="4"/>
      <c r="P875" s="4"/>
      <c r="Q875" s="4"/>
      <c r="R875" s="4"/>
    </row>
    <row r="876">
      <c r="A876" s="1"/>
      <c r="B876" s="8"/>
      <c r="C876" s="2"/>
      <c r="D876" s="2"/>
      <c r="E876" s="2"/>
      <c r="F876" s="2"/>
      <c r="G876" s="7"/>
      <c r="H876" s="7"/>
      <c r="I876" s="7"/>
      <c r="J876" s="7"/>
      <c r="K876" s="7"/>
      <c r="L876" s="7"/>
      <c r="M876" s="7"/>
      <c r="N876" s="4"/>
      <c r="O876" s="4"/>
      <c r="P876" s="4"/>
      <c r="Q876" s="4"/>
      <c r="R876" s="4"/>
    </row>
    <row r="877">
      <c r="A877" s="1"/>
      <c r="B877" s="8"/>
      <c r="C877" s="2"/>
      <c r="D877" s="2"/>
      <c r="E877" s="2"/>
      <c r="F877" s="2"/>
      <c r="G877" s="7"/>
      <c r="H877" s="7"/>
      <c r="I877" s="7"/>
      <c r="J877" s="7"/>
      <c r="K877" s="7"/>
      <c r="L877" s="7"/>
      <c r="M877" s="7"/>
      <c r="N877" s="4"/>
      <c r="O877" s="4"/>
      <c r="P877" s="4"/>
      <c r="Q877" s="4"/>
      <c r="R877" s="4"/>
    </row>
    <row r="878">
      <c r="A878" s="1"/>
      <c r="B878" s="8"/>
      <c r="C878" s="2"/>
      <c r="D878" s="2"/>
      <c r="E878" s="2"/>
      <c r="F878" s="2"/>
      <c r="G878" s="7"/>
      <c r="H878" s="7"/>
      <c r="I878" s="7"/>
      <c r="J878" s="7"/>
      <c r="K878" s="7"/>
      <c r="L878" s="7"/>
      <c r="M878" s="7"/>
      <c r="N878" s="4"/>
      <c r="O878" s="4"/>
      <c r="P878" s="4"/>
      <c r="Q878" s="4"/>
      <c r="R878" s="4"/>
    </row>
    <row r="879">
      <c r="A879" s="1"/>
      <c r="B879" s="8"/>
      <c r="C879" s="2"/>
      <c r="D879" s="2"/>
      <c r="E879" s="2"/>
      <c r="F879" s="2"/>
      <c r="G879" s="7"/>
      <c r="H879" s="7"/>
      <c r="I879" s="7"/>
      <c r="J879" s="7"/>
      <c r="K879" s="7"/>
      <c r="L879" s="7"/>
      <c r="M879" s="7"/>
      <c r="N879" s="4"/>
      <c r="O879" s="4"/>
      <c r="P879" s="4"/>
      <c r="Q879" s="4"/>
      <c r="R879" s="4"/>
    </row>
    <row r="880">
      <c r="A880" s="1"/>
      <c r="B880" s="8"/>
      <c r="C880" s="2"/>
      <c r="D880" s="2"/>
      <c r="E880" s="2"/>
      <c r="F880" s="2"/>
      <c r="G880" s="7"/>
      <c r="H880" s="7"/>
      <c r="I880" s="7"/>
      <c r="J880" s="7"/>
      <c r="K880" s="7"/>
      <c r="L880" s="7"/>
      <c r="M880" s="7"/>
      <c r="N880" s="4"/>
      <c r="O880" s="4"/>
      <c r="P880" s="4"/>
      <c r="Q880" s="4"/>
      <c r="R880" s="4"/>
    </row>
    <row r="881">
      <c r="A881" s="1"/>
      <c r="B881" s="8"/>
      <c r="C881" s="2"/>
      <c r="D881" s="2"/>
      <c r="E881" s="2"/>
      <c r="F881" s="2"/>
      <c r="G881" s="7"/>
      <c r="H881" s="7"/>
      <c r="I881" s="7"/>
      <c r="J881" s="7"/>
      <c r="K881" s="7"/>
      <c r="L881" s="7"/>
      <c r="M881" s="7"/>
      <c r="N881" s="4"/>
      <c r="O881" s="4"/>
      <c r="P881" s="4"/>
      <c r="Q881" s="4"/>
      <c r="R881" s="4"/>
    </row>
    <row r="882">
      <c r="A882" s="1"/>
      <c r="B882" s="8"/>
      <c r="C882" s="2"/>
      <c r="D882" s="2"/>
      <c r="E882" s="2"/>
      <c r="F882" s="2"/>
      <c r="G882" s="7"/>
      <c r="H882" s="7"/>
      <c r="I882" s="7"/>
      <c r="J882" s="7"/>
      <c r="K882" s="7"/>
      <c r="L882" s="7"/>
      <c r="M882" s="7"/>
      <c r="N882" s="4"/>
      <c r="O882" s="4"/>
      <c r="P882" s="4"/>
      <c r="Q882" s="4"/>
      <c r="R882" s="4"/>
    </row>
    <row r="883">
      <c r="A883" s="1"/>
      <c r="B883" s="8"/>
      <c r="C883" s="2"/>
      <c r="D883" s="2"/>
      <c r="E883" s="2"/>
      <c r="F883" s="2"/>
      <c r="G883" s="7"/>
      <c r="H883" s="7"/>
      <c r="I883" s="7"/>
      <c r="J883" s="7"/>
      <c r="K883" s="7"/>
      <c r="L883" s="7"/>
      <c r="M883" s="7"/>
      <c r="N883" s="4"/>
      <c r="O883" s="4"/>
      <c r="P883" s="4"/>
      <c r="Q883" s="4"/>
      <c r="R883" s="4"/>
    </row>
    <row r="884">
      <c r="A884" s="1"/>
      <c r="B884" s="8"/>
      <c r="C884" s="2"/>
      <c r="D884" s="2"/>
      <c r="E884" s="2"/>
      <c r="F884" s="2"/>
      <c r="G884" s="7"/>
      <c r="H884" s="7"/>
      <c r="I884" s="7"/>
      <c r="J884" s="7"/>
      <c r="K884" s="7"/>
      <c r="L884" s="7"/>
      <c r="M884" s="7"/>
      <c r="N884" s="4"/>
      <c r="O884" s="4"/>
      <c r="P884" s="4"/>
      <c r="Q884" s="4"/>
      <c r="R884" s="4"/>
    </row>
    <row r="885">
      <c r="A885" s="1"/>
      <c r="B885" s="8"/>
      <c r="C885" s="2"/>
      <c r="D885" s="2"/>
      <c r="E885" s="2"/>
      <c r="F885" s="2"/>
      <c r="G885" s="7"/>
      <c r="H885" s="7"/>
      <c r="I885" s="7"/>
      <c r="J885" s="7"/>
      <c r="K885" s="7"/>
      <c r="L885" s="7"/>
      <c r="M885" s="7"/>
      <c r="N885" s="4"/>
      <c r="O885" s="4"/>
      <c r="P885" s="4"/>
      <c r="Q885" s="4"/>
      <c r="R885" s="4"/>
    </row>
    <row r="886">
      <c r="A886" s="1"/>
      <c r="B886" s="8"/>
      <c r="C886" s="2"/>
      <c r="D886" s="2"/>
      <c r="E886" s="2"/>
      <c r="F886" s="2"/>
      <c r="G886" s="7"/>
      <c r="H886" s="7"/>
      <c r="I886" s="7"/>
      <c r="J886" s="7"/>
      <c r="K886" s="7"/>
      <c r="L886" s="7"/>
      <c r="M886" s="7"/>
      <c r="N886" s="4"/>
      <c r="O886" s="4"/>
      <c r="P886" s="4"/>
      <c r="Q886" s="4"/>
      <c r="R886" s="4"/>
    </row>
    <row r="887">
      <c r="A887" s="1"/>
      <c r="B887" s="8"/>
      <c r="C887" s="2"/>
      <c r="D887" s="2"/>
      <c r="E887" s="2"/>
      <c r="F887" s="2"/>
      <c r="G887" s="7"/>
      <c r="H887" s="7"/>
      <c r="I887" s="7"/>
      <c r="J887" s="7"/>
      <c r="K887" s="7"/>
      <c r="L887" s="7"/>
      <c r="M887" s="7"/>
      <c r="N887" s="4"/>
      <c r="O887" s="4"/>
      <c r="P887" s="4"/>
      <c r="Q887" s="4"/>
      <c r="R887" s="4"/>
    </row>
    <row r="888">
      <c r="A888" s="1"/>
      <c r="B888" s="8"/>
      <c r="C888" s="2"/>
      <c r="D888" s="2"/>
      <c r="E888" s="2"/>
      <c r="F888" s="2"/>
      <c r="G888" s="7"/>
      <c r="H888" s="7"/>
      <c r="I888" s="7"/>
      <c r="J888" s="7"/>
      <c r="K888" s="7"/>
      <c r="L888" s="7"/>
      <c r="M888" s="7"/>
      <c r="N888" s="4"/>
      <c r="O888" s="4"/>
      <c r="P888" s="4"/>
      <c r="Q888" s="4"/>
      <c r="R888" s="4"/>
    </row>
    <row r="889">
      <c r="A889" s="1"/>
      <c r="B889" s="8"/>
      <c r="C889" s="2"/>
      <c r="D889" s="2"/>
      <c r="E889" s="2"/>
      <c r="F889" s="2"/>
      <c r="G889" s="7"/>
      <c r="H889" s="7"/>
      <c r="I889" s="7"/>
      <c r="J889" s="7"/>
      <c r="K889" s="7"/>
      <c r="L889" s="7"/>
      <c r="M889" s="7"/>
      <c r="N889" s="4"/>
      <c r="O889" s="4"/>
      <c r="P889" s="4"/>
      <c r="Q889" s="4"/>
      <c r="R889" s="4"/>
    </row>
    <row r="890">
      <c r="A890" s="1"/>
      <c r="B890" s="8"/>
      <c r="C890" s="2"/>
      <c r="D890" s="2"/>
      <c r="E890" s="2"/>
      <c r="F890" s="2"/>
      <c r="G890" s="7"/>
      <c r="H890" s="7"/>
      <c r="I890" s="7"/>
      <c r="J890" s="7"/>
      <c r="K890" s="7"/>
      <c r="L890" s="7"/>
      <c r="M890" s="7"/>
      <c r="N890" s="4"/>
      <c r="O890" s="4"/>
      <c r="P890" s="4"/>
      <c r="Q890" s="4"/>
      <c r="R890" s="4"/>
    </row>
    <row r="891">
      <c r="A891" s="1"/>
      <c r="B891" s="8"/>
      <c r="C891" s="2"/>
      <c r="D891" s="2"/>
      <c r="E891" s="2"/>
      <c r="F891" s="2"/>
      <c r="G891" s="7"/>
      <c r="H891" s="7"/>
      <c r="I891" s="7"/>
      <c r="J891" s="7"/>
      <c r="K891" s="7"/>
      <c r="L891" s="7"/>
      <c r="M891" s="7"/>
      <c r="N891" s="4"/>
      <c r="O891" s="4"/>
      <c r="P891" s="4"/>
      <c r="Q891" s="4"/>
      <c r="R891" s="4"/>
    </row>
    <row r="892">
      <c r="A892" s="1"/>
      <c r="B892" s="8"/>
      <c r="C892" s="2"/>
      <c r="D892" s="2"/>
      <c r="E892" s="2"/>
      <c r="F892" s="2"/>
      <c r="G892" s="7"/>
      <c r="H892" s="7"/>
      <c r="I892" s="7"/>
      <c r="J892" s="7"/>
      <c r="K892" s="7"/>
      <c r="L892" s="7"/>
      <c r="M892" s="7"/>
      <c r="N892" s="4"/>
      <c r="O892" s="4"/>
      <c r="P892" s="4"/>
      <c r="Q892" s="4"/>
      <c r="R892" s="4"/>
    </row>
    <row r="893">
      <c r="A893" s="1"/>
      <c r="B893" s="8"/>
      <c r="C893" s="2"/>
      <c r="D893" s="2"/>
      <c r="E893" s="2"/>
      <c r="F893" s="2"/>
      <c r="G893" s="7"/>
      <c r="H893" s="7"/>
      <c r="I893" s="7"/>
      <c r="J893" s="7"/>
      <c r="K893" s="7"/>
      <c r="L893" s="7"/>
      <c r="M893" s="7"/>
      <c r="N893" s="4"/>
      <c r="O893" s="4"/>
      <c r="P893" s="4"/>
      <c r="Q893" s="4"/>
      <c r="R893" s="4"/>
    </row>
    <row r="894">
      <c r="A894" s="1"/>
      <c r="B894" s="8"/>
      <c r="C894" s="2"/>
      <c r="D894" s="2"/>
      <c r="E894" s="2"/>
      <c r="F894" s="2"/>
      <c r="G894" s="7"/>
      <c r="H894" s="7"/>
      <c r="I894" s="7"/>
      <c r="J894" s="7"/>
      <c r="K894" s="7"/>
      <c r="L894" s="7"/>
      <c r="M894" s="7"/>
      <c r="N894" s="4"/>
      <c r="O894" s="4"/>
      <c r="P894" s="4"/>
      <c r="Q894" s="4"/>
      <c r="R894" s="4"/>
    </row>
    <row r="895">
      <c r="A895" s="1"/>
      <c r="B895" s="8"/>
      <c r="C895" s="2"/>
      <c r="D895" s="2"/>
      <c r="E895" s="2"/>
      <c r="F895" s="2"/>
      <c r="G895" s="7"/>
      <c r="H895" s="7"/>
      <c r="I895" s="7"/>
      <c r="J895" s="7"/>
      <c r="K895" s="7"/>
      <c r="L895" s="7"/>
      <c r="M895" s="7"/>
      <c r="N895" s="4"/>
      <c r="O895" s="4"/>
      <c r="P895" s="4"/>
      <c r="Q895" s="4"/>
      <c r="R895" s="4"/>
    </row>
    <row r="896">
      <c r="A896" s="1"/>
      <c r="B896" s="8"/>
      <c r="C896" s="2"/>
      <c r="D896" s="2"/>
      <c r="E896" s="2"/>
      <c r="F896" s="2"/>
      <c r="G896" s="7"/>
      <c r="H896" s="7"/>
      <c r="I896" s="7"/>
      <c r="J896" s="7"/>
      <c r="K896" s="7"/>
      <c r="L896" s="7"/>
      <c r="M896" s="7"/>
      <c r="N896" s="4"/>
      <c r="O896" s="4"/>
      <c r="P896" s="4"/>
      <c r="Q896" s="4"/>
      <c r="R896" s="4"/>
    </row>
    <row r="897">
      <c r="A897" s="1"/>
      <c r="B897" s="8"/>
      <c r="C897" s="2"/>
      <c r="D897" s="2"/>
      <c r="E897" s="2"/>
      <c r="F897" s="2"/>
      <c r="G897" s="7"/>
      <c r="H897" s="7"/>
      <c r="I897" s="7"/>
      <c r="J897" s="7"/>
      <c r="K897" s="7"/>
      <c r="L897" s="7"/>
      <c r="M897" s="7"/>
      <c r="N897" s="4"/>
      <c r="O897" s="4"/>
      <c r="P897" s="4"/>
      <c r="Q897" s="4"/>
      <c r="R897" s="4"/>
    </row>
    <row r="898">
      <c r="A898" s="1"/>
      <c r="B898" s="8"/>
      <c r="C898" s="2"/>
      <c r="D898" s="2"/>
      <c r="E898" s="2"/>
      <c r="F898" s="2"/>
      <c r="G898" s="7"/>
      <c r="H898" s="7"/>
      <c r="I898" s="7"/>
      <c r="J898" s="7"/>
      <c r="K898" s="7"/>
      <c r="L898" s="7"/>
      <c r="M898" s="7"/>
      <c r="N898" s="4"/>
      <c r="O898" s="4"/>
      <c r="P898" s="4"/>
      <c r="Q898" s="4"/>
      <c r="R898" s="4"/>
    </row>
    <row r="899">
      <c r="A899" s="1"/>
      <c r="B899" s="8"/>
      <c r="C899" s="2"/>
      <c r="D899" s="2"/>
      <c r="E899" s="2"/>
      <c r="F899" s="2"/>
      <c r="G899" s="7"/>
      <c r="H899" s="7"/>
      <c r="I899" s="7"/>
      <c r="J899" s="7"/>
      <c r="K899" s="7"/>
      <c r="L899" s="7"/>
      <c r="M899" s="7"/>
      <c r="N899" s="4"/>
      <c r="O899" s="4"/>
      <c r="P899" s="4"/>
      <c r="Q899" s="4"/>
      <c r="R899" s="4"/>
    </row>
    <row r="900">
      <c r="A900" s="1"/>
      <c r="B900" s="8"/>
      <c r="C900" s="2"/>
      <c r="D900" s="2"/>
      <c r="E900" s="2"/>
      <c r="F900" s="2"/>
      <c r="G900" s="7"/>
      <c r="H900" s="7"/>
      <c r="I900" s="7"/>
      <c r="J900" s="7"/>
      <c r="K900" s="7"/>
      <c r="L900" s="7"/>
      <c r="M900" s="7"/>
      <c r="N900" s="4"/>
      <c r="O900" s="4"/>
      <c r="P900" s="4"/>
      <c r="Q900" s="4"/>
      <c r="R900" s="4"/>
    </row>
    <row r="901">
      <c r="A901" s="1"/>
      <c r="B901" s="8"/>
      <c r="C901" s="2"/>
      <c r="D901" s="2"/>
      <c r="E901" s="2"/>
      <c r="F901" s="2"/>
      <c r="G901" s="7"/>
      <c r="H901" s="7"/>
      <c r="I901" s="7"/>
      <c r="J901" s="7"/>
      <c r="K901" s="7"/>
      <c r="L901" s="7"/>
      <c r="M901" s="7"/>
      <c r="N901" s="4"/>
      <c r="O901" s="4"/>
      <c r="P901" s="4"/>
      <c r="Q901" s="4"/>
      <c r="R901" s="4"/>
    </row>
    <row r="902">
      <c r="A902" s="1"/>
      <c r="B902" s="8"/>
      <c r="C902" s="2"/>
      <c r="D902" s="2"/>
      <c r="E902" s="2"/>
      <c r="F902" s="2"/>
      <c r="G902" s="7"/>
      <c r="H902" s="7"/>
      <c r="I902" s="7"/>
      <c r="J902" s="7"/>
      <c r="K902" s="7"/>
      <c r="L902" s="7"/>
      <c r="M902" s="7"/>
      <c r="N902" s="4"/>
      <c r="O902" s="4"/>
      <c r="P902" s="4"/>
      <c r="Q902" s="4"/>
      <c r="R902" s="4"/>
    </row>
    <row r="903">
      <c r="A903" s="1"/>
      <c r="B903" s="8"/>
      <c r="C903" s="2"/>
      <c r="D903" s="2"/>
      <c r="E903" s="2"/>
      <c r="F903" s="2"/>
      <c r="G903" s="7"/>
      <c r="H903" s="7"/>
      <c r="I903" s="7"/>
      <c r="J903" s="7"/>
      <c r="K903" s="7"/>
      <c r="L903" s="7"/>
      <c r="M903" s="7"/>
      <c r="N903" s="4"/>
      <c r="O903" s="4"/>
      <c r="P903" s="4"/>
      <c r="Q903" s="4"/>
      <c r="R903" s="4"/>
    </row>
    <row r="904">
      <c r="A904" s="1"/>
      <c r="B904" s="8"/>
      <c r="C904" s="2"/>
      <c r="D904" s="2"/>
      <c r="E904" s="2"/>
      <c r="F904" s="2"/>
      <c r="G904" s="7"/>
      <c r="H904" s="7"/>
      <c r="I904" s="7"/>
      <c r="J904" s="7"/>
      <c r="K904" s="7"/>
      <c r="L904" s="7"/>
      <c r="M904" s="7"/>
      <c r="N904" s="4"/>
      <c r="O904" s="4"/>
      <c r="P904" s="4"/>
      <c r="Q904" s="4"/>
      <c r="R904" s="4"/>
    </row>
    <row r="905">
      <c r="A905" s="1"/>
      <c r="B905" s="8"/>
      <c r="C905" s="2"/>
      <c r="D905" s="2"/>
      <c r="E905" s="2"/>
      <c r="F905" s="2"/>
      <c r="G905" s="7"/>
      <c r="H905" s="7"/>
      <c r="I905" s="7"/>
      <c r="J905" s="7"/>
      <c r="K905" s="7"/>
      <c r="L905" s="7"/>
      <c r="M905" s="7"/>
      <c r="N905" s="4"/>
      <c r="O905" s="4"/>
      <c r="P905" s="4"/>
      <c r="Q905" s="4"/>
      <c r="R905" s="4"/>
    </row>
    <row r="906">
      <c r="A906" s="1"/>
      <c r="B906" s="8"/>
      <c r="C906" s="2"/>
      <c r="D906" s="2"/>
      <c r="E906" s="2"/>
      <c r="F906" s="2"/>
      <c r="G906" s="7"/>
      <c r="H906" s="7"/>
      <c r="I906" s="7"/>
      <c r="J906" s="7"/>
      <c r="K906" s="7"/>
      <c r="L906" s="7"/>
      <c r="M906" s="7"/>
      <c r="N906" s="4"/>
      <c r="O906" s="4"/>
      <c r="P906" s="4"/>
      <c r="Q906" s="4"/>
      <c r="R906" s="4"/>
    </row>
    <row r="907">
      <c r="A907" s="1"/>
      <c r="B907" s="8"/>
      <c r="C907" s="2"/>
      <c r="D907" s="2"/>
      <c r="E907" s="2"/>
      <c r="F907" s="2"/>
      <c r="G907" s="7"/>
      <c r="H907" s="7"/>
      <c r="I907" s="7"/>
      <c r="J907" s="7"/>
      <c r="K907" s="7"/>
      <c r="L907" s="7"/>
      <c r="M907" s="7"/>
      <c r="N907" s="4"/>
      <c r="O907" s="4"/>
      <c r="P907" s="4"/>
      <c r="Q907" s="4"/>
      <c r="R907" s="4"/>
    </row>
    <row r="908">
      <c r="A908" s="1"/>
      <c r="B908" s="8"/>
      <c r="C908" s="2"/>
      <c r="D908" s="2"/>
      <c r="E908" s="2"/>
      <c r="F908" s="2"/>
      <c r="G908" s="7"/>
      <c r="H908" s="7"/>
      <c r="I908" s="7"/>
      <c r="J908" s="7"/>
      <c r="K908" s="7"/>
      <c r="L908" s="7"/>
      <c r="M908" s="7"/>
      <c r="N908" s="4"/>
      <c r="O908" s="4"/>
      <c r="P908" s="4"/>
      <c r="Q908" s="4"/>
      <c r="R908" s="4"/>
    </row>
    <row r="909">
      <c r="A909" s="1"/>
      <c r="B909" s="8"/>
      <c r="C909" s="2"/>
      <c r="D909" s="2"/>
      <c r="E909" s="2"/>
      <c r="F909" s="2"/>
      <c r="G909" s="7"/>
      <c r="H909" s="7"/>
      <c r="I909" s="7"/>
      <c r="J909" s="7"/>
      <c r="K909" s="7"/>
      <c r="L909" s="7"/>
      <c r="M909" s="7"/>
      <c r="N909" s="4"/>
      <c r="O909" s="4"/>
      <c r="P909" s="4"/>
      <c r="Q909" s="4"/>
      <c r="R909" s="4"/>
    </row>
    <row r="910">
      <c r="A910" s="1"/>
      <c r="B910" s="8"/>
      <c r="C910" s="2"/>
      <c r="D910" s="2"/>
      <c r="E910" s="2"/>
      <c r="F910" s="2"/>
      <c r="G910" s="7"/>
      <c r="H910" s="7"/>
      <c r="I910" s="7"/>
      <c r="J910" s="7"/>
      <c r="K910" s="7"/>
      <c r="L910" s="7"/>
      <c r="M910" s="7"/>
      <c r="N910" s="4"/>
      <c r="O910" s="4"/>
      <c r="P910" s="4"/>
      <c r="Q910" s="4"/>
      <c r="R910" s="4"/>
    </row>
    <row r="911">
      <c r="A911" s="1"/>
      <c r="B911" s="8"/>
      <c r="C911" s="2"/>
      <c r="D911" s="2"/>
      <c r="E911" s="2"/>
      <c r="F911" s="2"/>
      <c r="G911" s="7"/>
      <c r="H911" s="7"/>
      <c r="I911" s="7"/>
      <c r="J911" s="7"/>
      <c r="K911" s="7"/>
      <c r="L911" s="7"/>
      <c r="M911" s="7"/>
      <c r="N911" s="4"/>
      <c r="O911" s="4"/>
      <c r="P911" s="4"/>
      <c r="Q911" s="4"/>
      <c r="R911" s="4"/>
    </row>
    <row r="912">
      <c r="A912" s="1"/>
      <c r="B912" s="8"/>
      <c r="C912" s="2"/>
      <c r="D912" s="2"/>
      <c r="E912" s="2"/>
      <c r="F912" s="2"/>
      <c r="G912" s="7"/>
      <c r="H912" s="7"/>
      <c r="I912" s="7"/>
      <c r="J912" s="7"/>
      <c r="K912" s="7"/>
      <c r="L912" s="7"/>
      <c r="M912" s="7"/>
      <c r="N912" s="4"/>
      <c r="O912" s="4"/>
      <c r="P912" s="4"/>
      <c r="Q912" s="4"/>
      <c r="R912" s="4"/>
    </row>
    <row r="913">
      <c r="A913" s="1"/>
      <c r="B913" s="8"/>
      <c r="C913" s="2"/>
      <c r="D913" s="2"/>
      <c r="E913" s="2"/>
      <c r="F913" s="2"/>
      <c r="G913" s="7"/>
      <c r="H913" s="7"/>
      <c r="I913" s="7"/>
      <c r="J913" s="7"/>
      <c r="K913" s="7"/>
      <c r="L913" s="7"/>
      <c r="M913" s="7"/>
      <c r="N913" s="4"/>
      <c r="O913" s="4"/>
      <c r="P913" s="4"/>
      <c r="Q913" s="4"/>
      <c r="R913" s="4"/>
    </row>
    <row r="914">
      <c r="A914" s="1"/>
      <c r="B914" s="8"/>
      <c r="C914" s="2"/>
      <c r="D914" s="2"/>
      <c r="E914" s="2"/>
      <c r="F914" s="2"/>
      <c r="G914" s="7"/>
      <c r="H914" s="7"/>
      <c r="I914" s="7"/>
      <c r="J914" s="7"/>
      <c r="K914" s="7"/>
      <c r="L914" s="7"/>
      <c r="M914" s="7"/>
      <c r="N914" s="4"/>
      <c r="O914" s="4"/>
      <c r="P914" s="4"/>
      <c r="Q914" s="4"/>
      <c r="R914" s="4"/>
    </row>
    <row r="915">
      <c r="A915" s="1"/>
      <c r="B915" s="8"/>
      <c r="C915" s="2"/>
      <c r="D915" s="2"/>
      <c r="E915" s="2"/>
      <c r="F915" s="2"/>
      <c r="G915" s="7"/>
      <c r="H915" s="7"/>
      <c r="I915" s="7"/>
      <c r="J915" s="7"/>
      <c r="K915" s="7"/>
      <c r="L915" s="7"/>
      <c r="M915" s="7"/>
      <c r="N915" s="4"/>
      <c r="O915" s="4"/>
      <c r="P915" s="4"/>
      <c r="Q915" s="4"/>
      <c r="R915" s="4"/>
    </row>
    <row r="916">
      <c r="A916" s="1"/>
      <c r="B916" s="8"/>
      <c r="C916" s="2"/>
      <c r="D916" s="2"/>
      <c r="E916" s="2"/>
      <c r="F916" s="2"/>
      <c r="G916" s="7"/>
      <c r="H916" s="7"/>
      <c r="I916" s="7"/>
      <c r="J916" s="7"/>
      <c r="K916" s="7"/>
      <c r="L916" s="7"/>
      <c r="M916" s="7"/>
      <c r="N916" s="4"/>
      <c r="O916" s="4"/>
      <c r="P916" s="4"/>
      <c r="Q916" s="4"/>
      <c r="R916" s="4"/>
    </row>
    <row r="917">
      <c r="A917" s="1"/>
      <c r="B917" s="8"/>
      <c r="C917" s="2"/>
      <c r="D917" s="2"/>
      <c r="E917" s="2"/>
      <c r="F917" s="2"/>
      <c r="G917" s="7"/>
      <c r="H917" s="7"/>
      <c r="I917" s="7"/>
      <c r="J917" s="7"/>
      <c r="K917" s="7"/>
      <c r="L917" s="7"/>
      <c r="M917" s="7"/>
      <c r="N917" s="4"/>
      <c r="O917" s="4"/>
      <c r="P917" s="4"/>
      <c r="Q917" s="4"/>
      <c r="R917" s="4"/>
    </row>
    <row r="918">
      <c r="A918" s="1"/>
      <c r="B918" s="8"/>
      <c r="C918" s="2"/>
      <c r="D918" s="2"/>
      <c r="E918" s="2"/>
      <c r="F918" s="2"/>
      <c r="G918" s="7"/>
      <c r="H918" s="7"/>
      <c r="I918" s="7"/>
      <c r="J918" s="7"/>
      <c r="K918" s="7"/>
      <c r="L918" s="7"/>
      <c r="M918" s="7"/>
      <c r="N918" s="4"/>
      <c r="O918" s="4"/>
      <c r="P918" s="4"/>
      <c r="Q918" s="4"/>
      <c r="R918" s="4"/>
    </row>
    <row r="919">
      <c r="A919" s="1"/>
      <c r="B919" s="8"/>
      <c r="C919" s="2"/>
      <c r="D919" s="2"/>
      <c r="E919" s="2"/>
      <c r="F919" s="2"/>
      <c r="G919" s="7"/>
      <c r="H919" s="7"/>
      <c r="I919" s="7"/>
      <c r="J919" s="7"/>
      <c r="K919" s="7"/>
      <c r="L919" s="7"/>
      <c r="M919" s="7"/>
      <c r="N919" s="4"/>
      <c r="O919" s="4"/>
      <c r="P919" s="4"/>
      <c r="Q919" s="4"/>
      <c r="R919" s="4"/>
    </row>
    <row r="920">
      <c r="A920" s="1"/>
      <c r="B920" s="8"/>
      <c r="C920" s="2"/>
      <c r="D920" s="2"/>
      <c r="E920" s="2"/>
      <c r="F920" s="2"/>
      <c r="G920" s="7"/>
      <c r="H920" s="7"/>
      <c r="I920" s="7"/>
      <c r="J920" s="7"/>
      <c r="K920" s="7"/>
      <c r="L920" s="7"/>
      <c r="M920" s="7"/>
      <c r="N920" s="4"/>
      <c r="O920" s="4"/>
      <c r="P920" s="4"/>
      <c r="Q920" s="4"/>
      <c r="R920" s="4"/>
    </row>
    <row r="921">
      <c r="A921" s="1"/>
      <c r="B921" s="8"/>
      <c r="C921" s="2"/>
      <c r="D921" s="2"/>
      <c r="E921" s="2"/>
      <c r="F921" s="2"/>
      <c r="G921" s="7"/>
      <c r="H921" s="7"/>
      <c r="I921" s="7"/>
      <c r="J921" s="7"/>
      <c r="K921" s="7"/>
      <c r="L921" s="7"/>
      <c r="M921" s="7"/>
      <c r="N921" s="4"/>
      <c r="O921" s="4"/>
      <c r="P921" s="4"/>
      <c r="Q921" s="4"/>
      <c r="R921" s="4"/>
    </row>
    <row r="922">
      <c r="A922" s="1"/>
      <c r="B922" s="8"/>
      <c r="C922" s="2"/>
      <c r="D922" s="2"/>
      <c r="E922" s="2"/>
      <c r="F922" s="2"/>
      <c r="G922" s="7"/>
      <c r="H922" s="7"/>
      <c r="I922" s="7"/>
      <c r="J922" s="7"/>
      <c r="K922" s="7"/>
      <c r="L922" s="7"/>
      <c r="M922" s="7"/>
      <c r="N922" s="4"/>
      <c r="O922" s="4"/>
      <c r="P922" s="4"/>
      <c r="Q922" s="4"/>
      <c r="R922" s="4"/>
    </row>
    <row r="923">
      <c r="A923" s="1"/>
      <c r="B923" s="8"/>
      <c r="C923" s="2"/>
      <c r="D923" s="2"/>
      <c r="E923" s="2"/>
      <c r="F923" s="2"/>
      <c r="G923" s="7"/>
      <c r="H923" s="7"/>
      <c r="I923" s="7"/>
      <c r="J923" s="7"/>
      <c r="K923" s="7"/>
      <c r="L923" s="7"/>
      <c r="M923" s="7"/>
      <c r="N923" s="4"/>
      <c r="O923" s="4"/>
      <c r="P923" s="4"/>
      <c r="Q923" s="4"/>
      <c r="R923" s="4"/>
    </row>
    <row r="924">
      <c r="A924" s="1"/>
      <c r="B924" s="8"/>
      <c r="C924" s="2"/>
      <c r="D924" s="2"/>
      <c r="E924" s="2"/>
      <c r="F924" s="2"/>
      <c r="G924" s="7"/>
      <c r="H924" s="7"/>
      <c r="I924" s="7"/>
      <c r="J924" s="7"/>
      <c r="K924" s="7"/>
      <c r="L924" s="7"/>
      <c r="M924" s="7"/>
      <c r="N924" s="4"/>
      <c r="O924" s="4"/>
      <c r="P924" s="4"/>
      <c r="Q924" s="4"/>
      <c r="R924" s="4"/>
    </row>
    <row r="925">
      <c r="A925" s="1"/>
      <c r="B925" s="8"/>
      <c r="C925" s="2"/>
      <c r="D925" s="2"/>
      <c r="E925" s="2"/>
      <c r="F925" s="2"/>
      <c r="G925" s="7"/>
      <c r="H925" s="7"/>
      <c r="I925" s="7"/>
      <c r="J925" s="7"/>
      <c r="K925" s="7"/>
      <c r="L925" s="7"/>
      <c r="M925" s="7"/>
      <c r="N925" s="4"/>
      <c r="O925" s="4"/>
      <c r="P925" s="4"/>
      <c r="Q925" s="4"/>
      <c r="R925" s="4"/>
    </row>
    <row r="926">
      <c r="A926" s="1"/>
      <c r="B926" s="8"/>
      <c r="C926" s="2"/>
      <c r="D926" s="2"/>
      <c r="E926" s="2"/>
      <c r="F926" s="2"/>
      <c r="G926" s="7"/>
      <c r="H926" s="7"/>
      <c r="I926" s="7"/>
      <c r="J926" s="7"/>
      <c r="K926" s="7"/>
      <c r="L926" s="7"/>
      <c r="M926" s="7"/>
      <c r="N926" s="4"/>
      <c r="O926" s="4"/>
      <c r="P926" s="4"/>
      <c r="Q926" s="4"/>
      <c r="R926" s="4"/>
    </row>
    <row r="927">
      <c r="A927" s="1"/>
      <c r="B927" s="8"/>
      <c r="C927" s="2"/>
      <c r="D927" s="2"/>
      <c r="E927" s="2"/>
      <c r="F927" s="2"/>
      <c r="G927" s="7"/>
      <c r="H927" s="7"/>
      <c r="I927" s="7"/>
      <c r="J927" s="7"/>
      <c r="K927" s="7"/>
      <c r="L927" s="7"/>
      <c r="M927" s="7"/>
      <c r="N927" s="4"/>
      <c r="O927" s="4"/>
      <c r="P927" s="4"/>
      <c r="Q927" s="4"/>
      <c r="R927" s="4"/>
    </row>
    <row r="928">
      <c r="A928" s="1"/>
      <c r="B928" s="8"/>
      <c r="C928" s="2"/>
      <c r="D928" s="2"/>
      <c r="E928" s="2"/>
      <c r="F928" s="2"/>
      <c r="G928" s="7"/>
      <c r="H928" s="7"/>
      <c r="I928" s="7"/>
      <c r="J928" s="7"/>
      <c r="K928" s="7"/>
      <c r="L928" s="7"/>
      <c r="M928" s="7"/>
      <c r="N928" s="4"/>
      <c r="O928" s="4"/>
      <c r="P928" s="4"/>
      <c r="Q928" s="4"/>
      <c r="R928" s="4"/>
    </row>
    <row r="929">
      <c r="A929" s="1"/>
      <c r="B929" s="8"/>
      <c r="C929" s="2"/>
      <c r="D929" s="2"/>
      <c r="E929" s="2"/>
      <c r="F929" s="2"/>
      <c r="G929" s="7"/>
      <c r="H929" s="7"/>
      <c r="I929" s="7"/>
      <c r="J929" s="7"/>
      <c r="K929" s="7"/>
      <c r="L929" s="7"/>
      <c r="M929" s="7"/>
      <c r="N929" s="4"/>
      <c r="O929" s="4"/>
      <c r="P929" s="4"/>
      <c r="Q929" s="4"/>
      <c r="R929" s="4"/>
    </row>
    <row r="930">
      <c r="A930" s="1"/>
      <c r="B930" s="8"/>
      <c r="C930" s="2"/>
      <c r="D930" s="2"/>
      <c r="E930" s="2"/>
      <c r="F930" s="2"/>
      <c r="G930" s="7"/>
      <c r="H930" s="7"/>
      <c r="I930" s="7"/>
      <c r="J930" s="7"/>
      <c r="K930" s="7"/>
      <c r="L930" s="7"/>
      <c r="M930" s="7"/>
      <c r="N930" s="4"/>
      <c r="O930" s="4"/>
      <c r="P930" s="4"/>
      <c r="Q930" s="4"/>
      <c r="R930" s="4"/>
    </row>
    <row r="931">
      <c r="A931" s="1"/>
      <c r="B931" s="8"/>
      <c r="C931" s="2"/>
      <c r="D931" s="2"/>
      <c r="E931" s="2"/>
      <c r="F931" s="2"/>
      <c r="G931" s="7"/>
      <c r="H931" s="7"/>
      <c r="I931" s="7"/>
      <c r="J931" s="7"/>
      <c r="K931" s="7"/>
      <c r="L931" s="7"/>
      <c r="M931" s="7"/>
      <c r="N931" s="4"/>
      <c r="O931" s="4"/>
      <c r="P931" s="4"/>
      <c r="Q931" s="4"/>
      <c r="R931" s="4"/>
    </row>
    <row r="932">
      <c r="A932" s="1"/>
      <c r="B932" s="8"/>
      <c r="C932" s="2"/>
      <c r="D932" s="2"/>
      <c r="E932" s="2"/>
      <c r="F932" s="2"/>
      <c r="G932" s="7"/>
      <c r="H932" s="7"/>
      <c r="I932" s="7"/>
      <c r="J932" s="7"/>
      <c r="K932" s="7"/>
      <c r="L932" s="7"/>
      <c r="M932" s="7"/>
      <c r="N932" s="4"/>
      <c r="O932" s="4"/>
      <c r="P932" s="4"/>
      <c r="Q932" s="4"/>
      <c r="R932" s="4"/>
    </row>
    <row r="933">
      <c r="A933" s="1"/>
      <c r="B933" s="8"/>
      <c r="C933" s="2"/>
      <c r="D933" s="2"/>
      <c r="E933" s="2"/>
      <c r="F933" s="2"/>
      <c r="G933" s="7"/>
      <c r="H933" s="7"/>
      <c r="I933" s="7"/>
      <c r="J933" s="7"/>
      <c r="K933" s="7"/>
      <c r="L933" s="7"/>
      <c r="M933" s="7"/>
      <c r="N933" s="4"/>
      <c r="O933" s="4"/>
      <c r="P933" s="4"/>
      <c r="Q933" s="4"/>
      <c r="R933" s="4"/>
    </row>
    <row r="934">
      <c r="A934" s="1"/>
      <c r="B934" s="8"/>
      <c r="C934" s="2"/>
      <c r="D934" s="2"/>
      <c r="E934" s="2"/>
      <c r="F934" s="2"/>
      <c r="G934" s="7"/>
      <c r="H934" s="7"/>
      <c r="I934" s="7"/>
      <c r="J934" s="7"/>
      <c r="K934" s="7"/>
      <c r="L934" s="7"/>
      <c r="M934" s="7"/>
      <c r="N934" s="4"/>
      <c r="O934" s="4"/>
      <c r="P934" s="4"/>
      <c r="Q934" s="4"/>
      <c r="R934" s="4"/>
    </row>
    <row r="935">
      <c r="A935" s="1"/>
      <c r="B935" s="8"/>
      <c r="C935" s="2"/>
      <c r="D935" s="2"/>
      <c r="E935" s="2"/>
      <c r="F935" s="2"/>
      <c r="G935" s="7"/>
      <c r="H935" s="7"/>
      <c r="I935" s="7"/>
      <c r="J935" s="7"/>
      <c r="K935" s="7"/>
      <c r="L935" s="7"/>
      <c r="M935" s="7"/>
      <c r="N935" s="4"/>
      <c r="O935" s="4"/>
      <c r="P935" s="4"/>
      <c r="Q935" s="4"/>
      <c r="R935" s="4"/>
    </row>
    <row r="936">
      <c r="A936" s="1"/>
      <c r="B936" s="8"/>
      <c r="C936" s="2"/>
      <c r="D936" s="2"/>
      <c r="E936" s="2"/>
      <c r="F936" s="2"/>
      <c r="G936" s="7"/>
      <c r="H936" s="7"/>
      <c r="I936" s="7"/>
      <c r="J936" s="7"/>
      <c r="K936" s="7"/>
      <c r="L936" s="7"/>
      <c r="M936" s="7"/>
      <c r="N936" s="4"/>
      <c r="O936" s="4"/>
      <c r="P936" s="4"/>
      <c r="Q936" s="4"/>
      <c r="R936" s="4"/>
    </row>
    <row r="937">
      <c r="A937" s="1"/>
      <c r="B937" s="8"/>
      <c r="C937" s="2"/>
      <c r="D937" s="2"/>
      <c r="E937" s="2"/>
      <c r="F937" s="2"/>
      <c r="G937" s="7"/>
      <c r="H937" s="7"/>
      <c r="I937" s="7"/>
      <c r="J937" s="7"/>
      <c r="K937" s="7"/>
      <c r="L937" s="7"/>
      <c r="M937" s="7"/>
      <c r="N937" s="4"/>
      <c r="O937" s="4"/>
      <c r="P937" s="4"/>
      <c r="Q937" s="4"/>
      <c r="R937" s="4"/>
    </row>
    <row r="938">
      <c r="A938" s="1"/>
      <c r="B938" s="8"/>
      <c r="C938" s="2"/>
      <c r="D938" s="2"/>
      <c r="E938" s="2"/>
      <c r="F938" s="2"/>
      <c r="G938" s="7"/>
      <c r="H938" s="7"/>
      <c r="I938" s="7"/>
      <c r="J938" s="7"/>
      <c r="K938" s="7"/>
      <c r="L938" s="7"/>
      <c r="M938" s="7"/>
      <c r="N938" s="4"/>
      <c r="O938" s="4"/>
      <c r="P938" s="4"/>
      <c r="Q938" s="4"/>
      <c r="R938" s="4"/>
    </row>
    <row r="939">
      <c r="A939" s="1"/>
      <c r="B939" s="8"/>
      <c r="C939" s="2"/>
      <c r="D939" s="2"/>
      <c r="E939" s="2"/>
      <c r="F939" s="2"/>
      <c r="G939" s="7"/>
      <c r="H939" s="7"/>
      <c r="I939" s="7"/>
      <c r="J939" s="7"/>
      <c r="K939" s="7"/>
      <c r="L939" s="7"/>
      <c r="M939" s="7"/>
      <c r="N939" s="4"/>
      <c r="O939" s="4"/>
      <c r="P939" s="4"/>
      <c r="Q939" s="4"/>
      <c r="R939" s="4"/>
    </row>
    <row r="940">
      <c r="A940" s="1"/>
      <c r="B940" s="8"/>
      <c r="C940" s="2"/>
      <c r="D940" s="2"/>
      <c r="E940" s="2"/>
      <c r="F940" s="2"/>
      <c r="G940" s="7"/>
      <c r="H940" s="7"/>
      <c r="I940" s="7"/>
      <c r="J940" s="7"/>
      <c r="K940" s="7"/>
      <c r="L940" s="7"/>
      <c r="M940" s="7"/>
      <c r="N940" s="4"/>
      <c r="O940" s="4"/>
      <c r="P940" s="4"/>
      <c r="Q940" s="4"/>
      <c r="R940" s="4"/>
    </row>
    <row r="941">
      <c r="A941" s="1"/>
      <c r="B941" s="8"/>
      <c r="C941" s="2"/>
      <c r="D941" s="2"/>
      <c r="E941" s="2"/>
      <c r="F941" s="2"/>
      <c r="G941" s="7"/>
      <c r="H941" s="7"/>
      <c r="I941" s="7"/>
      <c r="J941" s="7"/>
      <c r="K941" s="7"/>
      <c r="L941" s="7"/>
      <c r="M941" s="7"/>
      <c r="N941" s="4"/>
      <c r="O941" s="4"/>
      <c r="P941" s="4"/>
      <c r="Q941" s="4"/>
      <c r="R941" s="4"/>
    </row>
    <row r="942">
      <c r="A942" s="1"/>
      <c r="B942" s="8"/>
      <c r="C942" s="2"/>
      <c r="D942" s="2"/>
      <c r="E942" s="2"/>
      <c r="F942" s="2"/>
      <c r="G942" s="7"/>
      <c r="H942" s="7"/>
      <c r="I942" s="7"/>
      <c r="J942" s="7"/>
      <c r="K942" s="7"/>
      <c r="L942" s="7"/>
      <c r="M942" s="7"/>
      <c r="N942" s="4"/>
      <c r="O942" s="4"/>
      <c r="P942" s="4"/>
      <c r="Q942" s="4"/>
      <c r="R942" s="4"/>
    </row>
    <row r="943">
      <c r="A943" s="1"/>
      <c r="B943" s="8"/>
      <c r="C943" s="2"/>
      <c r="D943" s="2"/>
      <c r="E943" s="2"/>
      <c r="F943" s="2"/>
      <c r="G943" s="7"/>
      <c r="H943" s="7"/>
      <c r="I943" s="7"/>
      <c r="J943" s="7"/>
      <c r="K943" s="7"/>
      <c r="L943" s="7"/>
      <c r="M943" s="7"/>
      <c r="N943" s="4"/>
      <c r="O943" s="4"/>
      <c r="P943" s="4"/>
      <c r="Q943" s="4"/>
      <c r="R943" s="4"/>
    </row>
    <row r="944">
      <c r="A944" s="1"/>
      <c r="B944" s="8"/>
      <c r="C944" s="2"/>
      <c r="D944" s="2"/>
      <c r="E944" s="2"/>
      <c r="F944" s="2"/>
      <c r="G944" s="7"/>
      <c r="H944" s="7"/>
      <c r="I944" s="7"/>
      <c r="J944" s="7"/>
      <c r="K944" s="7"/>
      <c r="L944" s="7"/>
      <c r="M944" s="7"/>
      <c r="N944" s="4"/>
      <c r="O944" s="4"/>
      <c r="P944" s="4"/>
      <c r="Q944" s="4"/>
      <c r="R944" s="4"/>
    </row>
    <row r="945">
      <c r="A945" s="1"/>
      <c r="B945" s="8"/>
      <c r="C945" s="2"/>
      <c r="D945" s="2"/>
      <c r="E945" s="2"/>
      <c r="F945" s="2"/>
      <c r="G945" s="7"/>
      <c r="H945" s="7"/>
      <c r="I945" s="7"/>
      <c r="J945" s="7"/>
      <c r="K945" s="7"/>
      <c r="L945" s="7"/>
      <c r="M945" s="7"/>
      <c r="N945" s="4"/>
      <c r="O945" s="4"/>
      <c r="P945" s="4"/>
      <c r="Q945" s="4"/>
      <c r="R945" s="4"/>
    </row>
    <row r="946">
      <c r="A946" s="1"/>
      <c r="B946" s="8"/>
      <c r="C946" s="2"/>
      <c r="D946" s="2"/>
      <c r="E946" s="2"/>
      <c r="F946" s="2"/>
      <c r="G946" s="7"/>
      <c r="H946" s="7"/>
      <c r="I946" s="7"/>
      <c r="J946" s="7"/>
      <c r="K946" s="7"/>
      <c r="L946" s="7"/>
      <c r="M946" s="7"/>
      <c r="N946" s="4"/>
      <c r="O946" s="4"/>
      <c r="P946" s="4"/>
      <c r="Q946" s="4"/>
      <c r="R946" s="4"/>
    </row>
    <row r="947">
      <c r="A947" s="1"/>
      <c r="B947" s="8"/>
      <c r="C947" s="2"/>
      <c r="D947" s="2"/>
      <c r="E947" s="2"/>
      <c r="F947" s="2"/>
      <c r="G947" s="7"/>
      <c r="H947" s="7"/>
      <c r="I947" s="7"/>
      <c r="J947" s="7"/>
      <c r="K947" s="7"/>
      <c r="L947" s="7"/>
      <c r="M947" s="7"/>
      <c r="N947" s="4"/>
      <c r="O947" s="4"/>
      <c r="P947" s="4"/>
      <c r="Q947" s="4"/>
      <c r="R947" s="4"/>
    </row>
    <row r="948">
      <c r="A948" s="1"/>
      <c r="B948" s="8"/>
      <c r="C948" s="2"/>
      <c r="D948" s="2"/>
      <c r="E948" s="2"/>
      <c r="F948" s="2"/>
      <c r="G948" s="7"/>
      <c r="H948" s="7"/>
      <c r="I948" s="7"/>
      <c r="J948" s="7"/>
      <c r="K948" s="7"/>
      <c r="L948" s="7"/>
      <c r="M948" s="7"/>
      <c r="N948" s="4"/>
      <c r="O948" s="4"/>
      <c r="P948" s="4"/>
      <c r="Q948" s="4"/>
      <c r="R948" s="4"/>
    </row>
    <row r="949">
      <c r="A949" s="1"/>
      <c r="B949" s="8"/>
      <c r="C949" s="2"/>
      <c r="D949" s="2"/>
      <c r="E949" s="2"/>
      <c r="F949" s="2"/>
      <c r="G949" s="7"/>
      <c r="H949" s="7"/>
      <c r="I949" s="7"/>
      <c r="J949" s="7"/>
      <c r="K949" s="7"/>
      <c r="L949" s="7"/>
      <c r="M949" s="7"/>
      <c r="N949" s="4"/>
      <c r="O949" s="4"/>
      <c r="P949" s="4"/>
      <c r="Q949" s="4"/>
      <c r="R949" s="4"/>
    </row>
    <row r="950">
      <c r="A950" s="1"/>
      <c r="B950" s="8"/>
      <c r="C950" s="2"/>
      <c r="D950" s="2"/>
      <c r="E950" s="2"/>
      <c r="F950" s="2"/>
      <c r="G950" s="7"/>
      <c r="H950" s="7"/>
      <c r="I950" s="7"/>
      <c r="J950" s="7"/>
      <c r="K950" s="7"/>
      <c r="L950" s="7"/>
      <c r="M950" s="7"/>
      <c r="N950" s="4"/>
      <c r="O950" s="4"/>
      <c r="P950" s="4"/>
      <c r="Q950" s="4"/>
      <c r="R950" s="4"/>
    </row>
    <row r="951">
      <c r="A951" s="1"/>
      <c r="B951" s="8"/>
      <c r="C951" s="2"/>
      <c r="D951" s="2"/>
      <c r="E951" s="2"/>
      <c r="F951" s="2"/>
      <c r="G951" s="7"/>
      <c r="H951" s="7"/>
      <c r="I951" s="7"/>
      <c r="J951" s="7"/>
      <c r="K951" s="7"/>
      <c r="L951" s="7"/>
      <c r="M951" s="7"/>
      <c r="N951" s="4"/>
      <c r="O951" s="4"/>
      <c r="P951" s="4"/>
      <c r="Q951" s="4"/>
      <c r="R951" s="4"/>
    </row>
    <row r="952">
      <c r="A952" s="1"/>
      <c r="B952" s="8"/>
      <c r="C952" s="2"/>
      <c r="D952" s="2"/>
      <c r="E952" s="2"/>
      <c r="F952" s="2"/>
      <c r="G952" s="7"/>
      <c r="H952" s="7"/>
      <c r="I952" s="7"/>
      <c r="J952" s="7"/>
      <c r="K952" s="7"/>
      <c r="L952" s="7"/>
      <c r="M952" s="7"/>
      <c r="N952" s="4"/>
      <c r="O952" s="4"/>
      <c r="P952" s="4"/>
      <c r="Q952" s="4"/>
      <c r="R952" s="4"/>
    </row>
    <row r="953">
      <c r="A953" s="1"/>
      <c r="B953" s="8"/>
      <c r="C953" s="2"/>
      <c r="D953" s="2"/>
      <c r="E953" s="2"/>
      <c r="F953" s="2"/>
      <c r="G953" s="7"/>
      <c r="H953" s="7"/>
      <c r="I953" s="7"/>
      <c r="J953" s="7"/>
      <c r="K953" s="7"/>
      <c r="L953" s="7"/>
      <c r="M953" s="7"/>
      <c r="N953" s="4"/>
      <c r="O953" s="4"/>
      <c r="P953" s="4"/>
      <c r="Q953" s="4"/>
      <c r="R953" s="4"/>
    </row>
    <row r="954">
      <c r="A954" s="1"/>
      <c r="B954" s="8"/>
      <c r="C954" s="2"/>
      <c r="D954" s="2"/>
      <c r="E954" s="2"/>
      <c r="F954" s="2"/>
      <c r="G954" s="7"/>
      <c r="H954" s="7"/>
      <c r="I954" s="7"/>
      <c r="J954" s="7"/>
      <c r="K954" s="7"/>
      <c r="L954" s="7"/>
      <c r="M954" s="7"/>
      <c r="N954" s="4"/>
      <c r="O954" s="4"/>
      <c r="P954" s="4"/>
      <c r="Q954" s="4"/>
      <c r="R954" s="4"/>
    </row>
    <row r="955">
      <c r="A955" s="1"/>
      <c r="B955" s="8"/>
      <c r="C955" s="2"/>
      <c r="D955" s="2"/>
      <c r="E955" s="2"/>
      <c r="F955" s="2"/>
      <c r="G955" s="7"/>
      <c r="H955" s="7"/>
      <c r="I955" s="7"/>
      <c r="J955" s="7"/>
      <c r="K955" s="7"/>
      <c r="L955" s="7"/>
      <c r="M955" s="7"/>
      <c r="N955" s="4"/>
      <c r="O955" s="4"/>
      <c r="P955" s="4"/>
      <c r="Q955" s="4"/>
      <c r="R955" s="4"/>
    </row>
    <row r="956">
      <c r="A956" s="1"/>
      <c r="B956" s="8"/>
      <c r="C956" s="2"/>
      <c r="D956" s="2"/>
      <c r="E956" s="2"/>
      <c r="F956" s="2"/>
      <c r="G956" s="7"/>
      <c r="H956" s="7"/>
      <c r="I956" s="7"/>
      <c r="J956" s="7"/>
      <c r="K956" s="7"/>
      <c r="L956" s="7"/>
      <c r="M956" s="7"/>
      <c r="N956" s="4"/>
      <c r="O956" s="4"/>
      <c r="P956" s="4"/>
      <c r="Q956" s="4"/>
      <c r="R956" s="4"/>
    </row>
    <row r="957">
      <c r="A957" s="1"/>
      <c r="B957" s="8"/>
      <c r="C957" s="2"/>
      <c r="D957" s="2"/>
      <c r="E957" s="2"/>
      <c r="F957" s="2"/>
      <c r="G957" s="7"/>
      <c r="H957" s="7"/>
      <c r="I957" s="7"/>
      <c r="J957" s="7"/>
      <c r="K957" s="7"/>
      <c r="L957" s="7"/>
      <c r="M957" s="7"/>
      <c r="N957" s="4"/>
      <c r="O957" s="4"/>
      <c r="P957" s="4"/>
      <c r="Q957" s="4"/>
      <c r="R957" s="4"/>
    </row>
    <row r="958">
      <c r="A958" s="1"/>
      <c r="B958" s="8"/>
      <c r="C958" s="2"/>
      <c r="D958" s="2"/>
      <c r="E958" s="2"/>
      <c r="F958" s="2"/>
      <c r="G958" s="7"/>
      <c r="H958" s="7"/>
      <c r="I958" s="7"/>
      <c r="J958" s="7"/>
      <c r="K958" s="7"/>
      <c r="L958" s="7"/>
      <c r="M958" s="7"/>
      <c r="N958" s="4"/>
      <c r="O958" s="4"/>
      <c r="P958" s="4"/>
      <c r="Q958" s="4"/>
      <c r="R958" s="4"/>
    </row>
    <row r="959">
      <c r="A959" s="1"/>
      <c r="B959" s="8"/>
      <c r="C959" s="2"/>
      <c r="D959" s="2"/>
      <c r="E959" s="2"/>
      <c r="F959" s="2"/>
      <c r="G959" s="7"/>
      <c r="H959" s="7"/>
      <c r="I959" s="7"/>
      <c r="J959" s="7"/>
      <c r="K959" s="7"/>
      <c r="L959" s="7"/>
      <c r="M959" s="7"/>
      <c r="N959" s="4"/>
      <c r="O959" s="4"/>
      <c r="P959" s="4"/>
      <c r="Q959" s="4"/>
      <c r="R959" s="4"/>
    </row>
    <row r="960">
      <c r="A960" s="1"/>
      <c r="B960" s="8"/>
      <c r="C960" s="2"/>
      <c r="D960" s="2"/>
      <c r="E960" s="2"/>
      <c r="F960" s="2"/>
      <c r="G960" s="7"/>
      <c r="H960" s="7"/>
      <c r="I960" s="7"/>
      <c r="J960" s="7"/>
      <c r="K960" s="7"/>
      <c r="L960" s="7"/>
      <c r="M960" s="7"/>
      <c r="N960" s="4"/>
      <c r="O960" s="4"/>
      <c r="P960" s="4"/>
      <c r="Q960" s="4"/>
      <c r="R960" s="4"/>
    </row>
    <row r="961">
      <c r="A961" s="1"/>
      <c r="B961" s="8"/>
      <c r="C961" s="2"/>
      <c r="D961" s="2"/>
      <c r="E961" s="2"/>
      <c r="F961" s="2"/>
      <c r="G961" s="7"/>
      <c r="H961" s="7"/>
      <c r="I961" s="7"/>
      <c r="J961" s="7"/>
      <c r="K961" s="7"/>
      <c r="L961" s="7"/>
      <c r="M961" s="7"/>
      <c r="N961" s="4"/>
      <c r="O961" s="4"/>
      <c r="P961" s="4"/>
      <c r="Q961" s="4"/>
      <c r="R961" s="4"/>
    </row>
    <row r="962">
      <c r="A962" s="1"/>
      <c r="B962" s="8"/>
      <c r="C962" s="2"/>
      <c r="D962" s="2"/>
      <c r="E962" s="2"/>
      <c r="F962" s="2"/>
      <c r="G962" s="7"/>
      <c r="H962" s="7"/>
      <c r="I962" s="7"/>
      <c r="J962" s="7"/>
      <c r="K962" s="7"/>
      <c r="L962" s="7"/>
      <c r="M962" s="7"/>
      <c r="N962" s="4"/>
      <c r="O962" s="4"/>
      <c r="P962" s="4"/>
      <c r="Q962" s="4"/>
      <c r="R962" s="4"/>
    </row>
    <row r="963">
      <c r="A963" s="1"/>
      <c r="B963" s="8"/>
      <c r="C963" s="2"/>
      <c r="D963" s="2"/>
      <c r="E963" s="2"/>
      <c r="F963" s="2"/>
      <c r="G963" s="7"/>
      <c r="H963" s="7"/>
      <c r="I963" s="7"/>
      <c r="J963" s="7"/>
      <c r="K963" s="7"/>
      <c r="L963" s="7"/>
      <c r="M963" s="7"/>
      <c r="N963" s="4"/>
      <c r="O963" s="4"/>
      <c r="P963" s="4"/>
      <c r="Q963" s="4"/>
      <c r="R963" s="4"/>
    </row>
    <row r="964">
      <c r="A964" s="1"/>
      <c r="B964" s="8"/>
      <c r="C964" s="2"/>
      <c r="D964" s="2"/>
      <c r="E964" s="2"/>
      <c r="F964" s="2"/>
      <c r="G964" s="7"/>
      <c r="H964" s="7"/>
      <c r="I964" s="7"/>
      <c r="J964" s="7"/>
      <c r="K964" s="7"/>
      <c r="L964" s="7"/>
      <c r="M964" s="7"/>
      <c r="N964" s="4"/>
      <c r="O964" s="4"/>
      <c r="P964" s="4"/>
      <c r="Q964" s="4"/>
      <c r="R964" s="4"/>
    </row>
    <row r="965">
      <c r="A965" s="1"/>
      <c r="B965" s="8"/>
      <c r="C965" s="2"/>
      <c r="D965" s="2"/>
      <c r="E965" s="2"/>
      <c r="F965" s="2"/>
      <c r="G965" s="7"/>
      <c r="H965" s="7"/>
      <c r="I965" s="7"/>
      <c r="J965" s="7"/>
      <c r="K965" s="7"/>
      <c r="L965" s="7"/>
      <c r="M965" s="7"/>
      <c r="N965" s="4"/>
      <c r="O965" s="4"/>
      <c r="P965" s="4"/>
      <c r="Q965" s="4"/>
      <c r="R965" s="4"/>
    </row>
    <row r="966">
      <c r="A966" s="1"/>
      <c r="B966" s="8"/>
      <c r="C966" s="2"/>
      <c r="D966" s="2"/>
      <c r="E966" s="2"/>
      <c r="F966" s="2"/>
      <c r="G966" s="7"/>
      <c r="H966" s="7"/>
      <c r="I966" s="7"/>
      <c r="J966" s="7"/>
      <c r="K966" s="7"/>
      <c r="L966" s="7"/>
      <c r="M966" s="7"/>
      <c r="N966" s="4"/>
      <c r="O966" s="4"/>
      <c r="P966" s="4"/>
      <c r="Q966" s="4"/>
      <c r="R966" s="4"/>
    </row>
    <row r="967">
      <c r="A967" s="1"/>
      <c r="B967" s="8"/>
      <c r="C967" s="2"/>
      <c r="D967" s="2"/>
      <c r="E967" s="2"/>
      <c r="F967" s="2"/>
      <c r="G967" s="7"/>
      <c r="H967" s="7"/>
      <c r="I967" s="7"/>
      <c r="J967" s="7"/>
      <c r="K967" s="7"/>
      <c r="L967" s="7"/>
      <c r="M967" s="7"/>
      <c r="N967" s="4"/>
      <c r="O967" s="4"/>
      <c r="P967" s="4"/>
      <c r="Q967" s="4"/>
      <c r="R967" s="4"/>
    </row>
    <row r="968">
      <c r="A968" s="1"/>
      <c r="B968" s="8"/>
      <c r="C968" s="2"/>
      <c r="D968" s="2"/>
      <c r="E968" s="2"/>
      <c r="F968" s="2"/>
      <c r="G968" s="7"/>
      <c r="H968" s="7"/>
      <c r="I968" s="7"/>
      <c r="J968" s="7"/>
      <c r="K968" s="7"/>
      <c r="L968" s="7"/>
      <c r="M968" s="7"/>
      <c r="N968" s="4"/>
      <c r="O968" s="4"/>
      <c r="P968" s="4"/>
      <c r="Q968" s="4"/>
      <c r="R968" s="4"/>
    </row>
    <row r="969">
      <c r="A969" s="1"/>
      <c r="B969" s="8"/>
      <c r="C969" s="2"/>
      <c r="D969" s="2"/>
      <c r="E969" s="2"/>
      <c r="F969" s="2"/>
      <c r="G969" s="7"/>
      <c r="H969" s="7"/>
      <c r="I969" s="7"/>
      <c r="J969" s="7"/>
      <c r="K969" s="7"/>
      <c r="L969" s="7"/>
      <c r="M969" s="7"/>
      <c r="N969" s="4"/>
      <c r="O969" s="4"/>
      <c r="P969" s="4"/>
      <c r="Q969" s="4"/>
      <c r="R969" s="4"/>
    </row>
    <row r="970">
      <c r="A970" s="1"/>
      <c r="B970" s="8"/>
      <c r="C970" s="2"/>
      <c r="D970" s="2"/>
      <c r="E970" s="2"/>
      <c r="F970" s="2"/>
      <c r="G970" s="7"/>
      <c r="H970" s="7"/>
      <c r="I970" s="7"/>
      <c r="J970" s="7"/>
      <c r="K970" s="7"/>
      <c r="L970" s="7"/>
      <c r="M970" s="7"/>
      <c r="N970" s="4"/>
      <c r="O970" s="4"/>
      <c r="P970" s="4"/>
      <c r="Q970" s="4"/>
      <c r="R970" s="4"/>
    </row>
    <row r="971">
      <c r="A971" s="1"/>
      <c r="B971" s="8"/>
      <c r="C971" s="2"/>
      <c r="D971" s="2"/>
      <c r="E971" s="2"/>
      <c r="F971" s="2"/>
      <c r="G971" s="7"/>
      <c r="H971" s="7"/>
      <c r="I971" s="7"/>
      <c r="J971" s="7"/>
      <c r="K971" s="7"/>
      <c r="L971" s="7"/>
      <c r="M971" s="7"/>
      <c r="N971" s="4"/>
      <c r="O971" s="4"/>
      <c r="P971" s="4"/>
      <c r="Q971" s="4"/>
      <c r="R971" s="4"/>
    </row>
    <row r="972">
      <c r="A972" s="1"/>
      <c r="B972" s="8"/>
      <c r="C972" s="2"/>
      <c r="D972" s="2"/>
      <c r="E972" s="2"/>
      <c r="F972" s="2"/>
      <c r="G972" s="7"/>
      <c r="H972" s="7"/>
      <c r="I972" s="7"/>
      <c r="J972" s="7"/>
      <c r="K972" s="7"/>
      <c r="L972" s="7"/>
      <c r="M972" s="7"/>
      <c r="N972" s="4"/>
      <c r="O972" s="4"/>
      <c r="P972" s="4"/>
      <c r="Q972" s="4"/>
      <c r="R972" s="4"/>
    </row>
    <row r="973">
      <c r="A973" s="1"/>
      <c r="B973" s="8"/>
      <c r="C973" s="2"/>
      <c r="D973" s="2"/>
      <c r="E973" s="2"/>
      <c r="F973" s="2"/>
      <c r="G973" s="7"/>
      <c r="H973" s="7"/>
      <c r="I973" s="7"/>
      <c r="J973" s="7"/>
      <c r="K973" s="7"/>
      <c r="L973" s="7"/>
      <c r="M973" s="7"/>
      <c r="N973" s="4"/>
      <c r="O973" s="4"/>
      <c r="P973" s="4"/>
      <c r="Q973" s="4"/>
      <c r="R973" s="4"/>
    </row>
    <row r="974">
      <c r="A974" s="1"/>
      <c r="B974" s="8"/>
      <c r="C974" s="2"/>
      <c r="D974" s="2"/>
      <c r="E974" s="2"/>
      <c r="F974" s="2"/>
      <c r="G974" s="7"/>
      <c r="H974" s="7"/>
      <c r="I974" s="7"/>
      <c r="J974" s="7"/>
      <c r="K974" s="7"/>
      <c r="L974" s="7"/>
      <c r="M974" s="7"/>
      <c r="N974" s="4"/>
      <c r="O974" s="4"/>
      <c r="P974" s="4"/>
      <c r="Q974" s="4"/>
      <c r="R974" s="4"/>
    </row>
    <row r="975">
      <c r="A975" s="1"/>
      <c r="B975" s="8"/>
      <c r="C975" s="2"/>
      <c r="D975" s="2"/>
      <c r="E975" s="2"/>
      <c r="F975" s="2"/>
      <c r="G975" s="7"/>
      <c r="H975" s="7"/>
      <c r="I975" s="7"/>
      <c r="J975" s="7"/>
      <c r="K975" s="7"/>
      <c r="L975" s="7"/>
      <c r="M975" s="7"/>
      <c r="N975" s="4"/>
      <c r="O975" s="4"/>
      <c r="P975" s="4"/>
      <c r="Q975" s="4"/>
      <c r="R975" s="4"/>
    </row>
    <row r="976">
      <c r="A976" s="1"/>
      <c r="B976" s="8"/>
      <c r="C976" s="2"/>
      <c r="D976" s="2"/>
      <c r="E976" s="2"/>
      <c r="F976" s="2"/>
      <c r="G976" s="7"/>
      <c r="H976" s="7"/>
      <c r="I976" s="7"/>
      <c r="J976" s="7"/>
      <c r="K976" s="7"/>
      <c r="L976" s="7"/>
      <c r="M976" s="7"/>
      <c r="N976" s="4"/>
      <c r="O976" s="4"/>
      <c r="P976" s="4"/>
      <c r="Q976" s="4"/>
      <c r="R976" s="4"/>
    </row>
    <row r="977">
      <c r="A977" s="1"/>
      <c r="B977" s="8"/>
      <c r="C977" s="2"/>
      <c r="D977" s="2"/>
      <c r="E977" s="2"/>
      <c r="F977" s="2"/>
      <c r="G977" s="7"/>
      <c r="H977" s="7"/>
      <c r="I977" s="7"/>
      <c r="J977" s="7"/>
      <c r="K977" s="7"/>
      <c r="L977" s="7"/>
      <c r="M977" s="7"/>
      <c r="N977" s="4"/>
      <c r="O977" s="4"/>
      <c r="P977" s="4"/>
      <c r="Q977" s="4"/>
      <c r="R977" s="4"/>
    </row>
    <row r="978">
      <c r="A978" s="1"/>
      <c r="B978" s="8"/>
      <c r="C978" s="2"/>
      <c r="D978" s="2"/>
      <c r="E978" s="2"/>
      <c r="F978" s="2"/>
      <c r="G978" s="7"/>
      <c r="H978" s="7"/>
      <c r="I978" s="7"/>
      <c r="J978" s="7"/>
      <c r="K978" s="7"/>
      <c r="L978" s="7"/>
      <c r="M978" s="7"/>
      <c r="N978" s="4"/>
      <c r="O978" s="4"/>
      <c r="P978" s="4"/>
      <c r="Q978" s="4"/>
      <c r="R978" s="4"/>
    </row>
    <row r="979">
      <c r="A979" s="1"/>
      <c r="B979" s="8"/>
      <c r="C979" s="2"/>
      <c r="D979" s="2"/>
      <c r="E979" s="2"/>
      <c r="F979" s="2"/>
      <c r="G979" s="7"/>
      <c r="H979" s="7"/>
      <c r="I979" s="7"/>
      <c r="J979" s="7"/>
      <c r="K979" s="7"/>
      <c r="L979" s="7"/>
      <c r="M979" s="7"/>
      <c r="N979" s="4"/>
      <c r="O979" s="4"/>
      <c r="P979" s="4"/>
      <c r="Q979" s="4"/>
      <c r="R979" s="4"/>
    </row>
    <row r="980">
      <c r="A980" s="1"/>
      <c r="B980" s="8"/>
      <c r="C980" s="2"/>
      <c r="D980" s="2"/>
      <c r="E980" s="2"/>
      <c r="F980" s="2"/>
      <c r="G980" s="7"/>
      <c r="H980" s="7"/>
      <c r="I980" s="7"/>
      <c r="J980" s="7"/>
      <c r="K980" s="7"/>
      <c r="L980" s="7"/>
      <c r="M980" s="7"/>
      <c r="N980" s="4"/>
      <c r="O980" s="4"/>
      <c r="P980" s="4"/>
      <c r="Q980" s="4"/>
      <c r="R980" s="4"/>
    </row>
    <row r="981">
      <c r="A981" s="1"/>
      <c r="B981" s="8"/>
      <c r="C981" s="2"/>
      <c r="D981" s="2"/>
      <c r="E981" s="2"/>
      <c r="F981" s="2"/>
      <c r="G981" s="7"/>
      <c r="H981" s="7"/>
      <c r="I981" s="7"/>
      <c r="J981" s="7"/>
      <c r="K981" s="7"/>
      <c r="L981" s="7"/>
      <c r="M981" s="7"/>
      <c r="N981" s="4"/>
      <c r="O981" s="4"/>
      <c r="P981" s="4"/>
      <c r="Q981" s="4"/>
      <c r="R981" s="4"/>
    </row>
    <row r="982">
      <c r="A982" s="1"/>
      <c r="B982" s="8"/>
      <c r="C982" s="2"/>
      <c r="D982" s="2"/>
      <c r="E982" s="2"/>
      <c r="F982" s="2"/>
      <c r="G982" s="7"/>
      <c r="H982" s="7"/>
      <c r="I982" s="7"/>
      <c r="J982" s="7"/>
      <c r="K982" s="7"/>
      <c r="L982" s="7"/>
      <c r="M982" s="7"/>
      <c r="N982" s="4"/>
      <c r="O982" s="4"/>
      <c r="P982" s="4"/>
      <c r="Q982" s="4"/>
      <c r="R982" s="4"/>
    </row>
    <row r="983">
      <c r="A983" s="1"/>
      <c r="B983" s="8"/>
      <c r="C983" s="2"/>
      <c r="D983" s="2"/>
      <c r="E983" s="2"/>
      <c r="F983" s="2"/>
      <c r="G983" s="7"/>
      <c r="H983" s="7"/>
      <c r="I983" s="7"/>
      <c r="J983" s="7"/>
      <c r="K983" s="7"/>
      <c r="L983" s="7"/>
      <c r="M983" s="7"/>
      <c r="N983" s="4"/>
      <c r="O983" s="4"/>
      <c r="P983" s="4"/>
      <c r="Q983" s="4"/>
      <c r="R983" s="4"/>
    </row>
    <row r="984">
      <c r="A984" s="1"/>
      <c r="B984" s="8"/>
      <c r="C984" s="2"/>
      <c r="D984" s="2"/>
      <c r="E984" s="2"/>
      <c r="F984" s="2"/>
      <c r="G984" s="7"/>
      <c r="H984" s="7"/>
      <c r="I984" s="7"/>
      <c r="J984" s="7"/>
      <c r="K984" s="7"/>
      <c r="L984" s="7"/>
      <c r="M984" s="7"/>
      <c r="N984" s="4"/>
      <c r="O984" s="4"/>
      <c r="P984" s="4"/>
      <c r="Q984" s="4"/>
      <c r="R984" s="4"/>
    </row>
    <row r="985">
      <c r="A985" s="1"/>
      <c r="B985" s="8"/>
      <c r="C985" s="2"/>
      <c r="D985" s="2"/>
      <c r="E985" s="2"/>
      <c r="F985" s="2"/>
      <c r="G985" s="7"/>
      <c r="H985" s="7"/>
      <c r="I985" s="7"/>
      <c r="J985" s="7"/>
      <c r="K985" s="7"/>
      <c r="L985" s="7"/>
      <c r="M985" s="7"/>
      <c r="N985" s="4"/>
      <c r="O985" s="4"/>
      <c r="P985" s="4"/>
      <c r="Q985" s="4"/>
      <c r="R985" s="4"/>
    </row>
    <row r="986">
      <c r="A986" s="1"/>
      <c r="B986" s="8"/>
      <c r="C986" s="2"/>
      <c r="D986" s="2"/>
      <c r="E986" s="2"/>
      <c r="F986" s="2"/>
      <c r="G986" s="7"/>
      <c r="H986" s="7"/>
      <c r="I986" s="7"/>
      <c r="J986" s="7"/>
      <c r="K986" s="7"/>
      <c r="L986" s="7"/>
      <c r="M986" s="7"/>
      <c r="N986" s="4"/>
      <c r="O986" s="4"/>
      <c r="P986" s="4"/>
      <c r="Q986" s="4"/>
      <c r="R98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227</v>
      </c>
      <c r="B1" s="2" t="s">
        <v>155</v>
      </c>
      <c r="C1" s="7" t="s">
        <v>154</v>
      </c>
      <c r="D1" s="7" t="s">
        <v>156</v>
      </c>
      <c r="E1" s="7" t="s">
        <v>157</v>
      </c>
      <c r="F1" s="7" t="s">
        <v>158</v>
      </c>
      <c r="G1" s="7" t="s">
        <v>159</v>
      </c>
      <c r="H1" s="2"/>
    </row>
    <row r="2">
      <c r="A2" s="13" t="s">
        <v>228</v>
      </c>
      <c r="B2" s="14">
        <f>IFERROR(__xludf.DUMMYFUNCTION("transpose(split(B1,"",""))"),0.0)</f>
        <v>0</v>
      </c>
      <c r="C2" s="14">
        <f>IFERROR(__xludf.DUMMYFUNCTION("transpose(split(C1,"",""))"),1.677952099946E12)</f>
        <v>1677952099946</v>
      </c>
      <c r="D2" s="14">
        <f>IFERROR(__xludf.DUMMYFUNCTION("transpose(split(D1,"",""))"),0.624883987936306)</f>
        <v>0.6248839879</v>
      </c>
      <c r="E2" s="14">
        <f>IFERROR(__xludf.DUMMYFUNCTION("transpose(split(E1,"",""))"),-0.0365923055998737)</f>
        <v>-0.0365923056</v>
      </c>
      <c r="F2" s="14">
        <f>IFERROR(__xludf.DUMMYFUNCTION("transpose(split(F1,"",""))"),-0.699006863382204)</f>
        <v>-0.6990068634</v>
      </c>
      <c r="G2" s="14">
        <f>IFERROR(__xludf.DUMMYFUNCTION("transpose(split(G1,"",""))"),-0.345789545440976)</f>
        <v>-0.3457895454</v>
      </c>
      <c r="H2" s="14" t="str">
        <f>IFERROR(__xludf.DUMMYFUNCTION("transpose(split(H1,"",""))"),"#VALUE!")</f>
        <v>#VALUE!</v>
      </c>
    </row>
    <row r="3">
      <c r="B3" s="15">
        <f>IFERROR(__xludf.DUMMYFUNCTION("""COMPUTED_VALUE"""),0.1)</f>
        <v>0.1</v>
      </c>
      <c r="C3" s="15">
        <f>IFERROR(__xludf.DUMMYFUNCTION("""COMPUTED_VALUE"""),1.677952100113E12)</f>
        <v>1677952100113</v>
      </c>
      <c r="D3" s="15">
        <f>IFERROR(__xludf.DUMMYFUNCTION("""COMPUTED_VALUE"""),0.624883987936306)</f>
        <v>0.6248839879</v>
      </c>
      <c r="E3" s="15">
        <f>IFERROR(__xludf.DUMMYFUNCTION("""COMPUTED_VALUE"""),-0.0365923055998737)</f>
        <v>-0.0365923056</v>
      </c>
      <c r="F3" s="15">
        <f>IFERROR(__xludf.DUMMYFUNCTION("""COMPUTED_VALUE"""),-0.699006863382204)</f>
        <v>-0.6990068634</v>
      </c>
      <c r="G3" s="15">
        <f>IFERROR(__xludf.DUMMYFUNCTION("""COMPUTED_VALUE"""),-0.345789545440976)</f>
        <v>-0.3457895454</v>
      </c>
      <c r="H3" s="15">
        <f t="shared" ref="H3:H621" si="1">C3-$C$3</f>
        <v>0</v>
      </c>
    </row>
    <row r="4">
      <c r="B4" s="16">
        <f>IFERROR(__xludf.DUMMYFUNCTION("""COMPUTED_VALUE"""),0.2)</f>
        <v>0.2</v>
      </c>
      <c r="C4" s="16">
        <f>IFERROR(__xludf.DUMMYFUNCTION("""COMPUTED_VALUE"""),1.677952100147E12)</f>
        <v>1677952100147</v>
      </c>
      <c r="D4" s="15">
        <f>IFERROR(__xludf.DUMMYFUNCTION("""COMPUTED_VALUE"""),0.624883987936306)</f>
        <v>0.6248839879</v>
      </c>
      <c r="E4" s="16">
        <f>IFERROR(__xludf.DUMMYFUNCTION("""COMPUTED_VALUE"""),-0.0365923055998737)</f>
        <v>-0.0365923056</v>
      </c>
      <c r="F4" s="16">
        <f>IFERROR(__xludf.DUMMYFUNCTION("""COMPUTED_VALUE"""),-0.699006863382204)</f>
        <v>-0.6990068634</v>
      </c>
      <c r="G4" s="16">
        <f>IFERROR(__xludf.DUMMYFUNCTION("""COMPUTED_VALUE"""),-0.345789545440976)</f>
        <v>-0.3457895454</v>
      </c>
      <c r="H4" s="17">
        <f t="shared" si="1"/>
        <v>34</v>
      </c>
    </row>
    <row r="5">
      <c r="B5" s="15">
        <f>IFERROR(__xludf.DUMMYFUNCTION("""COMPUTED_VALUE"""),0.3)</f>
        <v>0.3</v>
      </c>
      <c r="C5" s="15">
        <f>IFERROR(__xludf.DUMMYFUNCTION("""COMPUTED_VALUE"""),1.677952100247E12)</f>
        <v>1677952100247</v>
      </c>
      <c r="D5" s="15">
        <f>IFERROR(__xludf.DUMMYFUNCTION("""COMPUTED_VALUE"""),0.624883987936306)</f>
        <v>0.6248839879</v>
      </c>
      <c r="E5" s="15">
        <f>IFERROR(__xludf.DUMMYFUNCTION("""COMPUTED_VALUE"""),-0.0365923055998737)</f>
        <v>-0.0365923056</v>
      </c>
      <c r="F5" s="15">
        <f>IFERROR(__xludf.DUMMYFUNCTION("""COMPUTED_VALUE"""),-0.699006863382204)</f>
        <v>-0.6990068634</v>
      </c>
      <c r="G5" s="15">
        <f>IFERROR(__xludf.DUMMYFUNCTION("""COMPUTED_VALUE"""),-0.345789545440976)</f>
        <v>-0.3457895454</v>
      </c>
      <c r="H5" s="15">
        <f t="shared" si="1"/>
        <v>134</v>
      </c>
    </row>
    <row r="6">
      <c r="B6" s="15">
        <f>IFERROR(__xludf.DUMMYFUNCTION("""COMPUTED_VALUE"""),0.4)</f>
        <v>0.4</v>
      </c>
      <c r="C6" s="15">
        <f>IFERROR(__xludf.DUMMYFUNCTION("""COMPUTED_VALUE"""),1.677952100343E12)</f>
        <v>1677952100343</v>
      </c>
      <c r="D6" s="15">
        <f>IFERROR(__xludf.DUMMYFUNCTION("""COMPUTED_VALUE"""),0.624883987936306)</f>
        <v>0.6248839879</v>
      </c>
      <c r="E6" s="15">
        <f>IFERROR(__xludf.DUMMYFUNCTION("""COMPUTED_VALUE"""),-0.0365923055998737)</f>
        <v>-0.0365923056</v>
      </c>
      <c r="F6" s="15">
        <f>IFERROR(__xludf.DUMMYFUNCTION("""COMPUTED_VALUE"""),-0.699006863382204)</f>
        <v>-0.6990068634</v>
      </c>
      <c r="G6" s="15">
        <f>IFERROR(__xludf.DUMMYFUNCTION("""COMPUTED_VALUE"""),-0.345789545440976)</f>
        <v>-0.3457895454</v>
      </c>
      <c r="H6" s="15">
        <f t="shared" si="1"/>
        <v>230</v>
      </c>
    </row>
    <row r="7">
      <c r="B7" s="15">
        <f>IFERROR(__xludf.DUMMYFUNCTION("""COMPUTED_VALUE"""),0.5)</f>
        <v>0.5</v>
      </c>
      <c r="C7" s="15">
        <f>IFERROR(__xludf.DUMMYFUNCTION("""COMPUTED_VALUE"""),1.677952100447E12)</f>
        <v>1677952100447</v>
      </c>
      <c r="D7" s="15">
        <f>IFERROR(__xludf.DUMMYFUNCTION("""COMPUTED_VALUE"""),0.624883987936306)</f>
        <v>0.6248839879</v>
      </c>
      <c r="E7" s="15">
        <f>IFERROR(__xludf.DUMMYFUNCTION("""COMPUTED_VALUE"""),-0.0365923055998737)</f>
        <v>-0.0365923056</v>
      </c>
      <c r="F7" s="15">
        <f>IFERROR(__xludf.DUMMYFUNCTION("""COMPUTED_VALUE"""),-0.699006863382204)</f>
        <v>-0.6990068634</v>
      </c>
      <c r="G7" s="15">
        <f>IFERROR(__xludf.DUMMYFUNCTION("""COMPUTED_VALUE"""),-0.345789545440976)</f>
        <v>-0.3457895454</v>
      </c>
      <c r="H7" s="15">
        <f t="shared" si="1"/>
        <v>334</v>
      </c>
    </row>
    <row r="8">
      <c r="B8" s="15">
        <f>IFERROR(__xludf.DUMMYFUNCTION("""COMPUTED_VALUE"""),0.6)</f>
        <v>0.6</v>
      </c>
      <c r="C8" s="15">
        <f>IFERROR(__xludf.DUMMYFUNCTION("""COMPUTED_VALUE"""),1.677952100551E12)</f>
        <v>1677952100551</v>
      </c>
      <c r="D8" s="15">
        <f>IFERROR(__xludf.DUMMYFUNCTION("""COMPUTED_VALUE"""),0.624883987936306)</f>
        <v>0.6248839879</v>
      </c>
      <c r="E8" s="15">
        <f>IFERROR(__xludf.DUMMYFUNCTION("""COMPUTED_VALUE"""),-0.0365923055998737)</f>
        <v>-0.0365923056</v>
      </c>
      <c r="F8" s="15">
        <f>IFERROR(__xludf.DUMMYFUNCTION("""COMPUTED_VALUE"""),-0.699006863382204)</f>
        <v>-0.6990068634</v>
      </c>
      <c r="G8" s="15">
        <f>IFERROR(__xludf.DUMMYFUNCTION("""COMPUTED_VALUE"""),-0.345789545440976)</f>
        <v>-0.3457895454</v>
      </c>
      <c r="H8" s="15">
        <f t="shared" si="1"/>
        <v>438</v>
      </c>
    </row>
    <row r="9">
      <c r="B9" s="15">
        <f>IFERROR(__xludf.DUMMYFUNCTION("""COMPUTED_VALUE"""),0.7)</f>
        <v>0.7</v>
      </c>
      <c r="C9" s="15">
        <f>IFERROR(__xludf.DUMMYFUNCTION("""COMPUTED_VALUE"""),1.677952100647E12)</f>
        <v>1677952100647</v>
      </c>
      <c r="D9" s="15">
        <f>IFERROR(__xludf.DUMMYFUNCTION("""COMPUTED_VALUE"""),0.624883987936306)</f>
        <v>0.6248839879</v>
      </c>
      <c r="E9" s="15">
        <f>IFERROR(__xludf.DUMMYFUNCTION("""COMPUTED_VALUE"""),-0.0365923055998737)</f>
        <v>-0.0365923056</v>
      </c>
      <c r="F9" s="15">
        <f>IFERROR(__xludf.DUMMYFUNCTION("""COMPUTED_VALUE"""),-0.699006863382204)</f>
        <v>-0.6990068634</v>
      </c>
      <c r="G9" s="15">
        <f>IFERROR(__xludf.DUMMYFUNCTION("""COMPUTED_VALUE"""),-0.345789545440976)</f>
        <v>-0.3457895454</v>
      </c>
      <c r="H9" s="15">
        <f t="shared" si="1"/>
        <v>534</v>
      </c>
    </row>
    <row r="10">
      <c r="B10" s="15">
        <f>IFERROR(__xludf.DUMMYFUNCTION("""COMPUTED_VALUE"""),0.8)</f>
        <v>0.8</v>
      </c>
      <c r="C10" s="15">
        <f>IFERROR(__xludf.DUMMYFUNCTION("""COMPUTED_VALUE"""),1.677952100751E12)</f>
        <v>1677952100751</v>
      </c>
      <c r="D10" s="15">
        <f>IFERROR(__xludf.DUMMYFUNCTION("""COMPUTED_VALUE"""),0.624883987936306)</f>
        <v>0.6248839879</v>
      </c>
      <c r="E10" s="15">
        <f>IFERROR(__xludf.DUMMYFUNCTION("""COMPUTED_VALUE"""),-0.0365923055998737)</f>
        <v>-0.0365923056</v>
      </c>
      <c r="F10" s="15">
        <f>IFERROR(__xludf.DUMMYFUNCTION("""COMPUTED_VALUE"""),-0.699006863382204)</f>
        <v>-0.6990068634</v>
      </c>
      <c r="G10" s="15">
        <f>IFERROR(__xludf.DUMMYFUNCTION("""COMPUTED_VALUE"""),-0.345789545440976)</f>
        <v>-0.3457895454</v>
      </c>
      <c r="H10" s="15">
        <f t="shared" si="1"/>
        <v>638</v>
      </c>
    </row>
    <row r="11">
      <c r="B11" s="15">
        <f>IFERROR(__xludf.DUMMYFUNCTION("""COMPUTED_VALUE"""),0.9)</f>
        <v>0.9</v>
      </c>
      <c r="C11" s="15">
        <f>IFERROR(__xludf.DUMMYFUNCTION("""COMPUTED_VALUE"""),1.677952100983E12)</f>
        <v>1677952100983</v>
      </c>
      <c r="D11" s="15">
        <f>IFERROR(__xludf.DUMMYFUNCTION("""COMPUTED_VALUE"""),-0.566520220623186)</f>
        <v>-0.5665202206</v>
      </c>
      <c r="E11" s="15">
        <f>IFERROR(__xludf.DUMMYFUNCTION("""COMPUTED_VALUE"""),-0.197529576115807)</f>
        <v>-0.1975295761</v>
      </c>
      <c r="F11" s="15">
        <f>IFERROR(__xludf.DUMMYFUNCTION("""COMPUTED_VALUE"""),0.617987527817711)</f>
        <v>0.6179875278</v>
      </c>
      <c r="G11" s="15">
        <f>IFERROR(__xludf.DUMMYFUNCTION("""COMPUTED_VALUE"""),0.508063304762624)</f>
        <v>0.5080633048</v>
      </c>
      <c r="H11" s="15">
        <f t="shared" si="1"/>
        <v>870</v>
      </c>
    </row>
    <row r="12">
      <c r="B12" s="15">
        <f>IFERROR(__xludf.DUMMYFUNCTION("""COMPUTED_VALUE"""),1.0)</f>
        <v>1</v>
      </c>
      <c r="C12" s="15">
        <f>IFERROR(__xludf.DUMMYFUNCTION("""COMPUTED_VALUE"""),1.677952101042E12)</f>
        <v>1677952101042</v>
      </c>
      <c r="D12" s="15">
        <f>IFERROR(__xludf.DUMMYFUNCTION("""COMPUTED_VALUE"""),-0.517675084705911)</f>
        <v>-0.5176750847</v>
      </c>
      <c r="E12" s="15">
        <f>IFERROR(__xludf.DUMMYFUNCTION("""COMPUTED_VALUE"""),-0.32302122590446)</f>
        <v>-0.3230212259</v>
      </c>
      <c r="F12" s="15">
        <f>IFERROR(__xludf.DUMMYFUNCTION("""COMPUTED_VALUE"""),0.542795772500497)</f>
        <v>0.5427957725</v>
      </c>
      <c r="G12" s="15">
        <f>IFERROR(__xludf.DUMMYFUNCTION("""COMPUTED_VALUE"""),0.577098382986379)</f>
        <v>0.577098383</v>
      </c>
      <c r="H12" s="15">
        <f t="shared" si="1"/>
        <v>929</v>
      </c>
    </row>
    <row r="13">
      <c r="B13" s="15">
        <f>IFERROR(__xludf.DUMMYFUNCTION("""COMPUTED_VALUE"""),1.1)</f>
        <v>1.1</v>
      </c>
      <c r="C13" s="15">
        <f>IFERROR(__xludf.DUMMYFUNCTION("""COMPUTED_VALUE"""),1.677952101098E12)</f>
        <v>1677952101098</v>
      </c>
      <c r="D13" s="15">
        <f>IFERROR(__xludf.DUMMYFUNCTION("""COMPUTED_VALUE"""),-0.470190959549465)</f>
        <v>-0.4701909595</v>
      </c>
      <c r="E13" s="15">
        <f>IFERROR(__xludf.DUMMYFUNCTION("""COMPUTED_VALUE"""),-0.373168756646773)</f>
        <v>-0.3731687566</v>
      </c>
      <c r="F13" s="15">
        <f>IFERROR(__xludf.DUMMYFUNCTION("""COMPUTED_VALUE"""),0.508821875516451)</f>
        <v>0.5088218755</v>
      </c>
      <c r="G13" s="15">
        <f>IFERROR(__xludf.DUMMYFUNCTION("""COMPUTED_VALUE"""),0.617062265591224)</f>
        <v>0.6170622656</v>
      </c>
      <c r="H13" s="15">
        <f t="shared" si="1"/>
        <v>985</v>
      </c>
    </row>
    <row r="14">
      <c r="B14" s="15">
        <f>IFERROR(__xludf.DUMMYFUNCTION("""COMPUTED_VALUE"""),1.2)</f>
        <v>1.2</v>
      </c>
      <c r="C14" s="15">
        <f>IFERROR(__xludf.DUMMYFUNCTION("""COMPUTED_VALUE"""),1.677952101177E12)</f>
        <v>1677952101177</v>
      </c>
      <c r="D14" s="15">
        <f>IFERROR(__xludf.DUMMYFUNCTION("""COMPUTED_VALUE"""),-0.360210560600435)</f>
        <v>-0.3602105606</v>
      </c>
      <c r="E14" s="15">
        <f>IFERROR(__xludf.DUMMYFUNCTION("""COMPUTED_VALUE"""),-0.407244791585661)</f>
        <v>-0.4072447916</v>
      </c>
      <c r="F14" s="15">
        <f>IFERROR(__xludf.DUMMYFUNCTION("""COMPUTED_VALUE"""),0.474963191823486)</f>
        <v>0.4749631918</v>
      </c>
      <c r="G14" s="15">
        <f>IFERROR(__xludf.DUMMYFUNCTION("""COMPUTED_VALUE"""),0.691960980237409)</f>
        <v>0.6919609802</v>
      </c>
      <c r="H14" s="15">
        <f t="shared" si="1"/>
        <v>1064</v>
      </c>
    </row>
    <row r="15">
      <c r="B15" s="15">
        <f>IFERROR(__xludf.DUMMYFUNCTION("""COMPUTED_VALUE"""),1.3)</f>
        <v>1.3</v>
      </c>
      <c r="C15" s="15">
        <f>IFERROR(__xludf.DUMMYFUNCTION("""COMPUTED_VALUE"""),1.677952101264E12)</f>
        <v>1677952101264</v>
      </c>
      <c r="D15" s="15">
        <f>IFERROR(__xludf.DUMMYFUNCTION("""COMPUTED_VALUE"""),-0.25346982586078)</f>
        <v>-0.2534698259</v>
      </c>
      <c r="E15" s="15">
        <f>IFERROR(__xludf.DUMMYFUNCTION("""COMPUTED_VALUE"""),-0.391602949255921)</f>
        <v>-0.3916029493</v>
      </c>
      <c r="F15" s="15">
        <f>IFERROR(__xludf.DUMMYFUNCTION("""COMPUTED_VALUE"""),0.462282288076824)</f>
        <v>0.4622822881</v>
      </c>
      <c r="G15" s="15">
        <f>IFERROR(__xludf.DUMMYFUNCTION("""COMPUTED_VALUE"""),0.754118865725175)</f>
        <v>0.7541188657</v>
      </c>
      <c r="H15" s="15">
        <f t="shared" si="1"/>
        <v>1151</v>
      </c>
    </row>
    <row r="16">
      <c r="B16" s="15">
        <f>IFERROR(__xludf.DUMMYFUNCTION("""COMPUTED_VALUE"""),1.4)</f>
        <v>1.4</v>
      </c>
      <c r="C16" s="15">
        <f>IFERROR(__xludf.DUMMYFUNCTION("""COMPUTED_VALUE"""),1.677952101343E12)</f>
        <v>1677952101343</v>
      </c>
      <c r="D16" s="15">
        <f>IFERROR(__xludf.DUMMYFUNCTION("""COMPUTED_VALUE"""),-0.25346982586078)</f>
        <v>-0.2534698259</v>
      </c>
      <c r="E16" s="15">
        <f>IFERROR(__xludf.DUMMYFUNCTION("""COMPUTED_VALUE"""),-0.391602949255921)</f>
        <v>-0.3916029493</v>
      </c>
      <c r="F16" s="15">
        <f>IFERROR(__xludf.DUMMYFUNCTION("""COMPUTED_VALUE"""),0.462282288076824)</f>
        <v>0.4622822881</v>
      </c>
      <c r="G16" s="15">
        <f>IFERROR(__xludf.DUMMYFUNCTION("""COMPUTED_VALUE"""),0.754118865725175)</f>
        <v>0.7541188657</v>
      </c>
      <c r="H16" s="15">
        <f t="shared" si="1"/>
        <v>1230</v>
      </c>
    </row>
    <row r="17">
      <c r="B17" s="15">
        <f>IFERROR(__xludf.DUMMYFUNCTION("""COMPUTED_VALUE"""),1.5)</f>
        <v>1.5</v>
      </c>
      <c r="C17" s="15">
        <f>IFERROR(__xludf.DUMMYFUNCTION("""COMPUTED_VALUE"""),1.677952101446E12)</f>
        <v>1677952101446</v>
      </c>
      <c r="D17" s="15">
        <f>IFERROR(__xludf.DUMMYFUNCTION("""COMPUTED_VALUE"""),0.738118438257988)</f>
        <v>0.7381184383</v>
      </c>
      <c r="E17" s="15">
        <f>IFERROR(__xludf.DUMMYFUNCTION("""COMPUTED_VALUE"""),0.140174602475568)</f>
        <v>0.1401746025</v>
      </c>
      <c r="F17" s="15">
        <f>IFERROR(__xludf.DUMMYFUNCTION("""COMPUTED_VALUE"""),-0.55503791829374)</f>
        <v>-0.5550379183</v>
      </c>
      <c r="G17" s="15">
        <f>IFERROR(__xludf.DUMMYFUNCTION("""COMPUTED_VALUE"""),-0.357022633989156)</f>
        <v>-0.357022634</v>
      </c>
      <c r="H17" s="15">
        <f t="shared" si="1"/>
        <v>1333</v>
      </c>
    </row>
    <row r="18">
      <c r="B18" s="15">
        <f>IFERROR(__xludf.DUMMYFUNCTION("""COMPUTED_VALUE"""),1.6)</f>
        <v>1.6</v>
      </c>
      <c r="C18" s="15">
        <f>IFERROR(__xludf.DUMMYFUNCTION("""COMPUTED_VALUE"""),1.677952101568E12)</f>
        <v>1677952101568</v>
      </c>
      <c r="D18" s="15">
        <f>IFERROR(__xludf.DUMMYFUNCTION("""COMPUTED_VALUE"""),0.630575838061606)</f>
        <v>0.6305758381</v>
      </c>
      <c r="E18" s="15">
        <f>IFERROR(__xludf.DUMMYFUNCTION("""COMPUTED_VALUE"""),0.272112761037634)</f>
        <v>0.272112761</v>
      </c>
      <c r="F18" s="15">
        <f>IFERROR(__xludf.DUMMYFUNCTION("""COMPUTED_VALUE"""),-0.500411181070041)</f>
        <v>-0.5004111811</v>
      </c>
      <c r="G18" s="15">
        <f>IFERROR(__xludf.DUMMYFUNCTION("""COMPUTED_VALUE"""),-0.527178724526571)</f>
        <v>-0.5271787245</v>
      </c>
      <c r="H18" s="15">
        <f t="shared" si="1"/>
        <v>1455</v>
      </c>
    </row>
    <row r="19">
      <c r="B19" s="15">
        <f>IFERROR(__xludf.DUMMYFUNCTION("""COMPUTED_VALUE"""),1.7)</f>
        <v>1.7</v>
      </c>
      <c r="C19" s="15">
        <f>IFERROR(__xludf.DUMMYFUNCTION("""COMPUTED_VALUE"""),1.677952101675E12)</f>
        <v>1677952101675</v>
      </c>
      <c r="D19" s="15">
        <f>IFERROR(__xludf.DUMMYFUNCTION("""COMPUTED_VALUE"""),-0.381574846930844)</f>
        <v>-0.3815748469</v>
      </c>
      <c r="E19" s="15">
        <f>IFERROR(__xludf.DUMMYFUNCTION("""COMPUTED_VALUE"""),-0.401057533354067)</f>
        <v>-0.4010575334</v>
      </c>
      <c r="F19" s="15">
        <f>IFERROR(__xludf.DUMMYFUNCTION("""COMPUTED_VALUE"""),0.402688253448741)</f>
        <v>0.4026882534</v>
      </c>
      <c r="G19" s="15">
        <f>IFERROR(__xludf.DUMMYFUNCTION("""COMPUTED_VALUE"""),0.728968903084388)</f>
        <v>0.7289689031</v>
      </c>
      <c r="H19" s="15">
        <f t="shared" si="1"/>
        <v>1562</v>
      </c>
    </row>
    <row r="20">
      <c r="B20" s="15">
        <f>IFERROR(__xludf.DUMMYFUNCTION("""COMPUTED_VALUE"""),1.8)</f>
        <v>1.8</v>
      </c>
      <c r="C20" s="15">
        <f>IFERROR(__xludf.DUMMYFUNCTION("""COMPUTED_VALUE"""),1.677952101735E12)</f>
        <v>1677952101735</v>
      </c>
      <c r="D20" s="15">
        <f>IFERROR(__xludf.DUMMYFUNCTION("""COMPUTED_VALUE"""),-0.306030270580226)</f>
        <v>-0.3060302706</v>
      </c>
      <c r="E20" s="15">
        <f>IFERROR(__xludf.DUMMYFUNCTION("""COMPUTED_VALUE"""),-0.414170087225354)</f>
        <v>-0.4141700872</v>
      </c>
      <c r="F20" s="15">
        <f>IFERROR(__xludf.DUMMYFUNCTION("""COMPUTED_VALUE"""),0.376964313871157)</f>
        <v>0.3769643139</v>
      </c>
      <c r="G20" s="15">
        <f>IFERROR(__xludf.DUMMYFUNCTION("""COMPUTED_VALUE"""),0.769874352348474)</f>
        <v>0.7698743523</v>
      </c>
      <c r="H20" s="15">
        <f t="shared" si="1"/>
        <v>1622</v>
      </c>
    </row>
    <row r="21">
      <c r="B21" s="15">
        <f>IFERROR(__xludf.DUMMYFUNCTION("""COMPUTED_VALUE"""),1.9)</f>
        <v>1.9</v>
      </c>
      <c r="C21" s="15">
        <f>IFERROR(__xludf.DUMMYFUNCTION("""COMPUTED_VALUE"""),1.677952101831E12)</f>
        <v>1677952101831</v>
      </c>
      <c r="D21" s="15">
        <f>IFERROR(__xludf.DUMMYFUNCTION("""COMPUTED_VALUE"""),-0.306030270580226)</f>
        <v>-0.3060302706</v>
      </c>
      <c r="E21" s="15">
        <f>IFERROR(__xludf.DUMMYFUNCTION("""COMPUTED_VALUE"""),-0.414170087225354)</f>
        <v>-0.4141700872</v>
      </c>
      <c r="F21" s="15">
        <f>IFERROR(__xludf.DUMMYFUNCTION("""COMPUTED_VALUE"""),0.376964313871157)</f>
        <v>0.3769643139</v>
      </c>
      <c r="G21" s="15">
        <f>IFERROR(__xludf.DUMMYFUNCTION("""COMPUTED_VALUE"""),0.769874352348474)</f>
        <v>0.7698743523</v>
      </c>
      <c r="H21" s="15">
        <f t="shared" si="1"/>
        <v>1718</v>
      </c>
    </row>
    <row r="22">
      <c r="B22" s="15">
        <f>IFERROR(__xludf.DUMMYFUNCTION("""COMPUTED_VALUE"""),2.0)</f>
        <v>2</v>
      </c>
      <c r="C22" s="15">
        <f>IFERROR(__xludf.DUMMYFUNCTION("""COMPUTED_VALUE"""),1.677952101926E12)</f>
        <v>1677952101926</v>
      </c>
      <c r="D22" s="15">
        <f>IFERROR(__xludf.DUMMYFUNCTION("""COMPUTED_VALUE"""),-0.306030270580226)</f>
        <v>-0.3060302706</v>
      </c>
      <c r="E22" s="15">
        <f>IFERROR(__xludf.DUMMYFUNCTION("""COMPUTED_VALUE"""),-0.414170087225354)</f>
        <v>-0.4141700872</v>
      </c>
      <c r="F22" s="15">
        <f>IFERROR(__xludf.DUMMYFUNCTION("""COMPUTED_VALUE"""),0.376964313871157)</f>
        <v>0.3769643139</v>
      </c>
      <c r="G22" s="15">
        <f>IFERROR(__xludf.DUMMYFUNCTION("""COMPUTED_VALUE"""),0.769874352348474)</f>
        <v>0.7698743523</v>
      </c>
      <c r="H22" s="15">
        <f t="shared" si="1"/>
        <v>1813</v>
      </c>
    </row>
    <row r="23">
      <c r="B23" s="15">
        <f>IFERROR(__xludf.DUMMYFUNCTION("""COMPUTED_VALUE"""),2.1)</f>
        <v>2.1</v>
      </c>
      <c r="C23" s="15">
        <f>IFERROR(__xludf.DUMMYFUNCTION("""COMPUTED_VALUE"""),1.677952102075E12)</f>
        <v>1677952102075</v>
      </c>
      <c r="D23" s="15">
        <f>IFERROR(__xludf.DUMMYFUNCTION("""COMPUTED_VALUE"""),-0.0795749725859733)</f>
        <v>-0.07957497259</v>
      </c>
      <c r="E23" s="15">
        <f>IFERROR(__xludf.DUMMYFUNCTION("""COMPUTED_VALUE"""),-0.485011664604903)</f>
        <v>-0.4850116646</v>
      </c>
      <c r="F23" s="15">
        <f>IFERROR(__xludf.DUMMYFUNCTION("""COMPUTED_VALUE"""),0.253789970920405)</f>
        <v>0.2537899709</v>
      </c>
      <c r="G23" s="15">
        <f>IFERROR(__xludf.DUMMYFUNCTION("""COMPUTED_VALUE"""),0.833079923894065)</f>
        <v>0.8330799239</v>
      </c>
      <c r="H23" s="15">
        <f t="shared" si="1"/>
        <v>1962</v>
      </c>
    </row>
    <row r="24">
      <c r="B24" s="15">
        <f>IFERROR(__xludf.DUMMYFUNCTION("""COMPUTED_VALUE"""),2.2)</f>
        <v>2.2</v>
      </c>
      <c r="C24" s="15">
        <f>IFERROR(__xludf.DUMMYFUNCTION("""COMPUTED_VALUE"""),1.677952102199E12)</f>
        <v>1677952102199</v>
      </c>
      <c r="D24" s="15">
        <f>IFERROR(__xludf.DUMMYFUNCTION("""COMPUTED_VALUE"""),0.203991776272161)</f>
        <v>0.2039917763</v>
      </c>
      <c r="E24" s="15">
        <f>IFERROR(__xludf.DUMMYFUNCTION("""COMPUTED_VALUE"""),-0.413611379864604)</f>
        <v>-0.4136113799</v>
      </c>
      <c r="F24" s="15">
        <f>IFERROR(__xludf.DUMMYFUNCTION("""COMPUTED_VALUE"""),0.100159003771575)</f>
        <v>0.1001590038</v>
      </c>
      <c r="G24" s="15">
        <f>IFERROR(__xludf.DUMMYFUNCTION("""COMPUTED_VALUE"""),0.881635500432753)</f>
        <v>0.8816355004</v>
      </c>
      <c r="H24" s="15">
        <f t="shared" si="1"/>
        <v>2086</v>
      </c>
    </row>
    <row r="25">
      <c r="B25" s="15">
        <f>IFERROR(__xludf.DUMMYFUNCTION("""COMPUTED_VALUE"""),2.3)</f>
        <v>2.3</v>
      </c>
      <c r="C25" s="15">
        <f>IFERROR(__xludf.DUMMYFUNCTION("""COMPUTED_VALUE"""),1.677952102239E12)</f>
        <v>1677952102239</v>
      </c>
      <c r="D25" s="15">
        <f>IFERROR(__xludf.DUMMYFUNCTION("""COMPUTED_VALUE"""),0.203991776272161)</f>
        <v>0.2039917763</v>
      </c>
      <c r="E25" s="15">
        <f>IFERROR(__xludf.DUMMYFUNCTION("""COMPUTED_VALUE"""),-0.413611379864604)</f>
        <v>-0.4136113799</v>
      </c>
      <c r="F25" s="15">
        <f>IFERROR(__xludf.DUMMYFUNCTION("""COMPUTED_VALUE"""),0.100159003771575)</f>
        <v>0.1001590038</v>
      </c>
      <c r="G25" s="15">
        <f>IFERROR(__xludf.DUMMYFUNCTION("""COMPUTED_VALUE"""),0.881635500432753)</f>
        <v>0.8816355004</v>
      </c>
      <c r="H25" s="15">
        <f t="shared" si="1"/>
        <v>2126</v>
      </c>
    </row>
    <row r="26">
      <c r="B26" s="15">
        <f>IFERROR(__xludf.DUMMYFUNCTION("""COMPUTED_VALUE"""),2.4)</f>
        <v>2.4</v>
      </c>
      <c r="C26" s="15">
        <f>IFERROR(__xludf.DUMMYFUNCTION("""COMPUTED_VALUE"""),1.677952102343E12)</f>
        <v>1677952102343</v>
      </c>
      <c r="D26" s="15">
        <f>IFERROR(__xludf.DUMMYFUNCTION("""COMPUTED_VALUE"""),0.203991776272161)</f>
        <v>0.2039917763</v>
      </c>
      <c r="E26" s="15">
        <f>IFERROR(__xludf.DUMMYFUNCTION("""COMPUTED_VALUE"""),-0.413611379864604)</f>
        <v>-0.4136113799</v>
      </c>
      <c r="F26" s="15">
        <f>IFERROR(__xludf.DUMMYFUNCTION("""COMPUTED_VALUE"""),0.100159003771575)</f>
        <v>0.1001590038</v>
      </c>
      <c r="G26" s="15">
        <f>IFERROR(__xludf.DUMMYFUNCTION("""COMPUTED_VALUE"""),0.881635500432753)</f>
        <v>0.8816355004</v>
      </c>
      <c r="H26" s="15">
        <f t="shared" si="1"/>
        <v>2230</v>
      </c>
    </row>
    <row r="27">
      <c r="B27" s="15">
        <f>IFERROR(__xludf.DUMMYFUNCTION("""COMPUTED_VALUE"""),2.5)</f>
        <v>2.5</v>
      </c>
      <c r="C27" s="15">
        <f>IFERROR(__xludf.DUMMYFUNCTION("""COMPUTED_VALUE"""),1.677952102469E12)</f>
        <v>1677952102469</v>
      </c>
      <c r="D27" s="15">
        <f>IFERROR(__xludf.DUMMYFUNCTION("""COMPUTED_VALUE"""),-0.352231444442352)</f>
        <v>-0.3522314444</v>
      </c>
      <c r="E27" s="15">
        <f>IFERROR(__xludf.DUMMYFUNCTION("""COMPUTED_VALUE"""),-0.497772989869746)</f>
        <v>-0.4977729899</v>
      </c>
      <c r="F27" s="15">
        <f>IFERROR(__xludf.DUMMYFUNCTION("""COMPUTED_VALUE"""),0.339984210268876)</f>
        <v>0.3399842103</v>
      </c>
      <c r="G27" s="15">
        <f>IFERROR(__xludf.DUMMYFUNCTION("""COMPUTED_VALUE"""),0.715937006216353)</f>
        <v>0.7159370062</v>
      </c>
      <c r="H27" s="15">
        <f t="shared" si="1"/>
        <v>2356</v>
      </c>
    </row>
    <row r="28">
      <c r="B28" s="15">
        <f>IFERROR(__xludf.DUMMYFUNCTION("""COMPUTED_VALUE"""),2.6)</f>
        <v>2.6</v>
      </c>
      <c r="C28" s="15">
        <f>IFERROR(__xludf.DUMMYFUNCTION("""COMPUTED_VALUE"""),1.677952102568E12)</f>
        <v>1677952102568</v>
      </c>
      <c r="D28" s="15">
        <f>IFERROR(__xludf.DUMMYFUNCTION("""COMPUTED_VALUE"""),-0.0262769032701699)</f>
        <v>-0.02627690327</v>
      </c>
      <c r="E28" s="15">
        <f>IFERROR(__xludf.DUMMYFUNCTION("""COMPUTED_VALUE"""),-0.499975009059655)</f>
        <v>-0.4999750091</v>
      </c>
      <c r="F28" s="15">
        <f>IFERROR(__xludf.DUMMYFUNCTION("""COMPUTED_VALUE"""),0.167019553175524)</f>
        <v>0.1670195532</v>
      </c>
      <c r="G28" s="15">
        <f>IFERROR(__xludf.DUMMYFUNCTION("""COMPUTED_VALUE"""),0.849375643356563)</f>
        <v>0.8493756434</v>
      </c>
      <c r="H28" s="15">
        <f t="shared" si="1"/>
        <v>2455</v>
      </c>
    </row>
    <row r="29">
      <c r="B29" s="15">
        <f>IFERROR(__xludf.DUMMYFUNCTION("""COMPUTED_VALUE"""),2.7)</f>
        <v>2.7</v>
      </c>
      <c r="C29" s="15">
        <f>IFERROR(__xludf.DUMMYFUNCTION("""COMPUTED_VALUE"""),1.677952102644E12)</f>
        <v>1677952102644</v>
      </c>
      <c r="D29" s="15">
        <f>IFERROR(__xludf.DUMMYFUNCTION("""COMPUTED_VALUE"""),0.218491002366886)</f>
        <v>0.2184910024</v>
      </c>
      <c r="E29" s="15">
        <f>IFERROR(__xludf.DUMMYFUNCTION("""COMPUTED_VALUE"""),-0.413580385805118)</f>
        <v>-0.4135803858</v>
      </c>
      <c r="F29" s="15">
        <f>IFERROR(__xludf.DUMMYFUNCTION("""COMPUTED_VALUE"""),0.0294540178862993)</f>
        <v>0.02945401789</v>
      </c>
      <c r="G29" s="15">
        <f>IFERROR(__xludf.DUMMYFUNCTION("""COMPUTED_VALUE"""),0.88337161330459)</f>
        <v>0.8833716133</v>
      </c>
      <c r="H29" s="15">
        <f t="shared" si="1"/>
        <v>2531</v>
      </c>
    </row>
    <row r="30">
      <c r="B30" s="15">
        <f>IFERROR(__xludf.DUMMYFUNCTION("""COMPUTED_VALUE"""),2.8)</f>
        <v>2.8</v>
      </c>
      <c r="C30" s="15">
        <f>IFERROR(__xludf.DUMMYFUNCTION("""COMPUTED_VALUE"""),1.677952102743E12)</f>
        <v>1677952102743</v>
      </c>
      <c r="D30" s="15">
        <f>IFERROR(__xludf.DUMMYFUNCTION("""COMPUTED_VALUE"""),0.218491002366886)</f>
        <v>0.2184910024</v>
      </c>
      <c r="E30" s="15">
        <f>IFERROR(__xludf.DUMMYFUNCTION("""COMPUTED_VALUE"""),-0.413580385805118)</f>
        <v>-0.4135803858</v>
      </c>
      <c r="F30" s="15">
        <f>IFERROR(__xludf.DUMMYFUNCTION("""COMPUTED_VALUE"""),0.0294540178862993)</f>
        <v>0.02945401789</v>
      </c>
      <c r="G30" s="15">
        <f>IFERROR(__xludf.DUMMYFUNCTION("""COMPUTED_VALUE"""),0.88337161330459)</f>
        <v>0.8833716133</v>
      </c>
      <c r="H30" s="15">
        <f t="shared" si="1"/>
        <v>2630</v>
      </c>
    </row>
    <row r="31">
      <c r="B31" s="15">
        <f>IFERROR(__xludf.DUMMYFUNCTION("""COMPUTED_VALUE"""),2.9)</f>
        <v>2.9</v>
      </c>
      <c r="C31" s="15">
        <f>IFERROR(__xludf.DUMMYFUNCTION("""COMPUTED_VALUE"""),1.677952102851E12)</f>
        <v>1677952102851</v>
      </c>
      <c r="D31" s="15">
        <f>IFERROR(__xludf.DUMMYFUNCTION("""COMPUTED_VALUE"""),0.218491002366886)</f>
        <v>0.2184910024</v>
      </c>
      <c r="E31" s="15">
        <f>IFERROR(__xludf.DUMMYFUNCTION("""COMPUTED_VALUE"""),-0.413580385805118)</f>
        <v>-0.4135803858</v>
      </c>
      <c r="F31" s="15">
        <f>IFERROR(__xludf.DUMMYFUNCTION("""COMPUTED_VALUE"""),0.0294540178862993)</f>
        <v>0.02945401789</v>
      </c>
      <c r="G31" s="15">
        <f>IFERROR(__xludf.DUMMYFUNCTION("""COMPUTED_VALUE"""),0.88337161330459)</f>
        <v>0.8833716133</v>
      </c>
      <c r="H31" s="15">
        <f t="shared" si="1"/>
        <v>2738</v>
      </c>
    </row>
    <row r="32">
      <c r="B32" s="15">
        <f>IFERROR(__xludf.DUMMYFUNCTION("""COMPUTED_VALUE"""),3.0)</f>
        <v>3</v>
      </c>
      <c r="C32" s="15">
        <f>IFERROR(__xludf.DUMMYFUNCTION("""COMPUTED_VALUE"""),1.677952103042E12)</f>
        <v>1677952103042</v>
      </c>
      <c r="D32" s="15">
        <f>IFERROR(__xludf.DUMMYFUNCTION("""COMPUTED_VALUE"""),0.551154319698942)</f>
        <v>0.5511543197</v>
      </c>
      <c r="E32" s="15">
        <f>IFERROR(__xludf.DUMMYFUNCTION("""COMPUTED_VALUE"""),-0.36074307120576)</f>
        <v>-0.3607430712</v>
      </c>
      <c r="F32" s="15">
        <f>IFERROR(__xludf.DUMMYFUNCTION("""COMPUTED_VALUE"""),-0.139106340604704)</f>
        <v>-0.1391063406</v>
      </c>
      <c r="G32" s="15">
        <f>IFERROR(__xludf.DUMMYFUNCTION("""COMPUTED_VALUE"""),0.739420569404042)</f>
        <v>0.7394205694</v>
      </c>
      <c r="H32" s="15">
        <f t="shared" si="1"/>
        <v>2929</v>
      </c>
    </row>
    <row r="33">
      <c r="B33" s="15">
        <f>IFERROR(__xludf.DUMMYFUNCTION("""COMPUTED_VALUE"""),3.1)</f>
        <v>3.1</v>
      </c>
      <c r="C33" s="15">
        <f>IFERROR(__xludf.DUMMYFUNCTION("""COMPUTED_VALUE"""),1.677952103091E12)</f>
        <v>1677952103091</v>
      </c>
      <c r="D33" s="15">
        <f>IFERROR(__xludf.DUMMYFUNCTION("""COMPUTED_VALUE"""),0.628471260037577)</f>
        <v>0.62847126</v>
      </c>
      <c r="E33" s="15">
        <f>IFERROR(__xludf.DUMMYFUNCTION("""COMPUTED_VALUE"""),-0.340313144517898)</f>
        <v>-0.3403131445</v>
      </c>
      <c r="F33" s="15">
        <f>IFERROR(__xludf.DUMMYFUNCTION("""COMPUTED_VALUE"""),-0.17989791774112)</f>
        <v>-0.1798979177</v>
      </c>
      <c r="G33" s="15">
        <f>IFERROR(__xludf.DUMMYFUNCTION("""COMPUTED_VALUE"""),0.675905006763176)</f>
        <v>0.6759050068</v>
      </c>
      <c r="H33" s="15">
        <f t="shared" si="1"/>
        <v>2978</v>
      </c>
    </row>
    <row r="34">
      <c r="B34" s="15">
        <f>IFERROR(__xludf.DUMMYFUNCTION("""COMPUTED_VALUE"""),3.2)</f>
        <v>3.2</v>
      </c>
      <c r="C34" s="15">
        <f>IFERROR(__xludf.DUMMYFUNCTION("""COMPUTED_VALUE"""),1.677952103169E12)</f>
        <v>1677952103169</v>
      </c>
      <c r="D34" s="15">
        <f>IFERROR(__xludf.DUMMYFUNCTION("""COMPUTED_VALUE"""),0.69396925411714)</f>
        <v>0.6939692541</v>
      </c>
      <c r="E34" s="15">
        <f>IFERROR(__xludf.DUMMYFUNCTION("""COMPUTED_VALUE"""),-0.303391282556118)</f>
        <v>-0.3033912826</v>
      </c>
      <c r="F34" s="15">
        <f>IFERROR(__xludf.DUMMYFUNCTION("""COMPUTED_VALUE"""),-0.231787322672928)</f>
        <v>-0.2317873227</v>
      </c>
      <c r="G34" s="15">
        <f>IFERROR(__xludf.DUMMYFUNCTION("""COMPUTED_VALUE"""),0.610438400706547)</f>
        <v>0.6104384007</v>
      </c>
      <c r="H34" s="15">
        <f t="shared" si="1"/>
        <v>3056</v>
      </c>
    </row>
    <row r="35">
      <c r="B35" s="15">
        <f>IFERROR(__xludf.DUMMYFUNCTION("""COMPUTED_VALUE"""),3.3)</f>
        <v>3.3</v>
      </c>
      <c r="C35" s="15">
        <f>IFERROR(__xludf.DUMMYFUNCTION("""COMPUTED_VALUE"""),1.677952103233E12)</f>
        <v>1677952103233</v>
      </c>
      <c r="D35" s="15">
        <f>IFERROR(__xludf.DUMMYFUNCTION("""COMPUTED_VALUE"""),0.704422527484457)</f>
        <v>0.7044225275</v>
      </c>
      <c r="E35" s="15">
        <f>IFERROR(__xludf.DUMMYFUNCTION("""COMPUTED_VALUE"""),-0.288243034552977)</f>
        <v>-0.2882430346</v>
      </c>
      <c r="F35" s="15">
        <f>IFERROR(__xludf.DUMMYFUNCTION("""COMPUTED_VALUE"""),-0.249760050808279)</f>
        <v>-0.2497600508</v>
      </c>
      <c r="G35" s="15">
        <f>IFERROR(__xludf.DUMMYFUNCTION("""COMPUTED_VALUE"""),0.598602349497849)</f>
        <v>0.5986023495</v>
      </c>
      <c r="H35" s="15">
        <f t="shared" si="1"/>
        <v>3120</v>
      </c>
    </row>
    <row r="36">
      <c r="B36" s="15">
        <f>IFERROR(__xludf.DUMMYFUNCTION("""COMPUTED_VALUE"""),3.4)</f>
        <v>3.4</v>
      </c>
      <c r="C36" s="15">
        <f>IFERROR(__xludf.DUMMYFUNCTION("""COMPUTED_VALUE"""),1.677952103335E12)</f>
        <v>1677952103335</v>
      </c>
      <c r="D36" s="15">
        <f>IFERROR(__xludf.DUMMYFUNCTION("""COMPUTED_VALUE"""),0.704422527484457)</f>
        <v>0.7044225275</v>
      </c>
      <c r="E36" s="15">
        <f>IFERROR(__xludf.DUMMYFUNCTION("""COMPUTED_VALUE"""),-0.288243034552977)</f>
        <v>-0.2882430346</v>
      </c>
      <c r="F36" s="15">
        <f>IFERROR(__xludf.DUMMYFUNCTION("""COMPUTED_VALUE"""),-0.249760050808279)</f>
        <v>-0.2497600508</v>
      </c>
      <c r="G36" s="15">
        <f>IFERROR(__xludf.DUMMYFUNCTION("""COMPUTED_VALUE"""),0.598602349497849)</f>
        <v>0.5986023495</v>
      </c>
      <c r="H36" s="15">
        <f t="shared" si="1"/>
        <v>3222</v>
      </c>
    </row>
    <row r="37">
      <c r="B37" s="15">
        <f>IFERROR(__xludf.DUMMYFUNCTION("""COMPUTED_VALUE"""),3.5)</f>
        <v>3.5</v>
      </c>
      <c r="C37" s="15">
        <f>IFERROR(__xludf.DUMMYFUNCTION("""COMPUTED_VALUE"""),1.677952103434E12)</f>
        <v>1677952103434</v>
      </c>
      <c r="D37" s="15">
        <f>IFERROR(__xludf.DUMMYFUNCTION("""COMPUTED_VALUE"""),0.704422527484457)</f>
        <v>0.7044225275</v>
      </c>
      <c r="E37" s="15">
        <f>IFERROR(__xludf.DUMMYFUNCTION("""COMPUTED_VALUE"""),-0.288243034552977)</f>
        <v>-0.2882430346</v>
      </c>
      <c r="F37" s="15">
        <f>IFERROR(__xludf.DUMMYFUNCTION("""COMPUTED_VALUE"""),-0.249760050808279)</f>
        <v>-0.2497600508</v>
      </c>
      <c r="G37" s="15">
        <f>IFERROR(__xludf.DUMMYFUNCTION("""COMPUTED_VALUE"""),0.598602349497849)</f>
        <v>0.5986023495</v>
      </c>
      <c r="H37" s="15">
        <f t="shared" si="1"/>
        <v>3321</v>
      </c>
    </row>
    <row r="38">
      <c r="B38" s="15">
        <f>IFERROR(__xludf.DUMMYFUNCTION("""COMPUTED_VALUE"""),3.6)</f>
        <v>3.6</v>
      </c>
      <c r="C38" s="15">
        <f>IFERROR(__xludf.DUMMYFUNCTION("""COMPUTED_VALUE"""),1.677952103568E12)</f>
        <v>1677952103568</v>
      </c>
      <c r="D38" s="15">
        <f>IFERROR(__xludf.DUMMYFUNCTION("""COMPUTED_VALUE"""),0.152652127824479)</f>
        <v>0.1526521278</v>
      </c>
      <c r="E38" s="15">
        <f>IFERROR(__xludf.DUMMYFUNCTION("""COMPUTED_VALUE"""),-0.315267249220842)</f>
        <v>-0.3152672492</v>
      </c>
      <c r="F38" s="15">
        <f>IFERROR(__xludf.DUMMYFUNCTION("""COMPUTED_VALUE"""),-0.0813970127741328)</f>
        <v>-0.08139701277</v>
      </c>
      <c r="G38" s="15">
        <f>IFERROR(__xludf.DUMMYFUNCTION("""COMPUTED_VALUE"""),0.933101503455454)</f>
        <v>0.9331015035</v>
      </c>
      <c r="H38" s="15">
        <f t="shared" si="1"/>
        <v>3455</v>
      </c>
    </row>
    <row r="39">
      <c r="B39" s="15">
        <f>IFERROR(__xludf.DUMMYFUNCTION("""COMPUTED_VALUE"""),3.7)</f>
        <v>3.7</v>
      </c>
      <c r="C39" s="15">
        <f>IFERROR(__xludf.DUMMYFUNCTION("""COMPUTED_VALUE"""),1.677952103674E12)</f>
        <v>1677952103674</v>
      </c>
      <c r="D39" s="15">
        <f>IFERROR(__xludf.DUMMYFUNCTION("""COMPUTED_VALUE"""),0.374572607833794)</f>
        <v>0.3745726078</v>
      </c>
      <c r="E39" s="15">
        <f>IFERROR(__xludf.DUMMYFUNCTION("""COMPUTED_VALUE"""),-0.304422991781949)</f>
        <v>-0.3044229918</v>
      </c>
      <c r="F39" s="15">
        <f>IFERROR(__xludf.DUMMYFUNCTION("""COMPUTED_VALUE"""),-0.152204086746649)</f>
        <v>-0.1522040867</v>
      </c>
      <c r="G39" s="15">
        <f>IFERROR(__xludf.DUMMYFUNCTION("""COMPUTED_VALUE"""),0.862470822412407)</f>
        <v>0.8624708224</v>
      </c>
      <c r="H39" s="15">
        <f t="shared" si="1"/>
        <v>3561</v>
      </c>
    </row>
    <row r="40">
      <c r="B40" s="15">
        <f>IFERROR(__xludf.DUMMYFUNCTION("""COMPUTED_VALUE"""),3.8)</f>
        <v>3.8</v>
      </c>
      <c r="C40" s="15">
        <f>IFERROR(__xludf.DUMMYFUNCTION("""COMPUTED_VALUE"""),1.677952103756E12)</f>
        <v>1677952103756</v>
      </c>
      <c r="D40" s="15">
        <f>IFERROR(__xludf.DUMMYFUNCTION("""COMPUTED_VALUE"""),0.449464209030753)</f>
        <v>0.449464209</v>
      </c>
      <c r="E40" s="15">
        <f>IFERROR(__xludf.DUMMYFUNCTION("""COMPUTED_VALUE"""),-0.282895960820072)</f>
        <v>-0.2828959608</v>
      </c>
      <c r="F40" s="15">
        <f>IFERROR(__xludf.DUMMYFUNCTION("""COMPUTED_VALUE"""),-0.182449330993439)</f>
        <v>-0.182449331</v>
      </c>
      <c r="G40" s="15">
        <f>IFERROR(__xludf.DUMMYFUNCTION("""COMPUTED_VALUE"""),0.827444283182918)</f>
        <v>0.8274442832</v>
      </c>
      <c r="H40" s="15">
        <f t="shared" si="1"/>
        <v>3643</v>
      </c>
    </row>
    <row r="41">
      <c r="B41" s="15">
        <f>IFERROR(__xludf.DUMMYFUNCTION("""COMPUTED_VALUE"""),3.9)</f>
        <v>3.9</v>
      </c>
      <c r="C41" s="15">
        <f>IFERROR(__xludf.DUMMYFUNCTION("""COMPUTED_VALUE"""),1.677952103858E12)</f>
        <v>1677952103858</v>
      </c>
      <c r="D41" s="15">
        <f>IFERROR(__xludf.DUMMYFUNCTION("""COMPUTED_VALUE"""),0.479396089807797)</f>
        <v>0.4793960898</v>
      </c>
      <c r="E41" s="15">
        <f>IFERROR(__xludf.DUMMYFUNCTION("""COMPUTED_VALUE"""),-0.265791959313872)</f>
        <v>-0.2657919593</v>
      </c>
      <c r="F41" s="15">
        <f>IFERROR(__xludf.DUMMYFUNCTION("""COMPUTED_VALUE"""),-0.198772232026342)</f>
        <v>-0.198772232</v>
      </c>
      <c r="G41" s="15">
        <f>IFERROR(__xludf.DUMMYFUNCTION("""COMPUTED_VALUE"""),0.812418379418112)</f>
        <v>0.8124183794</v>
      </c>
      <c r="H41" s="15">
        <f t="shared" si="1"/>
        <v>3745</v>
      </c>
    </row>
    <row r="42">
      <c r="B42" s="15">
        <f>IFERROR(__xludf.DUMMYFUNCTION("""COMPUTED_VALUE"""),4.0)</f>
        <v>4</v>
      </c>
      <c r="C42" s="15">
        <f>IFERROR(__xludf.DUMMYFUNCTION("""COMPUTED_VALUE"""),1.677952103953E12)</f>
        <v>1677952103953</v>
      </c>
      <c r="D42" s="15">
        <f>IFERROR(__xludf.DUMMYFUNCTION("""COMPUTED_VALUE"""),0.485761957346228)</f>
        <v>0.4857619573</v>
      </c>
      <c r="E42" s="15">
        <f>IFERROR(__xludf.DUMMYFUNCTION("""COMPUTED_VALUE"""),-0.264222624301082)</f>
        <v>-0.2642226243</v>
      </c>
      <c r="F42" s="15">
        <f>IFERROR(__xludf.DUMMYFUNCTION("""COMPUTED_VALUE"""),-0.200853605066202)</f>
        <v>-0.2008536051</v>
      </c>
      <c r="G42" s="15">
        <f>IFERROR(__xludf.DUMMYFUNCTION("""COMPUTED_VALUE"""),0.808628193259745)</f>
        <v>0.8086281933</v>
      </c>
      <c r="H42" s="15">
        <f t="shared" si="1"/>
        <v>3840</v>
      </c>
    </row>
    <row r="43">
      <c r="B43" s="15">
        <f>IFERROR(__xludf.DUMMYFUNCTION("""COMPUTED_VALUE"""),4.1)</f>
        <v>4.1</v>
      </c>
      <c r="C43" s="15">
        <f>IFERROR(__xludf.DUMMYFUNCTION("""COMPUTED_VALUE"""),1.67795210407E12)</f>
        <v>1677952104070</v>
      </c>
      <c r="D43" s="15">
        <f>IFERROR(__xludf.DUMMYFUNCTION("""COMPUTED_VALUE"""),0.537021184983223)</f>
        <v>0.537021185</v>
      </c>
      <c r="E43" s="15">
        <f>IFERROR(__xludf.DUMMYFUNCTION("""COMPUTED_VALUE"""),-0.243892169981016)</f>
        <v>-0.24389217</v>
      </c>
      <c r="F43" s="15">
        <f>IFERROR(__xludf.DUMMYFUNCTION("""COMPUTED_VALUE"""),-0.221865370991642)</f>
        <v>-0.221865371</v>
      </c>
      <c r="G43" s="15">
        <f>IFERROR(__xludf.DUMMYFUNCTION("""COMPUTED_VALUE"""),0.776466749742643)</f>
        <v>0.7764667497</v>
      </c>
      <c r="H43" s="15">
        <f t="shared" si="1"/>
        <v>3957</v>
      </c>
    </row>
    <row r="44">
      <c r="B44" s="15">
        <f>IFERROR(__xludf.DUMMYFUNCTION("""COMPUTED_VALUE"""),4.2)</f>
        <v>4.2</v>
      </c>
      <c r="C44" s="15">
        <f>IFERROR(__xludf.DUMMYFUNCTION("""COMPUTED_VALUE"""),1.677952104157E12)</f>
        <v>1677952104157</v>
      </c>
      <c r="D44" s="15">
        <f>IFERROR(__xludf.DUMMYFUNCTION("""COMPUTED_VALUE"""),0.599410967574248)</f>
        <v>0.5994109676</v>
      </c>
      <c r="E44" s="15">
        <f>IFERROR(__xludf.DUMMYFUNCTION("""COMPUTED_VALUE"""),-0.214600848965189)</f>
        <v>-0.214600849</v>
      </c>
      <c r="F44" s="15">
        <f>IFERROR(__xludf.DUMMYFUNCTION("""COMPUTED_VALUE"""),-0.248249663416824)</f>
        <v>-0.2482496634</v>
      </c>
      <c r="G44" s="15">
        <f>IFERROR(__xludf.DUMMYFUNCTION("""COMPUTED_VALUE"""),0.730085660856694)</f>
        <v>0.7300856609</v>
      </c>
      <c r="H44" s="15">
        <f t="shared" si="1"/>
        <v>4044</v>
      </c>
    </row>
    <row r="45">
      <c r="B45" s="15">
        <f>IFERROR(__xludf.DUMMYFUNCTION("""COMPUTED_VALUE"""),4.3)</f>
        <v>4.3</v>
      </c>
      <c r="C45" s="15">
        <f>IFERROR(__xludf.DUMMYFUNCTION("""COMPUTED_VALUE"""),1.677952104252E12)</f>
        <v>1677952104252</v>
      </c>
      <c r="D45" s="15">
        <f>IFERROR(__xludf.DUMMYFUNCTION("""COMPUTED_VALUE"""),0.629196001475643)</f>
        <v>0.6291960015</v>
      </c>
      <c r="E45" s="15">
        <f>IFERROR(__xludf.DUMMYFUNCTION("""COMPUTED_VALUE"""),-0.191085563327494)</f>
        <v>-0.1910855633</v>
      </c>
      <c r="F45" s="15">
        <f>IFERROR(__xludf.DUMMYFUNCTION("""COMPUTED_VALUE"""),-0.267352085148477)</f>
        <v>-0.2673520851</v>
      </c>
      <c r="G45" s="15">
        <f>IFERROR(__xludf.DUMMYFUNCTION("""COMPUTED_VALUE"""),0.704358972244718)</f>
        <v>0.7043589722</v>
      </c>
      <c r="H45" s="15">
        <f t="shared" si="1"/>
        <v>4139</v>
      </c>
    </row>
    <row r="46">
      <c r="B46" s="15">
        <f>IFERROR(__xludf.DUMMYFUNCTION("""COMPUTED_VALUE"""),4.4)</f>
        <v>4.4</v>
      </c>
      <c r="C46" s="15">
        <f>IFERROR(__xludf.DUMMYFUNCTION("""COMPUTED_VALUE"""),1.677952104369E12)</f>
        <v>1677952104369</v>
      </c>
      <c r="D46" s="15">
        <f>IFERROR(__xludf.DUMMYFUNCTION("""COMPUTED_VALUE"""),0.635336806931148)</f>
        <v>0.6353368069</v>
      </c>
      <c r="E46" s="15">
        <f>IFERROR(__xludf.DUMMYFUNCTION("""COMPUTED_VALUE"""),-0.182365597578935)</f>
        <v>-0.1823655976</v>
      </c>
      <c r="F46" s="15">
        <f>IFERROR(__xludf.DUMMYFUNCTION("""COMPUTED_VALUE"""),-0.27449620008413)</f>
        <v>-0.2744962001</v>
      </c>
      <c r="G46" s="15">
        <f>IFERROR(__xludf.DUMMYFUNCTION("""COMPUTED_VALUE"""),0.698385113470771)</f>
        <v>0.6983851135</v>
      </c>
      <c r="H46" s="15">
        <f t="shared" si="1"/>
        <v>4256</v>
      </c>
    </row>
    <row r="47">
      <c r="B47" s="15">
        <f>IFERROR(__xludf.DUMMYFUNCTION("""COMPUTED_VALUE"""),4.5)</f>
        <v>4.5</v>
      </c>
      <c r="C47" s="15">
        <f>IFERROR(__xludf.DUMMYFUNCTION("""COMPUTED_VALUE"""),1.677952104415E12)</f>
        <v>1677952104415</v>
      </c>
      <c r="D47" s="15">
        <f>IFERROR(__xludf.DUMMYFUNCTION("""COMPUTED_VALUE"""),0.635336806931148)</f>
        <v>0.6353368069</v>
      </c>
      <c r="E47" s="15">
        <f>IFERROR(__xludf.DUMMYFUNCTION("""COMPUTED_VALUE"""),-0.182365597578935)</f>
        <v>-0.1823655976</v>
      </c>
      <c r="F47" s="15">
        <f>IFERROR(__xludf.DUMMYFUNCTION("""COMPUTED_VALUE"""),-0.27449620008413)</f>
        <v>-0.2744962001</v>
      </c>
      <c r="G47" s="15">
        <f>IFERROR(__xludf.DUMMYFUNCTION("""COMPUTED_VALUE"""),0.698385113470771)</f>
        <v>0.6983851135</v>
      </c>
      <c r="H47" s="15">
        <f t="shared" si="1"/>
        <v>4302</v>
      </c>
    </row>
    <row r="48">
      <c r="B48" s="15">
        <f>IFERROR(__xludf.DUMMYFUNCTION("""COMPUTED_VALUE"""),4.6)</f>
        <v>4.6</v>
      </c>
      <c r="C48" s="15">
        <f>IFERROR(__xludf.DUMMYFUNCTION("""COMPUTED_VALUE"""),1.677952104519E12)</f>
        <v>1677952104519</v>
      </c>
      <c r="D48" s="15">
        <f>IFERROR(__xludf.DUMMYFUNCTION("""COMPUTED_VALUE"""),0.635336806931148)</f>
        <v>0.6353368069</v>
      </c>
      <c r="E48" s="15">
        <f>IFERROR(__xludf.DUMMYFUNCTION("""COMPUTED_VALUE"""),-0.182365597578935)</f>
        <v>-0.1823655976</v>
      </c>
      <c r="F48" s="15">
        <f>IFERROR(__xludf.DUMMYFUNCTION("""COMPUTED_VALUE"""),-0.27449620008413)</f>
        <v>-0.2744962001</v>
      </c>
      <c r="G48" s="15">
        <f>IFERROR(__xludf.DUMMYFUNCTION("""COMPUTED_VALUE"""),0.698385113470771)</f>
        <v>0.6983851135</v>
      </c>
      <c r="H48" s="15">
        <f t="shared" si="1"/>
        <v>4406</v>
      </c>
    </row>
    <row r="49">
      <c r="B49" s="15">
        <f>IFERROR(__xludf.DUMMYFUNCTION("""COMPUTED_VALUE"""),4.7)</f>
        <v>4.7</v>
      </c>
      <c r="C49" s="15">
        <f>IFERROR(__xludf.DUMMYFUNCTION("""COMPUTED_VALUE"""),1.677952104614E12)</f>
        <v>1677952104614</v>
      </c>
      <c r="D49" s="15">
        <f>IFERROR(__xludf.DUMMYFUNCTION("""COMPUTED_VALUE"""),0.635336806931148)</f>
        <v>0.6353368069</v>
      </c>
      <c r="E49" s="15">
        <f>IFERROR(__xludf.DUMMYFUNCTION("""COMPUTED_VALUE"""),-0.182365597578935)</f>
        <v>-0.1823655976</v>
      </c>
      <c r="F49" s="15">
        <f>IFERROR(__xludf.DUMMYFUNCTION("""COMPUTED_VALUE"""),-0.27449620008413)</f>
        <v>-0.2744962001</v>
      </c>
      <c r="G49" s="15">
        <f>IFERROR(__xludf.DUMMYFUNCTION("""COMPUTED_VALUE"""),0.698385113470771)</f>
        <v>0.6983851135</v>
      </c>
      <c r="H49" s="15">
        <f t="shared" si="1"/>
        <v>4501</v>
      </c>
    </row>
    <row r="50">
      <c r="B50" s="15">
        <f>IFERROR(__xludf.DUMMYFUNCTION("""COMPUTED_VALUE"""),4.8)</f>
        <v>4.8</v>
      </c>
      <c r="C50" s="15">
        <f>IFERROR(__xludf.DUMMYFUNCTION("""COMPUTED_VALUE"""),1.677952104719E12)</f>
        <v>1677952104719</v>
      </c>
      <c r="D50" s="15">
        <f>IFERROR(__xludf.DUMMYFUNCTION("""COMPUTED_VALUE"""),0.635336806931148)</f>
        <v>0.6353368069</v>
      </c>
      <c r="E50" s="15">
        <f>IFERROR(__xludf.DUMMYFUNCTION("""COMPUTED_VALUE"""),-0.182365597578935)</f>
        <v>-0.1823655976</v>
      </c>
      <c r="F50" s="15">
        <f>IFERROR(__xludf.DUMMYFUNCTION("""COMPUTED_VALUE"""),-0.27449620008413)</f>
        <v>-0.2744962001</v>
      </c>
      <c r="G50" s="15">
        <f>IFERROR(__xludf.DUMMYFUNCTION("""COMPUTED_VALUE"""),0.698385113470771)</f>
        <v>0.6983851135</v>
      </c>
      <c r="H50" s="15">
        <f t="shared" si="1"/>
        <v>4606</v>
      </c>
    </row>
    <row r="51">
      <c r="B51" s="15">
        <f>IFERROR(__xludf.DUMMYFUNCTION("""COMPUTED_VALUE"""),4.9)</f>
        <v>4.9</v>
      </c>
      <c r="C51" s="15">
        <f>IFERROR(__xludf.DUMMYFUNCTION("""COMPUTED_VALUE"""),1.677952105026E12)</f>
        <v>1677952105026</v>
      </c>
      <c r="D51" s="15">
        <f>IFERROR(__xludf.DUMMYFUNCTION("""COMPUTED_VALUE"""),0.759377161733147)</f>
        <v>0.7593771617</v>
      </c>
      <c r="E51" s="15">
        <f>IFERROR(__xludf.DUMMYFUNCTION("""COMPUTED_VALUE"""),-0.125309943473625)</f>
        <v>-0.1253099435</v>
      </c>
      <c r="F51" s="15">
        <f>IFERROR(__xludf.DUMMYFUNCTION("""COMPUTED_VALUE"""),-0.30479959499249)</f>
        <v>-0.304799595</v>
      </c>
      <c r="G51" s="15">
        <f>IFERROR(__xludf.DUMMYFUNCTION("""COMPUTED_VALUE"""),0.561017781533847)</f>
        <v>0.5610177815</v>
      </c>
      <c r="H51" s="15">
        <f t="shared" si="1"/>
        <v>4913</v>
      </c>
    </row>
    <row r="52">
      <c r="B52" s="15">
        <f>IFERROR(__xludf.DUMMYFUNCTION("""COMPUTED_VALUE"""),5.0)</f>
        <v>5</v>
      </c>
      <c r="C52" s="15">
        <f>IFERROR(__xludf.DUMMYFUNCTION("""COMPUTED_VALUE"""),1.677952105089E12)</f>
        <v>1677952105089</v>
      </c>
      <c r="D52" s="15">
        <f>IFERROR(__xludf.DUMMYFUNCTION("""COMPUTED_VALUE"""),0.811372534459659)</f>
        <v>0.8113725345</v>
      </c>
      <c r="E52" s="15">
        <f>IFERROR(__xludf.DUMMYFUNCTION("""COMPUTED_VALUE"""),-0.0915790335212526)</f>
        <v>-0.09157903352</v>
      </c>
      <c r="F52" s="15">
        <f>IFERROR(__xludf.DUMMYFUNCTION("""COMPUTED_VALUE"""),-0.319095681828765)</f>
        <v>-0.3190956818</v>
      </c>
      <c r="G52" s="15">
        <f>IFERROR(__xludf.DUMMYFUNCTION("""COMPUTED_VALUE"""),0.481108965601406)</f>
        <v>0.4811089656</v>
      </c>
      <c r="H52" s="15">
        <f t="shared" si="1"/>
        <v>4976</v>
      </c>
    </row>
    <row r="53">
      <c r="B53" s="15">
        <f>IFERROR(__xludf.DUMMYFUNCTION("""COMPUTED_VALUE"""),5.1)</f>
        <v>5.1</v>
      </c>
      <c r="C53" s="15">
        <f>IFERROR(__xludf.DUMMYFUNCTION("""COMPUTED_VALUE"""),1.67795210515E12)</f>
        <v>1677952105150</v>
      </c>
      <c r="D53" s="15">
        <f>IFERROR(__xludf.DUMMYFUNCTION("""COMPUTED_VALUE"""),0.856700141759125)</f>
        <v>0.8567001418</v>
      </c>
      <c r="E53" s="15">
        <f>IFERROR(__xludf.DUMMYFUNCTION("""COMPUTED_VALUE"""),-0.0525871621872751)</f>
        <v>-0.05258716219</v>
      </c>
      <c r="F53" s="15">
        <f>IFERROR(__xludf.DUMMYFUNCTION("""COMPUTED_VALUE"""),-0.333775127483956)</f>
        <v>-0.3337751275</v>
      </c>
      <c r="G53" s="15">
        <f>IFERROR(__xludf.DUMMYFUNCTION("""COMPUTED_VALUE"""),0.389735322694839)</f>
        <v>0.3897353227</v>
      </c>
      <c r="H53" s="15">
        <f t="shared" si="1"/>
        <v>5037</v>
      </c>
    </row>
    <row r="54">
      <c r="B54" s="15">
        <f>IFERROR(__xludf.DUMMYFUNCTION("""COMPUTED_VALUE"""),5.2)</f>
        <v>5.2</v>
      </c>
      <c r="C54" s="15">
        <f>IFERROR(__xludf.DUMMYFUNCTION("""COMPUTED_VALUE"""),1.677952105211E12)</f>
        <v>1677952105211</v>
      </c>
      <c r="D54" s="15">
        <f>IFERROR(__xludf.DUMMYFUNCTION("""COMPUTED_VALUE"""),0.891460422684743)</f>
        <v>0.8914604227</v>
      </c>
      <c r="E54" s="15">
        <f>IFERROR(__xludf.DUMMYFUNCTION("""COMPUTED_VALUE"""),-0.00964060520814766)</f>
        <v>-0.009640605208</v>
      </c>
      <c r="F54" s="15">
        <f>IFERROR(__xludf.DUMMYFUNCTION("""COMPUTED_VALUE"""),-0.347594936664751)</f>
        <v>-0.3475949367</v>
      </c>
      <c r="G54" s="15">
        <f>IFERROR(__xludf.DUMMYFUNCTION("""COMPUTED_VALUE"""),0.290487751072203)</f>
        <v>0.2904877511</v>
      </c>
      <c r="H54" s="15">
        <f t="shared" si="1"/>
        <v>5098</v>
      </c>
    </row>
    <row r="55">
      <c r="B55" s="15">
        <f>IFERROR(__xludf.DUMMYFUNCTION("""COMPUTED_VALUE"""),5.3)</f>
        <v>5.3</v>
      </c>
      <c r="C55" s="15">
        <f>IFERROR(__xludf.DUMMYFUNCTION("""COMPUTED_VALUE"""),1.67795210525E12)</f>
        <v>1677952105250</v>
      </c>
      <c r="D55" s="15">
        <f>IFERROR(__xludf.DUMMYFUNCTION("""COMPUTED_VALUE"""),0.904698744045903)</f>
        <v>0.904698744</v>
      </c>
      <c r="E55" s="15">
        <f>IFERROR(__xludf.DUMMYFUNCTION("""COMPUTED_VALUE"""),0.0169884119571249)</f>
        <v>0.01698841196</v>
      </c>
      <c r="F55" s="15">
        <f>IFERROR(__xludf.DUMMYFUNCTION("""COMPUTED_VALUE"""),-0.357933881363279)</f>
        <v>-0.3579338814</v>
      </c>
      <c r="G55" s="15">
        <f>IFERROR(__xludf.DUMMYFUNCTION("""COMPUTED_VALUE"""),0.230466728516626)</f>
        <v>0.2304667285</v>
      </c>
      <c r="H55" s="15">
        <f t="shared" si="1"/>
        <v>5137</v>
      </c>
    </row>
    <row r="56">
      <c r="B56" s="15">
        <f>IFERROR(__xludf.DUMMYFUNCTION("""COMPUTED_VALUE"""),5.4)</f>
        <v>5.4</v>
      </c>
      <c r="C56" s="15">
        <f>IFERROR(__xludf.DUMMYFUNCTION("""COMPUTED_VALUE"""),1.677952105365E12)</f>
        <v>1677952105365</v>
      </c>
      <c r="D56" s="15">
        <f>IFERROR(__xludf.DUMMYFUNCTION("""COMPUTED_VALUE"""),0.905383579530265)</f>
        <v>0.9053835795</v>
      </c>
      <c r="E56" s="15">
        <f>IFERROR(__xludf.DUMMYFUNCTION("""COMPUTED_VALUE"""),0.09231591530364)</f>
        <v>0.0923159153</v>
      </c>
      <c r="F56" s="15">
        <f>IFERROR(__xludf.DUMMYFUNCTION("""COMPUTED_VALUE"""),-0.409255009383591)</f>
        <v>-0.4092550094</v>
      </c>
      <c r="G56" s="15">
        <f>IFERROR(__xludf.DUMMYFUNCTION("""COMPUTED_VALUE"""),0.0653351589349112)</f>
        <v>0.06533515893</v>
      </c>
      <c r="H56" s="15">
        <f t="shared" si="1"/>
        <v>5252</v>
      </c>
    </row>
    <row r="57">
      <c r="B57" s="15">
        <f>IFERROR(__xludf.DUMMYFUNCTION("""COMPUTED_VALUE"""),5.5)</f>
        <v>5.5</v>
      </c>
      <c r="C57" s="15">
        <f>IFERROR(__xludf.DUMMYFUNCTION("""COMPUTED_VALUE"""),1.677952105427E12)</f>
        <v>1677952105427</v>
      </c>
      <c r="D57" s="15">
        <f>IFERROR(__xludf.DUMMYFUNCTION("""COMPUTED_VALUE"""),0.905383579530265)</f>
        <v>0.9053835795</v>
      </c>
      <c r="E57" s="15">
        <f>IFERROR(__xludf.DUMMYFUNCTION("""COMPUTED_VALUE"""),0.09231591530364)</f>
        <v>0.0923159153</v>
      </c>
      <c r="F57" s="15">
        <f>IFERROR(__xludf.DUMMYFUNCTION("""COMPUTED_VALUE"""),-0.409255009383591)</f>
        <v>-0.4092550094</v>
      </c>
      <c r="G57" s="15">
        <f>IFERROR(__xludf.DUMMYFUNCTION("""COMPUTED_VALUE"""),0.0653351589349112)</f>
        <v>0.06533515893</v>
      </c>
      <c r="H57" s="15">
        <f t="shared" si="1"/>
        <v>5314</v>
      </c>
    </row>
    <row r="58">
      <c r="B58" s="15">
        <f>IFERROR(__xludf.DUMMYFUNCTION("""COMPUTED_VALUE"""),5.6)</f>
        <v>5.6</v>
      </c>
      <c r="C58" s="15">
        <f>IFERROR(__xludf.DUMMYFUNCTION("""COMPUTED_VALUE"""),1.677952105535E12)</f>
        <v>1677952105535</v>
      </c>
      <c r="D58" s="15">
        <f>IFERROR(__xludf.DUMMYFUNCTION("""COMPUTED_VALUE"""),0.905383579530265)</f>
        <v>0.9053835795</v>
      </c>
      <c r="E58" s="15">
        <f>IFERROR(__xludf.DUMMYFUNCTION("""COMPUTED_VALUE"""),0.09231591530364)</f>
        <v>0.0923159153</v>
      </c>
      <c r="F58" s="15">
        <f>IFERROR(__xludf.DUMMYFUNCTION("""COMPUTED_VALUE"""),-0.409255009383591)</f>
        <v>-0.4092550094</v>
      </c>
      <c r="G58" s="15">
        <f>IFERROR(__xludf.DUMMYFUNCTION("""COMPUTED_VALUE"""),0.0653351589349112)</f>
        <v>0.06533515893</v>
      </c>
      <c r="H58" s="15">
        <f t="shared" si="1"/>
        <v>5422</v>
      </c>
    </row>
    <row r="59">
      <c r="B59" s="15">
        <f>IFERROR(__xludf.DUMMYFUNCTION("""COMPUTED_VALUE"""),5.7)</f>
        <v>5.7</v>
      </c>
      <c r="C59" s="15">
        <f>IFERROR(__xludf.DUMMYFUNCTION("""COMPUTED_VALUE"""),1.677952105692E12)</f>
        <v>1677952105692</v>
      </c>
      <c r="D59" s="15">
        <f>IFERROR(__xludf.DUMMYFUNCTION("""COMPUTED_VALUE"""),0.910023200389323)</f>
        <v>0.9100232004</v>
      </c>
      <c r="E59" s="15">
        <f>IFERROR(__xludf.DUMMYFUNCTION("""COMPUTED_VALUE"""),0.103013572410751)</f>
        <v>0.1030135724</v>
      </c>
      <c r="F59" s="15">
        <f>IFERROR(__xludf.DUMMYFUNCTION("""COMPUTED_VALUE"""),-0.399440555579289)</f>
        <v>-0.3994405556</v>
      </c>
      <c r="G59" s="15">
        <f>IFERROR(__xludf.DUMMYFUNCTION("""COMPUTED_VALUE"""),0.0411487692508116)</f>
        <v>0.04114876925</v>
      </c>
      <c r="H59" s="15">
        <f t="shared" si="1"/>
        <v>5579</v>
      </c>
    </row>
    <row r="60">
      <c r="B60" s="15">
        <f>IFERROR(__xludf.DUMMYFUNCTION("""COMPUTED_VALUE"""),5.8)</f>
        <v>5.8</v>
      </c>
      <c r="C60" s="15">
        <f>IFERROR(__xludf.DUMMYFUNCTION("""COMPUTED_VALUE"""),1.677952105779E12)</f>
        <v>1677952105779</v>
      </c>
      <c r="D60" s="15">
        <f>IFERROR(__xludf.DUMMYFUNCTION("""COMPUTED_VALUE"""),0.920461315951577)</f>
        <v>0.920461316</v>
      </c>
      <c r="E60" s="15">
        <f>IFERROR(__xludf.DUMMYFUNCTION("""COMPUTED_VALUE"""),0.177854786688572)</f>
        <v>0.1778547867</v>
      </c>
      <c r="F60" s="15">
        <f>IFERROR(__xludf.DUMMYFUNCTION("""COMPUTED_VALUE"""),-0.320719242841999)</f>
        <v>-0.3207192428</v>
      </c>
      <c r="G60" s="15">
        <f>IFERROR(__xludf.DUMMYFUNCTION("""COMPUTED_VALUE"""),-0.135121456325438)</f>
        <v>-0.1351214563</v>
      </c>
      <c r="H60" s="15">
        <f t="shared" si="1"/>
        <v>5666</v>
      </c>
    </row>
    <row r="61">
      <c r="B61" s="15">
        <f>IFERROR(__xludf.DUMMYFUNCTION("""COMPUTED_VALUE"""),5.9)</f>
        <v>5.9</v>
      </c>
      <c r="C61" s="15">
        <f>IFERROR(__xludf.DUMMYFUNCTION("""COMPUTED_VALUE"""),1.677952105841E12)</f>
        <v>1677952105841</v>
      </c>
      <c r="D61" s="15">
        <f>IFERROR(__xludf.DUMMYFUNCTION("""COMPUTED_VALUE"""),0.88585780345114)</f>
        <v>0.8858578035</v>
      </c>
      <c r="E61" s="15">
        <f>IFERROR(__xludf.DUMMYFUNCTION("""COMPUTED_VALUE"""),0.243718043273557)</f>
        <v>0.2437180433</v>
      </c>
      <c r="F61" s="15">
        <f>IFERROR(__xludf.DUMMYFUNCTION("""COMPUTED_VALUE"""),-0.241777728876984)</f>
        <v>-0.2417777289</v>
      </c>
      <c r="G61" s="15">
        <f>IFERROR(__xludf.DUMMYFUNCTION("""COMPUTED_VALUE"""),-0.312091328406791)</f>
        <v>-0.3120913284</v>
      </c>
      <c r="H61" s="15">
        <f t="shared" si="1"/>
        <v>5728</v>
      </c>
    </row>
    <row r="62">
      <c r="B62" s="15">
        <f>IFERROR(__xludf.DUMMYFUNCTION("""COMPUTED_VALUE"""),6.0)</f>
        <v>6</v>
      </c>
      <c r="C62" s="15">
        <f>IFERROR(__xludf.DUMMYFUNCTION("""COMPUTED_VALUE"""),1.677952105955E12)</f>
        <v>1677952105955</v>
      </c>
      <c r="D62" s="15">
        <f>IFERROR(__xludf.DUMMYFUNCTION("""COMPUTED_VALUE"""),0.822793585797569)</f>
        <v>0.8227935858</v>
      </c>
      <c r="E62" s="15">
        <f>IFERROR(__xludf.DUMMYFUNCTION("""COMPUTED_VALUE"""),0.289091253916982)</f>
        <v>0.2890912539</v>
      </c>
      <c r="F62" s="15">
        <f>IFERROR(__xludf.DUMMYFUNCTION("""COMPUTED_VALUE"""),-0.174114623616621)</f>
        <v>-0.1741146236</v>
      </c>
      <c r="G62" s="15">
        <f>IFERROR(__xludf.DUMMYFUNCTION("""COMPUTED_VALUE"""),-0.457297561683775)</f>
        <v>-0.4572975617</v>
      </c>
      <c r="H62" s="15">
        <f t="shared" si="1"/>
        <v>5842</v>
      </c>
    </row>
    <row r="63">
      <c r="B63" s="15">
        <f>IFERROR(__xludf.DUMMYFUNCTION("""COMPUTED_VALUE"""),6.1)</f>
        <v>6.1</v>
      </c>
      <c r="C63" s="15">
        <f>IFERROR(__xludf.DUMMYFUNCTION("""COMPUTED_VALUE"""),1.677952106052E12)</f>
        <v>1677952106052</v>
      </c>
      <c r="D63" s="15">
        <f>IFERROR(__xludf.DUMMYFUNCTION("""COMPUTED_VALUE"""),0.799411818760974)</f>
        <v>0.7994118188</v>
      </c>
      <c r="E63" s="15">
        <f>IFERROR(__xludf.DUMMYFUNCTION("""COMPUTED_VALUE"""),0.267366283650181)</f>
        <v>0.2673662837</v>
      </c>
      <c r="F63" s="15">
        <f>IFERROR(__xludf.DUMMYFUNCTION("""COMPUTED_VALUE"""),-0.210585111835363)</f>
        <v>-0.2105851118</v>
      </c>
      <c r="G63" s="15">
        <f>IFERROR(__xludf.DUMMYFUNCTION("""COMPUTED_VALUE"""),-0.495085775462847)</f>
        <v>-0.4950857755</v>
      </c>
      <c r="H63" s="15">
        <f t="shared" si="1"/>
        <v>5939</v>
      </c>
    </row>
    <row r="64">
      <c r="B64" s="15">
        <f>IFERROR(__xludf.DUMMYFUNCTION("""COMPUTED_VALUE"""),6.2)</f>
        <v>6.2</v>
      </c>
      <c r="C64" s="15">
        <f>IFERROR(__xludf.DUMMYFUNCTION("""COMPUTED_VALUE"""),1.677952106173E12)</f>
        <v>1677952106173</v>
      </c>
      <c r="D64" s="15">
        <f>IFERROR(__xludf.DUMMYFUNCTION("""COMPUTED_VALUE"""),0.768647905470137)</f>
        <v>0.7686479055</v>
      </c>
      <c r="E64" s="15">
        <f>IFERROR(__xludf.DUMMYFUNCTION("""COMPUTED_VALUE"""),0.202380636107582)</f>
        <v>0.2023806361</v>
      </c>
      <c r="F64" s="15">
        <f>IFERROR(__xludf.DUMMYFUNCTION("""COMPUTED_VALUE"""),-0.310162754447236)</f>
        <v>-0.3101627544</v>
      </c>
      <c r="G64" s="15">
        <f>IFERROR(__xludf.DUMMYFUNCTION("""COMPUTED_VALUE"""),-0.521556843784801)</f>
        <v>-0.5215568438</v>
      </c>
      <c r="H64" s="15">
        <f t="shared" si="1"/>
        <v>6060</v>
      </c>
    </row>
    <row r="65">
      <c r="B65" s="15">
        <f>IFERROR(__xludf.DUMMYFUNCTION("""COMPUTED_VALUE"""),6.3)</f>
        <v>6.3</v>
      </c>
      <c r="C65" s="15">
        <f>IFERROR(__xludf.DUMMYFUNCTION("""COMPUTED_VALUE"""),1.67795210628E12)</f>
        <v>1677952106280</v>
      </c>
      <c r="D65" s="15">
        <f>IFERROR(__xludf.DUMMYFUNCTION("""COMPUTED_VALUE"""),0.899754034628604)</f>
        <v>0.8997540346</v>
      </c>
      <c r="E65" s="15">
        <f>IFERROR(__xludf.DUMMYFUNCTION("""COMPUTED_VALUE"""),0.255172188927408)</f>
        <v>0.2551721889</v>
      </c>
      <c r="F65" s="15">
        <f>IFERROR(__xludf.DUMMYFUNCTION("""COMPUTED_VALUE"""),-0.149136126181235)</f>
        <v>-0.1491361262</v>
      </c>
      <c r="G65" s="15">
        <f>IFERROR(__xludf.DUMMYFUNCTION("""COMPUTED_VALUE"""),-0.321073585078555)</f>
        <v>-0.3210735851</v>
      </c>
      <c r="H65" s="15">
        <f t="shared" si="1"/>
        <v>6167</v>
      </c>
    </row>
    <row r="66">
      <c r="B66" s="15">
        <f>IFERROR(__xludf.DUMMYFUNCTION("""COMPUTED_VALUE"""),6.4)</f>
        <v>6.4</v>
      </c>
      <c r="C66" s="15">
        <f>IFERROR(__xludf.DUMMYFUNCTION("""COMPUTED_VALUE"""),1.677952106332E12)</f>
        <v>1677952106332</v>
      </c>
      <c r="D66" s="15">
        <f>IFERROR(__xludf.DUMMYFUNCTION("""COMPUTED_VALUE"""),0.930313093482192)</f>
        <v>0.9303130935</v>
      </c>
      <c r="E66" s="15">
        <f>IFERROR(__xludf.DUMMYFUNCTION("""COMPUTED_VALUE"""),0.29918743960777)</f>
        <v>0.2991874396</v>
      </c>
      <c r="F66" s="15">
        <f>IFERROR(__xludf.DUMMYFUNCTION("""COMPUTED_VALUE"""),0.00301856177316251)</f>
        <v>0.003018561773</v>
      </c>
      <c r="G66" s="15">
        <f>IFERROR(__xludf.DUMMYFUNCTION("""COMPUTED_VALUE"""),-0.21212098519798)</f>
        <v>-0.2121209852</v>
      </c>
      <c r="H66" s="15">
        <f t="shared" si="1"/>
        <v>6219</v>
      </c>
    </row>
    <row r="67">
      <c r="B67" s="15">
        <f>IFERROR(__xludf.DUMMYFUNCTION("""COMPUTED_VALUE"""),6.5)</f>
        <v>6.5</v>
      </c>
      <c r="C67" s="15">
        <f>IFERROR(__xludf.DUMMYFUNCTION("""COMPUTED_VALUE"""),1.677952106446E12)</f>
        <v>1677952106446</v>
      </c>
      <c r="D67" s="15">
        <f>IFERROR(__xludf.DUMMYFUNCTION("""COMPUTED_VALUE"""),0.885948050666665)</f>
        <v>0.8859480507</v>
      </c>
      <c r="E67" s="15">
        <f>IFERROR(__xludf.DUMMYFUNCTION("""COMPUTED_VALUE"""),0.347386537483502)</f>
        <v>0.3473865375</v>
      </c>
      <c r="F67" s="15">
        <f>IFERROR(__xludf.DUMMYFUNCTION("""COMPUTED_VALUE"""),0.297046389793199)</f>
        <v>0.2970463898</v>
      </c>
      <c r="G67" s="15">
        <f>IFERROR(__xludf.DUMMYFUNCTION("""COMPUTED_VALUE"""),-0.0786262513794496)</f>
        <v>-0.07862625138</v>
      </c>
      <c r="H67" s="15">
        <f t="shared" si="1"/>
        <v>6333</v>
      </c>
    </row>
    <row r="68">
      <c r="B68" s="15">
        <f>IFERROR(__xludf.DUMMYFUNCTION("""COMPUTED_VALUE"""),6.6)</f>
        <v>6.6</v>
      </c>
      <c r="C68" s="15">
        <f>IFERROR(__xludf.DUMMYFUNCTION("""COMPUTED_VALUE"""),1.677952106543E12)</f>
        <v>1677952106543</v>
      </c>
      <c r="D68" s="15">
        <f>IFERROR(__xludf.DUMMYFUNCTION("""COMPUTED_VALUE"""),0.839276373650781)</f>
        <v>0.8392763737</v>
      </c>
      <c r="E68" s="15">
        <f>IFERROR(__xludf.DUMMYFUNCTION("""COMPUTED_VALUE"""),0.350786297491951)</f>
        <v>0.3507862975</v>
      </c>
      <c r="F68" s="15">
        <f>IFERROR(__xludf.DUMMYFUNCTION("""COMPUTED_VALUE"""),0.413136294769207)</f>
        <v>0.4131362948</v>
      </c>
      <c r="G68" s="15">
        <f>IFERROR(__xludf.DUMMYFUNCTION("""COMPUTED_VALUE"""),-0.043388294133919)</f>
        <v>-0.04338829413</v>
      </c>
      <c r="H68" s="15">
        <f t="shared" si="1"/>
        <v>6430</v>
      </c>
    </row>
    <row r="69">
      <c r="B69" s="15">
        <f>IFERROR(__xludf.DUMMYFUNCTION("""COMPUTED_VALUE"""),6.7)</f>
        <v>6.7</v>
      </c>
      <c r="C69" s="15">
        <f>IFERROR(__xludf.DUMMYFUNCTION("""COMPUTED_VALUE"""),1.677952106614E12)</f>
        <v>1677952106614</v>
      </c>
      <c r="D69" s="15">
        <f>IFERROR(__xludf.DUMMYFUNCTION("""COMPUTED_VALUE"""),0.814683923398169)</f>
        <v>0.8146839234</v>
      </c>
      <c r="E69" s="15">
        <f>IFERROR(__xludf.DUMMYFUNCTION("""COMPUTED_VALUE"""),0.347880328464119)</f>
        <v>0.3478803285</v>
      </c>
      <c r="F69" s="15">
        <f>IFERROR(__xludf.DUMMYFUNCTION("""COMPUTED_VALUE"""),0.46272448258646)</f>
        <v>0.4627244826</v>
      </c>
      <c r="G69" s="15">
        <f>IFERROR(__xludf.DUMMYFUNCTION("""COMPUTED_VALUE"""),-0.0339916936817571)</f>
        <v>-0.03399169368</v>
      </c>
      <c r="H69" s="15">
        <f t="shared" si="1"/>
        <v>6501</v>
      </c>
    </row>
    <row r="70">
      <c r="B70" s="15">
        <f>IFERROR(__xludf.DUMMYFUNCTION("""COMPUTED_VALUE"""),6.8)</f>
        <v>6.8</v>
      </c>
      <c r="C70" s="15">
        <f>IFERROR(__xludf.DUMMYFUNCTION("""COMPUTED_VALUE"""),1.677952106734E12)</f>
        <v>1677952106734</v>
      </c>
      <c r="D70" s="15">
        <f>IFERROR(__xludf.DUMMYFUNCTION("""COMPUTED_VALUE"""),0.787176590782413)</f>
        <v>0.7871765908</v>
      </c>
      <c r="E70" s="15">
        <f>IFERROR(__xludf.DUMMYFUNCTION("""COMPUTED_VALUE"""),0.340140166463109)</f>
        <v>0.3401401665</v>
      </c>
      <c r="F70" s="15">
        <f>IFERROR(__xludf.DUMMYFUNCTION("""COMPUTED_VALUE"""),0.513523855518316)</f>
        <v>0.5135238555</v>
      </c>
      <c r="G70" s="15">
        <f>IFERROR(__xludf.DUMMYFUNCTION("""COMPUTED_VALUE"""),-0.0308371836623738)</f>
        <v>-0.03083718366</v>
      </c>
      <c r="H70" s="15">
        <f t="shared" si="1"/>
        <v>6621</v>
      </c>
    </row>
    <row r="71">
      <c r="B71" s="15">
        <f>IFERROR(__xludf.DUMMYFUNCTION("""COMPUTED_VALUE"""),6.9)</f>
        <v>6.9</v>
      </c>
      <c r="C71" s="15">
        <f>IFERROR(__xludf.DUMMYFUNCTION("""COMPUTED_VALUE"""),1.677952106842E12)</f>
        <v>1677952106842</v>
      </c>
      <c r="D71" s="15">
        <f>IFERROR(__xludf.DUMMYFUNCTION("""COMPUTED_VALUE"""),0.765492064261437)</f>
        <v>0.7654920643</v>
      </c>
      <c r="E71" s="15">
        <f>IFERROR(__xludf.DUMMYFUNCTION("""COMPUTED_VALUE"""),0.328838343320175)</f>
        <v>0.3288383433</v>
      </c>
      <c r="F71" s="15">
        <f>IFERROR(__xludf.DUMMYFUNCTION("""COMPUTED_VALUE"""),0.551900917601926)</f>
        <v>0.5519009176</v>
      </c>
      <c r="G71" s="15">
        <f>IFERROR(__xludf.DUMMYFUNCTION("""COMPUTED_VALUE"""),-0.0359530341606583)</f>
        <v>-0.03595303416</v>
      </c>
      <c r="H71" s="15">
        <f t="shared" si="1"/>
        <v>6729</v>
      </c>
    </row>
    <row r="72">
      <c r="B72" s="15">
        <f>IFERROR(__xludf.DUMMYFUNCTION("""COMPUTED_VALUE"""),7.0)</f>
        <v>7</v>
      </c>
      <c r="C72" s="15">
        <f>IFERROR(__xludf.DUMMYFUNCTION("""COMPUTED_VALUE"""),1.677952106944E12)</f>
        <v>1677952106944</v>
      </c>
      <c r="D72" s="15">
        <f>IFERROR(__xludf.DUMMYFUNCTION("""COMPUTED_VALUE"""),0.753701983392859)</f>
        <v>0.7537019834</v>
      </c>
      <c r="E72" s="15">
        <f>IFERROR(__xludf.DUMMYFUNCTION("""COMPUTED_VALUE"""),0.318475950197921)</f>
        <v>0.3184759502</v>
      </c>
      <c r="F72" s="15">
        <f>IFERROR(__xludf.DUMMYFUNCTION("""COMPUTED_VALUE"""),0.573177004687101)</f>
        <v>0.5731770047</v>
      </c>
      <c r="G72" s="15">
        <f>IFERROR(__xludf.DUMMYFUNCTION("""COMPUTED_VALUE"""),-0.0444354663880475)</f>
        <v>-0.04443546639</v>
      </c>
      <c r="H72" s="15">
        <f t="shared" si="1"/>
        <v>6831</v>
      </c>
    </row>
    <row r="73">
      <c r="B73" s="15">
        <f>IFERROR(__xludf.DUMMYFUNCTION("""COMPUTED_VALUE"""),7.1)</f>
        <v>7.1</v>
      </c>
      <c r="C73" s="15">
        <f>IFERROR(__xludf.DUMMYFUNCTION("""COMPUTED_VALUE"""),1.677952107015E12)</f>
        <v>1677952107015</v>
      </c>
      <c r="D73" s="15">
        <f>IFERROR(__xludf.DUMMYFUNCTION("""COMPUTED_VALUE"""),0.753701983392859)</f>
        <v>0.7537019834</v>
      </c>
      <c r="E73" s="15">
        <f>IFERROR(__xludf.DUMMYFUNCTION("""COMPUTED_VALUE"""),0.318475950197921)</f>
        <v>0.3184759502</v>
      </c>
      <c r="F73" s="15">
        <f>IFERROR(__xludf.DUMMYFUNCTION("""COMPUTED_VALUE"""),0.573177004687101)</f>
        <v>0.5731770047</v>
      </c>
      <c r="G73" s="15">
        <f>IFERROR(__xludf.DUMMYFUNCTION("""COMPUTED_VALUE"""),-0.0444354663880475)</f>
        <v>-0.04443546639</v>
      </c>
      <c r="H73" s="15">
        <f t="shared" si="1"/>
        <v>6902</v>
      </c>
    </row>
    <row r="74">
      <c r="B74" s="15">
        <f>IFERROR(__xludf.DUMMYFUNCTION("""COMPUTED_VALUE"""),7.2)</f>
        <v>7.2</v>
      </c>
      <c r="C74" s="15">
        <f>IFERROR(__xludf.DUMMYFUNCTION("""COMPUTED_VALUE"""),1.677952107119E12)</f>
        <v>1677952107119</v>
      </c>
      <c r="D74" s="15">
        <f>IFERROR(__xludf.DUMMYFUNCTION("""COMPUTED_VALUE"""),0.753701983392859)</f>
        <v>0.7537019834</v>
      </c>
      <c r="E74" s="15">
        <f>IFERROR(__xludf.DUMMYFUNCTION("""COMPUTED_VALUE"""),0.318475950197921)</f>
        <v>0.3184759502</v>
      </c>
      <c r="F74" s="15">
        <f>IFERROR(__xludf.DUMMYFUNCTION("""COMPUTED_VALUE"""),0.573177004687101)</f>
        <v>0.5731770047</v>
      </c>
      <c r="G74" s="15">
        <f>IFERROR(__xludf.DUMMYFUNCTION("""COMPUTED_VALUE"""),-0.0444354663880475)</f>
        <v>-0.04443546639</v>
      </c>
      <c r="H74" s="15">
        <f t="shared" si="1"/>
        <v>7006</v>
      </c>
    </row>
    <row r="75">
      <c r="B75" s="15">
        <f>IFERROR(__xludf.DUMMYFUNCTION("""COMPUTED_VALUE"""),7.3)</f>
        <v>7.3</v>
      </c>
      <c r="C75" s="15">
        <f>IFERROR(__xludf.DUMMYFUNCTION("""COMPUTED_VALUE"""),1.677952107223E12)</f>
        <v>1677952107223</v>
      </c>
      <c r="D75" s="15">
        <f>IFERROR(__xludf.DUMMYFUNCTION("""COMPUTED_VALUE"""),0.753701983392859)</f>
        <v>0.7537019834</v>
      </c>
      <c r="E75" s="15">
        <f>IFERROR(__xludf.DUMMYFUNCTION("""COMPUTED_VALUE"""),0.318475950197921)</f>
        <v>0.3184759502</v>
      </c>
      <c r="F75" s="15">
        <f>IFERROR(__xludf.DUMMYFUNCTION("""COMPUTED_VALUE"""),0.573177004687101)</f>
        <v>0.5731770047</v>
      </c>
      <c r="G75" s="15">
        <f>IFERROR(__xludf.DUMMYFUNCTION("""COMPUTED_VALUE"""),-0.0444354663880475)</f>
        <v>-0.04443546639</v>
      </c>
      <c r="H75" s="15">
        <f t="shared" si="1"/>
        <v>7110</v>
      </c>
    </row>
    <row r="76">
      <c r="B76" s="15">
        <f>IFERROR(__xludf.DUMMYFUNCTION("""COMPUTED_VALUE"""),7.4)</f>
        <v>7.4</v>
      </c>
      <c r="C76" s="15">
        <f>IFERROR(__xludf.DUMMYFUNCTION("""COMPUTED_VALUE"""),1.677952107327E12)</f>
        <v>1677952107327</v>
      </c>
      <c r="D76" s="15">
        <f>IFERROR(__xludf.DUMMYFUNCTION("""COMPUTED_VALUE"""),0.753701983392859)</f>
        <v>0.7537019834</v>
      </c>
      <c r="E76" s="15">
        <f>IFERROR(__xludf.DUMMYFUNCTION("""COMPUTED_VALUE"""),0.318475950197921)</f>
        <v>0.3184759502</v>
      </c>
      <c r="F76" s="15">
        <f>IFERROR(__xludf.DUMMYFUNCTION("""COMPUTED_VALUE"""),0.573177004687101)</f>
        <v>0.5731770047</v>
      </c>
      <c r="G76" s="15">
        <f>IFERROR(__xludf.DUMMYFUNCTION("""COMPUTED_VALUE"""),-0.0444354663880475)</f>
        <v>-0.04443546639</v>
      </c>
      <c r="H76" s="15">
        <f t="shared" si="1"/>
        <v>7214</v>
      </c>
    </row>
    <row r="77">
      <c r="B77" s="15">
        <f>IFERROR(__xludf.DUMMYFUNCTION("""COMPUTED_VALUE"""),7.5)</f>
        <v>7.5</v>
      </c>
      <c r="C77" s="15">
        <f>IFERROR(__xludf.DUMMYFUNCTION("""COMPUTED_VALUE"""),1.677952107431E12)</f>
        <v>1677952107431</v>
      </c>
      <c r="D77" s="15">
        <f>IFERROR(__xludf.DUMMYFUNCTION("""COMPUTED_VALUE"""),0.753701983392859)</f>
        <v>0.7537019834</v>
      </c>
      <c r="E77" s="15">
        <f>IFERROR(__xludf.DUMMYFUNCTION("""COMPUTED_VALUE"""),0.318475950197921)</f>
        <v>0.3184759502</v>
      </c>
      <c r="F77" s="15">
        <f>IFERROR(__xludf.DUMMYFUNCTION("""COMPUTED_VALUE"""),0.573177004687101)</f>
        <v>0.5731770047</v>
      </c>
      <c r="G77" s="15">
        <f>IFERROR(__xludf.DUMMYFUNCTION("""COMPUTED_VALUE"""),-0.0444354663880475)</f>
        <v>-0.04443546639</v>
      </c>
      <c r="H77" s="15">
        <f t="shared" si="1"/>
        <v>7318</v>
      </c>
    </row>
    <row r="78">
      <c r="B78" s="15">
        <f>IFERROR(__xludf.DUMMYFUNCTION("""COMPUTED_VALUE"""),7.6)</f>
        <v>7.6</v>
      </c>
      <c r="C78" s="15">
        <f>IFERROR(__xludf.DUMMYFUNCTION("""COMPUTED_VALUE"""),1.677952107543E12)</f>
        <v>1677952107543</v>
      </c>
      <c r="D78" s="15">
        <f>IFERROR(__xludf.DUMMYFUNCTION("""COMPUTED_VALUE"""),0.753701983392859)</f>
        <v>0.7537019834</v>
      </c>
      <c r="E78" s="15">
        <f>IFERROR(__xludf.DUMMYFUNCTION("""COMPUTED_VALUE"""),0.318475950197921)</f>
        <v>0.3184759502</v>
      </c>
      <c r="F78" s="15">
        <f>IFERROR(__xludf.DUMMYFUNCTION("""COMPUTED_VALUE"""),0.573177004687101)</f>
        <v>0.5731770047</v>
      </c>
      <c r="G78" s="15">
        <f>IFERROR(__xludf.DUMMYFUNCTION("""COMPUTED_VALUE"""),-0.0444354663880475)</f>
        <v>-0.04443546639</v>
      </c>
      <c r="H78" s="15">
        <f t="shared" si="1"/>
        <v>7430</v>
      </c>
    </row>
    <row r="79">
      <c r="B79" s="15">
        <f>IFERROR(__xludf.DUMMYFUNCTION("""COMPUTED_VALUE"""),7.7)</f>
        <v>7.7</v>
      </c>
      <c r="C79" s="15">
        <f>IFERROR(__xludf.DUMMYFUNCTION("""COMPUTED_VALUE"""),1.677952107647E12)</f>
        <v>1677952107647</v>
      </c>
      <c r="D79" s="15">
        <f>IFERROR(__xludf.DUMMYFUNCTION("""COMPUTED_VALUE"""),0.753701983392859)</f>
        <v>0.7537019834</v>
      </c>
      <c r="E79" s="15">
        <f>IFERROR(__xludf.DUMMYFUNCTION("""COMPUTED_VALUE"""),0.318475950197921)</f>
        <v>0.3184759502</v>
      </c>
      <c r="F79" s="15">
        <f>IFERROR(__xludf.DUMMYFUNCTION("""COMPUTED_VALUE"""),0.573177004687101)</f>
        <v>0.5731770047</v>
      </c>
      <c r="G79" s="15">
        <f>IFERROR(__xludf.DUMMYFUNCTION("""COMPUTED_VALUE"""),-0.0444354663880475)</f>
        <v>-0.04443546639</v>
      </c>
      <c r="H79" s="15">
        <f t="shared" si="1"/>
        <v>7534</v>
      </c>
    </row>
    <row r="80">
      <c r="B80" s="15">
        <f>IFERROR(__xludf.DUMMYFUNCTION("""COMPUTED_VALUE"""),7.8)</f>
        <v>7.8</v>
      </c>
      <c r="C80" s="15">
        <f>IFERROR(__xludf.DUMMYFUNCTION("""COMPUTED_VALUE"""),1.677952107751E12)</f>
        <v>1677952107751</v>
      </c>
      <c r="D80" s="15">
        <f>IFERROR(__xludf.DUMMYFUNCTION("""COMPUTED_VALUE"""),0.753701983392859)</f>
        <v>0.7537019834</v>
      </c>
      <c r="E80" s="15">
        <f>IFERROR(__xludf.DUMMYFUNCTION("""COMPUTED_VALUE"""),0.318475950197921)</f>
        <v>0.3184759502</v>
      </c>
      <c r="F80" s="15">
        <f>IFERROR(__xludf.DUMMYFUNCTION("""COMPUTED_VALUE"""),0.573177004687101)</f>
        <v>0.5731770047</v>
      </c>
      <c r="G80" s="15">
        <f>IFERROR(__xludf.DUMMYFUNCTION("""COMPUTED_VALUE"""),-0.0444354663880475)</f>
        <v>-0.04443546639</v>
      </c>
      <c r="H80" s="15">
        <f t="shared" si="1"/>
        <v>7638</v>
      </c>
    </row>
    <row r="81">
      <c r="B81" s="15">
        <f>IFERROR(__xludf.DUMMYFUNCTION("""COMPUTED_VALUE"""),7.9)</f>
        <v>7.9</v>
      </c>
      <c r="C81" s="15">
        <f>IFERROR(__xludf.DUMMYFUNCTION("""COMPUTED_VALUE"""),1.677952107959E12)</f>
        <v>1677952107959</v>
      </c>
      <c r="D81" s="15">
        <f>IFERROR(__xludf.DUMMYFUNCTION("""COMPUTED_VALUE"""),0.610515714144907)</f>
        <v>0.6105157141</v>
      </c>
      <c r="E81" s="15">
        <f>IFERROR(__xludf.DUMMYFUNCTION("""COMPUTED_VALUE"""),0.320499314914418)</f>
        <v>0.3204993149</v>
      </c>
      <c r="F81" s="15">
        <f>IFERROR(__xludf.DUMMYFUNCTION("""COMPUTED_VALUE"""),0.723788036136644)</f>
        <v>0.7237880361</v>
      </c>
      <c r="G81" s="15">
        <f>IFERROR(__xludf.DUMMYFUNCTION("""COMPUTED_VALUE"""),0.0261080575106748)</f>
        <v>0.02610805751</v>
      </c>
      <c r="H81" s="15">
        <f t="shared" si="1"/>
        <v>7846</v>
      </c>
    </row>
    <row r="82">
      <c r="B82" s="15">
        <f>IFERROR(__xludf.DUMMYFUNCTION("""COMPUTED_VALUE"""),8.0)</f>
        <v>8</v>
      </c>
      <c r="C82" s="15">
        <f>IFERROR(__xludf.DUMMYFUNCTION("""COMPUTED_VALUE"""),1.677952108007E12)</f>
        <v>1677952108007</v>
      </c>
      <c r="D82" s="15">
        <f>IFERROR(__xludf.DUMMYFUNCTION("""COMPUTED_VALUE"""),0.560872395537433)</f>
        <v>0.5608723955</v>
      </c>
      <c r="E82" s="15">
        <f>IFERROR(__xludf.DUMMYFUNCTION("""COMPUTED_VALUE"""),0.318043739257615)</f>
        <v>0.3180437393</v>
      </c>
      <c r="F82" s="15">
        <f>IFERROR(__xludf.DUMMYFUNCTION("""COMPUTED_VALUE"""),0.762902821069963)</f>
        <v>0.7629028211</v>
      </c>
      <c r="G82" s="15">
        <f>IFERROR(__xludf.DUMMYFUNCTION("""COMPUTED_VALUE"""),0.0474301744317493)</f>
        <v>0.04743017443</v>
      </c>
      <c r="H82" s="15">
        <f t="shared" si="1"/>
        <v>7894</v>
      </c>
    </row>
    <row r="83">
      <c r="B83" s="15">
        <f>IFERROR(__xludf.DUMMYFUNCTION("""COMPUTED_VALUE"""),8.1)</f>
        <v>8.1</v>
      </c>
      <c r="C83" s="15">
        <f>IFERROR(__xludf.DUMMYFUNCTION("""COMPUTED_VALUE"""),1.677952108077E12)</f>
        <v>1677952108077</v>
      </c>
      <c r="D83" s="15">
        <f>IFERROR(__xludf.DUMMYFUNCTION("""COMPUTED_VALUE"""),0.509095238749289)</f>
        <v>0.5090952387</v>
      </c>
      <c r="E83" s="15">
        <f>IFERROR(__xludf.DUMMYFUNCTION("""COMPUTED_VALUE"""),0.30815952170493)</f>
        <v>0.3081595217</v>
      </c>
      <c r="F83" s="15">
        <f>IFERROR(__xludf.DUMMYFUNCTION("""COMPUTED_VALUE"""),0.801088537733625)</f>
        <v>0.8010885377</v>
      </c>
      <c r="G83" s="15">
        <f>IFERROR(__xludf.DUMMYFUNCTION("""COMPUTED_VALUE"""),0.0641630873414968)</f>
        <v>0.06416308734</v>
      </c>
      <c r="H83" s="15">
        <f t="shared" si="1"/>
        <v>7964</v>
      </c>
    </row>
    <row r="84">
      <c r="B84" s="15">
        <f>IFERROR(__xludf.DUMMYFUNCTION("""COMPUTED_VALUE"""),8.2)</f>
        <v>8.2</v>
      </c>
      <c r="C84" s="15">
        <f>IFERROR(__xludf.DUMMYFUNCTION("""COMPUTED_VALUE"""),1.677952108169E12)</f>
        <v>1677952108169</v>
      </c>
      <c r="D84" s="15">
        <f>IFERROR(__xludf.DUMMYFUNCTION("""COMPUTED_VALUE"""),0.405662115353865)</f>
        <v>0.4056621154</v>
      </c>
      <c r="E84" s="15">
        <f>IFERROR(__xludf.DUMMYFUNCTION("""COMPUTED_VALUE"""),0.285039717047261)</f>
        <v>0.285039717</v>
      </c>
      <c r="F84" s="15">
        <f>IFERROR(__xludf.DUMMYFUNCTION("""COMPUTED_VALUE"""),0.863296142792908)</f>
        <v>0.8632961428</v>
      </c>
      <c r="G84" s="15">
        <f>IFERROR(__xludf.DUMMYFUNCTION("""COMPUTED_VALUE"""),0.0943947970553934)</f>
        <v>0.09439479706</v>
      </c>
      <c r="H84" s="15">
        <f t="shared" si="1"/>
        <v>8056</v>
      </c>
    </row>
    <row r="85">
      <c r="B85" s="15">
        <f>IFERROR(__xludf.DUMMYFUNCTION("""COMPUTED_VALUE"""),8.3)</f>
        <v>8.3</v>
      </c>
      <c r="C85" s="15">
        <f>IFERROR(__xludf.DUMMYFUNCTION("""COMPUTED_VALUE"""),1.677952108267E12)</f>
        <v>1677952108267</v>
      </c>
      <c r="D85" s="15">
        <f>IFERROR(__xludf.DUMMYFUNCTION("""COMPUTED_VALUE"""),0.213802731949459)</f>
        <v>0.2138027319</v>
      </c>
      <c r="E85" s="15">
        <f>IFERROR(__xludf.DUMMYFUNCTION("""COMPUTED_VALUE"""),0.265953046206957)</f>
        <v>0.2659530462</v>
      </c>
      <c r="F85" s="15">
        <f>IFERROR(__xludf.DUMMYFUNCTION("""COMPUTED_VALUE"""),0.927208136106178)</f>
        <v>0.9272081361</v>
      </c>
      <c r="G85" s="15">
        <f>IFERROR(__xludf.DUMMYFUNCTION("""COMPUTED_VALUE"""),0.154409978183707)</f>
        <v>0.1544099782</v>
      </c>
      <c r="H85" s="15">
        <f t="shared" si="1"/>
        <v>8154</v>
      </c>
    </row>
    <row r="86">
      <c r="B86" s="15">
        <f>IFERROR(__xludf.DUMMYFUNCTION("""COMPUTED_VALUE"""),8.4)</f>
        <v>8.4</v>
      </c>
      <c r="C86" s="15">
        <f>IFERROR(__xludf.DUMMYFUNCTION("""COMPUTED_VALUE"""),1.67795210838E12)</f>
        <v>1677952108380</v>
      </c>
      <c r="D86" s="15">
        <f>IFERROR(__xludf.DUMMYFUNCTION("""COMPUTED_VALUE"""),-0.134062762198343)</f>
        <v>-0.1340627622</v>
      </c>
      <c r="E86" s="15">
        <f>IFERROR(__xludf.DUMMYFUNCTION("""COMPUTED_VALUE"""),0.236085951829181)</f>
        <v>0.2360859518</v>
      </c>
      <c r="F86" s="15">
        <f>IFERROR(__xludf.DUMMYFUNCTION("""COMPUTED_VALUE"""),0.929071707842023)</f>
        <v>0.9290717078</v>
      </c>
      <c r="G86" s="15">
        <f>IFERROR(__xludf.DUMMYFUNCTION("""COMPUTED_VALUE"""),0.251229697345209)</f>
        <v>0.2512296973</v>
      </c>
      <c r="H86" s="15">
        <f t="shared" si="1"/>
        <v>8267</v>
      </c>
    </row>
    <row r="87">
      <c r="B87" s="15">
        <f>IFERROR(__xludf.DUMMYFUNCTION("""COMPUTED_VALUE"""),8.5)</f>
        <v>8.5</v>
      </c>
      <c r="C87" s="15">
        <f>IFERROR(__xludf.DUMMYFUNCTION("""COMPUTED_VALUE"""),1.677952108476E12)</f>
        <v>1677952108476</v>
      </c>
      <c r="D87" s="15">
        <f>IFERROR(__xludf.DUMMYFUNCTION("""COMPUTED_VALUE"""),-0.360901665703031)</f>
        <v>-0.3609016657</v>
      </c>
      <c r="E87" s="15">
        <f>IFERROR(__xludf.DUMMYFUNCTION("""COMPUTED_VALUE"""),0.166190594697026)</f>
        <v>0.1661905947</v>
      </c>
      <c r="F87" s="15">
        <f>IFERROR(__xludf.DUMMYFUNCTION("""COMPUTED_VALUE"""),0.866543161194825)</f>
        <v>0.8665431612</v>
      </c>
      <c r="G87" s="15">
        <f>IFERROR(__xludf.DUMMYFUNCTION("""COMPUTED_VALUE"""),0.302049041901318)</f>
        <v>0.3020490419</v>
      </c>
      <c r="H87" s="15">
        <f t="shared" si="1"/>
        <v>8363</v>
      </c>
    </row>
    <row r="88">
      <c r="B88" s="15">
        <f>IFERROR(__xludf.DUMMYFUNCTION("""COMPUTED_VALUE"""),8.6)</f>
        <v>8.6</v>
      </c>
      <c r="C88" s="15">
        <f>IFERROR(__xludf.DUMMYFUNCTION("""COMPUTED_VALUE"""),1.677952108567E12)</f>
        <v>1677952108567</v>
      </c>
      <c r="D88" s="15">
        <f>IFERROR(__xludf.DUMMYFUNCTION("""COMPUTED_VALUE"""),-0.553649110719748)</f>
        <v>-0.5536491107</v>
      </c>
      <c r="E88" s="15">
        <f>IFERROR(__xludf.DUMMYFUNCTION("""COMPUTED_VALUE"""),0.0834578161614822)</f>
        <v>0.08345781616</v>
      </c>
      <c r="F88" s="15">
        <f>IFERROR(__xludf.DUMMYFUNCTION("""COMPUTED_VALUE"""),0.757098081211961)</f>
        <v>0.7570980812</v>
      </c>
      <c r="G88" s="15">
        <f>IFERROR(__xludf.DUMMYFUNCTION("""COMPUTED_VALUE"""),0.336615434206385)</f>
        <v>0.3366154342</v>
      </c>
      <c r="H88" s="15">
        <f t="shared" si="1"/>
        <v>8454</v>
      </c>
    </row>
    <row r="89">
      <c r="B89" s="15">
        <f>IFERROR(__xludf.DUMMYFUNCTION("""COMPUTED_VALUE"""),8.7)</f>
        <v>8.7</v>
      </c>
      <c r="C89" s="15">
        <f>IFERROR(__xludf.DUMMYFUNCTION("""COMPUTED_VALUE"""),1.677952108663E12)</f>
        <v>1677952108663</v>
      </c>
      <c r="D89" s="15">
        <f>IFERROR(__xludf.DUMMYFUNCTION("""COMPUTED_VALUE"""),0.689941166322415)</f>
        <v>0.6899411663</v>
      </c>
      <c r="E89" s="15">
        <f>IFERROR(__xludf.DUMMYFUNCTION("""COMPUTED_VALUE"""),0.00468400164488716)</f>
        <v>0.004684001645</v>
      </c>
      <c r="F89" s="15">
        <f>IFERROR(__xludf.DUMMYFUNCTION("""COMPUTED_VALUE"""),-0.627541457641953)</f>
        <v>-0.6275414576</v>
      </c>
      <c r="G89" s="15">
        <f>IFERROR(__xludf.DUMMYFUNCTION("""COMPUTED_VALUE"""),-0.360764419092109)</f>
        <v>-0.3607644191</v>
      </c>
      <c r="H89" s="15">
        <f t="shared" si="1"/>
        <v>8550</v>
      </c>
    </row>
    <row r="90">
      <c r="B90" s="15">
        <f>IFERROR(__xludf.DUMMYFUNCTION("""COMPUTED_VALUE"""),8.8)</f>
        <v>8.8</v>
      </c>
      <c r="C90" s="15">
        <f>IFERROR(__xludf.DUMMYFUNCTION("""COMPUTED_VALUE"""),1.677952108758E12)</f>
        <v>1677952108758</v>
      </c>
      <c r="D90" s="15">
        <f>IFERROR(__xludf.DUMMYFUNCTION("""COMPUTED_VALUE"""),0.772200764517732)</f>
        <v>0.7722007645</v>
      </c>
      <c r="E90" s="15">
        <f>IFERROR(__xludf.DUMMYFUNCTION("""COMPUTED_VALUE"""),0.100926681317241)</f>
        <v>0.1009266813</v>
      </c>
      <c r="F90" s="15">
        <f>IFERROR(__xludf.DUMMYFUNCTION("""COMPUTED_VALUE"""),-0.492215342191065)</f>
        <v>-0.4922153422</v>
      </c>
      <c r="G90" s="15">
        <f>IFERROR(__xludf.DUMMYFUNCTION("""COMPUTED_VALUE"""),-0.388900811503715)</f>
        <v>-0.3889008115</v>
      </c>
      <c r="H90" s="15">
        <f t="shared" si="1"/>
        <v>8645</v>
      </c>
    </row>
    <row r="91">
      <c r="B91" s="15">
        <f>IFERROR(__xludf.DUMMYFUNCTION("""COMPUTED_VALUE"""),8.9)</f>
        <v>8.9</v>
      </c>
      <c r="C91" s="15">
        <f>IFERROR(__xludf.DUMMYFUNCTION("""COMPUTED_VALUE"""),1.677952108849E12)</f>
        <v>1677952108849</v>
      </c>
      <c r="D91" s="15">
        <f>IFERROR(__xludf.DUMMYFUNCTION("""COMPUTED_VALUE"""),0.817924380055417)</f>
        <v>0.8179243801</v>
      </c>
      <c r="E91" s="15">
        <f>IFERROR(__xludf.DUMMYFUNCTION("""COMPUTED_VALUE"""),0.174619429145584)</f>
        <v>0.1746194291</v>
      </c>
      <c r="F91" s="15">
        <f>IFERROR(__xludf.DUMMYFUNCTION("""COMPUTED_VALUE"""),-0.374576511135716)</f>
        <v>-0.3745765111</v>
      </c>
      <c r="G91" s="15">
        <f>IFERROR(__xludf.DUMMYFUNCTION("""COMPUTED_VALUE"""),-0.400250172743529)</f>
        <v>-0.4002501727</v>
      </c>
      <c r="H91" s="15">
        <f t="shared" si="1"/>
        <v>8736</v>
      </c>
    </row>
    <row r="92">
      <c r="B92" s="15">
        <f>IFERROR(__xludf.DUMMYFUNCTION("""COMPUTED_VALUE"""),9.0)</f>
        <v>9</v>
      </c>
      <c r="C92" s="15">
        <f>IFERROR(__xludf.DUMMYFUNCTION("""COMPUTED_VALUE"""),1.67795210894E12)</f>
        <v>1677952108940</v>
      </c>
      <c r="D92" s="15">
        <f>IFERROR(__xludf.DUMMYFUNCTION("""COMPUTED_VALUE"""),0.84557764279991)</f>
        <v>0.8455776428</v>
      </c>
      <c r="E92" s="15">
        <f>IFERROR(__xludf.DUMMYFUNCTION("""COMPUTED_VALUE"""),0.219825048025947)</f>
        <v>0.219825048</v>
      </c>
      <c r="F92" s="15">
        <f>IFERROR(__xludf.DUMMYFUNCTION("""COMPUTED_VALUE"""),-0.286221689846684)</f>
        <v>-0.2862216898</v>
      </c>
      <c r="G92" s="15">
        <f>IFERROR(__xludf.DUMMYFUNCTION("""COMPUTED_VALUE"""),-0.39338599685124)</f>
        <v>-0.3933859969</v>
      </c>
      <c r="H92" s="15">
        <f t="shared" si="1"/>
        <v>8827</v>
      </c>
    </row>
    <row r="93">
      <c r="B93" s="15">
        <f>IFERROR(__xludf.DUMMYFUNCTION("""COMPUTED_VALUE"""),9.1)</f>
        <v>9.1</v>
      </c>
      <c r="C93" s="15">
        <f>IFERROR(__xludf.DUMMYFUNCTION("""COMPUTED_VALUE"""),1.677952109052E12)</f>
        <v>1677952109052</v>
      </c>
      <c r="D93" s="15">
        <f>IFERROR(__xludf.DUMMYFUNCTION("""COMPUTED_VALUE"""),0.831150058214815)</f>
        <v>0.8311500582</v>
      </c>
      <c r="E93" s="15">
        <f>IFERROR(__xludf.DUMMYFUNCTION("""COMPUTED_VALUE"""),0.242428063742285)</f>
        <v>0.2424280637</v>
      </c>
      <c r="F93" s="15">
        <f>IFERROR(__xludf.DUMMYFUNCTION("""COMPUTED_VALUE"""),-0.254222699427118)</f>
        <v>-0.2542226994</v>
      </c>
      <c r="G93" s="15">
        <f>IFERROR(__xludf.DUMMYFUNCTION("""COMPUTED_VALUE"""),-0.431032520508213)</f>
        <v>-0.4310325205</v>
      </c>
      <c r="H93" s="15">
        <f t="shared" si="1"/>
        <v>8939</v>
      </c>
    </row>
    <row r="94">
      <c r="B94" s="15">
        <f>IFERROR(__xludf.DUMMYFUNCTION("""COMPUTED_VALUE"""),9.2)</f>
        <v>9.2</v>
      </c>
      <c r="C94" s="15">
        <f>IFERROR(__xludf.DUMMYFUNCTION("""COMPUTED_VALUE"""),1.677952109144E12)</f>
        <v>1677952109144</v>
      </c>
      <c r="D94" s="15">
        <f>IFERROR(__xludf.DUMMYFUNCTION("""COMPUTED_VALUE"""),0.766645436596554)</f>
        <v>0.7666454366</v>
      </c>
      <c r="E94" s="15">
        <f>IFERROR(__xludf.DUMMYFUNCTION("""COMPUTED_VALUE"""),0.229152000973803)</f>
        <v>0.229152001</v>
      </c>
      <c r="F94" s="15">
        <f>IFERROR(__xludf.DUMMYFUNCTION("""COMPUTED_VALUE"""),-0.295326066170989)</f>
        <v>-0.2953260662</v>
      </c>
      <c r="G94" s="15">
        <f>IFERROR(__xludf.DUMMYFUNCTION("""COMPUTED_VALUE"""),-0.522040850542701)</f>
        <v>-0.5220408505</v>
      </c>
      <c r="H94" s="15">
        <f t="shared" si="1"/>
        <v>9031</v>
      </c>
    </row>
    <row r="95">
      <c r="B95" s="15">
        <f>IFERROR(__xludf.DUMMYFUNCTION("""COMPUTED_VALUE"""),9.3)</f>
        <v>9.3</v>
      </c>
      <c r="C95" s="15">
        <f>IFERROR(__xludf.DUMMYFUNCTION("""COMPUTED_VALUE"""),1.677952109238E12)</f>
        <v>1677952109238</v>
      </c>
      <c r="D95" s="15">
        <f>IFERROR(__xludf.DUMMYFUNCTION("""COMPUTED_VALUE"""),-0.616837911179135)</f>
        <v>-0.6168379112</v>
      </c>
      <c r="E95" s="15">
        <f>IFERROR(__xludf.DUMMYFUNCTION("""COMPUTED_VALUE"""),-0.0773201096303132)</f>
        <v>-0.07732010963</v>
      </c>
      <c r="F95" s="15">
        <f>IFERROR(__xludf.DUMMYFUNCTION("""COMPUTED_VALUE"""),0.484367509064233)</f>
        <v>0.4843675091</v>
      </c>
      <c r="G95" s="15">
        <f>IFERROR(__xludf.DUMMYFUNCTION("""COMPUTED_VALUE"""),0.615565356515313)</f>
        <v>0.6155653565</v>
      </c>
      <c r="H95" s="15">
        <f t="shared" si="1"/>
        <v>9125</v>
      </c>
    </row>
    <row r="96">
      <c r="B96" s="15">
        <f>IFERROR(__xludf.DUMMYFUNCTION("""COMPUTED_VALUE"""),9.4)</f>
        <v>9.4</v>
      </c>
      <c r="C96" s="15">
        <f>IFERROR(__xludf.DUMMYFUNCTION("""COMPUTED_VALUE"""),1.677952109348E12)</f>
        <v>1677952109348</v>
      </c>
      <c r="D96" s="15">
        <f>IFERROR(__xludf.DUMMYFUNCTION("""COMPUTED_VALUE"""),-0.393622314069263)</f>
        <v>-0.3936223141</v>
      </c>
      <c r="E96" s="15">
        <f>IFERROR(__xludf.DUMMYFUNCTION("""COMPUTED_VALUE"""),0.329258611588018)</f>
        <v>0.3292586116</v>
      </c>
      <c r="F96" s="15">
        <f>IFERROR(__xludf.DUMMYFUNCTION("""COMPUTED_VALUE"""),0.719728809821491)</f>
        <v>0.7197288098</v>
      </c>
      <c r="G96" s="15">
        <f>IFERROR(__xludf.DUMMYFUNCTION("""COMPUTED_VALUE"""),0.467590291681538)</f>
        <v>0.4675902917</v>
      </c>
      <c r="H96" s="15">
        <f t="shared" si="1"/>
        <v>9235</v>
      </c>
    </row>
    <row r="97">
      <c r="B97" s="15">
        <f>IFERROR(__xludf.DUMMYFUNCTION("""COMPUTED_VALUE"""),9.5)</f>
        <v>9.5</v>
      </c>
      <c r="C97" s="15">
        <f>IFERROR(__xludf.DUMMYFUNCTION("""COMPUTED_VALUE"""),1.677952109441E12)</f>
        <v>1677952109441</v>
      </c>
      <c r="D97" s="15">
        <f>IFERROR(__xludf.DUMMYFUNCTION("""COMPUTED_VALUE"""),-0.145946047937896)</f>
        <v>-0.1459460479</v>
      </c>
      <c r="E97" s="15">
        <f>IFERROR(__xludf.DUMMYFUNCTION("""COMPUTED_VALUE"""),0.560669273489014)</f>
        <v>0.5606692735</v>
      </c>
      <c r="F97" s="15">
        <f>IFERROR(__xludf.DUMMYFUNCTION("""COMPUTED_VALUE"""),0.776632478768652)</f>
        <v>0.7766324788</v>
      </c>
      <c r="G97" s="15">
        <f>IFERROR(__xludf.DUMMYFUNCTION("""COMPUTED_VALUE"""),0.247369581352006)</f>
        <v>0.2473695814</v>
      </c>
      <c r="H97" s="15">
        <f t="shared" si="1"/>
        <v>9328</v>
      </c>
    </row>
    <row r="98">
      <c r="B98" s="15">
        <f>IFERROR(__xludf.DUMMYFUNCTION("""COMPUTED_VALUE"""),9.6)</f>
        <v>9.6</v>
      </c>
      <c r="C98" s="15">
        <f>IFERROR(__xludf.DUMMYFUNCTION("""COMPUTED_VALUE"""),1.677952109549E12)</f>
        <v>1677952109549</v>
      </c>
      <c r="D98" s="15">
        <f>IFERROR(__xludf.DUMMYFUNCTION("""COMPUTED_VALUE"""),0.0884684933703108)</f>
        <v>0.08846849337</v>
      </c>
      <c r="E98" s="15">
        <f>IFERROR(__xludf.DUMMYFUNCTION("""COMPUTED_VALUE"""),0.482784392988259)</f>
        <v>0.482784393</v>
      </c>
      <c r="F98" s="15">
        <f>IFERROR(__xludf.DUMMYFUNCTION("""COMPUTED_VALUE"""),0.866233192691419)</f>
        <v>0.8662331927</v>
      </c>
      <c r="G98" s="15">
        <f>IFERROR(__xludf.DUMMYFUNCTION("""COMPUTED_VALUE"""),0.0934484427231121)</f>
        <v>0.09344844272</v>
      </c>
      <c r="H98" s="15">
        <f t="shared" si="1"/>
        <v>9436</v>
      </c>
    </row>
    <row r="99">
      <c r="B99" s="15">
        <f>IFERROR(__xludf.DUMMYFUNCTION("""COMPUTED_VALUE"""),9.7)</f>
        <v>9.7</v>
      </c>
      <c r="C99" s="15">
        <f>IFERROR(__xludf.DUMMYFUNCTION("""COMPUTED_VALUE"""),1.677952109642E12)</f>
        <v>1677952109642</v>
      </c>
      <c r="D99" s="15">
        <f>IFERROR(__xludf.DUMMYFUNCTION("""COMPUTED_VALUE"""),0.179335433168044)</f>
        <v>0.1793354332</v>
      </c>
      <c r="E99" s="15">
        <f>IFERROR(__xludf.DUMMYFUNCTION("""COMPUTED_VALUE"""),0.232294955356925)</f>
        <v>0.2322949554</v>
      </c>
      <c r="F99" s="15">
        <f>IFERROR(__xludf.DUMMYFUNCTION("""COMPUTED_VALUE"""),0.955688823781104)</f>
        <v>0.9556888238</v>
      </c>
      <c r="G99" s="15">
        <f>IFERROR(__xludf.DUMMYFUNCTION("""COMPUTED_VALUE"""),0.0231673957544339)</f>
        <v>0.02316739575</v>
      </c>
      <c r="H99" s="15">
        <f t="shared" si="1"/>
        <v>9529</v>
      </c>
    </row>
    <row r="100">
      <c r="B100" s="15">
        <f>IFERROR(__xludf.DUMMYFUNCTION("""COMPUTED_VALUE"""),9.8)</f>
        <v>9.8</v>
      </c>
      <c r="C100" s="15">
        <f>IFERROR(__xludf.DUMMYFUNCTION("""COMPUTED_VALUE"""),1.677952109751E12)</f>
        <v>1677952109751</v>
      </c>
      <c r="D100" s="15">
        <f>IFERROR(__xludf.DUMMYFUNCTION("""COMPUTED_VALUE"""),0.20572072550049)</f>
        <v>0.2057207255</v>
      </c>
      <c r="E100" s="15">
        <f>IFERROR(__xludf.DUMMYFUNCTION("""COMPUTED_VALUE"""),0.00728960348705864)</f>
        <v>0.007289603487</v>
      </c>
      <c r="F100" s="15">
        <f>IFERROR(__xludf.DUMMYFUNCTION("""COMPUTED_VALUE"""),0.978254211810025)</f>
        <v>0.9782542118</v>
      </c>
      <c r="G100" s="15">
        <f>IFERROR(__xludf.DUMMYFUNCTION("""COMPUTED_VALUE"""),-0.0253878289047883)</f>
        <v>-0.0253878289</v>
      </c>
      <c r="H100" s="15">
        <f t="shared" si="1"/>
        <v>9638</v>
      </c>
    </row>
    <row r="101">
      <c r="B101" s="15">
        <f>IFERROR(__xludf.DUMMYFUNCTION("""COMPUTED_VALUE"""),9.9)</f>
        <v>9.9</v>
      </c>
      <c r="C101" s="15">
        <f>IFERROR(__xludf.DUMMYFUNCTION("""COMPUTED_VALUE"""),1.677952109842E12)</f>
        <v>1677952109842</v>
      </c>
      <c r="D101" s="15">
        <f>IFERROR(__xludf.DUMMYFUNCTION("""COMPUTED_VALUE"""),0.232821358737997)</f>
        <v>0.2328213587</v>
      </c>
      <c r="E101" s="15">
        <f>IFERROR(__xludf.DUMMYFUNCTION("""COMPUTED_VALUE"""),-0.0895214670490705)</f>
        <v>-0.08952146705</v>
      </c>
      <c r="F101" s="15">
        <f>IFERROR(__xludf.DUMMYFUNCTION("""COMPUTED_VALUE"""),0.967338322851775)</f>
        <v>0.9673383229</v>
      </c>
      <c r="G101" s="15">
        <f>IFERROR(__xludf.DUMMYFUNCTION("""COMPUTED_VALUE"""),-0.0451297129958586)</f>
        <v>-0.045129713</v>
      </c>
      <c r="H101" s="15">
        <f t="shared" si="1"/>
        <v>9729</v>
      </c>
    </row>
    <row r="102">
      <c r="B102" s="15">
        <f>IFERROR(__xludf.DUMMYFUNCTION("""COMPUTED_VALUE"""),10.0)</f>
        <v>10</v>
      </c>
      <c r="C102" s="15">
        <f>IFERROR(__xludf.DUMMYFUNCTION("""COMPUTED_VALUE"""),1.677952109952E12)</f>
        <v>1677952109952</v>
      </c>
      <c r="D102" s="15">
        <f>IFERROR(__xludf.DUMMYFUNCTION("""COMPUTED_VALUE"""),0.298675611165726)</f>
        <v>0.2986756112</v>
      </c>
      <c r="E102" s="15">
        <f>IFERROR(__xludf.DUMMYFUNCTION("""COMPUTED_VALUE"""),-0.126887398123265)</f>
        <v>-0.1268873981</v>
      </c>
      <c r="F102" s="15">
        <f>IFERROR(__xludf.DUMMYFUNCTION("""COMPUTED_VALUE"""),0.944783276587086)</f>
        <v>0.9447832766</v>
      </c>
      <c r="G102" s="15">
        <f>IFERROR(__xludf.DUMMYFUNCTION("""COMPUTED_VALUE"""),-0.0455744201680676)</f>
        <v>-0.04557442017</v>
      </c>
      <c r="H102" s="15">
        <f t="shared" si="1"/>
        <v>9839</v>
      </c>
    </row>
    <row r="103">
      <c r="B103" s="15">
        <f>IFERROR(__xludf.DUMMYFUNCTION("""COMPUTED_VALUE"""),10.1)</f>
        <v>10.1</v>
      </c>
      <c r="C103" s="15">
        <f>IFERROR(__xludf.DUMMYFUNCTION("""COMPUTED_VALUE"""),1.677952110041E12)</f>
        <v>1677952110041</v>
      </c>
      <c r="D103" s="15">
        <f>IFERROR(__xludf.DUMMYFUNCTION("""COMPUTED_VALUE"""),0.436328037482947)</f>
        <v>0.4363280375</v>
      </c>
      <c r="E103" s="15">
        <f>IFERROR(__xludf.DUMMYFUNCTION("""COMPUTED_VALUE"""),-0.117824099936847)</f>
        <v>-0.1178240999</v>
      </c>
      <c r="F103" s="15">
        <f>IFERROR(__xludf.DUMMYFUNCTION("""COMPUTED_VALUE"""),0.891807522749616)</f>
        <v>0.8918075227</v>
      </c>
      <c r="G103" s="15">
        <f>IFERROR(__xludf.DUMMYFUNCTION("""COMPUTED_VALUE"""),-0.020363387428013)</f>
        <v>-0.02036338743</v>
      </c>
      <c r="H103" s="15">
        <f t="shared" si="1"/>
        <v>9928</v>
      </c>
    </row>
    <row r="104">
      <c r="B104" s="15">
        <f>IFERROR(__xludf.DUMMYFUNCTION("""COMPUTED_VALUE"""),10.2)</f>
        <v>10.2</v>
      </c>
      <c r="C104" s="15">
        <f>IFERROR(__xludf.DUMMYFUNCTION("""COMPUTED_VALUE"""),1.677952110157E12)</f>
        <v>1677952110157</v>
      </c>
      <c r="D104" s="15">
        <f>IFERROR(__xludf.DUMMYFUNCTION("""COMPUTED_VALUE"""),0.624134147373262)</f>
        <v>0.6241341474</v>
      </c>
      <c r="E104" s="15">
        <f>IFERROR(__xludf.DUMMYFUNCTION("""COMPUTED_VALUE"""),-0.00258303711560253)</f>
        <v>-0.002583037116</v>
      </c>
      <c r="F104" s="15">
        <f>IFERROR(__xludf.DUMMYFUNCTION("""COMPUTED_VALUE"""),0.778320241249094)</f>
        <v>0.7783202412</v>
      </c>
      <c r="G104" s="15">
        <f>IFERROR(__xludf.DUMMYFUNCTION("""COMPUTED_VALUE"""),0.06831907540256)</f>
        <v>0.0683190754</v>
      </c>
      <c r="H104" s="15">
        <f t="shared" si="1"/>
        <v>10044</v>
      </c>
    </row>
    <row r="105">
      <c r="B105" s="15">
        <f>IFERROR(__xludf.DUMMYFUNCTION("""COMPUTED_VALUE"""),10.3)</f>
        <v>10.3</v>
      </c>
      <c r="C105" s="15">
        <f>IFERROR(__xludf.DUMMYFUNCTION("""COMPUTED_VALUE"""),1.677952110247E12)</f>
        <v>1677952110247</v>
      </c>
      <c r="D105" s="15">
        <f>IFERROR(__xludf.DUMMYFUNCTION("""COMPUTED_VALUE"""),0.704784363094921)</f>
        <v>0.7047843631</v>
      </c>
      <c r="E105" s="15">
        <f>IFERROR(__xludf.DUMMYFUNCTION("""COMPUTED_VALUE"""),0.13208214552693)</f>
        <v>0.1320821455</v>
      </c>
      <c r="F105" s="15">
        <f>IFERROR(__xludf.DUMMYFUNCTION("""COMPUTED_VALUE"""),0.675515315374704)</f>
        <v>0.6755153154</v>
      </c>
      <c r="G105" s="15">
        <f>IFERROR(__xludf.DUMMYFUNCTION("""COMPUTED_VALUE"""),0.17179163851626)</f>
        <v>0.1717916385</v>
      </c>
      <c r="H105" s="15">
        <f t="shared" si="1"/>
        <v>10134</v>
      </c>
    </row>
    <row r="106">
      <c r="B106" s="15">
        <f>IFERROR(__xludf.DUMMYFUNCTION("""COMPUTED_VALUE"""),10.4)</f>
        <v>10.4</v>
      </c>
      <c r="C106" s="15">
        <f>IFERROR(__xludf.DUMMYFUNCTION("""COMPUTED_VALUE"""),1.677952110358E12)</f>
        <v>1677952110358</v>
      </c>
      <c r="D106" s="15">
        <f>IFERROR(__xludf.DUMMYFUNCTION("""COMPUTED_VALUE"""),0.680274381477758)</f>
        <v>0.6802743815</v>
      </c>
      <c r="E106" s="15">
        <f>IFERROR(__xludf.DUMMYFUNCTION("""COMPUTED_VALUE"""),0.294435106591907)</f>
        <v>0.2944351066</v>
      </c>
      <c r="F106" s="15">
        <f>IFERROR(__xludf.DUMMYFUNCTION("""COMPUTED_VALUE"""),0.584733373095656)</f>
        <v>0.5847333731</v>
      </c>
      <c r="G106" s="15">
        <f>IFERROR(__xludf.DUMMYFUNCTION("""COMPUTED_VALUE"""),0.329577936608991)</f>
        <v>0.3295779366</v>
      </c>
      <c r="H106" s="15">
        <f t="shared" si="1"/>
        <v>10245</v>
      </c>
    </row>
    <row r="107">
      <c r="B107" s="15">
        <f>IFERROR(__xludf.DUMMYFUNCTION("""COMPUTED_VALUE"""),10.5)</f>
        <v>10.5</v>
      </c>
      <c r="C107" s="15">
        <f>IFERROR(__xludf.DUMMYFUNCTION("""COMPUTED_VALUE"""),1.677952110451E12)</f>
        <v>1677952110451</v>
      </c>
      <c r="D107" s="15">
        <f>IFERROR(__xludf.DUMMYFUNCTION("""COMPUTED_VALUE"""),0.588282693420089)</f>
        <v>0.5882826934</v>
      </c>
      <c r="E107" s="15">
        <f>IFERROR(__xludf.DUMMYFUNCTION("""COMPUTED_VALUE"""),0.374833870719908)</f>
        <v>0.3748338707</v>
      </c>
      <c r="F107" s="15">
        <f>IFERROR(__xludf.DUMMYFUNCTION("""COMPUTED_VALUE"""),0.553515526716534)</f>
        <v>0.5535155267</v>
      </c>
      <c r="G107" s="15">
        <f>IFERROR(__xludf.DUMMYFUNCTION("""COMPUTED_VALUE"""),0.455020443131132)</f>
        <v>0.4550204431</v>
      </c>
      <c r="H107" s="15">
        <f t="shared" si="1"/>
        <v>10338</v>
      </c>
    </row>
    <row r="108">
      <c r="B108" s="15">
        <f>IFERROR(__xludf.DUMMYFUNCTION("""COMPUTED_VALUE"""),10.6)</f>
        <v>10.6</v>
      </c>
      <c r="C108" s="15">
        <f>IFERROR(__xludf.DUMMYFUNCTION("""COMPUTED_VALUE"""),1.677952110542E12)</f>
        <v>1677952110542</v>
      </c>
      <c r="D108" s="15">
        <f>IFERROR(__xludf.DUMMYFUNCTION("""COMPUTED_VALUE"""),0.426199163158233)</f>
        <v>0.4261991632</v>
      </c>
      <c r="E108" s="15">
        <f>IFERROR(__xludf.DUMMYFUNCTION("""COMPUTED_VALUE"""),0.405575992302171)</f>
        <v>0.4055759923</v>
      </c>
      <c r="F108" s="15">
        <f>IFERROR(__xludf.DUMMYFUNCTION("""COMPUTED_VALUE"""),0.547614880838617)</f>
        <v>0.5476148808</v>
      </c>
      <c r="G108" s="15">
        <f>IFERROR(__xludf.DUMMYFUNCTION("""COMPUTED_VALUE"""),0.594962461064087)</f>
        <v>0.5949624611</v>
      </c>
      <c r="H108" s="15">
        <f t="shared" si="1"/>
        <v>10429</v>
      </c>
    </row>
    <row r="109">
      <c r="B109" s="15">
        <f>IFERROR(__xludf.DUMMYFUNCTION("""COMPUTED_VALUE"""),10.7)</f>
        <v>10.7</v>
      </c>
      <c r="C109" s="15">
        <f>IFERROR(__xludf.DUMMYFUNCTION("""COMPUTED_VALUE"""),1.677952110654E12)</f>
        <v>1677952110654</v>
      </c>
      <c r="D109" s="15">
        <f>IFERROR(__xludf.DUMMYFUNCTION("""COMPUTED_VALUE"""),0.217290058917137)</f>
        <v>0.2172900589</v>
      </c>
      <c r="E109" s="15">
        <f>IFERROR(__xludf.DUMMYFUNCTION("""COMPUTED_VALUE"""),0.45316685322802)</f>
        <v>0.4531668532</v>
      </c>
      <c r="F109" s="15">
        <f>IFERROR(__xludf.DUMMYFUNCTION("""COMPUTED_VALUE"""),0.487730888929203)</f>
        <v>0.4877308889</v>
      </c>
      <c r="G109" s="15">
        <f>IFERROR(__xludf.DUMMYFUNCTION("""COMPUTED_VALUE"""),0.713823096723221)</f>
        <v>0.7138230967</v>
      </c>
      <c r="H109" s="15">
        <f t="shared" si="1"/>
        <v>10541</v>
      </c>
    </row>
    <row r="110">
      <c r="B110" s="15">
        <f>IFERROR(__xludf.DUMMYFUNCTION("""COMPUTED_VALUE"""),10.8)</f>
        <v>10.8</v>
      </c>
      <c r="C110" s="15">
        <f>IFERROR(__xludf.DUMMYFUNCTION("""COMPUTED_VALUE"""),1.677952110738E12)</f>
        <v>1677952110738</v>
      </c>
      <c r="D110" s="15">
        <f>IFERROR(__xludf.DUMMYFUNCTION("""COMPUTED_VALUE"""),0.031538196445889)</f>
        <v>0.03153819645</v>
      </c>
      <c r="E110" s="15">
        <f>IFERROR(__xludf.DUMMYFUNCTION("""COMPUTED_VALUE"""),0.519521084352781)</f>
        <v>0.5195210844</v>
      </c>
      <c r="F110" s="15">
        <f>IFERROR(__xludf.DUMMYFUNCTION("""COMPUTED_VALUE"""),0.385205672717363)</f>
        <v>0.3852056727</v>
      </c>
      <c r="G110" s="15">
        <f>IFERROR(__xludf.DUMMYFUNCTION("""COMPUTED_VALUE"""),0.762049719364959)</f>
        <v>0.7620497194</v>
      </c>
      <c r="H110" s="15">
        <f t="shared" si="1"/>
        <v>10625</v>
      </c>
    </row>
    <row r="111">
      <c r="B111" s="15">
        <f>IFERROR(__xludf.DUMMYFUNCTION("""COMPUTED_VALUE"""),10.9)</f>
        <v>10.9</v>
      </c>
      <c r="C111" s="15">
        <f>IFERROR(__xludf.DUMMYFUNCTION("""COMPUTED_VALUE"""),1.677952110841E12)</f>
        <v>1677952110841</v>
      </c>
      <c r="D111" s="15">
        <f>IFERROR(__xludf.DUMMYFUNCTION("""COMPUTED_VALUE"""),-0.072307867301228)</f>
        <v>-0.0723078673</v>
      </c>
      <c r="E111" s="15">
        <f>IFERROR(__xludf.DUMMYFUNCTION("""COMPUTED_VALUE"""),0.577537441520332)</f>
        <v>0.5775374415</v>
      </c>
      <c r="F111" s="15">
        <f>IFERROR(__xludf.DUMMYFUNCTION("""COMPUTED_VALUE"""),0.308755021613368)</f>
        <v>0.3087550216</v>
      </c>
      <c r="G111" s="15">
        <f>IFERROR(__xludf.DUMMYFUNCTION("""COMPUTED_VALUE"""),0.752258208726913)</f>
        <v>0.7522582087</v>
      </c>
      <c r="H111" s="15">
        <f t="shared" si="1"/>
        <v>10728</v>
      </c>
    </row>
    <row r="112">
      <c r="B112" s="15">
        <f>IFERROR(__xludf.DUMMYFUNCTION("""COMPUTED_VALUE"""),11.0)</f>
        <v>11</v>
      </c>
      <c r="C112" s="15">
        <f>IFERROR(__xludf.DUMMYFUNCTION("""COMPUTED_VALUE"""),1.677952110945E12)</f>
        <v>1677952110945</v>
      </c>
      <c r="D112" s="15">
        <f>IFERROR(__xludf.DUMMYFUNCTION("""COMPUTED_VALUE"""),-0.0897828216013744)</f>
        <v>-0.0897828216</v>
      </c>
      <c r="E112" s="15">
        <f>IFERROR(__xludf.DUMMYFUNCTION("""COMPUTED_VALUE"""),0.618267855977716)</f>
        <v>0.618267856</v>
      </c>
      <c r="F112" s="15">
        <f>IFERROR(__xludf.DUMMYFUNCTION("""COMPUTED_VALUE"""),0.288680399470829)</f>
        <v>0.2886803995</v>
      </c>
      <c r="G112" s="15">
        <f>IFERROR(__xludf.DUMMYFUNCTION("""COMPUTED_VALUE"""),0.725498125546424)</f>
        <v>0.7254981255</v>
      </c>
      <c r="H112" s="15">
        <f t="shared" si="1"/>
        <v>10832</v>
      </c>
    </row>
    <row r="113">
      <c r="B113" s="15">
        <f>IFERROR(__xludf.DUMMYFUNCTION("""COMPUTED_VALUE"""),11.1)</f>
        <v>11.1</v>
      </c>
      <c r="C113" s="15">
        <f>IFERROR(__xludf.DUMMYFUNCTION("""COMPUTED_VALUE"""),1.677952111049E12)</f>
        <v>1677952111049</v>
      </c>
      <c r="D113" s="15">
        <f>IFERROR(__xludf.DUMMYFUNCTION("""COMPUTED_VALUE"""),-0.0894154296158663)</f>
        <v>-0.08941542962</v>
      </c>
      <c r="E113" s="15">
        <f>IFERROR(__xludf.DUMMYFUNCTION("""COMPUTED_VALUE"""),0.659988531172475)</f>
        <v>0.6599885312</v>
      </c>
      <c r="F113" s="15">
        <f>IFERROR(__xludf.DUMMYFUNCTION("""COMPUTED_VALUE"""),0.28099737995794)</f>
        <v>0.28099738</v>
      </c>
      <c r="G113" s="15">
        <f>IFERROR(__xludf.DUMMYFUNCTION("""COMPUTED_VALUE"""),0.690985160567273)</f>
        <v>0.6909851606</v>
      </c>
      <c r="H113" s="15">
        <f t="shared" si="1"/>
        <v>10936</v>
      </c>
    </row>
    <row r="114">
      <c r="B114" s="15">
        <f>IFERROR(__xludf.DUMMYFUNCTION("""COMPUTED_VALUE"""),11.2)</f>
        <v>11.2</v>
      </c>
      <c r="C114" s="15">
        <f>IFERROR(__xludf.DUMMYFUNCTION("""COMPUTED_VALUE"""),1.677952111154E12)</f>
        <v>1677952111154</v>
      </c>
      <c r="D114" s="15">
        <f>IFERROR(__xludf.DUMMYFUNCTION("""COMPUTED_VALUE"""),-0.0418242876560096)</f>
        <v>-0.04182428766</v>
      </c>
      <c r="E114" s="15">
        <f>IFERROR(__xludf.DUMMYFUNCTION("""COMPUTED_VALUE"""),0.733272584904355)</f>
        <v>0.7332725849</v>
      </c>
      <c r="F114" s="15">
        <f>IFERROR(__xludf.DUMMYFUNCTION("""COMPUTED_VALUE"""),0.303425714661892)</f>
        <v>0.3034257147</v>
      </c>
      <c r="G114" s="15">
        <f>IFERROR(__xludf.DUMMYFUNCTION("""COMPUTED_VALUE"""),0.607037791963294)</f>
        <v>0.607037792</v>
      </c>
      <c r="H114" s="15">
        <f t="shared" si="1"/>
        <v>11041</v>
      </c>
    </row>
    <row r="115">
      <c r="B115" s="15">
        <f>IFERROR(__xludf.DUMMYFUNCTION("""COMPUTED_VALUE"""),11.3)</f>
        <v>11.3</v>
      </c>
      <c r="C115" s="15">
        <f>IFERROR(__xludf.DUMMYFUNCTION("""COMPUTED_VALUE"""),1.677952111258E12)</f>
        <v>1677952111258</v>
      </c>
      <c r="D115" s="15">
        <f>IFERROR(__xludf.DUMMYFUNCTION("""COMPUTED_VALUE"""),0.0293315144473111)</f>
        <v>0.02933151445</v>
      </c>
      <c r="E115" s="15">
        <f>IFERROR(__xludf.DUMMYFUNCTION("""COMPUTED_VALUE"""),0.791097411083283)</f>
        <v>0.7910974111</v>
      </c>
      <c r="F115" s="15">
        <f>IFERROR(__xludf.DUMMYFUNCTION("""COMPUTED_VALUE"""),0.343644500439201)</f>
        <v>0.3436445004</v>
      </c>
      <c r="G115" s="15">
        <f>IFERROR(__xludf.DUMMYFUNCTION("""COMPUTED_VALUE"""),0.505186110018322)</f>
        <v>0.50518611</v>
      </c>
      <c r="H115" s="15">
        <f t="shared" si="1"/>
        <v>11145</v>
      </c>
    </row>
    <row r="116">
      <c r="B116" s="15">
        <f>IFERROR(__xludf.DUMMYFUNCTION("""COMPUTED_VALUE"""),11.4)</f>
        <v>11.4</v>
      </c>
      <c r="C116" s="15">
        <f>IFERROR(__xludf.DUMMYFUNCTION("""COMPUTED_VALUE"""),1.677952111343E12)</f>
        <v>1677952111343</v>
      </c>
      <c r="D116" s="15">
        <f>IFERROR(__xludf.DUMMYFUNCTION("""COMPUTED_VALUE"""),0.0711713656669465)</f>
        <v>0.07117136567</v>
      </c>
      <c r="E116" s="15">
        <f>IFERROR(__xludf.DUMMYFUNCTION("""COMPUTED_VALUE"""),0.803890481556038)</f>
        <v>0.8038904816</v>
      </c>
      <c r="F116" s="15">
        <f>IFERROR(__xludf.DUMMYFUNCTION("""COMPUTED_VALUE"""),0.375216273966235)</f>
        <v>0.375216274</v>
      </c>
      <c r="G116" s="15">
        <f>IFERROR(__xludf.DUMMYFUNCTION("""COMPUTED_VALUE"""),0.455968724940205)</f>
        <v>0.4559687249</v>
      </c>
      <c r="H116" s="15">
        <f t="shared" si="1"/>
        <v>11230</v>
      </c>
    </row>
    <row r="117">
      <c r="B117" s="15">
        <f>IFERROR(__xludf.DUMMYFUNCTION("""COMPUTED_VALUE"""),11.5)</f>
        <v>11.5</v>
      </c>
      <c r="C117" s="15">
        <f>IFERROR(__xludf.DUMMYFUNCTION("""COMPUTED_VALUE"""),1.677952111447E12)</f>
        <v>1677952111447</v>
      </c>
      <c r="D117" s="15">
        <f>IFERROR(__xludf.DUMMYFUNCTION("""COMPUTED_VALUE"""),0.104276944290592)</f>
        <v>0.1042769443</v>
      </c>
      <c r="E117" s="15">
        <f>IFERROR(__xludf.DUMMYFUNCTION("""COMPUTED_VALUE"""),0.799248917883273)</f>
        <v>0.7992489179</v>
      </c>
      <c r="F117" s="15">
        <f>IFERROR(__xludf.DUMMYFUNCTION("""COMPUTED_VALUE"""),0.41026382948374)</f>
        <v>0.4102638295</v>
      </c>
      <c r="G117" s="15">
        <f>IFERROR(__xludf.DUMMYFUNCTION("""COMPUTED_VALUE"""),0.426627561661421)</f>
        <v>0.4266275617</v>
      </c>
      <c r="H117" s="15">
        <f t="shared" si="1"/>
        <v>11334</v>
      </c>
    </row>
    <row r="118">
      <c r="B118" s="15">
        <f>IFERROR(__xludf.DUMMYFUNCTION("""COMPUTED_VALUE"""),11.6)</f>
        <v>11.6</v>
      </c>
      <c r="C118" s="15">
        <f>IFERROR(__xludf.DUMMYFUNCTION("""COMPUTED_VALUE"""),1.677952111549E12)</f>
        <v>1677952111549</v>
      </c>
      <c r="D118" s="15">
        <f>IFERROR(__xludf.DUMMYFUNCTION("""COMPUTED_VALUE"""),0.112489808822242)</f>
        <v>0.1124898088</v>
      </c>
      <c r="E118" s="15">
        <f>IFERROR(__xludf.DUMMYFUNCTION("""COMPUTED_VALUE"""),0.797689436450359)</f>
        <v>0.7976894365</v>
      </c>
      <c r="F118" s="15">
        <f>IFERROR(__xludf.DUMMYFUNCTION("""COMPUTED_VALUE"""),0.418832529372591)</f>
        <v>0.4188325294</v>
      </c>
      <c r="G118" s="15">
        <f>IFERROR(__xludf.DUMMYFUNCTION("""COMPUTED_VALUE"""),0.419066722880737)</f>
        <v>0.4190667229</v>
      </c>
      <c r="H118" s="15">
        <f t="shared" si="1"/>
        <v>11436</v>
      </c>
    </row>
    <row r="119">
      <c r="B119" s="15">
        <f>IFERROR(__xludf.DUMMYFUNCTION("""COMPUTED_VALUE"""),11.7)</f>
        <v>11.7</v>
      </c>
      <c r="C119" s="15">
        <f>IFERROR(__xludf.DUMMYFUNCTION("""COMPUTED_VALUE"""),1.677952111623E12)</f>
        <v>1677952111623</v>
      </c>
      <c r="D119" s="15">
        <f>IFERROR(__xludf.DUMMYFUNCTION("""COMPUTED_VALUE"""),0.115790764149706)</f>
        <v>0.1157907641</v>
      </c>
      <c r="E119" s="15">
        <f>IFERROR(__xludf.DUMMYFUNCTION("""COMPUTED_VALUE"""),0.797676320081674)</f>
        <v>0.7976763201</v>
      </c>
      <c r="F119" s="15">
        <f>IFERROR(__xludf.DUMMYFUNCTION("""COMPUTED_VALUE"""),0.421510352882206)</f>
        <v>0.4215103529</v>
      </c>
      <c r="G119" s="15">
        <f>IFERROR(__xludf.DUMMYFUNCTION("""COMPUTED_VALUE"""),0.415492490584007)</f>
        <v>0.4154924906</v>
      </c>
      <c r="H119" s="15">
        <f t="shared" si="1"/>
        <v>11510</v>
      </c>
    </row>
    <row r="120">
      <c r="B120" s="15">
        <f>IFERROR(__xludf.DUMMYFUNCTION("""COMPUTED_VALUE"""),11.8)</f>
        <v>11.8</v>
      </c>
      <c r="C120" s="15">
        <f>IFERROR(__xludf.DUMMYFUNCTION("""COMPUTED_VALUE"""),1.677952111818E12)</f>
        <v>1677952111818</v>
      </c>
      <c r="D120" s="15">
        <f>IFERROR(__xludf.DUMMYFUNCTION("""COMPUTED_VALUE"""),0.118164960614547)</f>
        <v>0.1181649606</v>
      </c>
      <c r="E120" s="15">
        <f>IFERROR(__xludf.DUMMYFUNCTION("""COMPUTED_VALUE"""),0.752913301269034)</f>
        <v>0.7529133013</v>
      </c>
      <c r="F120" s="15">
        <f>IFERROR(__xludf.DUMMYFUNCTION("""COMPUTED_VALUE"""),0.46982337191497)</f>
        <v>0.4698233719</v>
      </c>
      <c r="G120" s="15">
        <f>IFERROR(__xludf.DUMMYFUNCTION("""COMPUTED_VALUE"""),0.445448764795202)</f>
        <v>0.4454487648</v>
      </c>
      <c r="H120" s="15">
        <f t="shared" si="1"/>
        <v>11705</v>
      </c>
    </row>
    <row r="121">
      <c r="B121" s="15">
        <f>IFERROR(__xludf.DUMMYFUNCTION("""COMPUTED_VALUE"""),11.9)</f>
        <v>11.9</v>
      </c>
      <c r="C121" s="15">
        <f>IFERROR(__xludf.DUMMYFUNCTION("""COMPUTED_VALUE"""),1.677952111865E12)</f>
        <v>1677952111865</v>
      </c>
      <c r="D121" s="15">
        <f>IFERROR(__xludf.DUMMYFUNCTION("""COMPUTED_VALUE"""),0.125747421251117)</f>
        <v>0.1257474213</v>
      </c>
      <c r="E121" s="15">
        <f>IFERROR(__xludf.DUMMYFUNCTION("""COMPUTED_VALUE"""),0.668063708899852)</f>
        <v>0.6680637089</v>
      </c>
      <c r="F121" s="15">
        <f>IFERROR(__xludf.DUMMYFUNCTION("""COMPUTED_VALUE"""),0.548882129973948)</f>
        <v>0.54888213</v>
      </c>
      <c r="G121" s="15">
        <f>IFERROR(__xludf.DUMMYFUNCTION("""COMPUTED_VALUE"""),0.486422526508514)</f>
        <v>0.4864225265</v>
      </c>
      <c r="H121" s="15">
        <f t="shared" si="1"/>
        <v>11752</v>
      </c>
    </row>
    <row r="122">
      <c r="B122" s="15">
        <f>IFERROR(__xludf.DUMMYFUNCTION("""COMPUTED_VALUE"""),12.0)</f>
        <v>12</v>
      </c>
      <c r="C122" s="15">
        <f>IFERROR(__xludf.DUMMYFUNCTION("""COMPUTED_VALUE"""),1.677952111947E12)</f>
        <v>1677952111947</v>
      </c>
      <c r="D122" s="15">
        <f>IFERROR(__xludf.DUMMYFUNCTION("""COMPUTED_VALUE"""),0.127190829838278)</f>
        <v>0.1271908298</v>
      </c>
      <c r="E122" s="15">
        <f>IFERROR(__xludf.DUMMYFUNCTION("""COMPUTED_VALUE"""),0.402907932965602)</f>
        <v>0.402907933</v>
      </c>
      <c r="F122" s="15">
        <f>IFERROR(__xludf.DUMMYFUNCTION("""COMPUTED_VALUE"""),0.708693668371564)</f>
        <v>0.7086936684</v>
      </c>
      <c r="G122" s="15">
        <f>IFERROR(__xludf.DUMMYFUNCTION("""COMPUTED_VALUE"""),0.565014136786407)</f>
        <v>0.5650141368</v>
      </c>
      <c r="H122" s="15">
        <f t="shared" si="1"/>
        <v>11834</v>
      </c>
    </row>
    <row r="123">
      <c r="B123" s="15">
        <f>IFERROR(__xludf.DUMMYFUNCTION("""COMPUTED_VALUE"""),12.1)</f>
        <v>12.1</v>
      </c>
      <c r="C123" s="15">
        <f>IFERROR(__xludf.DUMMYFUNCTION("""COMPUTED_VALUE"""),1.67795211205E12)</f>
        <v>1677952112050</v>
      </c>
      <c r="D123" s="15">
        <f>IFERROR(__xludf.DUMMYFUNCTION("""COMPUTED_VALUE"""),0.176382095976692)</f>
        <v>0.176382096</v>
      </c>
      <c r="E123" s="15">
        <f>IFERROR(__xludf.DUMMYFUNCTION("""COMPUTED_VALUE"""),-0.012502797674839)</f>
        <v>-0.01250279767</v>
      </c>
      <c r="F123" s="15">
        <f>IFERROR(__xludf.DUMMYFUNCTION("""COMPUTED_VALUE"""),0.812325424266061)</f>
        <v>0.8123254243</v>
      </c>
      <c r="G123" s="15">
        <f>IFERROR(__xludf.DUMMYFUNCTION("""COMPUTED_VALUE"""),0.555752140220919)</f>
        <v>0.5557521402</v>
      </c>
      <c r="H123" s="15">
        <f t="shared" si="1"/>
        <v>11937</v>
      </c>
    </row>
    <row r="124">
      <c r="B124" s="15">
        <f>IFERROR(__xludf.DUMMYFUNCTION("""COMPUTED_VALUE"""),12.2)</f>
        <v>12.2</v>
      </c>
      <c r="C124" s="15">
        <f>IFERROR(__xludf.DUMMYFUNCTION("""COMPUTED_VALUE"""),1.677952112154E12)</f>
        <v>1677952112154</v>
      </c>
      <c r="D124" s="15">
        <f>IFERROR(__xludf.DUMMYFUNCTION("""COMPUTED_VALUE"""),0.295180137368784)</f>
        <v>0.2951801374</v>
      </c>
      <c r="E124" s="15">
        <f>IFERROR(__xludf.DUMMYFUNCTION("""COMPUTED_VALUE"""),-0.250674391322939)</f>
        <v>-0.2506743913</v>
      </c>
      <c r="F124" s="15">
        <f>IFERROR(__xludf.DUMMYFUNCTION("""COMPUTED_VALUE"""),0.780377682435984)</f>
        <v>0.7803776824</v>
      </c>
      <c r="G124" s="15">
        <f>IFERROR(__xludf.DUMMYFUNCTION("""COMPUTED_VALUE"""),0.490959986957858)</f>
        <v>0.490959987</v>
      </c>
      <c r="H124" s="15">
        <f t="shared" si="1"/>
        <v>12041</v>
      </c>
    </row>
    <row r="125">
      <c r="B125" s="15">
        <f>IFERROR(__xludf.DUMMYFUNCTION("""COMPUTED_VALUE"""),12.3)</f>
        <v>12.3</v>
      </c>
      <c r="C125" s="15">
        <f>IFERROR(__xludf.DUMMYFUNCTION("""COMPUTED_VALUE"""),1.677952112258E12)</f>
        <v>1677952112258</v>
      </c>
      <c r="D125" s="15">
        <f>IFERROR(__xludf.DUMMYFUNCTION("""COMPUTED_VALUE"""),0.416975262789954)</f>
        <v>0.4169752628</v>
      </c>
      <c r="E125" s="15">
        <f>IFERROR(__xludf.DUMMYFUNCTION("""COMPUTED_VALUE"""),-0.32610503641123)</f>
        <v>-0.3261050364</v>
      </c>
      <c r="F125" s="15">
        <f>IFERROR(__xludf.DUMMYFUNCTION("""COMPUTED_VALUE"""),0.71258765032636)</f>
        <v>0.7125876503</v>
      </c>
      <c r="G125" s="15">
        <f>IFERROR(__xludf.DUMMYFUNCTION("""COMPUTED_VALUE"""),0.46044106685963)</f>
        <v>0.4604410669</v>
      </c>
      <c r="H125" s="15">
        <f t="shared" si="1"/>
        <v>12145</v>
      </c>
    </row>
    <row r="126">
      <c r="B126" s="15">
        <f>IFERROR(__xludf.DUMMYFUNCTION("""COMPUTED_VALUE"""),12.4)</f>
        <v>12.4</v>
      </c>
      <c r="C126" s="15">
        <f>IFERROR(__xludf.DUMMYFUNCTION("""COMPUTED_VALUE"""),1.677952112319E12)</f>
        <v>1677952112319</v>
      </c>
      <c r="D126" s="15">
        <f>IFERROR(__xludf.DUMMYFUNCTION("""COMPUTED_VALUE"""),0.440597401701024)</f>
        <v>0.4405974017</v>
      </c>
      <c r="E126" s="15">
        <f>IFERROR(__xludf.DUMMYFUNCTION("""COMPUTED_VALUE"""),-0.338314743856218)</f>
        <v>-0.3383147439</v>
      </c>
      <c r="F126" s="15">
        <f>IFERROR(__xludf.DUMMYFUNCTION("""COMPUTED_VALUE"""),0.696697805293319)</f>
        <v>0.6966978053</v>
      </c>
      <c r="G126" s="15">
        <f>IFERROR(__xludf.DUMMYFUNCTION("""COMPUTED_VALUE"""),0.453904430252976)</f>
        <v>0.4539044303</v>
      </c>
      <c r="H126" s="15">
        <f t="shared" si="1"/>
        <v>12206</v>
      </c>
    </row>
    <row r="127">
      <c r="B127" s="15">
        <f>IFERROR(__xludf.DUMMYFUNCTION("""COMPUTED_VALUE"""),12.5)</f>
        <v>12.5</v>
      </c>
      <c r="C127" s="15">
        <f>IFERROR(__xludf.DUMMYFUNCTION("""COMPUTED_VALUE"""),1.677952112423E12)</f>
        <v>1677952112423</v>
      </c>
      <c r="D127" s="15">
        <f>IFERROR(__xludf.DUMMYFUNCTION("""COMPUTED_VALUE"""),0.440597401701024)</f>
        <v>0.4405974017</v>
      </c>
      <c r="E127" s="15">
        <f>IFERROR(__xludf.DUMMYFUNCTION("""COMPUTED_VALUE"""),-0.338314743856218)</f>
        <v>-0.3383147439</v>
      </c>
      <c r="F127" s="15">
        <f>IFERROR(__xludf.DUMMYFUNCTION("""COMPUTED_VALUE"""),0.696697805293319)</f>
        <v>0.6966978053</v>
      </c>
      <c r="G127" s="15">
        <f>IFERROR(__xludf.DUMMYFUNCTION("""COMPUTED_VALUE"""),0.453904430252976)</f>
        <v>0.4539044303</v>
      </c>
      <c r="H127" s="15">
        <f t="shared" si="1"/>
        <v>12310</v>
      </c>
    </row>
    <row r="128">
      <c r="B128" s="15">
        <f>IFERROR(__xludf.DUMMYFUNCTION("""COMPUTED_VALUE"""),12.6)</f>
        <v>12.6</v>
      </c>
      <c r="C128" s="15">
        <f>IFERROR(__xludf.DUMMYFUNCTION("""COMPUTED_VALUE"""),1.677952112542E12)</f>
        <v>1677952112542</v>
      </c>
      <c r="D128" s="15">
        <f>IFERROR(__xludf.DUMMYFUNCTION("""COMPUTED_VALUE"""),0.444148732942221)</f>
        <v>0.4441487329</v>
      </c>
      <c r="E128" s="15">
        <f>IFERROR(__xludf.DUMMYFUNCTION("""COMPUTED_VALUE"""),-0.343776104782488)</f>
        <v>-0.3437761048</v>
      </c>
      <c r="F128" s="15">
        <f>IFERROR(__xludf.DUMMYFUNCTION("""COMPUTED_VALUE"""),0.694019227105132)</f>
        <v>0.6940192271</v>
      </c>
      <c r="G128" s="15">
        <f>IFERROR(__xludf.DUMMYFUNCTION("""COMPUTED_VALUE"""),0.450430022550442)</f>
        <v>0.4504300226</v>
      </c>
      <c r="H128" s="15">
        <f t="shared" si="1"/>
        <v>12429</v>
      </c>
    </row>
    <row r="129">
      <c r="B129" s="15">
        <f>IFERROR(__xludf.DUMMYFUNCTION("""COMPUTED_VALUE"""),12.7)</f>
        <v>12.7</v>
      </c>
      <c r="C129" s="15">
        <f>IFERROR(__xludf.DUMMYFUNCTION("""COMPUTED_VALUE"""),1.677952112648E12)</f>
        <v>1677952112648</v>
      </c>
      <c r="D129" s="15">
        <f>IFERROR(__xludf.DUMMYFUNCTION("""COMPUTED_VALUE"""),0.574441781952878)</f>
        <v>0.574441782</v>
      </c>
      <c r="E129" s="15">
        <f>IFERROR(__xludf.DUMMYFUNCTION("""COMPUTED_VALUE"""),-0.442388632083411)</f>
        <v>-0.4423886321</v>
      </c>
      <c r="F129" s="15">
        <f>IFERROR(__xludf.DUMMYFUNCTION("""COMPUTED_VALUE"""),0.571422006527621)</f>
        <v>0.5714220065</v>
      </c>
      <c r="G129" s="15">
        <f>IFERROR(__xludf.DUMMYFUNCTION("""COMPUTED_VALUE"""),0.384429223402846)</f>
        <v>0.3844292234</v>
      </c>
      <c r="H129" s="15">
        <f t="shared" si="1"/>
        <v>12535</v>
      </c>
    </row>
    <row r="130">
      <c r="B130" s="15">
        <f>IFERROR(__xludf.DUMMYFUNCTION("""COMPUTED_VALUE"""),12.8)</f>
        <v>12.8</v>
      </c>
      <c r="C130" s="15">
        <f>IFERROR(__xludf.DUMMYFUNCTION("""COMPUTED_VALUE"""),1.67795211275E12)</f>
        <v>1677952112750</v>
      </c>
      <c r="D130" s="15">
        <f>IFERROR(__xludf.DUMMYFUNCTION("""COMPUTED_VALUE"""),0.73825703428767)</f>
        <v>0.7382570343</v>
      </c>
      <c r="E130" s="15">
        <f>IFERROR(__xludf.DUMMYFUNCTION("""COMPUTED_VALUE"""),-0.379807138288032)</f>
        <v>-0.3798071383</v>
      </c>
      <c r="F130" s="15">
        <f>IFERROR(__xludf.DUMMYFUNCTION("""COMPUTED_VALUE"""),0.349508985971472)</f>
        <v>0.349508986</v>
      </c>
      <c r="G130" s="15">
        <f>IFERROR(__xludf.DUMMYFUNCTION("""COMPUTED_VALUE"""),0.434242510304346)</f>
        <v>0.4342425103</v>
      </c>
      <c r="H130" s="15">
        <f t="shared" si="1"/>
        <v>12637</v>
      </c>
    </row>
    <row r="131">
      <c r="B131" s="15">
        <f>IFERROR(__xludf.DUMMYFUNCTION("""COMPUTED_VALUE"""),12.9)</f>
        <v>12.9</v>
      </c>
      <c r="C131" s="15">
        <f>IFERROR(__xludf.DUMMYFUNCTION("""COMPUTED_VALUE"""),1.67795211285E12)</f>
        <v>1677952112850</v>
      </c>
      <c r="D131" s="15">
        <f>IFERROR(__xludf.DUMMYFUNCTION("""COMPUTED_VALUE"""),0.830306709675553)</f>
        <v>0.8303067097</v>
      </c>
      <c r="E131" s="15">
        <f>IFERROR(__xludf.DUMMYFUNCTION("""COMPUTED_VALUE"""),-0.262362937941036)</f>
        <v>-0.2623629379</v>
      </c>
      <c r="F131" s="15">
        <f>IFERROR(__xludf.DUMMYFUNCTION("""COMPUTED_VALUE"""),0.103311225379696)</f>
        <v>0.1033112254</v>
      </c>
      <c r="G131" s="15">
        <f>IFERROR(__xludf.DUMMYFUNCTION("""COMPUTED_VALUE"""),0.480711189149211)</f>
        <v>0.4807111891</v>
      </c>
      <c r="H131" s="15">
        <f t="shared" si="1"/>
        <v>12737</v>
      </c>
    </row>
    <row r="132">
      <c r="B132" s="15">
        <f>IFERROR(__xludf.DUMMYFUNCTION("""COMPUTED_VALUE"""),13.0)</f>
        <v>13</v>
      </c>
      <c r="C132" s="15">
        <f>IFERROR(__xludf.DUMMYFUNCTION("""COMPUTED_VALUE"""),1.677952112921E12)</f>
        <v>1677952112921</v>
      </c>
      <c r="D132" s="15">
        <f>IFERROR(__xludf.DUMMYFUNCTION("""COMPUTED_VALUE"""),0.837483736292384)</f>
        <v>0.8374837363</v>
      </c>
      <c r="E132" s="15">
        <f>IFERROR(__xludf.DUMMYFUNCTION("""COMPUTED_VALUE"""),-0.176503721321912)</f>
        <v>-0.1765037213</v>
      </c>
      <c r="F132" s="15">
        <f>IFERROR(__xludf.DUMMYFUNCTION("""COMPUTED_VALUE"""),-0.042176077853412)</f>
        <v>-0.04217607785</v>
      </c>
      <c r="G132" s="15">
        <f>IFERROR(__xludf.DUMMYFUNCTION("""COMPUTED_VALUE"""),0.515449906646772)</f>
        <v>0.5154499066</v>
      </c>
      <c r="H132" s="15">
        <f t="shared" si="1"/>
        <v>12808</v>
      </c>
    </row>
    <row r="133">
      <c r="B133" s="15">
        <f>IFERROR(__xludf.DUMMYFUNCTION("""COMPUTED_VALUE"""),13.1)</f>
        <v>13.1</v>
      </c>
      <c r="C133" s="15">
        <f>IFERROR(__xludf.DUMMYFUNCTION("""COMPUTED_VALUE"""),1.677952113023E12)</f>
        <v>1677952113023</v>
      </c>
      <c r="D133" s="15">
        <f>IFERROR(__xludf.DUMMYFUNCTION("""COMPUTED_VALUE"""),0.837483736292384)</f>
        <v>0.8374837363</v>
      </c>
      <c r="E133" s="15">
        <f>IFERROR(__xludf.DUMMYFUNCTION("""COMPUTED_VALUE"""),-0.176503721321912)</f>
        <v>-0.1765037213</v>
      </c>
      <c r="F133" s="15">
        <f>IFERROR(__xludf.DUMMYFUNCTION("""COMPUTED_VALUE"""),-0.042176077853412)</f>
        <v>-0.04217607785</v>
      </c>
      <c r="G133" s="15">
        <f>IFERROR(__xludf.DUMMYFUNCTION("""COMPUTED_VALUE"""),0.515449906646772)</f>
        <v>0.5154499066</v>
      </c>
      <c r="H133" s="15">
        <f t="shared" si="1"/>
        <v>12910</v>
      </c>
    </row>
    <row r="134">
      <c r="B134" s="15">
        <f>IFERROR(__xludf.DUMMYFUNCTION("""COMPUTED_VALUE"""),13.2)</f>
        <v>13.2</v>
      </c>
      <c r="C134" s="15">
        <f>IFERROR(__xludf.DUMMYFUNCTION("""COMPUTED_VALUE"""),1.677952113126E12)</f>
        <v>1677952113126</v>
      </c>
      <c r="D134" s="15">
        <f>IFERROR(__xludf.DUMMYFUNCTION("""COMPUTED_VALUE"""),0.837483736292384)</f>
        <v>0.8374837363</v>
      </c>
      <c r="E134" s="15">
        <f>IFERROR(__xludf.DUMMYFUNCTION("""COMPUTED_VALUE"""),-0.176503721321912)</f>
        <v>-0.1765037213</v>
      </c>
      <c r="F134" s="15">
        <f>IFERROR(__xludf.DUMMYFUNCTION("""COMPUTED_VALUE"""),-0.042176077853412)</f>
        <v>-0.04217607785</v>
      </c>
      <c r="G134" s="15">
        <f>IFERROR(__xludf.DUMMYFUNCTION("""COMPUTED_VALUE"""),0.515449906646772)</f>
        <v>0.5154499066</v>
      </c>
      <c r="H134" s="15">
        <f t="shared" si="1"/>
        <v>13013</v>
      </c>
    </row>
    <row r="135">
      <c r="B135" s="15">
        <f>IFERROR(__xludf.DUMMYFUNCTION("""COMPUTED_VALUE"""),13.3)</f>
        <v>13.3</v>
      </c>
      <c r="C135" s="15">
        <f>IFERROR(__xludf.DUMMYFUNCTION("""COMPUTED_VALUE"""),1.677952113261E12)</f>
        <v>1677952113261</v>
      </c>
      <c r="D135" s="15">
        <f>IFERROR(__xludf.DUMMYFUNCTION("""COMPUTED_VALUE"""),0.837483736292384)</f>
        <v>0.8374837363</v>
      </c>
      <c r="E135" s="15">
        <f>IFERROR(__xludf.DUMMYFUNCTION("""COMPUTED_VALUE"""),-0.176503721321912)</f>
        <v>-0.1765037213</v>
      </c>
      <c r="F135" s="15">
        <f>IFERROR(__xludf.DUMMYFUNCTION("""COMPUTED_VALUE"""),-0.042176077853412)</f>
        <v>-0.04217607785</v>
      </c>
      <c r="G135" s="15">
        <f>IFERROR(__xludf.DUMMYFUNCTION("""COMPUTED_VALUE"""),0.515449906646772)</f>
        <v>0.5154499066</v>
      </c>
      <c r="H135" s="15">
        <f t="shared" si="1"/>
        <v>13148</v>
      </c>
    </row>
    <row r="136">
      <c r="B136" s="15">
        <f>IFERROR(__xludf.DUMMYFUNCTION("""COMPUTED_VALUE"""),13.4)</f>
        <v>13.4</v>
      </c>
      <c r="C136" s="15">
        <f>IFERROR(__xludf.DUMMYFUNCTION("""COMPUTED_VALUE"""),1.677952113365E12)</f>
        <v>1677952113365</v>
      </c>
      <c r="D136" s="15">
        <f>IFERROR(__xludf.DUMMYFUNCTION("""COMPUTED_VALUE"""),0.900160891907555)</f>
        <v>0.9001608919</v>
      </c>
      <c r="E136" s="15">
        <f>IFERROR(__xludf.DUMMYFUNCTION("""COMPUTED_VALUE"""),-0.104147562913778)</f>
        <v>-0.1041475629</v>
      </c>
      <c r="F136" s="15">
        <f>IFERROR(__xludf.DUMMYFUNCTION("""COMPUTED_VALUE"""),-0.167260293114198)</f>
        <v>-0.1672602931</v>
      </c>
      <c r="G136" s="15">
        <f>IFERROR(__xludf.DUMMYFUNCTION("""COMPUTED_VALUE"""),0.388442593141722)</f>
        <v>0.3884425931</v>
      </c>
      <c r="H136" s="15">
        <f t="shared" si="1"/>
        <v>13252</v>
      </c>
    </row>
    <row r="137">
      <c r="B137" s="15">
        <f>IFERROR(__xludf.DUMMYFUNCTION("""COMPUTED_VALUE"""),13.5)</f>
        <v>13.5</v>
      </c>
      <c r="C137" s="15">
        <f>IFERROR(__xludf.DUMMYFUNCTION("""COMPUTED_VALUE"""),1.677952113454E12)</f>
        <v>1677952113454</v>
      </c>
      <c r="D137" s="15">
        <f>IFERROR(__xludf.DUMMYFUNCTION("""COMPUTED_VALUE"""),0.921735374936324)</f>
        <v>0.9217353749</v>
      </c>
      <c r="E137" s="15">
        <f>IFERROR(__xludf.DUMMYFUNCTION("""COMPUTED_VALUE"""),-0.0369549340051939)</f>
        <v>-0.03695493401</v>
      </c>
      <c r="F137" s="15">
        <f>IFERROR(__xludf.DUMMYFUNCTION("""COMPUTED_VALUE"""),-0.282531698309676)</f>
        <v>-0.2825316983</v>
      </c>
      <c r="G137" s="15">
        <f>IFERROR(__xludf.DUMMYFUNCTION("""COMPUTED_VALUE"""),0.263085672156267)</f>
        <v>0.2630856722</v>
      </c>
      <c r="H137" s="15">
        <f t="shared" si="1"/>
        <v>13341</v>
      </c>
    </row>
    <row r="138">
      <c r="B138" s="15">
        <f>IFERROR(__xludf.DUMMYFUNCTION("""COMPUTED_VALUE"""),13.6)</f>
        <v>13.6</v>
      </c>
      <c r="C138" s="15">
        <f>IFERROR(__xludf.DUMMYFUNCTION("""COMPUTED_VALUE"""),1.677952113526E12)</f>
        <v>1677952113526</v>
      </c>
      <c r="D138" s="15">
        <f>IFERROR(__xludf.DUMMYFUNCTION("""COMPUTED_VALUE"""),0.91587379836181)</f>
        <v>0.9158737984</v>
      </c>
      <c r="E138" s="15">
        <f>IFERROR(__xludf.DUMMYFUNCTION("""COMPUTED_VALUE"""),-0.0199480488866125)</f>
        <v>-0.01994804889</v>
      </c>
      <c r="F138" s="15">
        <f>IFERROR(__xludf.DUMMYFUNCTION("""COMPUTED_VALUE"""),-0.319293907650346)</f>
        <v>-0.3192939077</v>
      </c>
      <c r="G138" s="15">
        <f>IFERROR(__xludf.DUMMYFUNCTION("""COMPUTED_VALUE"""),0.24254620458234)</f>
        <v>0.2425462046</v>
      </c>
      <c r="H138" s="15">
        <f t="shared" si="1"/>
        <v>13413</v>
      </c>
    </row>
    <row r="139">
      <c r="B139" s="15">
        <f>IFERROR(__xludf.DUMMYFUNCTION("""COMPUTED_VALUE"""),13.7)</f>
        <v>13.7</v>
      </c>
      <c r="C139" s="15">
        <f>IFERROR(__xludf.DUMMYFUNCTION("""COMPUTED_VALUE"""),1.677952113623E12)</f>
        <v>1677952113623</v>
      </c>
      <c r="D139" s="15">
        <f>IFERROR(__xludf.DUMMYFUNCTION("""COMPUTED_VALUE"""),0.91587379836181)</f>
        <v>0.9158737984</v>
      </c>
      <c r="E139" s="15">
        <f>IFERROR(__xludf.DUMMYFUNCTION("""COMPUTED_VALUE"""),-0.0199480488866125)</f>
        <v>-0.01994804889</v>
      </c>
      <c r="F139" s="15">
        <f>IFERROR(__xludf.DUMMYFUNCTION("""COMPUTED_VALUE"""),-0.319293907650346)</f>
        <v>-0.3192939077</v>
      </c>
      <c r="G139" s="15">
        <f>IFERROR(__xludf.DUMMYFUNCTION("""COMPUTED_VALUE"""),0.24254620458234)</f>
        <v>0.2425462046</v>
      </c>
      <c r="H139" s="15">
        <f t="shared" si="1"/>
        <v>13510</v>
      </c>
    </row>
    <row r="140">
      <c r="B140" s="15">
        <f>IFERROR(__xludf.DUMMYFUNCTION("""COMPUTED_VALUE"""),13.8)</f>
        <v>13.8</v>
      </c>
      <c r="C140" s="15">
        <f>IFERROR(__xludf.DUMMYFUNCTION("""COMPUTED_VALUE"""),1.677952113735E12)</f>
        <v>1677952113735</v>
      </c>
      <c r="D140" s="15">
        <f>IFERROR(__xludf.DUMMYFUNCTION("""COMPUTED_VALUE"""),0.91587379836181)</f>
        <v>0.9158737984</v>
      </c>
      <c r="E140" s="15">
        <f>IFERROR(__xludf.DUMMYFUNCTION("""COMPUTED_VALUE"""),-0.0199480488866125)</f>
        <v>-0.01994804889</v>
      </c>
      <c r="F140" s="15">
        <f>IFERROR(__xludf.DUMMYFUNCTION("""COMPUTED_VALUE"""),-0.319293907650346)</f>
        <v>-0.3192939077</v>
      </c>
      <c r="G140" s="15">
        <f>IFERROR(__xludf.DUMMYFUNCTION("""COMPUTED_VALUE"""),0.24254620458234)</f>
        <v>0.2425462046</v>
      </c>
      <c r="H140" s="15">
        <f t="shared" si="1"/>
        <v>13622</v>
      </c>
    </row>
    <row r="141">
      <c r="B141" s="15">
        <f>IFERROR(__xludf.DUMMYFUNCTION("""COMPUTED_VALUE"""),13.9)</f>
        <v>13.9</v>
      </c>
      <c r="C141" s="15">
        <f>IFERROR(__xludf.DUMMYFUNCTION("""COMPUTED_VALUE"""),1.677952113847E12)</f>
        <v>1677952113847</v>
      </c>
      <c r="D141" s="15">
        <f>IFERROR(__xludf.DUMMYFUNCTION("""COMPUTED_VALUE"""),0.91587379836181)</f>
        <v>0.9158737984</v>
      </c>
      <c r="E141" s="15">
        <f>IFERROR(__xludf.DUMMYFUNCTION("""COMPUTED_VALUE"""),-0.0199480488866125)</f>
        <v>-0.01994804889</v>
      </c>
      <c r="F141" s="15">
        <f>IFERROR(__xludf.DUMMYFUNCTION("""COMPUTED_VALUE"""),-0.319293907650346)</f>
        <v>-0.3192939077</v>
      </c>
      <c r="G141" s="15">
        <f>IFERROR(__xludf.DUMMYFUNCTION("""COMPUTED_VALUE"""),0.24254620458234)</f>
        <v>0.2425462046</v>
      </c>
      <c r="H141" s="15">
        <f t="shared" si="1"/>
        <v>13734</v>
      </c>
    </row>
    <row r="142">
      <c r="B142" s="15">
        <f>IFERROR(__xludf.DUMMYFUNCTION("""COMPUTED_VALUE"""),14.0)</f>
        <v>14</v>
      </c>
      <c r="C142" s="15">
        <f>IFERROR(__xludf.DUMMYFUNCTION("""COMPUTED_VALUE"""),1.677952114084E12)</f>
        <v>1677952114084</v>
      </c>
      <c r="D142" s="15">
        <f>IFERROR(__xludf.DUMMYFUNCTION("""COMPUTED_VALUE"""),0.783545186801262)</f>
        <v>0.7835451868</v>
      </c>
      <c r="E142" s="15">
        <f>IFERROR(__xludf.DUMMYFUNCTION("""COMPUTED_VALUE"""),-0.0878722996645196)</f>
        <v>-0.08787229966</v>
      </c>
      <c r="F142" s="15">
        <f>IFERROR(__xludf.DUMMYFUNCTION("""COMPUTED_VALUE"""),-0.110694452386014)</f>
        <v>-0.1106944524</v>
      </c>
      <c r="G142" s="15">
        <f>IFERROR(__xludf.DUMMYFUNCTION("""COMPUTED_VALUE"""),0.605047219151697)</f>
        <v>0.6050472192</v>
      </c>
      <c r="H142" s="15">
        <f t="shared" si="1"/>
        <v>13971</v>
      </c>
    </row>
    <row r="143">
      <c r="B143" s="15">
        <f>IFERROR(__xludf.DUMMYFUNCTION("""COMPUTED_VALUE"""),14.1)</f>
        <v>14.1</v>
      </c>
      <c r="C143" s="15">
        <f>IFERROR(__xludf.DUMMYFUNCTION("""COMPUTED_VALUE"""),1.677952114132E12)</f>
        <v>1677952114132</v>
      </c>
      <c r="D143" s="15">
        <f>IFERROR(__xludf.DUMMYFUNCTION("""COMPUTED_VALUE"""),0.643486200525429)</f>
        <v>0.6434862005</v>
      </c>
      <c r="E143" s="15">
        <f>IFERROR(__xludf.DUMMYFUNCTION("""COMPUTED_VALUE"""),-0.0729515138059084)</f>
        <v>-0.07295151381</v>
      </c>
      <c r="F143" s="15">
        <f>IFERROR(__xludf.DUMMYFUNCTION("""COMPUTED_VALUE"""),-0.132701519449889)</f>
        <v>-0.1327015194</v>
      </c>
      <c r="G143" s="15">
        <f>IFERROR(__xludf.DUMMYFUNCTION("""COMPUTED_VALUE"""),0.750329189824347)</f>
        <v>0.7503291898</v>
      </c>
      <c r="H143" s="15">
        <f t="shared" si="1"/>
        <v>14019</v>
      </c>
    </row>
    <row r="144">
      <c r="B144" s="15">
        <f>IFERROR(__xludf.DUMMYFUNCTION("""COMPUTED_VALUE"""),14.2)</f>
        <v>14.2</v>
      </c>
      <c r="C144" s="15">
        <f>IFERROR(__xludf.DUMMYFUNCTION("""COMPUTED_VALUE"""),1.6779521142E12)</f>
        <v>1677952114200</v>
      </c>
      <c r="D144" s="15">
        <f>IFERROR(__xludf.DUMMYFUNCTION("""COMPUTED_VALUE"""),0.479440062739961)</f>
        <v>0.4794400627</v>
      </c>
      <c r="E144" s="15">
        <f>IFERROR(__xludf.DUMMYFUNCTION("""COMPUTED_VALUE"""),-0.00959990902430551)</f>
        <v>-0.009599909024</v>
      </c>
      <c r="F144" s="15">
        <f>IFERROR(__xludf.DUMMYFUNCTION("""COMPUTED_VALUE"""),-0.188540464755549)</f>
        <v>-0.1885404648</v>
      </c>
      <c r="G144" s="15">
        <f>IFERROR(__xludf.DUMMYFUNCTION("""COMPUTED_VALUE"""),0.85702833158326)</f>
        <v>0.8570283316</v>
      </c>
      <c r="H144" s="15">
        <f t="shared" si="1"/>
        <v>14087</v>
      </c>
    </row>
    <row r="145">
      <c r="B145" s="15">
        <f>IFERROR(__xludf.DUMMYFUNCTION("""COMPUTED_VALUE"""),14.3)</f>
        <v>14.3</v>
      </c>
      <c r="C145" s="15">
        <f>IFERROR(__xludf.DUMMYFUNCTION("""COMPUTED_VALUE"""),1.677952114239E12)</f>
        <v>1677952114239</v>
      </c>
      <c r="D145" s="15">
        <f>IFERROR(__xludf.DUMMYFUNCTION("""COMPUTED_VALUE"""),0.479440062739961)</f>
        <v>0.4794400627</v>
      </c>
      <c r="E145" s="15">
        <f>IFERROR(__xludf.DUMMYFUNCTION("""COMPUTED_VALUE"""),-0.00959990902430551)</f>
        <v>-0.009599909024</v>
      </c>
      <c r="F145" s="15">
        <f>IFERROR(__xludf.DUMMYFUNCTION("""COMPUTED_VALUE"""),-0.188540464755549)</f>
        <v>-0.1885404648</v>
      </c>
      <c r="G145" s="15">
        <f>IFERROR(__xludf.DUMMYFUNCTION("""COMPUTED_VALUE"""),0.85702833158326)</f>
        <v>0.8570283316</v>
      </c>
      <c r="H145" s="15">
        <f t="shared" si="1"/>
        <v>14126</v>
      </c>
    </row>
    <row r="146">
      <c r="B146" s="15">
        <f>IFERROR(__xludf.DUMMYFUNCTION("""COMPUTED_VALUE"""),14.4)</f>
        <v>14.4</v>
      </c>
      <c r="C146" s="15">
        <f>IFERROR(__xludf.DUMMYFUNCTION("""COMPUTED_VALUE"""),1.677952114335E12)</f>
        <v>1677952114335</v>
      </c>
      <c r="D146" s="15">
        <f>IFERROR(__xludf.DUMMYFUNCTION("""COMPUTED_VALUE"""),0.479440062739961)</f>
        <v>0.4794400627</v>
      </c>
      <c r="E146" s="15">
        <f>IFERROR(__xludf.DUMMYFUNCTION("""COMPUTED_VALUE"""),-0.00959990902430551)</f>
        <v>-0.009599909024</v>
      </c>
      <c r="F146" s="15">
        <f>IFERROR(__xludf.DUMMYFUNCTION("""COMPUTED_VALUE"""),-0.188540464755549)</f>
        <v>-0.1885404648</v>
      </c>
      <c r="G146" s="15">
        <f>IFERROR(__xludf.DUMMYFUNCTION("""COMPUTED_VALUE"""),0.85702833158326)</f>
        <v>0.8570283316</v>
      </c>
      <c r="H146" s="15">
        <f t="shared" si="1"/>
        <v>14222</v>
      </c>
    </row>
    <row r="147">
      <c r="B147" s="15">
        <f>IFERROR(__xludf.DUMMYFUNCTION("""COMPUTED_VALUE"""),14.5)</f>
        <v>14.5</v>
      </c>
      <c r="C147" s="15">
        <f>IFERROR(__xludf.DUMMYFUNCTION("""COMPUTED_VALUE"""),1.677952114483E12)</f>
        <v>1677952114483</v>
      </c>
      <c r="D147" s="15">
        <f>IFERROR(__xludf.DUMMYFUNCTION("""COMPUTED_VALUE"""),0.434747577844348)</f>
        <v>0.4347475778</v>
      </c>
      <c r="E147" s="15">
        <f>IFERROR(__xludf.DUMMYFUNCTION("""COMPUTED_VALUE"""),-0.00158812157763821)</f>
        <v>-0.001588121578</v>
      </c>
      <c r="F147" s="15">
        <f>IFERROR(__xludf.DUMMYFUNCTION("""COMPUTED_VALUE"""),-0.197146947561703)</f>
        <v>-0.1971469476</v>
      </c>
      <c r="G147" s="15">
        <f>IFERROR(__xludf.DUMMYFUNCTION("""COMPUTED_VALUE"""),0.878706493941764)</f>
        <v>0.8787064939</v>
      </c>
      <c r="H147" s="15">
        <f t="shared" si="1"/>
        <v>14370</v>
      </c>
    </row>
    <row r="148">
      <c r="B148" s="15">
        <f>IFERROR(__xludf.DUMMYFUNCTION("""COMPUTED_VALUE"""),14.6)</f>
        <v>14.6</v>
      </c>
      <c r="C148" s="15">
        <f>IFERROR(__xludf.DUMMYFUNCTION("""COMPUTED_VALUE"""),1.677952114573E12)</f>
        <v>1677952114573</v>
      </c>
      <c r="D148" s="15">
        <f>IFERROR(__xludf.DUMMYFUNCTION("""COMPUTED_VALUE"""),0.0885055246040903)</f>
        <v>0.0885055246</v>
      </c>
      <c r="E148" s="15">
        <f>IFERROR(__xludf.DUMMYFUNCTION("""COMPUTED_VALUE"""),0.137480978602082)</f>
        <v>0.1374809786</v>
      </c>
      <c r="F148" s="15">
        <f>IFERROR(__xludf.DUMMYFUNCTION("""COMPUTED_VALUE"""),-0.278692222318808)</f>
        <v>-0.2786922223</v>
      </c>
      <c r="G148" s="15">
        <f>IFERROR(__xludf.DUMMYFUNCTION("""COMPUTED_VALUE"""),0.946359549989416)</f>
        <v>0.94635955</v>
      </c>
      <c r="H148" s="15">
        <f t="shared" si="1"/>
        <v>14460</v>
      </c>
    </row>
    <row r="149">
      <c r="B149" s="15">
        <f>IFERROR(__xludf.DUMMYFUNCTION("""COMPUTED_VALUE"""),14.7)</f>
        <v>14.7</v>
      </c>
      <c r="C149" s="15">
        <f>IFERROR(__xludf.DUMMYFUNCTION("""COMPUTED_VALUE"""),1.677952114711E12)</f>
        <v>1677952114711</v>
      </c>
      <c r="D149" s="15">
        <f>IFERROR(__xludf.DUMMYFUNCTION("""COMPUTED_VALUE"""),-0.400638996491392)</f>
        <v>-0.4006389965</v>
      </c>
      <c r="E149" s="15">
        <f>IFERROR(__xludf.DUMMYFUNCTION("""COMPUTED_VALUE"""),0.374729956834977)</f>
        <v>0.3747299568</v>
      </c>
      <c r="F149" s="15">
        <f>IFERROR(__xludf.DUMMYFUNCTION("""COMPUTED_VALUE"""),-0.304664073038165)</f>
        <v>-0.304664073</v>
      </c>
      <c r="G149" s="15">
        <f>IFERROR(__xludf.DUMMYFUNCTION("""COMPUTED_VALUE"""),0.778617785913358)</f>
        <v>0.7786177859</v>
      </c>
      <c r="H149" s="15">
        <f t="shared" si="1"/>
        <v>14598</v>
      </c>
    </row>
    <row r="150">
      <c r="B150" s="15">
        <f>IFERROR(__xludf.DUMMYFUNCTION("""COMPUTED_VALUE"""),14.8)</f>
        <v>14.8</v>
      </c>
      <c r="C150" s="15">
        <f>IFERROR(__xludf.DUMMYFUNCTION("""COMPUTED_VALUE"""),1.677952114735E12)</f>
        <v>1677952114735</v>
      </c>
      <c r="D150" s="15">
        <f>IFERROR(__xludf.DUMMYFUNCTION("""COMPUTED_VALUE"""),-0.400638996491392)</f>
        <v>-0.4006389965</v>
      </c>
      <c r="E150" s="15">
        <f>IFERROR(__xludf.DUMMYFUNCTION("""COMPUTED_VALUE"""),0.374729956834977)</f>
        <v>0.3747299568</v>
      </c>
      <c r="F150" s="15">
        <f>IFERROR(__xludf.DUMMYFUNCTION("""COMPUTED_VALUE"""),-0.304664073038165)</f>
        <v>-0.304664073</v>
      </c>
      <c r="G150" s="15">
        <f>IFERROR(__xludf.DUMMYFUNCTION("""COMPUTED_VALUE"""),0.778617785913358)</f>
        <v>0.7786177859</v>
      </c>
      <c r="H150" s="15">
        <f t="shared" si="1"/>
        <v>14622</v>
      </c>
    </row>
    <row r="151">
      <c r="B151" s="15">
        <f>IFERROR(__xludf.DUMMYFUNCTION("""COMPUTED_VALUE"""),14.9)</f>
        <v>14.9</v>
      </c>
      <c r="C151" s="15">
        <f>IFERROR(__xludf.DUMMYFUNCTION("""COMPUTED_VALUE"""),1.677952114839E12)</f>
        <v>1677952114839</v>
      </c>
      <c r="D151" s="15">
        <f>IFERROR(__xludf.DUMMYFUNCTION("""COMPUTED_VALUE"""),-0.400638996491392)</f>
        <v>-0.4006389965</v>
      </c>
      <c r="E151" s="15">
        <f>IFERROR(__xludf.DUMMYFUNCTION("""COMPUTED_VALUE"""),0.374729956834977)</f>
        <v>0.3747299568</v>
      </c>
      <c r="F151" s="15">
        <f>IFERROR(__xludf.DUMMYFUNCTION("""COMPUTED_VALUE"""),-0.304664073038165)</f>
        <v>-0.304664073</v>
      </c>
      <c r="G151" s="15">
        <f>IFERROR(__xludf.DUMMYFUNCTION("""COMPUTED_VALUE"""),0.778617785913358)</f>
        <v>0.7786177859</v>
      </c>
      <c r="H151" s="15">
        <f t="shared" si="1"/>
        <v>14726</v>
      </c>
    </row>
    <row r="152">
      <c r="B152" s="15">
        <f>IFERROR(__xludf.DUMMYFUNCTION("""COMPUTED_VALUE"""),15.0)</f>
        <v>15</v>
      </c>
      <c r="C152" s="15">
        <f>IFERROR(__xludf.DUMMYFUNCTION("""COMPUTED_VALUE"""),1.677952114936E12)</f>
        <v>1677952114936</v>
      </c>
      <c r="D152" s="15">
        <f>IFERROR(__xludf.DUMMYFUNCTION("""COMPUTED_VALUE"""),-0.400638996491392)</f>
        <v>-0.4006389965</v>
      </c>
      <c r="E152" s="15">
        <f>IFERROR(__xludf.DUMMYFUNCTION("""COMPUTED_VALUE"""),0.374729956834977)</f>
        <v>0.3747299568</v>
      </c>
      <c r="F152" s="15">
        <f>IFERROR(__xludf.DUMMYFUNCTION("""COMPUTED_VALUE"""),-0.304664073038165)</f>
        <v>-0.304664073</v>
      </c>
      <c r="G152" s="15">
        <f>IFERROR(__xludf.DUMMYFUNCTION("""COMPUTED_VALUE"""),0.778617785913358)</f>
        <v>0.7786177859</v>
      </c>
      <c r="H152" s="15">
        <f t="shared" si="1"/>
        <v>14823</v>
      </c>
    </row>
    <row r="153">
      <c r="B153" s="15">
        <f>IFERROR(__xludf.DUMMYFUNCTION("""COMPUTED_VALUE"""),15.1)</f>
        <v>15.1</v>
      </c>
      <c r="C153" s="15">
        <f>IFERROR(__xludf.DUMMYFUNCTION("""COMPUTED_VALUE"""),1.67795211518E12)</f>
        <v>1677952115180</v>
      </c>
      <c r="D153" s="15">
        <f>IFERROR(__xludf.DUMMYFUNCTION("""COMPUTED_VALUE"""),0.208692081405643)</f>
        <v>0.2086920814</v>
      </c>
      <c r="E153" s="15">
        <f>IFERROR(__xludf.DUMMYFUNCTION("""COMPUTED_VALUE"""),0.054391386502188)</f>
        <v>0.0543913865</v>
      </c>
      <c r="F153" s="15">
        <f>IFERROR(__xludf.DUMMYFUNCTION("""COMPUTED_VALUE"""),0.0392104068002496)</f>
        <v>0.0392104068</v>
      </c>
      <c r="G153" s="15">
        <f>IFERROR(__xludf.DUMMYFUNCTION("""COMPUTED_VALUE"""),0.975680140328534)</f>
        <v>0.9756801403</v>
      </c>
      <c r="H153" s="15">
        <f t="shared" si="1"/>
        <v>15067</v>
      </c>
    </row>
    <row r="154">
      <c r="B154" s="15">
        <f>IFERROR(__xludf.DUMMYFUNCTION("""COMPUTED_VALUE"""),15.2)</f>
        <v>15.2</v>
      </c>
      <c r="C154" s="15">
        <f>IFERROR(__xludf.DUMMYFUNCTION("""COMPUTED_VALUE"""),1.677952115228E12)</f>
        <v>1677952115228</v>
      </c>
      <c r="D154" s="15">
        <f>IFERROR(__xludf.DUMMYFUNCTION("""COMPUTED_VALUE"""),0.219815076441993)</f>
        <v>0.2198150764</v>
      </c>
      <c r="E154" s="15">
        <f>IFERROR(__xludf.DUMMYFUNCTION("""COMPUTED_VALUE"""),-0.137914682581803)</f>
        <v>-0.1379146826</v>
      </c>
      <c r="F154" s="15">
        <f>IFERROR(__xludf.DUMMYFUNCTION("""COMPUTED_VALUE"""),0.0804294332696029)</f>
        <v>0.08042943327</v>
      </c>
      <c r="G154" s="15">
        <f>IFERROR(__xludf.DUMMYFUNCTION("""COMPUTED_VALUE"""),0.962388683828467)</f>
        <v>0.9623886838</v>
      </c>
      <c r="H154" s="15">
        <f t="shared" si="1"/>
        <v>15115</v>
      </c>
    </row>
    <row r="155">
      <c r="B155" s="15">
        <f>IFERROR(__xludf.DUMMYFUNCTION("""COMPUTED_VALUE"""),15.3)</f>
        <v>15.3</v>
      </c>
      <c r="C155" s="15">
        <f>IFERROR(__xludf.DUMMYFUNCTION("""COMPUTED_VALUE"""),1.677952115277E12)</f>
        <v>1677952115277</v>
      </c>
      <c r="D155" s="15">
        <f>IFERROR(__xludf.DUMMYFUNCTION("""COMPUTED_VALUE"""),0.225505030164821)</f>
        <v>0.2255050302</v>
      </c>
      <c r="E155" s="15">
        <f>IFERROR(__xludf.DUMMYFUNCTION("""COMPUTED_VALUE"""),-0.27002929933629)</f>
        <v>-0.2700292993</v>
      </c>
      <c r="F155" s="15">
        <f>IFERROR(__xludf.DUMMYFUNCTION("""COMPUTED_VALUE"""),0.106997727168183)</f>
        <v>0.1069977272</v>
      </c>
      <c r="G155" s="15">
        <f>IFERROR(__xludf.DUMMYFUNCTION("""COMPUTED_VALUE"""),0.929937172744028)</f>
        <v>0.9299371727</v>
      </c>
      <c r="H155" s="15">
        <f t="shared" si="1"/>
        <v>15164</v>
      </c>
    </row>
    <row r="156">
      <c r="B156" s="15">
        <f>IFERROR(__xludf.DUMMYFUNCTION("""COMPUTED_VALUE"""),15.4)</f>
        <v>15.4</v>
      </c>
      <c r="C156" s="15">
        <f>IFERROR(__xludf.DUMMYFUNCTION("""COMPUTED_VALUE"""),1.677952115371E12)</f>
        <v>1677952115371</v>
      </c>
      <c r="D156" s="15">
        <f>IFERROR(__xludf.DUMMYFUNCTION("""COMPUTED_VALUE"""),0.207753567043917)</f>
        <v>0.207753567</v>
      </c>
      <c r="E156" s="15">
        <f>IFERROR(__xludf.DUMMYFUNCTION("""COMPUTED_VALUE"""),-0.3518606940685)</f>
        <v>-0.3518606941</v>
      </c>
      <c r="F156" s="15">
        <f>IFERROR(__xludf.DUMMYFUNCTION("""COMPUTED_VALUE"""),0.129416332845626)</f>
        <v>0.1294163328</v>
      </c>
      <c r="G156" s="15">
        <f>IFERROR(__xludf.DUMMYFUNCTION("""COMPUTED_VALUE"""),0.90348432202388)</f>
        <v>0.903484322</v>
      </c>
      <c r="H156" s="15">
        <f t="shared" si="1"/>
        <v>15258</v>
      </c>
    </row>
    <row r="157">
      <c r="B157" s="15">
        <f>IFERROR(__xludf.DUMMYFUNCTION("""COMPUTED_VALUE"""),15.5)</f>
        <v>15.5</v>
      </c>
      <c r="C157" s="15">
        <f>IFERROR(__xludf.DUMMYFUNCTION("""COMPUTED_VALUE"""),1.677952115423E12)</f>
        <v>1677952115423</v>
      </c>
      <c r="D157" s="15">
        <f>IFERROR(__xludf.DUMMYFUNCTION("""COMPUTED_VALUE"""),0.207753567043917)</f>
        <v>0.207753567</v>
      </c>
      <c r="E157" s="15">
        <f>IFERROR(__xludf.DUMMYFUNCTION("""COMPUTED_VALUE"""),-0.3518606940685)</f>
        <v>-0.3518606941</v>
      </c>
      <c r="F157" s="15">
        <f>IFERROR(__xludf.DUMMYFUNCTION("""COMPUTED_VALUE"""),0.129416332845626)</f>
        <v>0.1294163328</v>
      </c>
      <c r="G157" s="15">
        <f>IFERROR(__xludf.DUMMYFUNCTION("""COMPUTED_VALUE"""),0.90348432202388)</f>
        <v>0.903484322</v>
      </c>
      <c r="H157" s="15">
        <f t="shared" si="1"/>
        <v>15310</v>
      </c>
    </row>
    <row r="158">
      <c r="B158" s="15">
        <f>IFERROR(__xludf.DUMMYFUNCTION("""COMPUTED_VALUE"""),15.6)</f>
        <v>15.6</v>
      </c>
      <c r="C158" s="15">
        <f>IFERROR(__xludf.DUMMYFUNCTION("""COMPUTED_VALUE"""),1.677952115519E12)</f>
        <v>1677952115519</v>
      </c>
      <c r="D158" s="15">
        <f>IFERROR(__xludf.DUMMYFUNCTION("""COMPUTED_VALUE"""),0.207753567043917)</f>
        <v>0.207753567</v>
      </c>
      <c r="E158" s="15">
        <f>IFERROR(__xludf.DUMMYFUNCTION("""COMPUTED_VALUE"""),-0.3518606940685)</f>
        <v>-0.3518606941</v>
      </c>
      <c r="F158" s="15">
        <f>IFERROR(__xludf.DUMMYFUNCTION("""COMPUTED_VALUE"""),0.129416332845626)</f>
        <v>0.1294163328</v>
      </c>
      <c r="G158" s="15">
        <f>IFERROR(__xludf.DUMMYFUNCTION("""COMPUTED_VALUE"""),0.90348432202388)</f>
        <v>0.903484322</v>
      </c>
      <c r="H158" s="15">
        <f t="shared" si="1"/>
        <v>15406</v>
      </c>
    </row>
    <row r="159">
      <c r="B159" s="15">
        <f>IFERROR(__xludf.DUMMYFUNCTION("""COMPUTED_VALUE"""),15.7)</f>
        <v>15.7</v>
      </c>
      <c r="C159" s="15">
        <f>IFERROR(__xludf.DUMMYFUNCTION("""COMPUTED_VALUE"""),1.677952115639E12)</f>
        <v>1677952115639</v>
      </c>
      <c r="D159" s="15">
        <f>IFERROR(__xludf.DUMMYFUNCTION("""COMPUTED_VALUE"""),0.207753567043917)</f>
        <v>0.207753567</v>
      </c>
      <c r="E159" s="15">
        <f>IFERROR(__xludf.DUMMYFUNCTION("""COMPUTED_VALUE"""),-0.3518606940685)</f>
        <v>-0.3518606941</v>
      </c>
      <c r="F159" s="15">
        <f>IFERROR(__xludf.DUMMYFUNCTION("""COMPUTED_VALUE"""),0.129416332845626)</f>
        <v>0.1294163328</v>
      </c>
      <c r="G159" s="15">
        <f>IFERROR(__xludf.DUMMYFUNCTION("""COMPUTED_VALUE"""),0.90348432202388)</f>
        <v>0.903484322</v>
      </c>
      <c r="H159" s="15">
        <f t="shared" si="1"/>
        <v>15526</v>
      </c>
    </row>
    <row r="160">
      <c r="B160" s="15">
        <f>IFERROR(__xludf.DUMMYFUNCTION("""COMPUTED_VALUE"""),15.8)</f>
        <v>15.8</v>
      </c>
      <c r="C160" s="15">
        <f>IFERROR(__xludf.DUMMYFUNCTION("""COMPUTED_VALUE"""),1.677952115743E12)</f>
        <v>1677952115743</v>
      </c>
      <c r="D160" s="15">
        <f>IFERROR(__xludf.DUMMYFUNCTION("""COMPUTED_VALUE"""),0.207753567043917)</f>
        <v>0.207753567</v>
      </c>
      <c r="E160" s="15">
        <f>IFERROR(__xludf.DUMMYFUNCTION("""COMPUTED_VALUE"""),-0.3518606940685)</f>
        <v>-0.3518606941</v>
      </c>
      <c r="F160" s="15">
        <f>IFERROR(__xludf.DUMMYFUNCTION("""COMPUTED_VALUE"""),0.129416332845626)</f>
        <v>0.1294163328</v>
      </c>
      <c r="G160" s="15">
        <f>IFERROR(__xludf.DUMMYFUNCTION("""COMPUTED_VALUE"""),0.90348432202388)</f>
        <v>0.903484322</v>
      </c>
      <c r="H160" s="15">
        <f t="shared" si="1"/>
        <v>15630</v>
      </c>
    </row>
    <row r="161">
      <c r="B161" s="15">
        <f>IFERROR(__xludf.DUMMYFUNCTION("""COMPUTED_VALUE"""),15.9)</f>
        <v>15.9</v>
      </c>
      <c r="C161" s="15">
        <f>IFERROR(__xludf.DUMMYFUNCTION("""COMPUTED_VALUE"""),1.677952115848E12)</f>
        <v>1677952115848</v>
      </c>
      <c r="D161" s="15">
        <f>IFERROR(__xludf.DUMMYFUNCTION("""COMPUTED_VALUE"""),0.207753567043917)</f>
        <v>0.207753567</v>
      </c>
      <c r="E161" s="15">
        <f>IFERROR(__xludf.DUMMYFUNCTION("""COMPUTED_VALUE"""),-0.3518606940685)</f>
        <v>-0.3518606941</v>
      </c>
      <c r="F161" s="15">
        <f>IFERROR(__xludf.DUMMYFUNCTION("""COMPUTED_VALUE"""),0.129416332845626)</f>
        <v>0.1294163328</v>
      </c>
      <c r="G161" s="15">
        <f>IFERROR(__xludf.DUMMYFUNCTION("""COMPUTED_VALUE"""),0.90348432202388)</f>
        <v>0.903484322</v>
      </c>
      <c r="H161" s="15">
        <f t="shared" si="1"/>
        <v>15735</v>
      </c>
    </row>
    <row r="162">
      <c r="B162" s="15">
        <f>IFERROR(__xludf.DUMMYFUNCTION("""COMPUTED_VALUE"""),16.0)</f>
        <v>16</v>
      </c>
      <c r="C162" s="15">
        <f>IFERROR(__xludf.DUMMYFUNCTION("""COMPUTED_VALUE"""),1.677952116061E12)</f>
        <v>1677952116061</v>
      </c>
      <c r="D162" s="15">
        <f>IFERROR(__xludf.DUMMYFUNCTION("""COMPUTED_VALUE"""),0.144066029131277)</f>
        <v>0.1440660291</v>
      </c>
      <c r="E162" s="15">
        <f>IFERROR(__xludf.DUMMYFUNCTION("""COMPUTED_VALUE"""),-0.611482681941278)</f>
        <v>-0.6114826819</v>
      </c>
      <c r="F162" s="15">
        <f>IFERROR(__xludf.DUMMYFUNCTION("""COMPUTED_VALUE"""),0.193952473568796)</f>
        <v>0.1939524736</v>
      </c>
      <c r="G162" s="15">
        <f>IFERROR(__xludf.DUMMYFUNCTION("""COMPUTED_VALUE"""),0.753469539485699)</f>
        <v>0.7534695395</v>
      </c>
      <c r="H162" s="15">
        <f t="shared" si="1"/>
        <v>15948</v>
      </c>
    </row>
    <row r="163">
      <c r="B163" s="15">
        <f>IFERROR(__xludf.DUMMYFUNCTION("""COMPUTED_VALUE"""),16.1)</f>
        <v>16.1</v>
      </c>
      <c r="C163" s="15">
        <f>IFERROR(__xludf.DUMMYFUNCTION("""COMPUTED_VALUE"""),1.677952116109E12)</f>
        <v>1677952116109</v>
      </c>
      <c r="D163" s="15">
        <f>IFERROR(__xludf.DUMMYFUNCTION("""COMPUTED_VALUE"""),0.0970890721829874)</f>
        <v>0.09708907218</v>
      </c>
      <c r="E163" s="15">
        <f>IFERROR(__xludf.DUMMYFUNCTION("""COMPUTED_VALUE"""),-0.745308108002411)</f>
        <v>-0.745308108</v>
      </c>
      <c r="F163" s="15">
        <f>IFERROR(__xludf.DUMMYFUNCTION("""COMPUTED_VALUE"""),0.222493285199417)</f>
        <v>0.2224932852</v>
      </c>
      <c r="G163" s="15">
        <f>IFERROR(__xludf.DUMMYFUNCTION("""COMPUTED_VALUE"""),0.620955935835774)</f>
        <v>0.6209559358</v>
      </c>
      <c r="H163" s="15">
        <f t="shared" si="1"/>
        <v>15996</v>
      </c>
    </row>
    <row r="164">
      <c r="B164" s="15">
        <f>IFERROR(__xludf.DUMMYFUNCTION("""COMPUTED_VALUE"""),16.2)</f>
        <v>16.2</v>
      </c>
      <c r="C164" s="15">
        <f>IFERROR(__xludf.DUMMYFUNCTION("""COMPUTED_VALUE"""),1.677952116176E12)</f>
        <v>1677952116176</v>
      </c>
      <c r="D164" s="15">
        <f>IFERROR(__xludf.DUMMYFUNCTION("""COMPUTED_VALUE"""),-0.0441948755473981)</f>
        <v>-0.04419487555</v>
      </c>
      <c r="E164" s="15">
        <f>IFERROR(__xludf.DUMMYFUNCTION("""COMPUTED_VALUE"""),0.884686017213898)</f>
        <v>0.8846860172</v>
      </c>
      <c r="F164" s="15">
        <f>IFERROR(__xludf.DUMMYFUNCTION("""COMPUTED_VALUE"""),-0.227377401735193)</f>
        <v>-0.2273774017</v>
      </c>
      <c r="G164" s="15">
        <f>IFERROR(__xludf.DUMMYFUNCTION("""COMPUTED_VALUE"""),-0.40457011889376)</f>
        <v>-0.4045701189</v>
      </c>
      <c r="H164" s="15">
        <f t="shared" si="1"/>
        <v>16063</v>
      </c>
    </row>
    <row r="165">
      <c r="B165" s="15">
        <f>IFERROR(__xludf.DUMMYFUNCTION("""COMPUTED_VALUE"""),16.3)</f>
        <v>16.3</v>
      </c>
      <c r="C165" s="15">
        <f>IFERROR(__xludf.DUMMYFUNCTION("""COMPUTED_VALUE"""),1.677952116268E12)</f>
        <v>1677952116268</v>
      </c>
      <c r="D165" s="15">
        <f>IFERROR(__xludf.DUMMYFUNCTION("""COMPUTED_VALUE"""),-0.0127773547679232)</f>
        <v>-0.01277735477</v>
      </c>
      <c r="E165" s="15">
        <f>IFERROR(__xludf.DUMMYFUNCTION("""COMPUTED_VALUE"""),0.961266594026525)</f>
        <v>0.961266594</v>
      </c>
      <c r="F165" s="15">
        <f>IFERROR(__xludf.DUMMYFUNCTION("""COMPUTED_VALUE"""),-0.185493522625125)</f>
        <v>-0.1854935226</v>
      </c>
      <c r="G165" s="15">
        <f>IFERROR(__xludf.DUMMYFUNCTION("""COMPUTED_VALUE"""),-0.203458662823429)</f>
        <v>-0.2034586628</v>
      </c>
      <c r="H165" s="15">
        <f t="shared" si="1"/>
        <v>16155</v>
      </c>
    </row>
    <row r="166">
      <c r="B166" s="15">
        <f>IFERROR(__xludf.DUMMYFUNCTION("""COMPUTED_VALUE"""),16.4)</f>
        <v>16.4</v>
      </c>
      <c r="C166" s="15">
        <f>IFERROR(__xludf.DUMMYFUNCTION("""COMPUTED_VALUE"""),1.677952116335E12)</f>
        <v>1677952116335</v>
      </c>
      <c r="D166" s="15">
        <f>IFERROR(__xludf.DUMMYFUNCTION("""COMPUTED_VALUE"""),-0.0127773547679232)</f>
        <v>-0.01277735477</v>
      </c>
      <c r="E166" s="15">
        <f>IFERROR(__xludf.DUMMYFUNCTION("""COMPUTED_VALUE"""),0.961266594026525)</f>
        <v>0.961266594</v>
      </c>
      <c r="F166" s="15">
        <f>IFERROR(__xludf.DUMMYFUNCTION("""COMPUTED_VALUE"""),-0.185493522625125)</f>
        <v>-0.1854935226</v>
      </c>
      <c r="G166" s="15">
        <f>IFERROR(__xludf.DUMMYFUNCTION("""COMPUTED_VALUE"""),-0.203458662823429)</f>
        <v>-0.2034586628</v>
      </c>
      <c r="H166" s="15">
        <f t="shared" si="1"/>
        <v>16222</v>
      </c>
    </row>
    <row r="167">
      <c r="B167" s="15">
        <f>IFERROR(__xludf.DUMMYFUNCTION("""COMPUTED_VALUE"""),16.5)</f>
        <v>16.5</v>
      </c>
      <c r="C167" s="15">
        <f>IFERROR(__xludf.DUMMYFUNCTION("""COMPUTED_VALUE"""),1.677952116447E12)</f>
        <v>1677952116447</v>
      </c>
      <c r="D167" s="15">
        <f>IFERROR(__xludf.DUMMYFUNCTION("""COMPUTED_VALUE"""),-0.0127773547679232)</f>
        <v>-0.01277735477</v>
      </c>
      <c r="E167" s="15">
        <f>IFERROR(__xludf.DUMMYFUNCTION("""COMPUTED_VALUE"""),0.961266594026525)</f>
        <v>0.961266594</v>
      </c>
      <c r="F167" s="15">
        <f>IFERROR(__xludf.DUMMYFUNCTION("""COMPUTED_VALUE"""),-0.185493522625125)</f>
        <v>-0.1854935226</v>
      </c>
      <c r="G167" s="15">
        <f>IFERROR(__xludf.DUMMYFUNCTION("""COMPUTED_VALUE"""),-0.203458662823429)</f>
        <v>-0.2034586628</v>
      </c>
      <c r="H167" s="15">
        <f t="shared" si="1"/>
        <v>16334</v>
      </c>
    </row>
    <row r="168">
      <c r="B168" s="15">
        <f>IFERROR(__xludf.DUMMYFUNCTION("""COMPUTED_VALUE"""),16.6)</f>
        <v>16.6</v>
      </c>
      <c r="C168" s="15">
        <f>IFERROR(__xludf.DUMMYFUNCTION("""COMPUTED_VALUE"""),1.677952116543E12)</f>
        <v>1677952116543</v>
      </c>
      <c r="D168" s="15">
        <f>IFERROR(__xludf.DUMMYFUNCTION("""COMPUTED_VALUE"""),-0.0127773547679232)</f>
        <v>-0.01277735477</v>
      </c>
      <c r="E168" s="15">
        <f>IFERROR(__xludf.DUMMYFUNCTION("""COMPUTED_VALUE"""),0.961266594026525)</f>
        <v>0.961266594</v>
      </c>
      <c r="F168" s="15">
        <f>IFERROR(__xludf.DUMMYFUNCTION("""COMPUTED_VALUE"""),-0.185493522625125)</f>
        <v>-0.1854935226</v>
      </c>
      <c r="G168" s="15">
        <f>IFERROR(__xludf.DUMMYFUNCTION("""COMPUTED_VALUE"""),-0.203458662823429)</f>
        <v>-0.2034586628</v>
      </c>
      <c r="H168" s="15">
        <f t="shared" si="1"/>
        <v>16430</v>
      </c>
    </row>
    <row r="169">
      <c r="B169" s="15">
        <f>IFERROR(__xludf.DUMMYFUNCTION("""COMPUTED_VALUE"""),16.7)</f>
        <v>16.7</v>
      </c>
      <c r="C169" s="15">
        <f>IFERROR(__xludf.DUMMYFUNCTION("""COMPUTED_VALUE"""),1.677952116646E12)</f>
        <v>1677952116646</v>
      </c>
      <c r="D169" s="15">
        <f>IFERROR(__xludf.DUMMYFUNCTION("""COMPUTED_VALUE"""),-0.0127773547679232)</f>
        <v>-0.01277735477</v>
      </c>
      <c r="E169" s="15">
        <f>IFERROR(__xludf.DUMMYFUNCTION("""COMPUTED_VALUE"""),0.961266594026525)</f>
        <v>0.961266594</v>
      </c>
      <c r="F169" s="15">
        <f>IFERROR(__xludf.DUMMYFUNCTION("""COMPUTED_VALUE"""),-0.185493522625125)</f>
        <v>-0.1854935226</v>
      </c>
      <c r="G169" s="15">
        <f>IFERROR(__xludf.DUMMYFUNCTION("""COMPUTED_VALUE"""),-0.203458662823429)</f>
        <v>-0.2034586628</v>
      </c>
      <c r="H169" s="15">
        <f t="shared" si="1"/>
        <v>16533</v>
      </c>
    </row>
    <row r="170">
      <c r="B170" s="15">
        <f>IFERROR(__xludf.DUMMYFUNCTION("""COMPUTED_VALUE"""),16.8)</f>
        <v>16.8</v>
      </c>
      <c r="C170" s="15">
        <f>IFERROR(__xludf.DUMMYFUNCTION("""COMPUTED_VALUE"""),1.677952116742E12)</f>
        <v>1677952116742</v>
      </c>
      <c r="D170" s="15">
        <f>IFERROR(__xludf.DUMMYFUNCTION("""COMPUTED_VALUE"""),-0.0127773547679232)</f>
        <v>-0.01277735477</v>
      </c>
      <c r="E170" s="15">
        <f>IFERROR(__xludf.DUMMYFUNCTION("""COMPUTED_VALUE"""),0.961266594026525)</f>
        <v>0.961266594</v>
      </c>
      <c r="F170" s="15">
        <f>IFERROR(__xludf.DUMMYFUNCTION("""COMPUTED_VALUE"""),-0.185493522625125)</f>
        <v>-0.1854935226</v>
      </c>
      <c r="G170" s="15">
        <f>IFERROR(__xludf.DUMMYFUNCTION("""COMPUTED_VALUE"""),-0.203458662823429)</f>
        <v>-0.2034586628</v>
      </c>
      <c r="H170" s="15">
        <f t="shared" si="1"/>
        <v>16629</v>
      </c>
    </row>
    <row r="171">
      <c r="B171" s="15">
        <f>IFERROR(__xludf.DUMMYFUNCTION("""COMPUTED_VALUE"""),16.9)</f>
        <v>16.9</v>
      </c>
      <c r="C171" s="15">
        <f>IFERROR(__xludf.DUMMYFUNCTION("""COMPUTED_VALUE"""),1.677952116956E12)</f>
        <v>1677952116956</v>
      </c>
      <c r="D171" s="15">
        <f>IFERROR(__xludf.DUMMYFUNCTION("""COMPUTED_VALUE"""),0.125285550318421)</f>
        <v>0.1252855503</v>
      </c>
      <c r="E171" s="15">
        <f>IFERROR(__xludf.DUMMYFUNCTION("""COMPUTED_VALUE"""),0.845601794511865)</f>
        <v>0.8456017945</v>
      </c>
      <c r="F171" s="15">
        <f>IFERROR(__xludf.DUMMYFUNCTION("""COMPUTED_VALUE"""),-0.192546858761281)</f>
        <v>-0.1925468588</v>
      </c>
      <c r="G171" s="15">
        <f>IFERROR(__xludf.DUMMYFUNCTION("""COMPUTED_VALUE"""),0.481857700136549)</f>
        <v>0.4818577001</v>
      </c>
      <c r="H171" s="15">
        <f t="shared" si="1"/>
        <v>16843</v>
      </c>
    </row>
    <row r="172">
      <c r="B172" s="15">
        <f>IFERROR(__xludf.DUMMYFUNCTION("""COMPUTED_VALUE"""),17.0)</f>
        <v>17</v>
      </c>
      <c r="C172" s="15">
        <f>IFERROR(__xludf.DUMMYFUNCTION("""COMPUTED_VALUE"""),1.677952116964E12)</f>
        <v>1677952116964</v>
      </c>
      <c r="D172" s="15">
        <f>IFERROR(__xludf.DUMMYFUNCTION("""COMPUTED_VALUE"""),0.125285550318421)</f>
        <v>0.1252855503</v>
      </c>
      <c r="E172" s="15">
        <f>IFERROR(__xludf.DUMMYFUNCTION("""COMPUTED_VALUE"""),0.845601794511865)</f>
        <v>0.8456017945</v>
      </c>
      <c r="F172" s="15">
        <f>IFERROR(__xludf.DUMMYFUNCTION("""COMPUTED_VALUE"""),-0.192546858761281)</f>
        <v>-0.1925468588</v>
      </c>
      <c r="G172" s="15">
        <f>IFERROR(__xludf.DUMMYFUNCTION("""COMPUTED_VALUE"""),0.481857700136549)</f>
        <v>0.4818577001</v>
      </c>
      <c r="H172" s="15">
        <f t="shared" si="1"/>
        <v>16851</v>
      </c>
    </row>
    <row r="173">
      <c r="B173" s="15">
        <f>IFERROR(__xludf.DUMMYFUNCTION("""COMPUTED_VALUE"""),17.1)</f>
        <v>17.1</v>
      </c>
      <c r="C173" s="15">
        <f>IFERROR(__xludf.DUMMYFUNCTION("""COMPUTED_VALUE"""),1.677952117047E12)</f>
        <v>1677952117047</v>
      </c>
      <c r="D173" s="15">
        <f>IFERROR(__xludf.DUMMYFUNCTION("""COMPUTED_VALUE"""),0.125285550318421)</f>
        <v>0.1252855503</v>
      </c>
      <c r="E173" s="15">
        <f>IFERROR(__xludf.DUMMYFUNCTION("""COMPUTED_VALUE"""),0.845601794511865)</f>
        <v>0.8456017945</v>
      </c>
      <c r="F173" s="15">
        <f>IFERROR(__xludf.DUMMYFUNCTION("""COMPUTED_VALUE"""),-0.192546858761281)</f>
        <v>-0.1925468588</v>
      </c>
      <c r="G173" s="15">
        <f>IFERROR(__xludf.DUMMYFUNCTION("""COMPUTED_VALUE"""),0.481857700136549)</f>
        <v>0.4818577001</v>
      </c>
      <c r="H173" s="15">
        <f t="shared" si="1"/>
        <v>16934</v>
      </c>
    </row>
    <row r="174">
      <c r="B174" s="15">
        <f>IFERROR(__xludf.DUMMYFUNCTION("""COMPUTED_VALUE"""),17.2)</f>
        <v>17.2</v>
      </c>
      <c r="C174" s="15">
        <f>IFERROR(__xludf.DUMMYFUNCTION("""COMPUTED_VALUE"""),1.677952117142E12)</f>
        <v>1677952117142</v>
      </c>
      <c r="D174" s="15">
        <f>IFERROR(__xludf.DUMMYFUNCTION("""COMPUTED_VALUE"""),0.125285550318421)</f>
        <v>0.1252855503</v>
      </c>
      <c r="E174" s="15">
        <f>IFERROR(__xludf.DUMMYFUNCTION("""COMPUTED_VALUE"""),0.845601794511865)</f>
        <v>0.8456017945</v>
      </c>
      <c r="F174" s="15">
        <f>IFERROR(__xludf.DUMMYFUNCTION("""COMPUTED_VALUE"""),-0.192546858761281)</f>
        <v>-0.1925468588</v>
      </c>
      <c r="G174" s="15">
        <f>IFERROR(__xludf.DUMMYFUNCTION("""COMPUTED_VALUE"""),0.481857700136549)</f>
        <v>0.4818577001</v>
      </c>
      <c r="H174" s="15">
        <f t="shared" si="1"/>
        <v>17029</v>
      </c>
    </row>
    <row r="175">
      <c r="B175" s="15">
        <f>IFERROR(__xludf.DUMMYFUNCTION("""COMPUTED_VALUE"""),17.3)</f>
        <v>17.3</v>
      </c>
      <c r="C175" s="15">
        <f>IFERROR(__xludf.DUMMYFUNCTION("""COMPUTED_VALUE"""),1.677952117246E12)</f>
        <v>1677952117246</v>
      </c>
      <c r="D175" s="15">
        <f>IFERROR(__xludf.DUMMYFUNCTION("""COMPUTED_VALUE"""),0.125285550318421)</f>
        <v>0.1252855503</v>
      </c>
      <c r="E175" s="15">
        <f>IFERROR(__xludf.DUMMYFUNCTION("""COMPUTED_VALUE"""),0.845601794511865)</f>
        <v>0.8456017945</v>
      </c>
      <c r="F175" s="15">
        <f>IFERROR(__xludf.DUMMYFUNCTION("""COMPUTED_VALUE"""),-0.192546858761281)</f>
        <v>-0.1925468588</v>
      </c>
      <c r="G175" s="15">
        <f>IFERROR(__xludf.DUMMYFUNCTION("""COMPUTED_VALUE"""),0.481857700136549)</f>
        <v>0.4818577001</v>
      </c>
      <c r="H175" s="15">
        <f t="shared" si="1"/>
        <v>17133</v>
      </c>
    </row>
    <row r="176">
      <c r="B176" s="15">
        <f>IFERROR(__xludf.DUMMYFUNCTION("""COMPUTED_VALUE"""),17.4)</f>
        <v>17.4</v>
      </c>
      <c r="C176" s="15">
        <f>IFERROR(__xludf.DUMMYFUNCTION("""COMPUTED_VALUE"""),1.677952117567E12)</f>
        <v>1677952117567</v>
      </c>
      <c r="D176" s="15">
        <f>IFERROR(__xludf.DUMMYFUNCTION("""COMPUTED_VALUE"""),-0.226455255541441)</f>
        <v>-0.2264552555</v>
      </c>
      <c r="E176" s="15">
        <f>IFERROR(__xludf.DUMMYFUNCTION("""COMPUTED_VALUE"""),0.94772739699443)</f>
        <v>0.947727397</v>
      </c>
      <c r="F176" s="15">
        <f>IFERROR(__xludf.DUMMYFUNCTION("""COMPUTED_VALUE"""),-0.179425824697436)</f>
        <v>-0.1794258247</v>
      </c>
      <c r="G176" s="15">
        <f>IFERROR(__xludf.DUMMYFUNCTION("""COMPUTED_VALUE"""),-0.135414813279288)</f>
        <v>-0.1354148133</v>
      </c>
      <c r="H176" s="15">
        <f t="shared" si="1"/>
        <v>17454</v>
      </c>
    </row>
    <row r="177">
      <c r="B177" s="15">
        <f>IFERROR(__xludf.DUMMYFUNCTION("""COMPUTED_VALUE"""),17.5)</f>
        <v>17.5</v>
      </c>
      <c r="C177" s="15">
        <f>IFERROR(__xludf.DUMMYFUNCTION("""COMPUTED_VALUE"""),1.677952117615E12)</f>
        <v>1677952117615</v>
      </c>
      <c r="D177" s="15">
        <f>IFERROR(__xludf.DUMMYFUNCTION("""COMPUTED_VALUE"""),-0.274427302047169)</f>
        <v>-0.274427302</v>
      </c>
      <c r="E177" s="15">
        <f>IFERROR(__xludf.DUMMYFUNCTION("""COMPUTED_VALUE"""),0.901520173439098)</f>
        <v>0.9015201734</v>
      </c>
      <c r="F177" s="15">
        <f>IFERROR(__xludf.DUMMYFUNCTION("""COMPUTED_VALUE"""),-0.0277735294630016)</f>
        <v>-0.02777352946</v>
      </c>
      <c r="G177" s="15">
        <f>IFERROR(__xludf.DUMMYFUNCTION("""COMPUTED_VALUE"""),-0.333436146562749)</f>
        <v>-0.3334361466</v>
      </c>
      <c r="H177" s="15">
        <f t="shared" si="1"/>
        <v>17502</v>
      </c>
    </row>
    <row r="178">
      <c r="B178" s="15">
        <f>IFERROR(__xludf.DUMMYFUNCTION("""COMPUTED_VALUE"""),17.6)</f>
        <v>17.6</v>
      </c>
      <c r="C178" s="15">
        <f>IFERROR(__xludf.DUMMYFUNCTION("""COMPUTED_VALUE"""),1.677952117623E12)</f>
        <v>1677952117623</v>
      </c>
      <c r="D178" s="15">
        <f>IFERROR(__xludf.DUMMYFUNCTION("""COMPUTED_VALUE"""),-0.274427302047169)</f>
        <v>-0.274427302</v>
      </c>
      <c r="E178" s="15">
        <f>IFERROR(__xludf.DUMMYFUNCTION("""COMPUTED_VALUE"""),0.901520173439098)</f>
        <v>0.9015201734</v>
      </c>
      <c r="F178" s="15">
        <f>IFERROR(__xludf.DUMMYFUNCTION("""COMPUTED_VALUE"""),-0.0277735294630016)</f>
        <v>-0.02777352946</v>
      </c>
      <c r="G178" s="15">
        <f>IFERROR(__xludf.DUMMYFUNCTION("""COMPUTED_VALUE"""),-0.333436146562749)</f>
        <v>-0.3334361466</v>
      </c>
      <c r="H178" s="15">
        <f t="shared" si="1"/>
        <v>17510</v>
      </c>
    </row>
    <row r="179">
      <c r="B179" s="15">
        <f>IFERROR(__xludf.DUMMYFUNCTION("""COMPUTED_VALUE"""),17.7)</f>
        <v>17.7</v>
      </c>
      <c r="C179" s="15">
        <f>IFERROR(__xludf.DUMMYFUNCTION("""COMPUTED_VALUE"""),1.677952117646E12)</f>
        <v>1677952117646</v>
      </c>
      <c r="D179" s="15">
        <f>IFERROR(__xludf.DUMMYFUNCTION("""COMPUTED_VALUE"""),-0.274427302047169)</f>
        <v>-0.274427302</v>
      </c>
      <c r="E179" s="15">
        <f>IFERROR(__xludf.DUMMYFUNCTION("""COMPUTED_VALUE"""),0.901520173439098)</f>
        <v>0.9015201734</v>
      </c>
      <c r="F179" s="15">
        <f>IFERROR(__xludf.DUMMYFUNCTION("""COMPUTED_VALUE"""),-0.0277735294630016)</f>
        <v>-0.02777352946</v>
      </c>
      <c r="G179" s="15">
        <f>IFERROR(__xludf.DUMMYFUNCTION("""COMPUTED_VALUE"""),-0.333436146562749)</f>
        <v>-0.3334361466</v>
      </c>
      <c r="H179" s="15">
        <f t="shared" si="1"/>
        <v>17533</v>
      </c>
    </row>
    <row r="180">
      <c r="B180" s="15">
        <f>IFERROR(__xludf.DUMMYFUNCTION("""COMPUTED_VALUE"""),17.8)</f>
        <v>17.8</v>
      </c>
      <c r="C180" s="15">
        <f>IFERROR(__xludf.DUMMYFUNCTION("""COMPUTED_VALUE"""),1.677952117746E12)</f>
        <v>1677952117746</v>
      </c>
      <c r="D180" s="15">
        <f>IFERROR(__xludf.DUMMYFUNCTION("""COMPUTED_VALUE"""),-0.274427302047169)</f>
        <v>-0.274427302</v>
      </c>
      <c r="E180" s="15">
        <f>IFERROR(__xludf.DUMMYFUNCTION("""COMPUTED_VALUE"""),0.901520173439098)</f>
        <v>0.9015201734</v>
      </c>
      <c r="F180" s="15">
        <f>IFERROR(__xludf.DUMMYFUNCTION("""COMPUTED_VALUE"""),-0.0277735294630016)</f>
        <v>-0.02777352946</v>
      </c>
      <c r="G180" s="15">
        <f>IFERROR(__xludf.DUMMYFUNCTION("""COMPUTED_VALUE"""),-0.333436146562749)</f>
        <v>-0.3334361466</v>
      </c>
      <c r="H180" s="15">
        <f t="shared" si="1"/>
        <v>17633</v>
      </c>
    </row>
    <row r="181">
      <c r="B181" s="15">
        <f>IFERROR(__xludf.DUMMYFUNCTION("""COMPUTED_VALUE"""),17.9)</f>
        <v>17.9</v>
      </c>
      <c r="C181" s="15">
        <f>IFERROR(__xludf.DUMMYFUNCTION("""COMPUTED_VALUE"""),1.677952117846E12)</f>
        <v>1677952117846</v>
      </c>
      <c r="D181" s="15">
        <f>IFERROR(__xludf.DUMMYFUNCTION("""COMPUTED_VALUE"""),-0.274427302047169)</f>
        <v>-0.274427302</v>
      </c>
      <c r="E181" s="15">
        <f>IFERROR(__xludf.DUMMYFUNCTION("""COMPUTED_VALUE"""),0.901520173439098)</f>
        <v>0.9015201734</v>
      </c>
      <c r="F181" s="15">
        <f>IFERROR(__xludf.DUMMYFUNCTION("""COMPUTED_VALUE"""),-0.0277735294630016)</f>
        <v>-0.02777352946</v>
      </c>
      <c r="G181" s="15">
        <f>IFERROR(__xludf.DUMMYFUNCTION("""COMPUTED_VALUE"""),-0.333436146562749)</f>
        <v>-0.3334361466</v>
      </c>
      <c r="H181" s="15">
        <f t="shared" si="1"/>
        <v>17733</v>
      </c>
    </row>
    <row r="182">
      <c r="B182" s="15">
        <f>IFERROR(__xludf.DUMMYFUNCTION("""COMPUTED_VALUE"""),18.0)</f>
        <v>18</v>
      </c>
      <c r="C182" s="15">
        <f>IFERROR(__xludf.DUMMYFUNCTION("""COMPUTED_VALUE"""),1.677952117951E12)</f>
        <v>1677952117951</v>
      </c>
      <c r="D182" s="15">
        <f>IFERROR(__xludf.DUMMYFUNCTION("""COMPUTED_VALUE"""),-0.274427302047169)</f>
        <v>-0.274427302</v>
      </c>
      <c r="E182" s="15">
        <f>IFERROR(__xludf.DUMMYFUNCTION("""COMPUTED_VALUE"""),0.901520173439098)</f>
        <v>0.9015201734</v>
      </c>
      <c r="F182" s="15">
        <f>IFERROR(__xludf.DUMMYFUNCTION("""COMPUTED_VALUE"""),-0.0277735294630016)</f>
        <v>-0.02777352946</v>
      </c>
      <c r="G182" s="15">
        <f>IFERROR(__xludf.DUMMYFUNCTION("""COMPUTED_VALUE"""),-0.333436146562749)</f>
        <v>-0.3334361466</v>
      </c>
      <c r="H182" s="15">
        <f t="shared" si="1"/>
        <v>17838</v>
      </c>
    </row>
    <row r="183">
      <c r="B183" s="15">
        <f>IFERROR(__xludf.DUMMYFUNCTION("""COMPUTED_VALUE"""),18.1)</f>
        <v>18.1</v>
      </c>
      <c r="C183" s="15">
        <f>IFERROR(__xludf.DUMMYFUNCTION("""COMPUTED_VALUE"""),1.677952118046E12)</f>
        <v>1677952118046</v>
      </c>
      <c r="D183" s="15">
        <f>IFERROR(__xludf.DUMMYFUNCTION("""COMPUTED_VALUE"""),-0.274427302047169)</f>
        <v>-0.274427302</v>
      </c>
      <c r="E183" s="15">
        <f>IFERROR(__xludf.DUMMYFUNCTION("""COMPUTED_VALUE"""),0.901520173439098)</f>
        <v>0.9015201734</v>
      </c>
      <c r="F183" s="15">
        <f>IFERROR(__xludf.DUMMYFUNCTION("""COMPUTED_VALUE"""),-0.0277735294630016)</f>
        <v>-0.02777352946</v>
      </c>
      <c r="G183" s="15">
        <f>IFERROR(__xludf.DUMMYFUNCTION("""COMPUTED_VALUE"""),-0.333436146562749)</f>
        <v>-0.3334361466</v>
      </c>
      <c r="H183" s="15">
        <f t="shared" si="1"/>
        <v>17933</v>
      </c>
    </row>
    <row r="184">
      <c r="B184" s="15">
        <f>IFERROR(__xludf.DUMMYFUNCTION("""COMPUTED_VALUE"""),18.2)</f>
        <v>18.2</v>
      </c>
      <c r="C184" s="15">
        <f>IFERROR(__xludf.DUMMYFUNCTION("""COMPUTED_VALUE"""),1.67795211815E12)</f>
        <v>1677952118150</v>
      </c>
      <c r="D184" s="15">
        <f>IFERROR(__xludf.DUMMYFUNCTION("""COMPUTED_VALUE"""),-0.274427302047169)</f>
        <v>-0.274427302</v>
      </c>
      <c r="E184" s="15">
        <f>IFERROR(__xludf.DUMMYFUNCTION("""COMPUTED_VALUE"""),0.901520173439098)</f>
        <v>0.9015201734</v>
      </c>
      <c r="F184" s="15">
        <f>IFERROR(__xludf.DUMMYFUNCTION("""COMPUTED_VALUE"""),-0.0277735294630016)</f>
        <v>-0.02777352946</v>
      </c>
      <c r="G184" s="15">
        <f>IFERROR(__xludf.DUMMYFUNCTION("""COMPUTED_VALUE"""),-0.333436146562749)</f>
        <v>-0.3334361466</v>
      </c>
      <c r="H184" s="15">
        <f t="shared" si="1"/>
        <v>18037</v>
      </c>
    </row>
    <row r="185">
      <c r="B185" s="15">
        <f>IFERROR(__xludf.DUMMYFUNCTION("""COMPUTED_VALUE"""),18.3)</f>
        <v>18.3</v>
      </c>
      <c r="C185" s="15">
        <f>IFERROR(__xludf.DUMMYFUNCTION("""COMPUTED_VALUE"""),1.677952118247E12)</f>
        <v>1677952118247</v>
      </c>
      <c r="D185" s="15">
        <f>IFERROR(__xludf.DUMMYFUNCTION("""COMPUTED_VALUE"""),-0.274427302047169)</f>
        <v>-0.274427302</v>
      </c>
      <c r="E185" s="15">
        <f>IFERROR(__xludf.DUMMYFUNCTION("""COMPUTED_VALUE"""),0.901520173439098)</f>
        <v>0.9015201734</v>
      </c>
      <c r="F185" s="15">
        <f>IFERROR(__xludf.DUMMYFUNCTION("""COMPUTED_VALUE"""),-0.0277735294630016)</f>
        <v>-0.02777352946</v>
      </c>
      <c r="G185" s="15">
        <f>IFERROR(__xludf.DUMMYFUNCTION("""COMPUTED_VALUE"""),-0.333436146562749)</f>
        <v>-0.3334361466</v>
      </c>
      <c r="H185" s="15">
        <f t="shared" si="1"/>
        <v>18134</v>
      </c>
    </row>
    <row r="186">
      <c r="B186" s="15">
        <f>IFERROR(__xludf.DUMMYFUNCTION("""COMPUTED_VALUE"""),18.4)</f>
        <v>18.4</v>
      </c>
      <c r="C186" s="15">
        <f>IFERROR(__xludf.DUMMYFUNCTION("""COMPUTED_VALUE"""),1.677952118351E12)</f>
        <v>1677952118351</v>
      </c>
      <c r="D186" s="15">
        <f>IFERROR(__xludf.DUMMYFUNCTION("""COMPUTED_VALUE"""),-0.274427302047169)</f>
        <v>-0.274427302</v>
      </c>
      <c r="E186" s="15">
        <f>IFERROR(__xludf.DUMMYFUNCTION("""COMPUTED_VALUE"""),0.901520173439098)</f>
        <v>0.9015201734</v>
      </c>
      <c r="F186" s="15">
        <f>IFERROR(__xludf.DUMMYFUNCTION("""COMPUTED_VALUE"""),-0.0277735294630016)</f>
        <v>-0.02777352946</v>
      </c>
      <c r="G186" s="15">
        <f>IFERROR(__xludf.DUMMYFUNCTION("""COMPUTED_VALUE"""),-0.333436146562749)</f>
        <v>-0.3334361466</v>
      </c>
      <c r="H186" s="15">
        <f t="shared" si="1"/>
        <v>18238</v>
      </c>
    </row>
    <row r="187">
      <c r="B187" s="15">
        <f>IFERROR(__xludf.DUMMYFUNCTION("""COMPUTED_VALUE"""),18.5)</f>
        <v>18.5</v>
      </c>
      <c r="C187" s="15">
        <f>IFERROR(__xludf.DUMMYFUNCTION("""COMPUTED_VALUE"""),1.677952118447E12)</f>
        <v>1677952118447</v>
      </c>
      <c r="D187" s="15">
        <f>IFERROR(__xludf.DUMMYFUNCTION("""COMPUTED_VALUE"""),-0.274427302047169)</f>
        <v>-0.274427302</v>
      </c>
      <c r="E187" s="15">
        <f>IFERROR(__xludf.DUMMYFUNCTION("""COMPUTED_VALUE"""),0.901520173439098)</f>
        <v>0.9015201734</v>
      </c>
      <c r="F187" s="15">
        <f>IFERROR(__xludf.DUMMYFUNCTION("""COMPUTED_VALUE"""),-0.0277735294630016)</f>
        <v>-0.02777352946</v>
      </c>
      <c r="G187" s="15">
        <f>IFERROR(__xludf.DUMMYFUNCTION("""COMPUTED_VALUE"""),-0.333436146562749)</f>
        <v>-0.3334361466</v>
      </c>
      <c r="H187" s="15">
        <f t="shared" si="1"/>
        <v>18334</v>
      </c>
    </row>
    <row r="188">
      <c r="B188" s="15">
        <f>IFERROR(__xludf.DUMMYFUNCTION("""COMPUTED_VALUE"""),18.6)</f>
        <v>18.6</v>
      </c>
      <c r="C188" s="15">
        <f>IFERROR(__xludf.DUMMYFUNCTION("""COMPUTED_VALUE"""),1.677952118546E12)</f>
        <v>1677952118546</v>
      </c>
      <c r="D188" s="15">
        <f>IFERROR(__xludf.DUMMYFUNCTION("""COMPUTED_VALUE"""),-0.274427302047169)</f>
        <v>-0.274427302</v>
      </c>
      <c r="E188" s="15">
        <f>IFERROR(__xludf.DUMMYFUNCTION("""COMPUTED_VALUE"""),0.901520173439098)</f>
        <v>0.9015201734</v>
      </c>
      <c r="F188" s="15">
        <f>IFERROR(__xludf.DUMMYFUNCTION("""COMPUTED_VALUE"""),-0.0277735294630016)</f>
        <v>-0.02777352946</v>
      </c>
      <c r="G188" s="15">
        <f>IFERROR(__xludf.DUMMYFUNCTION("""COMPUTED_VALUE"""),-0.333436146562749)</f>
        <v>-0.3334361466</v>
      </c>
      <c r="H188" s="15">
        <f t="shared" si="1"/>
        <v>18433</v>
      </c>
    </row>
    <row r="189">
      <c r="B189" s="15">
        <f>IFERROR(__xludf.DUMMYFUNCTION("""COMPUTED_VALUE"""),18.7)</f>
        <v>18.7</v>
      </c>
      <c r="C189" s="15">
        <f>IFERROR(__xludf.DUMMYFUNCTION("""COMPUTED_VALUE"""),1.677952118657E12)</f>
        <v>1677952118657</v>
      </c>
      <c r="D189" s="15">
        <f>IFERROR(__xludf.DUMMYFUNCTION("""COMPUTED_VALUE"""),-0.274427302047169)</f>
        <v>-0.274427302</v>
      </c>
      <c r="E189" s="15">
        <f>IFERROR(__xludf.DUMMYFUNCTION("""COMPUTED_VALUE"""),0.901520173439098)</f>
        <v>0.9015201734</v>
      </c>
      <c r="F189" s="15">
        <f>IFERROR(__xludf.DUMMYFUNCTION("""COMPUTED_VALUE"""),-0.0277735294630016)</f>
        <v>-0.02777352946</v>
      </c>
      <c r="G189" s="15">
        <f>IFERROR(__xludf.DUMMYFUNCTION("""COMPUTED_VALUE"""),-0.333436146562749)</f>
        <v>-0.3334361466</v>
      </c>
      <c r="H189" s="15">
        <f t="shared" si="1"/>
        <v>18544</v>
      </c>
    </row>
    <row r="190">
      <c r="B190" s="15">
        <f>IFERROR(__xludf.DUMMYFUNCTION("""COMPUTED_VALUE"""),18.8)</f>
        <v>18.8</v>
      </c>
      <c r="C190" s="15">
        <f>IFERROR(__xludf.DUMMYFUNCTION("""COMPUTED_VALUE"""),1.67795211875E12)</f>
        <v>1677952118750</v>
      </c>
      <c r="D190" s="15">
        <f>IFERROR(__xludf.DUMMYFUNCTION("""COMPUTED_VALUE"""),-0.274427302047169)</f>
        <v>-0.274427302</v>
      </c>
      <c r="E190" s="15">
        <f>IFERROR(__xludf.DUMMYFUNCTION("""COMPUTED_VALUE"""),0.901520173439098)</f>
        <v>0.9015201734</v>
      </c>
      <c r="F190" s="15">
        <f>IFERROR(__xludf.DUMMYFUNCTION("""COMPUTED_VALUE"""),-0.0277735294630016)</f>
        <v>-0.02777352946</v>
      </c>
      <c r="G190" s="15">
        <f>IFERROR(__xludf.DUMMYFUNCTION("""COMPUTED_VALUE"""),-0.333436146562749)</f>
        <v>-0.3334361466</v>
      </c>
      <c r="H190" s="15">
        <f t="shared" si="1"/>
        <v>18637</v>
      </c>
    </row>
    <row r="191">
      <c r="B191" s="15">
        <f>IFERROR(__xludf.DUMMYFUNCTION("""COMPUTED_VALUE"""),18.9)</f>
        <v>18.9</v>
      </c>
      <c r="C191" s="15">
        <f>IFERROR(__xludf.DUMMYFUNCTION("""COMPUTED_VALUE"""),1.677952118943E12)</f>
        <v>1677952118943</v>
      </c>
      <c r="D191" s="15">
        <f>IFERROR(__xludf.DUMMYFUNCTION("""COMPUTED_VALUE"""),-0.288540587819032)</f>
        <v>-0.2885405878</v>
      </c>
      <c r="E191" s="15">
        <f>IFERROR(__xludf.DUMMYFUNCTION("""COMPUTED_VALUE"""),0.873006051954483)</f>
        <v>0.873006052</v>
      </c>
      <c r="F191" s="15">
        <f>IFERROR(__xludf.DUMMYFUNCTION("""COMPUTED_VALUE"""),0.029242960237907)</f>
        <v>0.02924296024</v>
      </c>
      <c r="G191" s="15">
        <f>IFERROR(__xludf.DUMMYFUNCTION("""COMPUTED_VALUE"""),-0.392109183402296)</f>
        <v>-0.3921091834</v>
      </c>
      <c r="H191" s="15">
        <f t="shared" si="1"/>
        <v>18830</v>
      </c>
    </row>
    <row r="192">
      <c r="B192" s="15">
        <f>IFERROR(__xludf.DUMMYFUNCTION("""COMPUTED_VALUE"""),19.0)</f>
        <v>19</v>
      </c>
      <c r="C192" s="15">
        <f>IFERROR(__xludf.DUMMYFUNCTION("""COMPUTED_VALUE"""),1.677952118992E12)</f>
        <v>1677952118992</v>
      </c>
      <c r="D192" s="15">
        <f>IFERROR(__xludf.DUMMYFUNCTION("""COMPUTED_VALUE"""),-0.29348969118505)</f>
        <v>-0.2934896912</v>
      </c>
      <c r="E192" s="15">
        <f>IFERROR(__xludf.DUMMYFUNCTION("""COMPUTED_VALUE"""),0.858025820411747)</f>
        <v>0.8580258204</v>
      </c>
      <c r="F192" s="15">
        <f>IFERROR(__xludf.DUMMYFUNCTION("""COMPUTED_VALUE"""),0.0531081286425449)</f>
        <v>0.05310812864</v>
      </c>
      <c r="G192" s="15">
        <f>IFERROR(__xludf.DUMMYFUNCTION("""COMPUTED_VALUE"""),-0.418132777173634)</f>
        <v>-0.4181327772</v>
      </c>
      <c r="H192" s="15">
        <f t="shared" si="1"/>
        <v>18879</v>
      </c>
    </row>
    <row r="193">
      <c r="B193" s="15">
        <f>IFERROR(__xludf.DUMMYFUNCTION("""COMPUTED_VALUE"""),19.1)</f>
        <v>19.1</v>
      </c>
      <c r="C193" s="15">
        <f>IFERROR(__xludf.DUMMYFUNCTION("""COMPUTED_VALUE"""),1.677952119078E12)</f>
        <v>1677952119078</v>
      </c>
      <c r="D193" s="15">
        <f>IFERROR(__xludf.DUMMYFUNCTION("""COMPUTED_VALUE"""),-0.29432417221403)</f>
        <v>-0.2943241722</v>
      </c>
      <c r="E193" s="15">
        <f>IFERROR(__xludf.DUMMYFUNCTION("""COMPUTED_VALUE"""),0.801668928523705)</f>
        <v>0.8016689285</v>
      </c>
      <c r="F193" s="15">
        <f>IFERROR(__xludf.DUMMYFUNCTION("""COMPUTED_VALUE"""),0.107689850164405)</f>
        <v>0.1076898502</v>
      </c>
      <c r="G193" s="15">
        <f>IFERROR(__xludf.DUMMYFUNCTION("""COMPUTED_VALUE"""),-0.509021715510985)</f>
        <v>-0.5090217155</v>
      </c>
      <c r="H193" s="15">
        <f t="shared" si="1"/>
        <v>18965</v>
      </c>
    </row>
    <row r="194">
      <c r="B194" s="15">
        <f>IFERROR(__xludf.DUMMYFUNCTION("""COMPUTED_VALUE"""),19.2)</f>
        <v>19.2</v>
      </c>
      <c r="C194" s="15">
        <f>IFERROR(__xludf.DUMMYFUNCTION("""COMPUTED_VALUE"""),1.677952119169E12)</f>
        <v>1677952119169</v>
      </c>
      <c r="D194" s="15">
        <f>IFERROR(__xludf.DUMMYFUNCTION("""COMPUTED_VALUE"""),0.279248213782319)</f>
        <v>0.2792482138</v>
      </c>
      <c r="E194" s="15">
        <f>IFERROR(__xludf.DUMMYFUNCTION("""COMPUTED_VALUE"""),-0.716132945959099)</f>
        <v>-0.716132946</v>
      </c>
      <c r="F194" s="15">
        <f>IFERROR(__xludf.DUMMYFUNCTION("""COMPUTED_VALUE"""),-0.15639244922608)</f>
        <v>-0.1563924492</v>
      </c>
      <c r="G194" s="15">
        <f>IFERROR(__xludf.DUMMYFUNCTION("""COMPUTED_VALUE"""),0.620254335443447)</f>
        <v>0.6202543354</v>
      </c>
      <c r="H194" s="15">
        <f t="shared" si="1"/>
        <v>19056</v>
      </c>
    </row>
    <row r="195">
      <c r="B195" s="15">
        <f>IFERROR(__xludf.DUMMYFUNCTION("""COMPUTED_VALUE"""),19.3)</f>
        <v>19.3</v>
      </c>
      <c r="C195" s="15">
        <f>IFERROR(__xludf.DUMMYFUNCTION("""COMPUTED_VALUE"""),1.677952119279E12)</f>
        <v>1677952119279</v>
      </c>
      <c r="D195" s="15">
        <f>IFERROR(__xludf.DUMMYFUNCTION("""COMPUTED_VALUE"""),0.254426450075688)</f>
        <v>0.2544264501</v>
      </c>
      <c r="E195" s="15">
        <f>IFERROR(__xludf.DUMMYFUNCTION("""COMPUTED_VALUE"""),-0.62159396160228)</f>
        <v>-0.6215939616</v>
      </c>
      <c r="F195" s="15">
        <f>IFERROR(__xludf.DUMMYFUNCTION("""COMPUTED_VALUE"""),-0.194178640888825)</f>
        <v>-0.1941786409</v>
      </c>
      <c r="G195" s="15">
        <f>IFERROR(__xludf.DUMMYFUNCTION("""COMPUTED_VALUE"""),0.714970477589133)</f>
        <v>0.7149704776</v>
      </c>
      <c r="H195" s="15">
        <f t="shared" si="1"/>
        <v>19166</v>
      </c>
    </row>
    <row r="196">
      <c r="B196" s="15">
        <f>IFERROR(__xludf.DUMMYFUNCTION("""COMPUTED_VALUE"""),19.4)</f>
        <v>19.4</v>
      </c>
      <c r="C196" s="15">
        <f>IFERROR(__xludf.DUMMYFUNCTION("""COMPUTED_VALUE"""),1.677952119398E12)</f>
        <v>1677952119398</v>
      </c>
      <c r="D196" s="15">
        <f>IFERROR(__xludf.DUMMYFUNCTION("""COMPUTED_VALUE"""),0.161207535539277)</f>
        <v>0.1612075355</v>
      </c>
      <c r="E196" s="15">
        <f>IFERROR(__xludf.DUMMYFUNCTION("""COMPUTED_VALUE"""),-0.265985701793661)</f>
        <v>-0.2659857018</v>
      </c>
      <c r="F196" s="15">
        <f>IFERROR(__xludf.DUMMYFUNCTION("""COMPUTED_VALUE"""),-0.292823193463008)</f>
        <v>-0.2928231935</v>
      </c>
      <c r="G196" s="15">
        <f>IFERROR(__xludf.DUMMYFUNCTION("""COMPUTED_VALUE"""),0.904167193773812)</f>
        <v>0.9041671938</v>
      </c>
      <c r="H196" s="15">
        <f t="shared" si="1"/>
        <v>19285</v>
      </c>
    </row>
    <row r="197">
      <c r="B197" s="15">
        <f>IFERROR(__xludf.DUMMYFUNCTION("""COMPUTED_VALUE"""),19.5)</f>
        <v>19.5</v>
      </c>
      <c r="C197" s="15">
        <f>IFERROR(__xludf.DUMMYFUNCTION("""COMPUTED_VALUE"""),1.677952119423E12)</f>
        <v>1677952119423</v>
      </c>
      <c r="D197" s="15">
        <f>IFERROR(__xludf.DUMMYFUNCTION("""COMPUTED_VALUE"""),0.161207535539277)</f>
        <v>0.1612075355</v>
      </c>
      <c r="E197" s="15">
        <f>IFERROR(__xludf.DUMMYFUNCTION("""COMPUTED_VALUE"""),-0.265985701793661)</f>
        <v>-0.2659857018</v>
      </c>
      <c r="F197" s="15">
        <f>IFERROR(__xludf.DUMMYFUNCTION("""COMPUTED_VALUE"""),-0.292823193463008)</f>
        <v>-0.2928231935</v>
      </c>
      <c r="G197" s="15">
        <f>IFERROR(__xludf.DUMMYFUNCTION("""COMPUTED_VALUE"""),0.904167193773812)</f>
        <v>0.9041671938</v>
      </c>
      <c r="H197" s="15">
        <f t="shared" si="1"/>
        <v>19310</v>
      </c>
    </row>
    <row r="198">
      <c r="B198" s="15">
        <f>IFERROR(__xludf.DUMMYFUNCTION("""COMPUTED_VALUE"""),19.6)</f>
        <v>19.6</v>
      </c>
      <c r="C198" s="15">
        <f>IFERROR(__xludf.DUMMYFUNCTION("""COMPUTED_VALUE"""),1.677952119527E12)</f>
        <v>1677952119527</v>
      </c>
      <c r="D198" s="15">
        <f>IFERROR(__xludf.DUMMYFUNCTION("""COMPUTED_VALUE"""),0.161207535539277)</f>
        <v>0.1612075355</v>
      </c>
      <c r="E198" s="15">
        <f>IFERROR(__xludf.DUMMYFUNCTION("""COMPUTED_VALUE"""),-0.265985701793661)</f>
        <v>-0.2659857018</v>
      </c>
      <c r="F198" s="15">
        <f>IFERROR(__xludf.DUMMYFUNCTION("""COMPUTED_VALUE"""),-0.292823193463008)</f>
        <v>-0.2928231935</v>
      </c>
      <c r="G198" s="15">
        <f>IFERROR(__xludf.DUMMYFUNCTION("""COMPUTED_VALUE"""),0.904167193773812)</f>
        <v>0.9041671938</v>
      </c>
      <c r="H198" s="15">
        <f t="shared" si="1"/>
        <v>19414</v>
      </c>
    </row>
    <row r="199">
      <c r="B199" s="15">
        <f>IFERROR(__xludf.DUMMYFUNCTION("""COMPUTED_VALUE"""),19.7)</f>
        <v>19.7</v>
      </c>
      <c r="C199" s="15">
        <f>IFERROR(__xludf.DUMMYFUNCTION("""COMPUTED_VALUE"""),1.677952119623E12)</f>
        <v>1677952119623</v>
      </c>
      <c r="D199" s="15">
        <f>IFERROR(__xludf.DUMMYFUNCTION("""COMPUTED_VALUE"""),0.161207535539277)</f>
        <v>0.1612075355</v>
      </c>
      <c r="E199" s="15">
        <f>IFERROR(__xludf.DUMMYFUNCTION("""COMPUTED_VALUE"""),-0.265985701793661)</f>
        <v>-0.2659857018</v>
      </c>
      <c r="F199" s="15">
        <f>IFERROR(__xludf.DUMMYFUNCTION("""COMPUTED_VALUE"""),-0.292823193463008)</f>
        <v>-0.2928231935</v>
      </c>
      <c r="G199" s="15">
        <f>IFERROR(__xludf.DUMMYFUNCTION("""COMPUTED_VALUE"""),0.904167193773812)</f>
        <v>0.9041671938</v>
      </c>
      <c r="H199" s="15">
        <f t="shared" si="1"/>
        <v>19510</v>
      </c>
    </row>
    <row r="200">
      <c r="B200" s="15">
        <f>IFERROR(__xludf.DUMMYFUNCTION("""COMPUTED_VALUE"""),19.8)</f>
        <v>19.8</v>
      </c>
      <c r="C200" s="15">
        <f>IFERROR(__xludf.DUMMYFUNCTION("""COMPUTED_VALUE"""),1.677952119721E12)</f>
        <v>1677952119721</v>
      </c>
      <c r="D200" s="15">
        <f>IFERROR(__xludf.DUMMYFUNCTION("""COMPUTED_VALUE"""),0.161207535539277)</f>
        <v>0.1612075355</v>
      </c>
      <c r="E200" s="15">
        <f>IFERROR(__xludf.DUMMYFUNCTION("""COMPUTED_VALUE"""),-0.265985701793661)</f>
        <v>-0.2659857018</v>
      </c>
      <c r="F200" s="15">
        <f>IFERROR(__xludf.DUMMYFUNCTION("""COMPUTED_VALUE"""),-0.292823193463008)</f>
        <v>-0.2928231935</v>
      </c>
      <c r="G200" s="15">
        <f>IFERROR(__xludf.DUMMYFUNCTION("""COMPUTED_VALUE"""),0.904167193773812)</f>
        <v>0.9041671938</v>
      </c>
      <c r="H200" s="15">
        <f t="shared" si="1"/>
        <v>19608</v>
      </c>
    </row>
    <row r="201">
      <c r="B201" s="15">
        <f>IFERROR(__xludf.DUMMYFUNCTION("""COMPUTED_VALUE"""),19.9)</f>
        <v>19.9</v>
      </c>
      <c r="C201" s="15">
        <f>IFERROR(__xludf.DUMMYFUNCTION("""COMPUTED_VALUE"""),1.677952119824E12)</f>
        <v>1677952119824</v>
      </c>
      <c r="D201" s="15">
        <f>IFERROR(__xludf.DUMMYFUNCTION("""COMPUTED_VALUE"""),0.161207535539277)</f>
        <v>0.1612075355</v>
      </c>
      <c r="E201" s="15">
        <f>IFERROR(__xludf.DUMMYFUNCTION("""COMPUTED_VALUE"""),-0.265985701793661)</f>
        <v>-0.2659857018</v>
      </c>
      <c r="F201" s="15">
        <f>IFERROR(__xludf.DUMMYFUNCTION("""COMPUTED_VALUE"""),-0.292823193463008)</f>
        <v>-0.2928231935</v>
      </c>
      <c r="G201" s="15">
        <f>IFERROR(__xludf.DUMMYFUNCTION("""COMPUTED_VALUE"""),0.904167193773812)</f>
        <v>0.9041671938</v>
      </c>
      <c r="H201" s="15">
        <f t="shared" si="1"/>
        <v>19711</v>
      </c>
    </row>
    <row r="202">
      <c r="B202" s="15">
        <f>IFERROR(__xludf.DUMMYFUNCTION("""COMPUTED_VALUE"""),20.0)</f>
        <v>20</v>
      </c>
      <c r="C202" s="15">
        <f>IFERROR(__xludf.DUMMYFUNCTION("""COMPUTED_VALUE"""),1.677952119935E12)</f>
        <v>1677952119935</v>
      </c>
      <c r="D202" s="15">
        <f>IFERROR(__xludf.DUMMYFUNCTION("""COMPUTED_VALUE"""),0.161207535539277)</f>
        <v>0.1612075355</v>
      </c>
      <c r="E202" s="15">
        <f>IFERROR(__xludf.DUMMYFUNCTION("""COMPUTED_VALUE"""),-0.265985701793661)</f>
        <v>-0.2659857018</v>
      </c>
      <c r="F202" s="15">
        <f>IFERROR(__xludf.DUMMYFUNCTION("""COMPUTED_VALUE"""),-0.292823193463008)</f>
        <v>-0.2928231935</v>
      </c>
      <c r="G202" s="15">
        <f>IFERROR(__xludf.DUMMYFUNCTION("""COMPUTED_VALUE"""),0.904167193773812)</f>
        <v>0.9041671938</v>
      </c>
      <c r="H202" s="15">
        <f t="shared" si="1"/>
        <v>19822</v>
      </c>
    </row>
    <row r="203">
      <c r="B203" s="15">
        <f>IFERROR(__xludf.DUMMYFUNCTION("""COMPUTED_VALUE"""),20.1)</f>
        <v>20.1</v>
      </c>
      <c r="C203" s="15">
        <f>IFERROR(__xludf.DUMMYFUNCTION("""COMPUTED_VALUE"""),1.677952120047E12)</f>
        <v>1677952120047</v>
      </c>
      <c r="D203" s="15">
        <f>IFERROR(__xludf.DUMMYFUNCTION("""COMPUTED_VALUE"""),0.161207535539277)</f>
        <v>0.1612075355</v>
      </c>
      <c r="E203" s="15">
        <f>IFERROR(__xludf.DUMMYFUNCTION("""COMPUTED_VALUE"""),-0.265985701793661)</f>
        <v>-0.2659857018</v>
      </c>
      <c r="F203" s="15">
        <f>IFERROR(__xludf.DUMMYFUNCTION("""COMPUTED_VALUE"""),-0.292823193463008)</f>
        <v>-0.2928231935</v>
      </c>
      <c r="G203" s="15">
        <f>IFERROR(__xludf.DUMMYFUNCTION("""COMPUTED_VALUE"""),0.904167193773812)</f>
        <v>0.9041671938</v>
      </c>
      <c r="H203" s="15">
        <f t="shared" si="1"/>
        <v>19934</v>
      </c>
    </row>
    <row r="204">
      <c r="B204" s="15">
        <f>IFERROR(__xludf.DUMMYFUNCTION("""COMPUTED_VALUE"""),20.2)</f>
        <v>20.2</v>
      </c>
      <c r="C204" s="15">
        <f>IFERROR(__xludf.DUMMYFUNCTION("""COMPUTED_VALUE"""),1.677952120262E12)</f>
        <v>1677952120262</v>
      </c>
      <c r="D204" s="15">
        <f>IFERROR(__xludf.DUMMYFUNCTION("""COMPUTED_VALUE"""),0.155451308342159)</f>
        <v>0.1554513083</v>
      </c>
      <c r="E204" s="15">
        <f>IFERROR(__xludf.DUMMYFUNCTION("""COMPUTED_VALUE"""),-0.119722761523977)</f>
        <v>-0.1197227615</v>
      </c>
      <c r="F204" s="15">
        <f>IFERROR(__xludf.DUMMYFUNCTION("""COMPUTED_VALUE"""),-0.325643144450058)</f>
        <v>-0.3256431445</v>
      </c>
      <c r="G204" s="15">
        <f>IFERROR(__xludf.DUMMYFUNCTION("""COMPUTED_VALUE"""),0.924909667794893)</f>
        <v>0.9249096678</v>
      </c>
      <c r="H204" s="15">
        <f t="shared" si="1"/>
        <v>20149</v>
      </c>
    </row>
    <row r="205">
      <c r="B205" s="15">
        <f>IFERROR(__xludf.DUMMYFUNCTION("""COMPUTED_VALUE"""),20.3)</f>
        <v>20.3</v>
      </c>
      <c r="C205" s="15">
        <f>IFERROR(__xludf.DUMMYFUNCTION("""COMPUTED_VALUE"""),1.677952120312E12)</f>
        <v>1677952120312</v>
      </c>
      <c r="D205" s="15">
        <f>IFERROR(__xludf.DUMMYFUNCTION("""COMPUTED_VALUE"""),0.139931728580696)</f>
        <v>0.1399317286</v>
      </c>
      <c r="E205" s="15">
        <f>IFERROR(__xludf.DUMMYFUNCTION("""COMPUTED_VALUE"""),-0.030695180225385)</f>
        <v>-0.03069518023</v>
      </c>
      <c r="F205" s="15">
        <f>IFERROR(__xludf.DUMMYFUNCTION("""COMPUTED_VALUE"""),-0.340202949443483)</f>
        <v>-0.3402029494</v>
      </c>
      <c r="G205" s="15">
        <f>IFERROR(__xludf.DUMMYFUNCTION("""COMPUTED_VALUE"""),0.929375527134915)</f>
        <v>0.9293755271</v>
      </c>
      <c r="H205" s="15">
        <f t="shared" si="1"/>
        <v>20199</v>
      </c>
    </row>
    <row r="206">
      <c r="B206" s="15">
        <f>IFERROR(__xludf.DUMMYFUNCTION("""COMPUTED_VALUE"""),20.4)</f>
        <v>20.4</v>
      </c>
      <c r="C206" s="15">
        <f>IFERROR(__xludf.DUMMYFUNCTION("""COMPUTED_VALUE"""),1.67795212038E12)</f>
        <v>1677952120380</v>
      </c>
      <c r="D206" s="15">
        <f>IFERROR(__xludf.DUMMYFUNCTION("""COMPUTED_VALUE"""),0.0933980302594444)</f>
        <v>0.09339803026</v>
      </c>
      <c r="E206" s="15">
        <f>IFERROR(__xludf.DUMMYFUNCTION("""COMPUTED_VALUE"""),0.0932977251192833)</f>
        <v>0.09329772512</v>
      </c>
      <c r="F206" s="15">
        <f>IFERROR(__xludf.DUMMYFUNCTION("""COMPUTED_VALUE"""),-0.355802955886096)</f>
        <v>-0.3558029559</v>
      </c>
      <c r="G206" s="15">
        <f>IFERROR(__xludf.DUMMYFUNCTION("""COMPUTED_VALUE"""),0.925190034000549)</f>
        <v>0.925190034</v>
      </c>
      <c r="H206" s="15">
        <f t="shared" si="1"/>
        <v>20267</v>
      </c>
    </row>
    <row r="207">
      <c r="B207" s="15">
        <f>IFERROR(__xludf.DUMMYFUNCTION("""COMPUTED_VALUE"""),20.5)</f>
        <v>20.5</v>
      </c>
      <c r="C207" s="15">
        <f>IFERROR(__xludf.DUMMYFUNCTION("""COMPUTED_VALUE"""),1.677952120491E12)</f>
        <v>1677952120491</v>
      </c>
      <c r="D207" s="15">
        <f>IFERROR(__xludf.DUMMYFUNCTION("""COMPUTED_VALUE"""),0.0467204341754312)</f>
        <v>0.04672043418</v>
      </c>
      <c r="E207" s="15">
        <f>IFERROR(__xludf.DUMMYFUNCTION("""COMPUTED_VALUE"""),0.273279269666473)</f>
        <v>0.2732792697</v>
      </c>
      <c r="F207" s="15">
        <f>IFERROR(__xludf.DUMMYFUNCTION("""COMPUTED_VALUE"""),-0.364874438911003)</f>
        <v>-0.3648744389</v>
      </c>
      <c r="G207" s="15">
        <f>IFERROR(__xludf.DUMMYFUNCTION("""COMPUTED_VALUE"""),0.888820727498181)</f>
        <v>0.8888207275</v>
      </c>
      <c r="H207" s="15">
        <f t="shared" si="1"/>
        <v>20378</v>
      </c>
    </row>
    <row r="208">
      <c r="B208" s="15">
        <f>IFERROR(__xludf.DUMMYFUNCTION("""COMPUTED_VALUE"""),20.6)</f>
        <v>20.6</v>
      </c>
      <c r="C208" s="15">
        <f>IFERROR(__xludf.DUMMYFUNCTION("""COMPUTED_VALUE"""),1.677952120561E12)</f>
        <v>1677952120561</v>
      </c>
      <c r="D208" s="15">
        <f>IFERROR(__xludf.DUMMYFUNCTION("""COMPUTED_VALUE"""),0.0280404952516778)</f>
        <v>0.02804049525</v>
      </c>
      <c r="E208" s="15">
        <f>IFERROR(__xludf.DUMMYFUNCTION("""COMPUTED_VALUE"""),0.318278610547982)</f>
        <v>0.3182786105</v>
      </c>
      <c r="F208" s="15">
        <f>IFERROR(__xludf.DUMMYFUNCTION("""COMPUTED_VALUE"""),-0.366783159054775)</f>
        <v>-0.3667831591</v>
      </c>
      <c r="G208" s="15">
        <f>IFERROR(__xludf.DUMMYFUNCTION("""COMPUTED_VALUE"""),0.873717672321834)</f>
        <v>0.8737176723</v>
      </c>
      <c r="H208" s="15">
        <f t="shared" si="1"/>
        <v>20448</v>
      </c>
    </row>
    <row r="209">
      <c r="B209" s="15">
        <f>IFERROR(__xludf.DUMMYFUNCTION("""COMPUTED_VALUE"""),20.7)</f>
        <v>20.7</v>
      </c>
      <c r="C209" s="15">
        <f>IFERROR(__xludf.DUMMYFUNCTION("""COMPUTED_VALUE"""),1.677952120647E12)</f>
        <v>1677952120647</v>
      </c>
      <c r="D209" s="15">
        <f>IFERROR(__xludf.DUMMYFUNCTION("""COMPUTED_VALUE"""),0.0280404952516778)</f>
        <v>0.02804049525</v>
      </c>
      <c r="E209" s="15">
        <f>IFERROR(__xludf.DUMMYFUNCTION("""COMPUTED_VALUE"""),0.318278610547982)</f>
        <v>0.3182786105</v>
      </c>
      <c r="F209" s="15">
        <f>IFERROR(__xludf.DUMMYFUNCTION("""COMPUTED_VALUE"""),-0.366783159054775)</f>
        <v>-0.3667831591</v>
      </c>
      <c r="G209" s="15">
        <f>IFERROR(__xludf.DUMMYFUNCTION("""COMPUTED_VALUE"""),0.873717672321834)</f>
        <v>0.8737176723</v>
      </c>
      <c r="H209" s="15">
        <f t="shared" si="1"/>
        <v>20534</v>
      </c>
    </row>
    <row r="210">
      <c r="B210" s="15">
        <f>IFERROR(__xludf.DUMMYFUNCTION("""COMPUTED_VALUE"""),20.8)</f>
        <v>20.8</v>
      </c>
      <c r="C210" s="15">
        <f>IFERROR(__xludf.DUMMYFUNCTION("""COMPUTED_VALUE"""),1.677952120751E12)</f>
        <v>1677952120751</v>
      </c>
      <c r="D210" s="15">
        <f>IFERROR(__xludf.DUMMYFUNCTION("""COMPUTED_VALUE"""),0.0280404952516778)</f>
        <v>0.02804049525</v>
      </c>
      <c r="E210" s="15">
        <f>IFERROR(__xludf.DUMMYFUNCTION("""COMPUTED_VALUE"""),0.318278610547982)</f>
        <v>0.3182786105</v>
      </c>
      <c r="F210" s="15">
        <f>IFERROR(__xludf.DUMMYFUNCTION("""COMPUTED_VALUE"""),-0.366783159054775)</f>
        <v>-0.3667831591</v>
      </c>
      <c r="G210" s="15">
        <f>IFERROR(__xludf.DUMMYFUNCTION("""COMPUTED_VALUE"""),0.873717672321834)</f>
        <v>0.8737176723</v>
      </c>
      <c r="H210" s="15">
        <f t="shared" si="1"/>
        <v>20638</v>
      </c>
    </row>
    <row r="211">
      <c r="B211" s="15">
        <f>IFERROR(__xludf.DUMMYFUNCTION("""COMPUTED_VALUE"""),20.9)</f>
        <v>20.9</v>
      </c>
      <c r="C211" s="15">
        <f>IFERROR(__xludf.DUMMYFUNCTION("""COMPUTED_VALUE"""),1.677952120988E12)</f>
        <v>1677952120988</v>
      </c>
      <c r="D211" s="15">
        <f>IFERROR(__xludf.DUMMYFUNCTION("""COMPUTED_VALUE"""),0.259605809429333)</f>
        <v>0.2596058094</v>
      </c>
      <c r="E211" s="15">
        <f>IFERROR(__xludf.DUMMYFUNCTION("""COMPUTED_VALUE"""),-0.426410124399245)</f>
        <v>-0.4264101244</v>
      </c>
      <c r="F211" s="15">
        <f>IFERROR(__xludf.DUMMYFUNCTION("""COMPUTED_VALUE"""),-0.264611237116992)</f>
        <v>-0.2646112371</v>
      </c>
      <c r="G211" s="15">
        <f>IFERROR(__xludf.DUMMYFUNCTION("""COMPUTED_VALUE"""),0.825081888488514)</f>
        <v>0.8250818885</v>
      </c>
      <c r="H211" s="15">
        <f t="shared" si="1"/>
        <v>20875</v>
      </c>
    </row>
    <row r="212">
      <c r="B212" s="15">
        <f>IFERROR(__xludf.DUMMYFUNCTION("""COMPUTED_VALUE"""),21.0)</f>
        <v>21</v>
      </c>
      <c r="C212" s="15">
        <f>IFERROR(__xludf.DUMMYFUNCTION("""COMPUTED_VALUE"""),1.677952120996E12)</f>
        <v>1677952120996</v>
      </c>
      <c r="D212" s="15">
        <f>IFERROR(__xludf.DUMMYFUNCTION("""COMPUTED_VALUE"""),0.259605809429333)</f>
        <v>0.2596058094</v>
      </c>
      <c r="E212" s="15">
        <f>IFERROR(__xludf.DUMMYFUNCTION("""COMPUTED_VALUE"""),-0.426410124399245)</f>
        <v>-0.4264101244</v>
      </c>
      <c r="F212" s="15">
        <f>IFERROR(__xludf.DUMMYFUNCTION("""COMPUTED_VALUE"""),-0.264611237116992)</f>
        <v>-0.2646112371</v>
      </c>
      <c r="G212" s="15">
        <f>IFERROR(__xludf.DUMMYFUNCTION("""COMPUTED_VALUE"""),0.825081888488514)</f>
        <v>0.8250818885</v>
      </c>
      <c r="H212" s="15">
        <f t="shared" si="1"/>
        <v>20883</v>
      </c>
    </row>
    <row r="213">
      <c r="B213" s="15">
        <f>IFERROR(__xludf.DUMMYFUNCTION("""COMPUTED_VALUE"""),21.1)</f>
        <v>21.1</v>
      </c>
      <c r="C213" s="15">
        <f>IFERROR(__xludf.DUMMYFUNCTION("""COMPUTED_VALUE"""),1.677952121038E12)</f>
        <v>1677952121038</v>
      </c>
      <c r="D213" s="15">
        <f>IFERROR(__xludf.DUMMYFUNCTION("""COMPUTED_VALUE"""),0.259605809429333)</f>
        <v>0.2596058094</v>
      </c>
      <c r="E213" s="15">
        <f>IFERROR(__xludf.DUMMYFUNCTION("""COMPUTED_VALUE"""),-0.426410124399245)</f>
        <v>-0.4264101244</v>
      </c>
      <c r="F213" s="15">
        <f>IFERROR(__xludf.DUMMYFUNCTION("""COMPUTED_VALUE"""),-0.264611237116992)</f>
        <v>-0.2646112371</v>
      </c>
      <c r="G213" s="15">
        <f>IFERROR(__xludf.DUMMYFUNCTION("""COMPUTED_VALUE"""),0.825081888488514)</f>
        <v>0.8250818885</v>
      </c>
      <c r="H213" s="15">
        <f t="shared" si="1"/>
        <v>20925</v>
      </c>
    </row>
    <row r="214">
      <c r="B214" s="15">
        <f>IFERROR(__xludf.DUMMYFUNCTION("""COMPUTED_VALUE"""),21.2)</f>
        <v>21.2</v>
      </c>
      <c r="C214" s="15">
        <f>IFERROR(__xludf.DUMMYFUNCTION("""COMPUTED_VALUE"""),1.677952121143E12)</f>
        <v>1677952121143</v>
      </c>
      <c r="D214" s="15">
        <f>IFERROR(__xludf.DUMMYFUNCTION("""COMPUTED_VALUE"""),0.259605809429333)</f>
        <v>0.2596058094</v>
      </c>
      <c r="E214" s="15">
        <f>IFERROR(__xludf.DUMMYFUNCTION("""COMPUTED_VALUE"""),-0.426410124399245)</f>
        <v>-0.4264101244</v>
      </c>
      <c r="F214" s="15">
        <f>IFERROR(__xludf.DUMMYFUNCTION("""COMPUTED_VALUE"""),-0.264611237116992)</f>
        <v>-0.2646112371</v>
      </c>
      <c r="G214" s="15">
        <f>IFERROR(__xludf.DUMMYFUNCTION("""COMPUTED_VALUE"""),0.825081888488514)</f>
        <v>0.8250818885</v>
      </c>
      <c r="H214" s="15">
        <f t="shared" si="1"/>
        <v>21030</v>
      </c>
    </row>
    <row r="215">
      <c r="B215" s="15">
        <f>IFERROR(__xludf.DUMMYFUNCTION("""COMPUTED_VALUE"""),21.3)</f>
        <v>21.3</v>
      </c>
      <c r="C215" s="15">
        <f>IFERROR(__xludf.DUMMYFUNCTION("""COMPUTED_VALUE"""),1.677952121247E12)</f>
        <v>1677952121247</v>
      </c>
      <c r="D215" s="15">
        <f>IFERROR(__xludf.DUMMYFUNCTION("""COMPUTED_VALUE"""),0.259605809429333)</f>
        <v>0.2596058094</v>
      </c>
      <c r="E215" s="15">
        <f>IFERROR(__xludf.DUMMYFUNCTION("""COMPUTED_VALUE"""),-0.426410124399245)</f>
        <v>-0.4264101244</v>
      </c>
      <c r="F215" s="15">
        <f>IFERROR(__xludf.DUMMYFUNCTION("""COMPUTED_VALUE"""),-0.264611237116992)</f>
        <v>-0.2646112371</v>
      </c>
      <c r="G215" s="15">
        <f>IFERROR(__xludf.DUMMYFUNCTION("""COMPUTED_VALUE"""),0.825081888488514)</f>
        <v>0.8250818885</v>
      </c>
      <c r="H215" s="15">
        <f t="shared" si="1"/>
        <v>21134</v>
      </c>
    </row>
    <row r="216">
      <c r="B216" s="15">
        <f>IFERROR(__xludf.DUMMYFUNCTION("""COMPUTED_VALUE"""),21.4)</f>
        <v>21.4</v>
      </c>
      <c r="C216" s="15">
        <f>IFERROR(__xludf.DUMMYFUNCTION("""COMPUTED_VALUE"""),1.677952121343E12)</f>
        <v>1677952121343</v>
      </c>
      <c r="D216" s="15">
        <f>IFERROR(__xludf.DUMMYFUNCTION("""COMPUTED_VALUE"""),0.259605809429333)</f>
        <v>0.2596058094</v>
      </c>
      <c r="E216" s="15">
        <f>IFERROR(__xludf.DUMMYFUNCTION("""COMPUTED_VALUE"""),-0.426410124399245)</f>
        <v>-0.4264101244</v>
      </c>
      <c r="F216" s="15">
        <f>IFERROR(__xludf.DUMMYFUNCTION("""COMPUTED_VALUE"""),-0.264611237116992)</f>
        <v>-0.2646112371</v>
      </c>
      <c r="G216" s="15">
        <f>IFERROR(__xludf.DUMMYFUNCTION("""COMPUTED_VALUE"""),0.825081888488514)</f>
        <v>0.8250818885</v>
      </c>
      <c r="H216" s="15">
        <f t="shared" si="1"/>
        <v>21230</v>
      </c>
    </row>
    <row r="217">
      <c r="B217" s="15">
        <f>IFERROR(__xludf.DUMMYFUNCTION("""COMPUTED_VALUE"""),21.5)</f>
        <v>21.5</v>
      </c>
      <c r="C217" s="15">
        <f>IFERROR(__xludf.DUMMYFUNCTION("""COMPUTED_VALUE"""),1.677952121447E12)</f>
        <v>1677952121447</v>
      </c>
      <c r="D217" s="15">
        <f>IFERROR(__xludf.DUMMYFUNCTION("""COMPUTED_VALUE"""),0.259605809429333)</f>
        <v>0.2596058094</v>
      </c>
      <c r="E217" s="15">
        <f>IFERROR(__xludf.DUMMYFUNCTION("""COMPUTED_VALUE"""),-0.426410124399245)</f>
        <v>-0.4264101244</v>
      </c>
      <c r="F217" s="15">
        <f>IFERROR(__xludf.DUMMYFUNCTION("""COMPUTED_VALUE"""),-0.264611237116992)</f>
        <v>-0.2646112371</v>
      </c>
      <c r="G217" s="15">
        <f>IFERROR(__xludf.DUMMYFUNCTION("""COMPUTED_VALUE"""),0.825081888488514)</f>
        <v>0.8250818885</v>
      </c>
      <c r="H217" s="15">
        <f t="shared" si="1"/>
        <v>21334</v>
      </c>
    </row>
    <row r="218">
      <c r="B218" s="15">
        <f>IFERROR(__xludf.DUMMYFUNCTION("""COMPUTED_VALUE"""),21.6)</f>
        <v>21.6</v>
      </c>
      <c r="C218" s="15">
        <f>IFERROR(__xludf.DUMMYFUNCTION("""COMPUTED_VALUE"""),1.677952121552E12)</f>
        <v>1677952121552</v>
      </c>
      <c r="D218" s="15">
        <f>IFERROR(__xludf.DUMMYFUNCTION("""COMPUTED_VALUE"""),0.259605809429333)</f>
        <v>0.2596058094</v>
      </c>
      <c r="E218" s="15">
        <f>IFERROR(__xludf.DUMMYFUNCTION("""COMPUTED_VALUE"""),-0.426410124399245)</f>
        <v>-0.4264101244</v>
      </c>
      <c r="F218" s="15">
        <f>IFERROR(__xludf.DUMMYFUNCTION("""COMPUTED_VALUE"""),-0.264611237116992)</f>
        <v>-0.2646112371</v>
      </c>
      <c r="G218" s="15">
        <f>IFERROR(__xludf.DUMMYFUNCTION("""COMPUTED_VALUE"""),0.825081888488514)</f>
        <v>0.8250818885</v>
      </c>
      <c r="H218" s="15">
        <f t="shared" si="1"/>
        <v>21439</v>
      </c>
    </row>
    <row r="219">
      <c r="B219" s="15">
        <f>IFERROR(__xludf.DUMMYFUNCTION("""COMPUTED_VALUE"""),21.7)</f>
        <v>21.7</v>
      </c>
      <c r="C219" s="15">
        <f>IFERROR(__xludf.DUMMYFUNCTION("""COMPUTED_VALUE"""),1.677952121773E12)</f>
        <v>1677952121773</v>
      </c>
      <c r="D219" s="15">
        <f>IFERROR(__xludf.DUMMYFUNCTION("""COMPUTED_VALUE"""),-0.348810292004329)</f>
        <v>-0.348810292</v>
      </c>
      <c r="E219" s="15">
        <f>IFERROR(__xludf.DUMMYFUNCTION("""COMPUTED_VALUE"""),0.709460917564436)</f>
        <v>0.7094609176</v>
      </c>
      <c r="F219" s="15">
        <f>IFERROR(__xludf.DUMMYFUNCTION("""COMPUTED_VALUE"""),0.145167626795589)</f>
        <v>0.1451676268</v>
      </c>
      <c r="G219" s="15">
        <f>IFERROR(__xludf.DUMMYFUNCTION("""COMPUTED_VALUE"""),-0.594914234802813)</f>
        <v>-0.5949142348</v>
      </c>
      <c r="H219" s="15">
        <f t="shared" si="1"/>
        <v>21660</v>
      </c>
    </row>
    <row r="220">
      <c r="B220" s="15">
        <f>IFERROR(__xludf.DUMMYFUNCTION("""COMPUTED_VALUE"""),21.8)</f>
        <v>21.8</v>
      </c>
      <c r="C220" s="15">
        <f>IFERROR(__xludf.DUMMYFUNCTION("""COMPUTED_VALUE"""),1.677952121822E12)</f>
        <v>1677952121822</v>
      </c>
      <c r="D220" s="15">
        <f>IFERROR(__xludf.DUMMYFUNCTION("""COMPUTED_VALUE"""),-0.37590138688198)</f>
        <v>-0.3759013869</v>
      </c>
      <c r="E220" s="15">
        <f>IFERROR(__xludf.DUMMYFUNCTION("""COMPUTED_VALUE"""),0.775412885084366)</f>
        <v>0.7754128851</v>
      </c>
      <c r="F220" s="15">
        <f>IFERROR(__xludf.DUMMYFUNCTION("""COMPUTED_VALUE"""),0.114118439168443)</f>
        <v>0.1141184392</v>
      </c>
      <c r="G220" s="15">
        <f>IFERROR(__xludf.DUMMYFUNCTION("""COMPUTED_VALUE"""),-0.494378384263611)</f>
        <v>-0.4943783843</v>
      </c>
      <c r="H220" s="15">
        <f t="shared" si="1"/>
        <v>21709</v>
      </c>
    </row>
    <row r="221">
      <c r="B221" s="15">
        <f>IFERROR(__xludf.DUMMYFUNCTION("""COMPUTED_VALUE"""),21.9)</f>
        <v>21.9</v>
      </c>
      <c r="C221" s="15">
        <f>IFERROR(__xludf.DUMMYFUNCTION("""COMPUTED_VALUE"""),1.677952121872E12)</f>
        <v>1677952121872</v>
      </c>
      <c r="D221" s="15">
        <f>IFERROR(__xludf.DUMMYFUNCTION("""COMPUTED_VALUE"""),-0.396431735324325)</f>
        <v>-0.3964317353</v>
      </c>
      <c r="E221" s="15">
        <f>IFERROR(__xludf.DUMMYFUNCTION("""COMPUTED_VALUE"""),0.82739680397789)</f>
        <v>0.827396804</v>
      </c>
      <c r="F221" s="15">
        <f>IFERROR(__xludf.DUMMYFUNCTION("""COMPUTED_VALUE"""),0.0828927430998798)</f>
        <v>0.0828927431</v>
      </c>
      <c r="G221" s="15">
        <f>IFERROR(__xludf.DUMMYFUNCTION("""COMPUTED_VALUE"""),-0.389082511989798)</f>
        <v>-0.389082512</v>
      </c>
      <c r="H221" s="15">
        <f t="shared" si="1"/>
        <v>21759</v>
      </c>
    </row>
    <row r="222">
      <c r="B222" s="15">
        <f>IFERROR(__xludf.DUMMYFUNCTION("""COMPUTED_VALUE"""),22.0)</f>
        <v>22</v>
      </c>
      <c r="C222" s="15">
        <f>IFERROR(__xludf.DUMMYFUNCTION("""COMPUTED_VALUE"""),1.677952121974E12)</f>
        <v>1677952121974</v>
      </c>
      <c r="D222" s="15">
        <f>IFERROR(__xludf.DUMMYFUNCTION("""COMPUTED_VALUE"""),-0.420210889308434)</f>
        <v>-0.4202108893</v>
      </c>
      <c r="E222" s="15">
        <f>IFERROR(__xludf.DUMMYFUNCTION("""COMPUTED_VALUE"""),0.90272423094326)</f>
        <v>0.9027242309</v>
      </c>
      <c r="F222" s="15">
        <f>IFERROR(__xludf.DUMMYFUNCTION("""COMPUTED_VALUE"""),0.00229462825350507)</f>
        <v>0.002294628254</v>
      </c>
      <c r="G222" s="15">
        <f>IFERROR(__xludf.DUMMYFUNCTION("""COMPUTED_VALUE"""),-0.0922307218647373)</f>
        <v>-0.09223072186</v>
      </c>
      <c r="H222" s="15">
        <f t="shared" si="1"/>
        <v>21861</v>
      </c>
    </row>
    <row r="223">
      <c r="B223" s="15">
        <f>IFERROR(__xludf.DUMMYFUNCTION("""COMPUTED_VALUE"""),22.1)</f>
        <v>22.1</v>
      </c>
      <c r="C223" s="15">
        <f>IFERROR(__xludf.DUMMYFUNCTION("""COMPUTED_VALUE"""),1.677952122048E12)</f>
        <v>1677952122048</v>
      </c>
      <c r="D223" s="15">
        <f>IFERROR(__xludf.DUMMYFUNCTION("""COMPUTED_VALUE"""),-0.420740813023594)</f>
        <v>-0.420740813</v>
      </c>
      <c r="E223" s="15">
        <f>IFERROR(__xludf.DUMMYFUNCTION("""COMPUTED_VALUE"""),0.90537361961707)</f>
        <v>0.9053736196</v>
      </c>
      <c r="F223" s="15">
        <f>IFERROR(__xludf.DUMMYFUNCTION("""COMPUTED_VALUE"""),-0.00546667893293332)</f>
        <v>-0.005466678933</v>
      </c>
      <c r="G223" s="15">
        <f>IFERROR(__xludf.DUMMYFUNCTION("""COMPUTED_VALUE"""),-0.0569727354018664)</f>
        <v>-0.0569727354</v>
      </c>
      <c r="H223" s="15">
        <f t="shared" si="1"/>
        <v>21935</v>
      </c>
    </row>
    <row r="224">
      <c r="B224" s="15">
        <f>IFERROR(__xludf.DUMMYFUNCTION("""COMPUTED_VALUE"""),22.2)</f>
        <v>22.2</v>
      </c>
      <c r="C224" s="15">
        <f>IFERROR(__xludf.DUMMYFUNCTION("""COMPUTED_VALUE"""),1.677952122143E12)</f>
        <v>1677952122143</v>
      </c>
      <c r="D224" s="15">
        <f>IFERROR(__xludf.DUMMYFUNCTION("""COMPUTED_VALUE"""),-0.420740813023594)</f>
        <v>-0.420740813</v>
      </c>
      <c r="E224" s="15">
        <f>IFERROR(__xludf.DUMMYFUNCTION("""COMPUTED_VALUE"""),0.90537361961707)</f>
        <v>0.9053736196</v>
      </c>
      <c r="F224" s="15">
        <f>IFERROR(__xludf.DUMMYFUNCTION("""COMPUTED_VALUE"""),-0.00546667893293332)</f>
        <v>-0.005466678933</v>
      </c>
      <c r="G224" s="15">
        <f>IFERROR(__xludf.DUMMYFUNCTION("""COMPUTED_VALUE"""),-0.0569727354018664)</f>
        <v>-0.0569727354</v>
      </c>
      <c r="H224" s="15">
        <f t="shared" si="1"/>
        <v>22030</v>
      </c>
    </row>
    <row r="225">
      <c r="B225" s="15">
        <f>IFERROR(__xludf.DUMMYFUNCTION("""COMPUTED_VALUE"""),22.3)</f>
        <v>22.3</v>
      </c>
      <c r="C225" s="15">
        <f>IFERROR(__xludf.DUMMYFUNCTION("""COMPUTED_VALUE"""),1.677952122247E12)</f>
        <v>1677952122247</v>
      </c>
      <c r="D225" s="15">
        <f>IFERROR(__xludf.DUMMYFUNCTION("""COMPUTED_VALUE"""),-0.420740813023594)</f>
        <v>-0.420740813</v>
      </c>
      <c r="E225" s="15">
        <f>IFERROR(__xludf.DUMMYFUNCTION("""COMPUTED_VALUE"""),0.90537361961707)</f>
        <v>0.9053736196</v>
      </c>
      <c r="F225" s="15">
        <f>IFERROR(__xludf.DUMMYFUNCTION("""COMPUTED_VALUE"""),-0.00546667893293332)</f>
        <v>-0.005466678933</v>
      </c>
      <c r="G225" s="15">
        <f>IFERROR(__xludf.DUMMYFUNCTION("""COMPUTED_VALUE"""),-0.0569727354018664)</f>
        <v>-0.0569727354</v>
      </c>
      <c r="H225" s="15">
        <f t="shared" si="1"/>
        <v>22134</v>
      </c>
    </row>
    <row r="226">
      <c r="B226" s="15">
        <f>IFERROR(__xludf.DUMMYFUNCTION("""COMPUTED_VALUE"""),22.4)</f>
        <v>22.4</v>
      </c>
      <c r="C226" s="15">
        <f>IFERROR(__xludf.DUMMYFUNCTION("""COMPUTED_VALUE"""),1.677952122342E12)</f>
        <v>1677952122342</v>
      </c>
      <c r="D226" s="15">
        <f>IFERROR(__xludf.DUMMYFUNCTION("""COMPUTED_VALUE"""),-0.420740813023594)</f>
        <v>-0.420740813</v>
      </c>
      <c r="E226" s="15">
        <f>IFERROR(__xludf.DUMMYFUNCTION("""COMPUTED_VALUE"""),0.90537361961707)</f>
        <v>0.9053736196</v>
      </c>
      <c r="F226" s="15">
        <f>IFERROR(__xludf.DUMMYFUNCTION("""COMPUTED_VALUE"""),-0.00546667893293332)</f>
        <v>-0.005466678933</v>
      </c>
      <c r="G226" s="15">
        <f>IFERROR(__xludf.DUMMYFUNCTION("""COMPUTED_VALUE"""),-0.0569727354018664)</f>
        <v>-0.0569727354</v>
      </c>
      <c r="H226" s="15">
        <f t="shared" si="1"/>
        <v>22229</v>
      </c>
    </row>
    <row r="227">
      <c r="B227" s="15">
        <f>IFERROR(__xludf.DUMMYFUNCTION("""COMPUTED_VALUE"""),22.5)</f>
        <v>22.5</v>
      </c>
      <c r="C227" s="15">
        <f>IFERROR(__xludf.DUMMYFUNCTION("""COMPUTED_VALUE"""),1.677952122573E12)</f>
        <v>1677952122573</v>
      </c>
      <c r="D227" s="15">
        <f>IFERROR(__xludf.DUMMYFUNCTION("""COMPUTED_VALUE"""),-0.28472133799115)</f>
        <v>-0.284721338</v>
      </c>
      <c r="E227" s="15">
        <f>IFERROR(__xludf.DUMMYFUNCTION("""COMPUTED_VALUE"""),0.676305258467301)</f>
        <v>0.6763052585</v>
      </c>
      <c r="F227" s="15">
        <f>IFERROR(__xludf.DUMMYFUNCTION("""COMPUTED_VALUE"""),-0.413250115882061)</f>
        <v>-0.4132501159</v>
      </c>
      <c r="G227" s="15">
        <f>IFERROR(__xludf.DUMMYFUNCTION("""COMPUTED_VALUE"""),0.539230283631646)</f>
        <v>0.5392302836</v>
      </c>
      <c r="H227" s="15">
        <f t="shared" si="1"/>
        <v>22460</v>
      </c>
    </row>
    <row r="228">
      <c r="B228" s="15">
        <f>IFERROR(__xludf.DUMMYFUNCTION("""COMPUTED_VALUE"""),22.6)</f>
        <v>22.6</v>
      </c>
      <c r="C228" s="15">
        <f>IFERROR(__xludf.DUMMYFUNCTION("""COMPUTED_VALUE"""),1.677952122583E12)</f>
        <v>1677952122583</v>
      </c>
      <c r="D228" s="15">
        <f>IFERROR(__xludf.DUMMYFUNCTION("""COMPUTED_VALUE"""),-0.28472133799115)</f>
        <v>-0.284721338</v>
      </c>
      <c r="E228" s="15">
        <f>IFERROR(__xludf.DUMMYFUNCTION("""COMPUTED_VALUE"""),0.676305258467301)</f>
        <v>0.6763052585</v>
      </c>
      <c r="F228" s="15">
        <f>IFERROR(__xludf.DUMMYFUNCTION("""COMPUTED_VALUE"""),-0.413250115882061)</f>
        <v>-0.4132501159</v>
      </c>
      <c r="G228" s="15">
        <f>IFERROR(__xludf.DUMMYFUNCTION("""COMPUTED_VALUE"""),0.539230283631646)</f>
        <v>0.5392302836</v>
      </c>
      <c r="H228" s="15">
        <f t="shared" si="1"/>
        <v>22470</v>
      </c>
    </row>
    <row r="229">
      <c r="B229" s="15">
        <f>IFERROR(__xludf.DUMMYFUNCTION("""COMPUTED_VALUE"""),22.7)</f>
        <v>22.7</v>
      </c>
      <c r="C229" s="15">
        <f>IFERROR(__xludf.DUMMYFUNCTION("""COMPUTED_VALUE"""),1.677952122648E12)</f>
        <v>1677952122648</v>
      </c>
      <c r="D229" s="15">
        <f>IFERROR(__xludf.DUMMYFUNCTION("""COMPUTED_VALUE"""),-0.28472133799115)</f>
        <v>-0.284721338</v>
      </c>
      <c r="E229" s="15">
        <f>IFERROR(__xludf.DUMMYFUNCTION("""COMPUTED_VALUE"""),0.676305258467301)</f>
        <v>0.6763052585</v>
      </c>
      <c r="F229" s="15">
        <f>IFERROR(__xludf.DUMMYFUNCTION("""COMPUTED_VALUE"""),-0.413250115882061)</f>
        <v>-0.4132501159</v>
      </c>
      <c r="G229" s="15">
        <f>IFERROR(__xludf.DUMMYFUNCTION("""COMPUTED_VALUE"""),0.539230283631646)</f>
        <v>0.5392302836</v>
      </c>
      <c r="H229" s="15">
        <f t="shared" si="1"/>
        <v>22535</v>
      </c>
    </row>
    <row r="230">
      <c r="B230" s="15">
        <f>IFERROR(__xludf.DUMMYFUNCTION("""COMPUTED_VALUE"""),22.8)</f>
        <v>22.8</v>
      </c>
      <c r="C230" s="15">
        <f>IFERROR(__xludf.DUMMYFUNCTION("""COMPUTED_VALUE"""),1.677952122745E12)</f>
        <v>1677952122745</v>
      </c>
      <c r="D230" s="15">
        <f>IFERROR(__xludf.DUMMYFUNCTION("""COMPUTED_VALUE"""),-0.28472133799115)</f>
        <v>-0.284721338</v>
      </c>
      <c r="E230" s="15">
        <f>IFERROR(__xludf.DUMMYFUNCTION("""COMPUTED_VALUE"""),0.676305258467301)</f>
        <v>0.6763052585</v>
      </c>
      <c r="F230" s="15">
        <f>IFERROR(__xludf.DUMMYFUNCTION("""COMPUTED_VALUE"""),-0.413250115882061)</f>
        <v>-0.4132501159</v>
      </c>
      <c r="G230" s="15">
        <f>IFERROR(__xludf.DUMMYFUNCTION("""COMPUTED_VALUE"""),0.539230283631646)</f>
        <v>0.5392302836</v>
      </c>
      <c r="H230" s="15">
        <f t="shared" si="1"/>
        <v>22632</v>
      </c>
    </row>
    <row r="231">
      <c r="B231" s="15">
        <f>IFERROR(__xludf.DUMMYFUNCTION("""COMPUTED_VALUE"""),22.9)</f>
        <v>22.9</v>
      </c>
      <c r="C231" s="15">
        <f>IFERROR(__xludf.DUMMYFUNCTION("""COMPUTED_VALUE"""),1.677952122847E12)</f>
        <v>1677952122847</v>
      </c>
      <c r="D231" s="15">
        <f>IFERROR(__xludf.DUMMYFUNCTION("""COMPUTED_VALUE"""),-0.28472133799115)</f>
        <v>-0.284721338</v>
      </c>
      <c r="E231" s="15">
        <f>IFERROR(__xludf.DUMMYFUNCTION("""COMPUTED_VALUE"""),0.676305258467301)</f>
        <v>0.6763052585</v>
      </c>
      <c r="F231" s="15">
        <f>IFERROR(__xludf.DUMMYFUNCTION("""COMPUTED_VALUE"""),-0.413250115882061)</f>
        <v>-0.4132501159</v>
      </c>
      <c r="G231" s="15">
        <f>IFERROR(__xludf.DUMMYFUNCTION("""COMPUTED_VALUE"""),0.539230283631646)</f>
        <v>0.5392302836</v>
      </c>
      <c r="H231" s="15">
        <f t="shared" si="1"/>
        <v>22734</v>
      </c>
    </row>
    <row r="232">
      <c r="B232" s="15">
        <f>IFERROR(__xludf.DUMMYFUNCTION("""COMPUTED_VALUE"""),23.0)</f>
        <v>23</v>
      </c>
      <c r="C232" s="15">
        <f>IFERROR(__xludf.DUMMYFUNCTION("""COMPUTED_VALUE"""),1.677952122952E12)</f>
        <v>1677952122952</v>
      </c>
      <c r="D232" s="15">
        <f>IFERROR(__xludf.DUMMYFUNCTION("""COMPUTED_VALUE"""),-0.28472133799115)</f>
        <v>-0.284721338</v>
      </c>
      <c r="E232" s="15">
        <f>IFERROR(__xludf.DUMMYFUNCTION("""COMPUTED_VALUE"""),0.676305258467301)</f>
        <v>0.6763052585</v>
      </c>
      <c r="F232" s="15">
        <f>IFERROR(__xludf.DUMMYFUNCTION("""COMPUTED_VALUE"""),-0.413250115882061)</f>
        <v>-0.4132501159</v>
      </c>
      <c r="G232" s="15">
        <f>IFERROR(__xludf.DUMMYFUNCTION("""COMPUTED_VALUE"""),0.539230283631646)</f>
        <v>0.5392302836</v>
      </c>
      <c r="H232" s="15">
        <f t="shared" si="1"/>
        <v>22839</v>
      </c>
    </row>
    <row r="233">
      <c r="B233" s="15">
        <f>IFERROR(__xludf.DUMMYFUNCTION("""COMPUTED_VALUE"""),23.1)</f>
        <v>23.1</v>
      </c>
      <c r="C233" s="15">
        <f>IFERROR(__xludf.DUMMYFUNCTION("""COMPUTED_VALUE"""),1.677952123047E12)</f>
        <v>1677952123047</v>
      </c>
      <c r="D233" s="15">
        <f>IFERROR(__xludf.DUMMYFUNCTION("""COMPUTED_VALUE"""),-0.28472133799115)</f>
        <v>-0.284721338</v>
      </c>
      <c r="E233" s="15">
        <f>IFERROR(__xludf.DUMMYFUNCTION("""COMPUTED_VALUE"""),0.676305258467301)</f>
        <v>0.6763052585</v>
      </c>
      <c r="F233" s="15">
        <f>IFERROR(__xludf.DUMMYFUNCTION("""COMPUTED_VALUE"""),-0.413250115882061)</f>
        <v>-0.4132501159</v>
      </c>
      <c r="G233" s="15">
        <f>IFERROR(__xludf.DUMMYFUNCTION("""COMPUTED_VALUE"""),0.539230283631646)</f>
        <v>0.5392302836</v>
      </c>
      <c r="H233" s="15">
        <f t="shared" si="1"/>
        <v>22934</v>
      </c>
    </row>
    <row r="234">
      <c r="B234" s="15">
        <f>IFERROR(__xludf.DUMMYFUNCTION("""COMPUTED_VALUE"""),23.2)</f>
        <v>23.2</v>
      </c>
      <c r="C234" s="15">
        <f>IFERROR(__xludf.DUMMYFUNCTION("""COMPUTED_VALUE"""),1.677952123149E12)</f>
        <v>1677952123149</v>
      </c>
      <c r="D234" s="15">
        <f>IFERROR(__xludf.DUMMYFUNCTION("""COMPUTED_VALUE"""),-0.28472133799115)</f>
        <v>-0.284721338</v>
      </c>
      <c r="E234" s="15">
        <f>IFERROR(__xludf.DUMMYFUNCTION("""COMPUTED_VALUE"""),0.676305258467301)</f>
        <v>0.6763052585</v>
      </c>
      <c r="F234" s="15">
        <f>IFERROR(__xludf.DUMMYFUNCTION("""COMPUTED_VALUE"""),-0.413250115882061)</f>
        <v>-0.4132501159</v>
      </c>
      <c r="G234" s="15">
        <f>IFERROR(__xludf.DUMMYFUNCTION("""COMPUTED_VALUE"""),0.539230283631646)</f>
        <v>0.5392302836</v>
      </c>
      <c r="H234" s="15">
        <f t="shared" si="1"/>
        <v>23036</v>
      </c>
    </row>
    <row r="235">
      <c r="B235" s="15">
        <f>IFERROR(__xludf.DUMMYFUNCTION("""COMPUTED_VALUE"""),23.3)</f>
        <v>23.3</v>
      </c>
      <c r="C235" s="15">
        <f>IFERROR(__xludf.DUMMYFUNCTION("""COMPUTED_VALUE"""),1.67795212334E12)</f>
        <v>1677952123340</v>
      </c>
      <c r="D235" s="15">
        <f>IFERROR(__xludf.DUMMYFUNCTION("""COMPUTED_VALUE"""),-0.222169751748092)</f>
        <v>-0.2221697517</v>
      </c>
      <c r="E235" s="15">
        <f>IFERROR(__xludf.DUMMYFUNCTION("""COMPUTED_VALUE"""),0.526808720674171)</f>
        <v>0.5268087207</v>
      </c>
      <c r="F235" s="15">
        <f>IFERROR(__xludf.DUMMYFUNCTION("""COMPUTED_VALUE"""),-0.499559796618054)</f>
        <v>-0.4995597966</v>
      </c>
      <c r="G235" s="15">
        <f>IFERROR(__xludf.DUMMYFUNCTION("""COMPUTED_VALUE"""),0.650809636401275)</f>
        <v>0.6508096364</v>
      </c>
      <c r="H235" s="15">
        <f t="shared" si="1"/>
        <v>23227</v>
      </c>
    </row>
    <row r="236">
      <c r="B236" s="15">
        <f>IFERROR(__xludf.DUMMYFUNCTION("""COMPUTED_VALUE"""),23.4)</f>
        <v>23.4</v>
      </c>
      <c r="C236" s="15">
        <f>IFERROR(__xludf.DUMMYFUNCTION("""COMPUTED_VALUE"""),1.677952123392E12)</f>
        <v>1677952123392</v>
      </c>
      <c r="D236" s="15">
        <f>IFERROR(__xludf.DUMMYFUNCTION("""COMPUTED_VALUE"""),-0.187673906383781)</f>
        <v>-0.1876739064</v>
      </c>
      <c r="E236" s="15">
        <f>IFERROR(__xludf.DUMMYFUNCTION("""COMPUTED_VALUE"""),0.443920206400286)</f>
        <v>0.4439202064</v>
      </c>
      <c r="F236" s="15">
        <f>IFERROR(__xludf.DUMMYFUNCTION("""COMPUTED_VALUE"""),-0.534117278410984)</f>
        <v>-0.5341172784</v>
      </c>
      <c r="G236" s="15">
        <f>IFERROR(__xludf.DUMMYFUNCTION("""COMPUTED_VALUE"""),0.694573313707789)</f>
        <v>0.6945733137</v>
      </c>
      <c r="H236" s="15">
        <f t="shared" si="1"/>
        <v>23279</v>
      </c>
    </row>
    <row r="237">
      <c r="B237" s="15">
        <f>IFERROR(__xludf.DUMMYFUNCTION("""COMPUTED_VALUE"""),23.5)</f>
        <v>23.5</v>
      </c>
      <c r="C237" s="15">
        <f>IFERROR(__xludf.DUMMYFUNCTION("""COMPUTED_VALUE"""),1.67795212349E12)</f>
        <v>1677952123490</v>
      </c>
      <c r="D237" s="15">
        <f>IFERROR(__xludf.DUMMYFUNCTION("""COMPUTED_VALUE"""),-0.113517826005646)</f>
        <v>-0.113517826</v>
      </c>
      <c r="E237" s="15">
        <f>IFERROR(__xludf.DUMMYFUNCTION("""COMPUTED_VALUE"""),0.311285116006018)</f>
        <v>0.311285116</v>
      </c>
      <c r="F237" s="15">
        <f>IFERROR(__xludf.DUMMYFUNCTION("""COMPUTED_VALUE"""),-0.568201116473399)</f>
        <v>-0.5682011165</v>
      </c>
      <c r="G237" s="15">
        <f>IFERROR(__xludf.DUMMYFUNCTION("""COMPUTED_VALUE"""),0.753234871053147)</f>
        <v>0.7532348711</v>
      </c>
      <c r="H237" s="15">
        <f t="shared" si="1"/>
        <v>23377</v>
      </c>
    </row>
    <row r="238">
      <c r="B238" s="15">
        <f>IFERROR(__xludf.DUMMYFUNCTION("""COMPUTED_VALUE"""),23.6)</f>
        <v>23.6</v>
      </c>
      <c r="C238" s="15">
        <f>IFERROR(__xludf.DUMMYFUNCTION("""COMPUTED_VALUE"""),1.677952123591E12)</f>
        <v>1677952123591</v>
      </c>
      <c r="D238" s="15">
        <f>IFERROR(__xludf.DUMMYFUNCTION("""COMPUTED_VALUE"""),0.0247647150969522)</f>
        <v>0.0247647151</v>
      </c>
      <c r="E238" s="15">
        <f>IFERROR(__xludf.DUMMYFUNCTION("""COMPUTED_VALUE"""),0.0992018514390757)</f>
        <v>0.09920185144</v>
      </c>
      <c r="F238" s="15">
        <f>IFERROR(__xludf.DUMMYFUNCTION("""COMPUTED_VALUE"""),-0.584401259480806)</f>
        <v>-0.5844012595</v>
      </c>
      <c r="G238" s="15">
        <f>IFERROR(__xludf.DUMMYFUNCTION("""COMPUTED_VALUE"""),0.804997434452105)</f>
        <v>0.8049974345</v>
      </c>
      <c r="H238" s="15">
        <f t="shared" si="1"/>
        <v>23478</v>
      </c>
    </row>
    <row r="239">
      <c r="B239" s="15">
        <f>IFERROR(__xludf.DUMMYFUNCTION("""COMPUTED_VALUE"""),23.7)</f>
        <v>23.7</v>
      </c>
      <c r="C239" s="15">
        <f>IFERROR(__xludf.DUMMYFUNCTION("""COMPUTED_VALUE"""),1.677952123648E12)</f>
        <v>1677952123648</v>
      </c>
      <c r="D239" s="15">
        <f>IFERROR(__xludf.DUMMYFUNCTION("""COMPUTED_VALUE"""),0.0773756141175336)</f>
        <v>0.07737561412</v>
      </c>
      <c r="E239" s="15">
        <f>IFERROR(__xludf.DUMMYFUNCTION("""COMPUTED_VALUE"""),0.0261883051669784)</f>
        <v>0.02618830517</v>
      </c>
      <c r="F239" s="15">
        <f>IFERROR(__xludf.DUMMYFUNCTION("""COMPUTED_VALUE"""),-0.57978542370132)</f>
        <v>-0.5797854237</v>
      </c>
      <c r="G239" s="15">
        <f>IFERROR(__xludf.DUMMYFUNCTION("""COMPUTED_VALUE"""),0.810663955949624)</f>
        <v>0.8106639559</v>
      </c>
      <c r="H239" s="15">
        <f t="shared" si="1"/>
        <v>23535</v>
      </c>
    </row>
    <row r="240">
      <c r="B240" s="15">
        <f>IFERROR(__xludf.DUMMYFUNCTION("""COMPUTED_VALUE"""),23.8)</f>
        <v>23.8</v>
      </c>
      <c r="C240" s="15">
        <f>IFERROR(__xludf.DUMMYFUNCTION("""COMPUTED_VALUE"""),1.677952123752E12)</f>
        <v>1677952123752</v>
      </c>
      <c r="D240" s="15">
        <f>IFERROR(__xludf.DUMMYFUNCTION("""COMPUTED_VALUE"""),0.0773756141175336)</f>
        <v>0.07737561412</v>
      </c>
      <c r="E240" s="15">
        <f>IFERROR(__xludf.DUMMYFUNCTION("""COMPUTED_VALUE"""),0.0261883051669784)</f>
        <v>0.02618830517</v>
      </c>
      <c r="F240" s="15">
        <f>IFERROR(__xludf.DUMMYFUNCTION("""COMPUTED_VALUE"""),-0.57978542370132)</f>
        <v>-0.5797854237</v>
      </c>
      <c r="G240" s="15">
        <f>IFERROR(__xludf.DUMMYFUNCTION("""COMPUTED_VALUE"""),0.810663955949624)</f>
        <v>0.8106639559</v>
      </c>
      <c r="H240" s="15">
        <f t="shared" si="1"/>
        <v>23639</v>
      </c>
    </row>
    <row r="241">
      <c r="B241" s="15">
        <f>IFERROR(__xludf.DUMMYFUNCTION("""COMPUTED_VALUE"""),23.9)</f>
        <v>23.9</v>
      </c>
      <c r="C241" s="15">
        <f>IFERROR(__xludf.DUMMYFUNCTION("""COMPUTED_VALUE"""),1.677952123847E12)</f>
        <v>1677952123847</v>
      </c>
      <c r="D241" s="15">
        <f>IFERROR(__xludf.DUMMYFUNCTION("""COMPUTED_VALUE"""),0.0773756141175336)</f>
        <v>0.07737561412</v>
      </c>
      <c r="E241" s="15">
        <f>IFERROR(__xludf.DUMMYFUNCTION("""COMPUTED_VALUE"""),0.0261883051669784)</f>
        <v>0.02618830517</v>
      </c>
      <c r="F241" s="15">
        <f>IFERROR(__xludf.DUMMYFUNCTION("""COMPUTED_VALUE"""),-0.57978542370132)</f>
        <v>-0.5797854237</v>
      </c>
      <c r="G241" s="15">
        <f>IFERROR(__xludf.DUMMYFUNCTION("""COMPUTED_VALUE"""),0.810663955949624)</f>
        <v>0.8106639559</v>
      </c>
      <c r="H241" s="15">
        <f t="shared" si="1"/>
        <v>23734</v>
      </c>
    </row>
    <row r="242">
      <c r="B242" s="15">
        <f>IFERROR(__xludf.DUMMYFUNCTION("""COMPUTED_VALUE"""),24.0)</f>
        <v>24</v>
      </c>
      <c r="C242" s="15">
        <f>IFERROR(__xludf.DUMMYFUNCTION("""COMPUTED_VALUE"""),1.677952123943E12)</f>
        <v>1677952123943</v>
      </c>
      <c r="D242" s="15">
        <f>IFERROR(__xludf.DUMMYFUNCTION("""COMPUTED_VALUE"""),0.0773756141175336)</f>
        <v>0.07737561412</v>
      </c>
      <c r="E242" s="15">
        <f>IFERROR(__xludf.DUMMYFUNCTION("""COMPUTED_VALUE"""),0.0261883051669784)</f>
        <v>0.02618830517</v>
      </c>
      <c r="F242" s="15">
        <f>IFERROR(__xludf.DUMMYFUNCTION("""COMPUTED_VALUE"""),-0.57978542370132)</f>
        <v>-0.5797854237</v>
      </c>
      <c r="G242" s="15">
        <f>IFERROR(__xludf.DUMMYFUNCTION("""COMPUTED_VALUE"""),0.810663955949624)</f>
        <v>0.8106639559</v>
      </c>
      <c r="H242" s="15">
        <f t="shared" si="1"/>
        <v>23830</v>
      </c>
    </row>
    <row r="243">
      <c r="B243" s="15">
        <f>IFERROR(__xludf.DUMMYFUNCTION("""COMPUTED_VALUE"""),24.1)</f>
        <v>24.1</v>
      </c>
      <c r="C243" s="15">
        <f>IFERROR(__xludf.DUMMYFUNCTION("""COMPUTED_VALUE"""),1.677952124045E12)</f>
        <v>1677952124045</v>
      </c>
      <c r="D243" s="15">
        <f>IFERROR(__xludf.DUMMYFUNCTION("""COMPUTED_VALUE"""),0.0773756141175336)</f>
        <v>0.07737561412</v>
      </c>
      <c r="E243" s="15">
        <f>IFERROR(__xludf.DUMMYFUNCTION("""COMPUTED_VALUE"""),0.0261883051669784)</f>
        <v>0.02618830517</v>
      </c>
      <c r="F243" s="15">
        <f>IFERROR(__xludf.DUMMYFUNCTION("""COMPUTED_VALUE"""),-0.57978542370132)</f>
        <v>-0.5797854237</v>
      </c>
      <c r="G243" s="15">
        <f>IFERROR(__xludf.DUMMYFUNCTION("""COMPUTED_VALUE"""),0.810663955949624)</f>
        <v>0.8106639559</v>
      </c>
      <c r="H243" s="15">
        <f t="shared" si="1"/>
        <v>23932</v>
      </c>
    </row>
    <row r="244">
      <c r="B244" s="15">
        <f>IFERROR(__xludf.DUMMYFUNCTION("""COMPUTED_VALUE"""),24.2)</f>
        <v>24.2</v>
      </c>
      <c r="C244" s="15">
        <f>IFERROR(__xludf.DUMMYFUNCTION("""COMPUTED_VALUE"""),1.677952124291E12)</f>
        <v>1677952124291</v>
      </c>
      <c r="D244" s="15">
        <f>IFERROR(__xludf.DUMMYFUNCTION("""COMPUTED_VALUE"""),0.484339569485192)</f>
        <v>0.4843395695</v>
      </c>
      <c r="E244" s="15">
        <f>IFERROR(__xludf.DUMMYFUNCTION("""COMPUTED_VALUE"""),0.634339936012986)</f>
        <v>0.634339936</v>
      </c>
      <c r="F244" s="15">
        <f>IFERROR(__xludf.DUMMYFUNCTION("""COMPUTED_VALUE"""),0.245731584348388)</f>
        <v>0.2457315843</v>
      </c>
      <c r="G244" s="15">
        <f>IFERROR(__xludf.DUMMYFUNCTION("""COMPUTED_VALUE"""),-0.550130907569796)</f>
        <v>-0.5501309076</v>
      </c>
      <c r="H244" s="15">
        <f t="shared" si="1"/>
        <v>24178</v>
      </c>
    </row>
    <row r="245">
      <c r="B245" s="15">
        <f>IFERROR(__xludf.DUMMYFUNCTION("""COMPUTED_VALUE"""),24.3)</f>
        <v>24.3</v>
      </c>
      <c r="C245" s="15">
        <f>IFERROR(__xludf.DUMMYFUNCTION("""COMPUTED_VALUE"""),1.677952124299E12)</f>
        <v>1677952124299</v>
      </c>
      <c r="D245" s="15">
        <f>IFERROR(__xludf.DUMMYFUNCTION("""COMPUTED_VALUE"""),0.484339569485192)</f>
        <v>0.4843395695</v>
      </c>
      <c r="E245" s="15">
        <f>IFERROR(__xludf.DUMMYFUNCTION("""COMPUTED_VALUE"""),0.634339936012986)</f>
        <v>0.634339936</v>
      </c>
      <c r="F245" s="15">
        <f>IFERROR(__xludf.DUMMYFUNCTION("""COMPUTED_VALUE"""),0.245731584348388)</f>
        <v>0.2457315843</v>
      </c>
      <c r="G245" s="15">
        <f>IFERROR(__xludf.DUMMYFUNCTION("""COMPUTED_VALUE"""),-0.550130907569796)</f>
        <v>-0.5501309076</v>
      </c>
      <c r="H245" s="15">
        <f t="shared" si="1"/>
        <v>24186</v>
      </c>
    </row>
    <row r="246">
      <c r="B246" s="15">
        <f>IFERROR(__xludf.DUMMYFUNCTION("""COMPUTED_VALUE"""),24.4)</f>
        <v>24.4</v>
      </c>
      <c r="C246" s="15">
        <f>IFERROR(__xludf.DUMMYFUNCTION("""COMPUTED_VALUE"""),1.677952124326E12)</f>
        <v>1677952124326</v>
      </c>
      <c r="D246" s="15">
        <f>IFERROR(__xludf.DUMMYFUNCTION("""COMPUTED_VALUE"""),0.484339569485192)</f>
        <v>0.4843395695</v>
      </c>
      <c r="E246" s="15">
        <f>IFERROR(__xludf.DUMMYFUNCTION("""COMPUTED_VALUE"""),0.634339936012986)</f>
        <v>0.634339936</v>
      </c>
      <c r="F246" s="15">
        <f>IFERROR(__xludf.DUMMYFUNCTION("""COMPUTED_VALUE"""),0.245731584348388)</f>
        <v>0.2457315843</v>
      </c>
      <c r="G246" s="15">
        <f>IFERROR(__xludf.DUMMYFUNCTION("""COMPUTED_VALUE"""),-0.550130907569796)</f>
        <v>-0.5501309076</v>
      </c>
      <c r="H246" s="15">
        <f t="shared" si="1"/>
        <v>24213</v>
      </c>
    </row>
    <row r="247">
      <c r="B247" s="15">
        <f>IFERROR(__xludf.DUMMYFUNCTION("""COMPUTED_VALUE"""),24.5)</f>
        <v>24.5</v>
      </c>
      <c r="C247" s="15">
        <f>IFERROR(__xludf.DUMMYFUNCTION("""COMPUTED_VALUE"""),1.677952124447E12)</f>
        <v>1677952124447</v>
      </c>
      <c r="D247" s="15">
        <f>IFERROR(__xludf.DUMMYFUNCTION("""COMPUTED_VALUE"""),0.484339569485192)</f>
        <v>0.4843395695</v>
      </c>
      <c r="E247" s="15">
        <f>IFERROR(__xludf.DUMMYFUNCTION("""COMPUTED_VALUE"""),0.634339936012986)</f>
        <v>0.634339936</v>
      </c>
      <c r="F247" s="15">
        <f>IFERROR(__xludf.DUMMYFUNCTION("""COMPUTED_VALUE"""),0.245731584348388)</f>
        <v>0.2457315843</v>
      </c>
      <c r="G247" s="15">
        <f>IFERROR(__xludf.DUMMYFUNCTION("""COMPUTED_VALUE"""),-0.550130907569796)</f>
        <v>-0.5501309076</v>
      </c>
      <c r="H247" s="15">
        <f t="shared" si="1"/>
        <v>24334</v>
      </c>
    </row>
    <row r="248">
      <c r="B248" s="15">
        <f>IFERROR(__xludf.DUMMYFUNCTION("""COMPUTED_VALUE"""),24.6)</f>
        <v>24.6</v>
      </c>
      <c r="C248" s="15">
        <f>IFERROR(__xludf.DUMMYFUNCTION("""COMPUTED_VALUE"""),1.677952124543E12)</f>
        <v>1677952124543</v>
      </c>
      <c r="D248" s="15">
        <f>IFERROR(__xludf.DUMMYFUNCTION("""COMPUTED_VALUE"""),0.484339569485192)</f>
        <v>0.4843395695</v>
      </c>
      <c r="E248" s="15">
        <f>IFERROR(__xludf.DUMMYFUNCTION("""COMPUTED_VALUE"""),0.634339936012986)</f>
        <v>0.634339936</v>
      </c>
      <c r="F248" s="15">
        <f>IFERROR(__xludf.DUMMYFUNCTION("""COMPUTED_VALUE"""),0.245731584348388)</f>
        <v>0.2457315843</v>
      </c>
      <c r="G248" s="15">
        <f>IFERROR(__xludf.DUMMYFUNCTION("""COMPUTED_VALUE"""),-0.550130907569796)</f>
        <v>-0.5501309076</v>
      </c>
      <c r="H248" s="15">
        <f t="shared" si="1"/>
        <v>24430</v>
      </c>
    </row>
    <row r="249">
      <c r="B249" s="15">
        <f>IFERROR(__xludf.DUMMYFUNCTION("""COMPUTED_VALUE"""),24.7)</f>
        <v>24.7</v>
      </c>
      <c r="C249" s="15">
        <f>IFERROR(__xludf.DUMMYFUNCTION("""COMPUTED_VALUE"""),1.677952124647E12)</f>
        <v>1677952124647</v>
      </c>
      <c r="D249" s="15">
        <f>IFERROR(__xludf.DUMMYFUNCTION("""COMPUTED_VALUE"""),0.484339569485192)</f>
        <v>0.4843395695</v>
      </c>
      <c r="E249" s="15">
        <f>IFERROR(__xludf.DUMMYFUNCTION("""COMPUTED_VALUE"""),0.634339936012986)</f>
        <v>0.634339936</v>
      </c>
      <c r="F249" s="15">
        <f>IFERROR(__xludf.DUMMYFUNCTION("""COMPUTED_VALUE"""),0.245731584348388)</f>
        <v>0.2457315843</v>
      </c>
      <c r="G249" s="15">
        <f>IFERROR(__xludf.DUMMYFUNCTION("""COMPUTED_VALUE"""),-0.550130907569796)</f>
        <v>-0.5501309076</v>
      </c>
      <c r="H249" s="15">
        <f t="shared" si="1"/>
        <v>24534</v>
      </c>
    </row>
    <row r="250">
      <c r="B250" s="15">
        <f>IFERROR(__xludf.DUMMYFUNCTION("""COMPUTED_VALUE"""),24.8)</f>
        <v>24.8</v>
      </c>
      <c r="C250" s="15">
        <f>IFERROR(__xludf.DUMMYFUNCTION("""COMPUTED_VALUE"""),1.677952124863E12)</f>
        <v>1677952124863</v>
      </c>
      <c r="D250" s="15">
        <f>IFERROR(__xludf.DUMMYFUNCTION("""COMPUTED_VALUE"""),-0.382603119381126)</f>
        <v>-0.3826031194</v>
      </c>
      <c r="E250" s="15">
        <f>IFERROR(__xludf.DUMMYFUNCTION("""COMPUTED_VALUE"""),-0.203103550996624)</f>
        <v>-0.203103551</v>
      </c>
      <c r="F250" s="15">
        <f>IFERROR(__xludf.DUMMYFUNCTION("""COMPUTED_VALUE"""),-0.424220566422228)</f>
        <v>-0.4242205664</v>
      </c>
      <c r="G250" s="15">
        <f>IFERROR(__xludf.DUMMYFUNCTION("""COMPUTED_VALUE"""),0.795236261520307)</f>
        <v>0.7952362615</v>
      </c>
      <c r="H250" s="15">
        <f t="shared" si="1"/>
        <v>24750</v>
      </c>
    </row>
    <row r="251">
      <c r="B251" s="15">
        <f>IFERROR(__xludf.DUMMYFUNCTION("""COMPUTED_VALUE"""),24.9)</f>
        <v>24.9</v>
      </c>
      <c r="C251" s="15">
        <f>IFERROR(__xludf.DUMMYFUNCTION("""COMPUTED_VALUE"""),1.677952124872E12)</f>
        <v>1677952124872</v>
      </c>
      <c r="D251" s="15">
        <f>IFERROR(__xludf.DUMMYFUNCTION("""COMPUTED_VALUE"""),-0.382603119381126)</f>
        <v>-0.3826031194</v>
      </c>
      <c r="E251" s="15">
        <f>IFERROR(__xludf.DUMMYFUNCTION("""COMPUTED_VALUE"""),-0.203103550996624)</f>
        <v>-0.203103551</v>
      </c>
      <c r="F251" s="15">
        <f>IFERROR(__xludf.DUMMYFUNCTION("""COMPUTED_VALUE"""),-0.424220566422228)</f>
        <v>-0.4242205664</v>
      </c>
      <c r="G251" s="15">
        <f>IFERROR(__xludf.DUMMYFUNCTION("""COMPUTED_VALUE"""),0.795236261520307)</f>
        <v>0.7952362615</v>
      </c>
      <c r="H251" s="15">
        <f t="shared" si="1"/>
        <v>24759</v>
      </c>
    </row>
    <row r="252">
      <c r="B252" s="15">
        <f>IFERROR(__xludf.DUMMYFUNCTION("""COMPUTED_VALUE"""),25.0)</f>
        <v>25</v>
      </c>
      <c r="C252" s="15">
        <f>IFERROR(__xludf.DUMMYFUNCTION("""COMPUTED_VALUE"""),1.677952124951E12)</f>
        <v>1677952124951</v>
      </c>
      <c r="D252" s="15">
        <f>IFERROR(__xludf.DUMMYFUNCTION("""COMPUTED_VALUE"""),-0.382603119381126)</f>
        <v>-0.3826031194</v>
      </c>
      <c r="E252" s="15">
        <f>IFERROR(__xludf.DUMMYFUNCTION("""COMPUTED_VALUE"""),-0.203103550996624)</f>
        <v>-0.203103551</v>
      </c>
      <c r="F252" s="15">
        <f>IFERROR(__xludf.DUMMYFUNCTION("""COMPUTED_VALUE"""),-0.424220566422228)</f>
        <v>-0.4242205664</v>
      </c>
      <c r="G252" s="15">
        <f>IFERROR(__xludf.DUMMYFUNCTION("""COMPUTED_VALUE"""),0.795236261520307)</f>
        <v>0.7952362615</v>
      </c>
      <c r="H252" s="15">
        <f t="shared" si="1"/>
        <v>24838</v>
      </c>
    </row>
    <row r="253">
      <c r="B253" s="15">
        <f>IFERROR(__xludf.DUMMYFUNCTION("""COMPUTED_VALUE"""),25.1)</f>
        <v>25.1</v>
      </c>
      <c r="C253" s="15">
        <f>IFERROR(__xludf.DUMMYFUNCTION("""COMPUTED_VALUE"""),1.677952125047E12)</f>
        <v>1677952125047</v>
      </c>
      <c r="D253" s="15">
        <f>IFERROR(__xludf.DUMMYFUNCTION("""COMPUTED_VALUE"""),-0.382603119381126)</f>
        <v>-0.3826031194</v>
      </c>
      <c r="E253" s="15">
        <f>IFERROR(__xludf.DUMMYFUNCTION("""COMPUTED_VALUE"""),-0.203103550996624)</f>
        <v>-0.203103551</v>
      </c>
      <c r="F253" s="15">
        <f>IFERROR(__xludf.DUMMYFUNCTION("""COMPUTED_VALUE"""),-0.424220566422228)</f>
        <v>-0.4242205664</v>
      </c>
      <c r="G253" s="15">
        <f>IFERROR(__xludf.DUMMYFUNCTION("""COMPUTED_VALUE"""),0.795236261520307)</f>
        <v>0.7952362615</v>
      </c>
      <c r="H253" s="15">
        <f t="shared" si="1"/>
        <v>24934</v>
      </c>
    </row>
    <row r="254">
      <c r="B254" s="15">
        <f>IFERROR(__xludf.DUMMYFUNCTION("""COMPUTED_VALUE"""),25.2)</f>
        <v>25.2</v>
      </c>
      <c r="C254" s="15">
        <f>IFERROR(__xludf.DUMMYFUNCTION("""COMPUTED_VALUE"""),1.67795212515E12)</f>
        <v>1677952125150</v>
      </c>
      <c r="D254" s="15">
        <f>IFERROR(__xludf.DUMMYFUNCTION("""COMPUTED_VALUE"""),-0.382603119381126)</f>
        <v>-0.3826031194</v>
      </c>
      <c r="E254" s="15">
        <f>IFERROR(__xludf.DUMMYFUNCTION("""COMPUTED_VALUE"""),-0.203103550996624)</f>
        <v>-0.203103551</v>
      </c>
      <c r="F254" s="15">
        <f>IFERROR(__xludf.DUMMYFUNCTION("""COMPUTED_VALUE"""),-0.424220566422228)</f>
        <v>-0.4242205664</v>
      </c>
      <c r="G254" s="15">
        <f>IFERROR(__xludf.DUMMYFUNCTION("""COMPUTED_VALUE"""),0.795236261520307)</f>
        <v>0.7952362615</v>
      </c>
      <c r="H254" s="15">
        <f t="shared" si="1"/>
        <v>25037</v>
      </c>
    </row>
    <row r="255">
      <c r="B255" s="15">
        <f>IFERROR(__xludf.DUMMYFUNCTION("""COMPUTED_VALUE"""),25.3)</f>
        <v>25.3</v>
      </c>
      <c r="C255" s="15">
        <f>IFERROR(__xludf.DUMMYFUNCTION("""COMPUTED_VALUE"""),1.677952125396E12)</f>
        <v>1677952125396</v>
      </c>
      <c r="D255" s="15">
        <f>IFERROR(__xludf.DUMMYFUNCTION("""COMPUTED_VALUE"""),0.789636883608815)</f>
        <v>0.7896368836</v>
      </c>
      <c r="E255" s="15">
        <f>IFERROR(__xludf.DUMMYFUNCTION("""COMPUTED_VALUE"""),0.354053739273521)</f>
        <v>0.3540537393</v>
      </c>
      <c r="F255" s="15">
        <f>IFERROR(__xludf.DUMMYFUNCTION("""COMPUTED_VALUE"""),0.2065899274326)</f>
        <v>0.2065899274</v>
      </c>
      <c r="G255" s="15">
        <f>IFERROR(__xludf.DUMMYFUNCTION("""COMPUTED_VALUE"""),-0.456552454417217)</f>
        <v>-0.4565524544</v>
      </c>
      <c r="H255" s="15">
        <f t="shared" si="1"/>
        <v>25283</v>
      </c>
    </row>
    <row r="256">
      <c r="B256" s="15">
        <f>IFERROR(__xludf.DUMMYFUNCTION("""COMPUTED_VALUE"""),25.4)</f>
        <v>25.4</v>
      </c>
      <c r="C256" s="15">
        <f>IFERROR(__xludf.DUMMYFUNCTION("""COMPUTED_VALUE"""),1.677952125404E12)</f>
        <v>1677952125404</v>
      </c>
      <c r="D256" s="15">
        <f>IFERROR(__xludf.DUMMYFUNCTION("""COMPUTED_VALUE"""),0.789636883608815)</f>
        <v>0.7896368836</v>
      </c>
      <c r="E256" s="15">
        <f>IFERROR(__xludf.DUMMYFUNCTION("""COMPUTED_VALUE"""),0.354053739273521)</f>
        <v>0.3540537393</v>
      </c>
      <c r="F256" s="15">
        <f>IFERROR(__xludf.DUMMYFUNCTION("""COMPUTED_VALUE"""),0.2065899274326)</f>
        <v>0.2065899274</v>
      </c>
      <c r="G256" s="15">
        <f>IFERROR(__xludf.DUMMYFUNCTION("""COMPUTED_VALUE"""),-0.456552454417217)</f>
        <v>-0.4565524544</v>
      </c>
      <c r="H256" s="15">
        <f t="shared" si="1"/>
        <v>25291</v>
      </c>
    </row>
    <row r="257">
      <c r="B257" s="15">
        <f>IFERROR(__xludf.DUMMYFUNCTION("""COMPUTED_VALUE"""),25.5)</f>
        <v>25.5</v>
      </c>
      <c r="C257" s="15">
        <f>IFERROR(__xludf.DUMMYFUNCTION("""COMPUTED_VALUE"""),1.677952125447E12)</f>
        <v>1677952125447</v>
      </c>
      <c r="D257" s="15">
        <f>IFERROR(__xludf.DUMMYFUNCTION("""COMPUTED_VALUE"""),0.789636883608815)</f>
        <v>0.7896368836</v>
      </c>
      <c r="E257" s="15">
        <f>IFERROR(__xludf.DUMMYFUNCTION("""COMPUTED_VALUE"""),0.354053739273521)</f>
        <v>0.3540537393</v>
      </c>
      <c r="F257" s="15">
        <f>IFERROR(__xludf.DUMMYFUNCTION("""COMPUTED_VALUE"""),0.2065899274326)</f>
        <v>0.2065899274</v>
      </c>
      <c r="G257" s="15">
        <f>IFERROR(__xludf.DUMMYFUNCTION("""COMPUTED_VALUE"""),-0.456552454417217)</f>
        <v>-0.4565524544</v>
      </c>
      <c r="H257" s="15">
        <f t="shared" si="1"/>
        <v>25334</v>
      </c>
    </row>
    <row r="258">
      <c r="B258" s="15">
        <f>IFERROR(__xludf.DUMMYFUNCTION("""COMPUTED_VALUE"""),25.6)</f>
        <v>25.6</v>
      </c>
      <c r="C258" s="15">
        <f>IFERROR(__xludf.DUMMYFUNCTION("""COMPUTED_VALUE"""),1.677952125551E12)</f>
        <v>1677952125551</v>
      </c>
      <c r="D258" s="15">
        <f>IFERROR(__xludf.DUMMYFUNCTION("""COMPUTED_VALUE"""),0.789636883608815)</f>
        <v>0.7896368836</v>
      </c>
      <c r="E258" s="15">
        <f>IFERROR(__xludf.DUMMYFUNCTION("""COMPUTED_VALUE"""),0.354053739273521)</f>
        <v>0.3540537393</v>
      </c>
      <c r="F258" s="15">
        <f>IFERROR(__xludf.DUMMYFUNCTION("""COMPUTED_VALUE"""),0.2065899274326)</f>
        <v>0.2065899274</v>
      </c>
      <c r="G258" s="15">
        <f>IFERROR(__xludf.DUMMYFUNCTION("""COMPUTED_VALUE"""),-0.456552454417217)</f>
        <v>-0.4565524544</v>
      </c>
      <c r="H258" s="15">
        <f t="shared" si="1"/>
        <v>25438</v>
      </c>
    </row>
    <row r="259">
      <c r="B259" s="15">
        <f>IFERROR(__xludf.DUMMYFUNCTION("""COMPUTED_VALUE"""),25.7)</f>
        <v>25.7</v>
      </c>
      <c r="C259" s="15">
        <f>IFERROR(__xludf.DUMMYFUNCTION("""COMPUTED_VALUE"""),1.677952125647E12)</f>
        <v>1677952125647</v>
      </c>
      <c r="D259" s="15">
        <f>IFERROR(__xludf.DUMMYFUNCTION("""COMPUTED_VALUE"""),0.789636883608815)</f>
        <v>0.7896368836</v>
      </c>
      <c r="E259" s="15">
        <f>IFERROR(__xludf.DUMMYFUNCTION("""COMPUTED_VALUE"""),0.354053739273521)</f>
        <v>0.3540537393</v>
      </c>
      <c r="F259" s="15">
        <f>IFERROR(__xludf.DUMMYFUNCTION("""COMPUTED_VALUE"""),0.2065899274326)</f>
        <v>0.2065899274</v>
      </c>
      <c r="G259" s="15">
        <f>IFERROR(__xludf.DUMMYFUNCTION("""COMPUTED_VALUE"""),-0.456552454417217)</f>
        <v>-0.4565524544</v>
      </c>
      <c r="H259" s="15">
        <f t="shared" si="1"/>
        <v>25534</v>
      </c>
    </row>
    <row r="260">
      <c r="B260" s="15">
        <f>IFERROR(__xludf.DUMMYFUNCTION("""COMPUTED_VALUE"""),25.8)</f>
        <v>25.8</v>
      </c>
      <c r="C260" s="15">
        <f>IFERROR(__xludf.DUMMYFUNCTION("""COMPUTED_VALUE"""),1.677952125913E12)</f>
        <v>1677952125913</v>
      </c>
      <c r="D260" s="15">
        <f>IFERROR(__xludf.DUMMYFUNCTION("""COMPUTED_VALUE"""),0.911486026072382)</f>
        <v>0.9114860261</v>
      </c>
      <c r="E260" s="15">
        <f>IFERROR(__xludf.DUMMYFUNCTION("""COMPUTED_VALUE"""),0.324270011544361)</f>
        <v>0.3242700115</v>
      </c>
      <c r="F260" s="15">
        <f>IFERROR(__xludf.DUMMYFUNCTION("""COMPUTED_VALUE"""),0.0442491753286359)</f>
        <v>0.04424917533</v>
      </c>
      <c r="G260" s="15">
        <f>IFERROR(__xludf.DUMMYFUNCTION("""COMPUTED_VALUE"""),-0.24916700096628)</f>
        <v>-0.249167001</v>
      </c>
      <c r="H260" s="15">
        <f t="shared" si="1"/>
        <v>25800</v>
      </c>
    </row>
    <row r="261">
      <c r="B261" s="15">
        <f>IFERROR(__xludf.DUMMYFUNCTION("""COMPUTED_VALUE"""),25.9)</f>
        <v>25.9</v>
      </c>
      <c r="C261" s="15">
        <f>IFERROR(__xludf.DUMMYFUNCTION("""COMPUTED_VALUE"""),1.67795212592E12)</f>
        <v>1677952125920</v>
      </c>
      <c r="D261" s="15">
        <f>IFERROR(__xludf.DUMMYFUNCTION("""COMPUTED_VALUE"""),0.911486026072382)</f>
        <v>0.9114860261</v>
      </c>
      <c r="E261" s="15">
        <f>IFERROR(__xludf.DUMMYFUNCTION("""COMPUTED_VALUE"""),0.324270011544361)</f>
        <v>0.3242700115</v>
      </c>
      <c r="F261" s="15">
        <f>IFERROR(__xludf.DUMMYFUNCTION("""COMPUTED_VALUE"""),0.0442491753286359)</f>
        <v>0.04424917533</v>
      </c>
      <c r="G261" s="15">
        <f>IFERROR(__xludf.DUMMYFUNCTION("""COMPUTED_VALUE"""),-0.24916700096628)</f>
        <v>-0.249167001</v>
      </c>
      <c r="H261" s="15">
        <f t="shared" si="1"/>
        <v>25807</v>
      </c>
    </row>
    <row r="262">
      <c r="B262" s="15">
        <f>IFERROR(__xludf.DUMMYFUNCTION("""COMPUTED_VALUE"""),26.0)</f>
        <v>26</v>
      </c>
      <c r="C262" s="15">
        <f>IFERROR(__xludf.DUMMYFUNCTION("""COMPUTED_VALUE"""),1.677952125951E12)</f>
        <v>1677952125951</v>
      </c>
      <c r="D262" s="15">
        <f>IFERROR(__xludf.DUMMYFUNCTION("""COMPUTED_VALUE"""),0.911486026072382)</f>
        <v>0.9114860261</v>
      </c>
      <c r="E262" s="15">
        <f>IFERROR(__xludf.DUMMYFUNCTION("""COMPUTED_VALUE"""),0.324270011544361)</f>
        <v>0.3242700115</v>
      </c>
      <c r="F262" s="15">
        <f>IFERROR(__xludf.DUMMYFUNCTION("""COMPUTED_VALUE"""),0.0442491753286359)</f>
        <v>0.04424917533</v>
      </c>
      <c r="G262" s="15">
        <f>IFERROR(__xludf.DUMMYFUNCTION("""COMPUTED_VALUE"""),-0.24916700096628)</f>
        <v>-0.249167001</v>
      </c>
      <c r="H262" s="15">
        <f t="shared" si="1"/>
        <v>25838</v>
      </c>
    </row>
    <row r="263">
      <c r="B263" s="15">
        <f>IFERROR(__xludf.DUMMYFUNCTION("""COMPUTED_VALUE"""),26.1)</f>
        <v>26.1</v>
      </c>
      <c r="C263" s="15">
        <f>IFERROR(__xludf.DUMMYFUNCTION("""COMPUTED_VALUE"""),1.677952126047E12)</f>
        <v>1677952126047</v>
      </c>
      <c r="D263" s="15">
        <f>IFERROR(__xludf.DUMMYFUNCTION("""COMPUTED_VALUE"""),0.911486026072382)</f>
        <v>0.9114860261</v>
      </c>
      <c r="E263" s="15">
        <f>IFERROR(__xludf.DUMMYFUNCTION("""COMPUTED_VALUE"""),0.324270011544361)</f>
        <v>0.3242700115</v>
      </c>
      <c r="F263" s="15">
        <f>IFERROR(__xludf.DUMMYFUNCTION("""COMPUTED_VALUE"""),0.0442491753286359)</f>
        <v>0.04424917533</v>
      </c>
      <c r="G263" s="15">
        <f>IFERROR(__xludf.DUMMYFUNCTION("""COMPUTED_VALUE"""),-0.24916700096628)</f>
        <v>-0.249167001</v>
      </c>
      <c r="H263" s="15">
        <f t="shared" si="1"/>
        <v>25934</v>
      </c>
    </row>
    <row r="264">
      <c r="B264" s="15">
        <f>IFERROR(__xludf.DUMMYFUNCTION("""COMPUTED_VALUE"""),26.2)</f>
        <v>26.2</v>
      </c>
      <c r="C264" s="15">
        <f>IFERROR(__xludf.DUMMYFUNCTION("""COMPUTED_VALUE"""),1.677952126143E12)</f>
        <v>1677952126143</v>
      </c>
      <c r="D264" s="15">
        <f>IFERROR(__xludf.DUMMYFUNCTION("""COMPUTED_VALUE"""),0.911486026072382)</f>
        <v>0.9114860261</v>
      </c>
      <c r="E264" s="15">
        <f>IFERROR(__xludf.DUMMYFUNCTION("""COMPUTED_VALUE"""),0.324270011544361)</f>
        <v>0.3242700115</v>
      </c>
      <c r="F264" s="15">
        <f>IFERROR(__xludf.DUMMYFUNCTION("""COMPUTED_VALUE"""),0.0442491753286359)</f>
        <v>0.04424917533</v>
      </c>
      <c r="G264" s="15">
        <f>IFERROR(__xludf.DUMMYFUNCTION("""COMPUTED_VALUE"""),-0.24916700096628)</f>
        <v>-0.249167001</v>
      </c>
      <c r="H264" s="15">
        <f t="shared" si="1"/>
        <v>26030</v>
      </c>
    </row>
    <row r="265">
      <c r="B265" s="15">
        <f>IFERROR(__xludf.DUMMYFUNCTION("""COMPUTED_VALUE"""),26.3)</f>
        <v>26.3</v>
      </c>
      <c r="C265" s="15">
        <f>IFERROR(__xludf.DUMMYFUNCTION("""COMPUTED_VALUE"""),1.677952126243E12)</f>
        <v>1677952126243</v>
      </c>
      <c r="D265" s="15">
        <f>IFERROR(__xludf.DUMMYFUNCTION("""COMPUTED_VALUE"""),0.911486026072382)</f>
        <v>0.9114860261</v>
      </c>
      <c r="E265" s="15">
        <f>IFERROR(__xludf.DUMMYFUNCTION("""COMPUTED_VALUE"""),0.324270011544361)</f>
        <v>0.3242700115</v>
      </c>
      <c r="F265" s="15">
        <f>IFERROR(__xludf.DUMMYFUNCTION("""COMPUTED_VALUE"""),0.0442491753286359)</f>
        <v>0.04424917533</v>
      </c>
      <c r="G265" s="15">
        <f>IFERROR(__xludf.DUMMYFUNCTION("""COMPUTED_VALUE"""),-0.24916700096628)</f>
        <v>-0.249167001</v>
      </c>
      <c r="H265" s="15">
        <f t="shared" si="1"/>
        <v>26130</v>
      </c>
    </row>
    <row r="266">
      <c r="B266" s="15">
        <f>IFERROR(__xludf.DUMMYFUNCTION("""COMPUTED_VALUE"""),26.4)</f>
        <v>26.4</v>
      </c>
      <c r="C266" s="15">
        <f>IFERROR(__xludf.DUMMYFUNCTION("""COMPUTED_VALUE"""),1.677952126497E12)</f>
        <v>1677952126497</v>
      </c>
      <c r="D266" s="15">
        <f>IFERROR(__xludf.DUMMYFUNCTION("""COMPUTED_VALUE"""),0.69545416713399)</f>
        <v>0.6954541671</v>
      </c>
      <c r="E266" s="15">
        <f>IFERROR(__xludf.DUMMYFUNCTION("""COMPUTED_VALUE"""),0.163937430620472)</f>
        <v>0.1639374306</v>
      </c>
      <c r="F266" s="15">
        <f>IFERROR(__xludf.DUMMYFUNCTION("""COMPUTED_VALUE"""),-0.488441930577075)</f>
        <v>-0.4884419306</v>
      </c>
      <c r="G266" s="15">
        <f>IFERROR(__xludf.DUMMYFUNCTION("""COMPUTED_VALUE"""),0.500891705572835)</f>
        <v>0.5008917056</v>
      </c>
      <c r="H266" s="15">
        <f t="shared" si="1"/>
        <v>26384</v>
      </c>
    </row>
    <row r="267">
      <c r="B267" s="15">
        <f>IFERROR(__xludf.DUMMYFUNCTION("""COMPUTED_VALUE"""),26.5)</f>
        <v>26.5</v>
      </c>
      <c r="C267" s="15">
        <f>IFERROR(__xludf.DUMMYFUNCTION("""COMPUTED_VALUE"""),1.677952126506E12)</f>
        <v>1677952126506</v>
      </c>
      <c r="D267" s="15">
        <f>IFERROR(__xludf.DUMMYFUNCTION("""COMPUTED_VALUE"""),0.69545416713399)</f>
        <v>0.6954541671</v>
      </c>
      <c r="E267" s="15">
        <f>IFERROR(__xludf.DUMMYFUNCTION("""COMPUTED_VALUE"""),0.163937430620472)</f>
        <v>0.1639374306</v>
      </c>
      <c r="F267" s="15">
        <f>IFERROR(__xludf.DUMMYFUNCTION("""COMPUTED_VALUE"""),-0.488441930577075)</f>
        <v>-0.4884419306</v>
      </c>
      <c r="G267" s="15">
        <f>IFERROR(__xludf.DUMMYFUNCTION("""COMPUTED_VALUE"""),0.500891705572835)</f>
        <v>0.5008917056</v>
      </c>
      <c r="H267" s="15">
        <f t="shared" si="1"/>
        <v>26393</v>
      </c>
    </row>
    <row r="268">
      <c r="B268" s="15">
        <f>IFERROR(__xludf.DUMMYFUNCTION("""COMPUTED_VALUE"""),26.6)</f>
        <v>26.6</v>
      </c>
      <c r="C268" s="15">
        <f>IFERROR(__xludf.DUMMYFUNCTION("""COMPUTED_VALUE"""),1.677952126551E12)</f>
        <v>1677952126551</v>
      </c>
      <c r="D268" s="15">
        <f>IFERROR(__xludf.DUMMYFUNCTION("""COMPUTED_VALUE"""),0.69545416713399)</f>
        <v>0.6954541671</v>
      </c>
      <c r="E268" s="15">
        <f>IFERROR(__xludf.DUMMYFUNCTION("""COMPUTED_VALUE"""),0.163937430620472)</f>
        <v>0.1639374306</v>
      </c>
      <c r="F268" s="15">
        <f>IFERROR(__xludf.DUMMYFUNCTION("""COMPUTED_VALUE"""),-0.488441930577075)</f>
        <v>-0.4884419306</v>
      </c>
      <c r="G268" s="15">
        <f>IFERROR(__xludf.DUMMYFUNCTION("""COMPUTED_VALUE"""),0.500891705572835)</f>
        <v>0.5008917056</v>
      </c>
      <c r="H268" s="15">
        <f t="shared" si="1"/>
        <v>26438</v>
      </c>
    </row>
    <row r="269">
      <c r="B269" s="15">
        <f>IFERROR(__xludf.DUMMYFUNCTION("""COMPUTED_VALUE"""),26.7)</f>
        <v>26.7</v>
      </c>
      <c r="C269" s="15">
        <f>IFERROR(__xludf.DUMMYFUNCTION("""COMPUTED_VALUE"""),1.677952126649E12)</f>
        <v>1677952126649</v>
      </c>
      <c r="D269" s="15">
        <f>IFERROR(__xludf.DUMMYFUNCTION("""COMPUTED_VALUE"""),0.69545416713399)</f>
        <v>0.6954541671</v>
      </c>
      <c r="E269" s="15">
        <f>IFERROR(__xludf.DUMMYFUNCTION("""COMPUTED_VALUE"""),0.163937430620472)</f>
        <v>0.1639374306</v>
      </c>
      <c r="F269" s="15">
        <f>IFERROR(__xludf.DUMMYFUNCTION("""COMPUTED_VALUE"""),-0.488441930577075)</f>
        <v>-0.4884419306</v>
      </c>
      <c r="G269" s="15">
        <f>IFERROR(__xludf.DUMMYFUNCTION("""COMPUTED_VALUE"""),0.500891705572835)</f>
        <v>0.5008917056</v>
      </c>
      <c r="H269" s="15">
        <f t="shared" si="1"/>
        <v>26536</v>
      </c>
    </row>
    <row r="270">
      <c r="B270" s="15">
        <f>IFERROR(__xludf.DUMMYFUNCTION("""COMPUTED_VALUE"""),26.8)</f>
        <v>26.8</v>
      </c>
      <c r="C270" s="15">
        <f>IFERROR(__xludf.DUMMYFUNCTION("""COMPUTED_VALUE"""),1.677952126755E12)</f>
        <v>1677952126755</v>
      </c>
      <c r="D270" s="15">
        <f>IFERROR(__xludf.DUMMYFUNCTION("""COMPUTED_VALUE"""),0.69545416713399)</f>
        <v>0.6954541671</v>
      </c>
      <c r="E270" s="15">
        <f>IFERROR(__xludf.DUMMYFUNCTION("""COMPUTED_VALUE"""),0.163937430620472)</f>
        <v>0.1639374306</v>
      </c>
      <c r="F270" s="15">
        <f>IFERROR(__xludf.DUMMYFUNCTION("""COMPUTED_VALUE"""),-0.488441930577075)</f>
        <v>-0.4884419306</v>
      </c>
      <c r="G270" s="15">
        <f>IFERROR(__xludf.DUMMYFUNCTION("""COMPUTED_VALUE"""),0.500891705572835)</f>
        <v>0.5008917056</v>
      </c>
      <c r="H270" s="15">
        <f t="shared" si="1"/>
        <v>26642</v>
      </c>
    </row>
    <row r="271">
      <c r="B271" s="15">
        <f>IFERROR(__xludf.DUMMYFUNCTION("""COMPUTED_VALUE"""),26.9)</f>
        <v>26.9</v>
      </c>
      <c r="C271" s="15">
        <f>IFERROR(__xludf.DUMMYFUNCTION("""COMPUTED_VALUE"""),1.67795212685E12)</f>
        <v>1677952126850</v>
      </c>
      <c r="D271" s="15">
        <f>IFERROR(__xludf.DUMMYFUNCTION("""COMPUTED_VALUE"""),0.69545416713399)</f>
        <v>0.6954541671</v>
      </c>
      <c r="E271" s="15">
        <f>IFERROR(__xludf.DUMMYFUNCTION("""COMPUTED_VALUE"""),0.163937430620472)</f>
        <v>0.1639374306</v>
      </c>
      <c r="F271" s="15">
        <f>IFERROR(__xludf.DUMMYFUNCTION("""COMPUTED_VALUE"""),-0.488441930577075)</f>
        <v>-0.4884419306</v>
      </c>
      <c r="G271" s="15">
        <f>IFERROR(__xludf.DUMMYFUNCTION("""COMPUTED_VALUE"""),0.500891705572835)</f>
        <v>0.5008917056</v>
      </c>
      <c r="H271" s="15">
        <f t="shared" si="1"/>
        <v>26737</v>
      </c>
    </row>
    <row r="272">
      <c r="B272" s="15">
        <f>IFERROR(__xludf.DUMMYFUNCTION("""COMPUTED_VALUE"""),27.0)</f>
        <v>27</v>
      </c>
      <c r="C272" s="15">
        <f>IFERROR(__xludf.DUMMYFUNCTION("""COMPUTED_VALUE"""),1.677952127085E12)</f>
        <v>1677952127085</v>
      </c>
      <c r="D272" s="15">
        <f>IFERROR(__xludf.DUMMYFUNCTION("""COMPUTED_VALUE"""),0.690609884683333)</f>
        <v>0.6906098847</v>
      </c>
      <c r="E272" s="15">
        <f>IFERROR(__xludf.DUMMYFUNCTION("""COMPUTED_VALUE"""),0.199799573994354)</f>
        <v>0.199799574</v>
      </c>
      <c r="F272" s="15">
        <f>IFERROR(__xludf.DUMMYFUNCTION("""COMPUTED_VALUE"""),-0.438700442775949)</f>
        <v>-0.4387004428</v>
      </c>
      <c r="G272" s="15">
        <f>IFERROR(__xludf.DUMMYFUNCTION("""COMPUTED_VALUE"""),0.539147511278251)</f>
        <v>0.5391475113</v>
      </c>
      <c r="H272" s="15">
        <f t="shared" si="1"/>
        <v>26972</v>
      </c>
    </row>
    <row r="273">
      <c r="B273" s="15">
        <f>IFERROR(__xludf.DUMMYFUNCTION("""COMPUTED_VALUE"""),27.1)</f>
        <v>27.1</v>
      </c>
      <c r="C273" s="15">
        <f>IFERROR(__xludf.DUMMYFUNCTION("""COMPUTED_VALUE"""),1.677952127095E12)</f>
        <v>1677952127095</v>
      </c>
      <c r="D273" s="15">
        <f>IFERROR(__xludf.DUMMYFUNCTION("""COMPUTED_VALUE"""),0.690609884683333)</f>
        <v>0.6906098847</v>
      </c>
      <c r="E273" s="15">
        <f>IFERROR(__xludf.DUMMYFUNCTION("""COMPUTED_VALUE"""),0.199799573994354)</f>
        <v>0.199799574</v>
      </c>
      <c r="F273" s="15">
        <f>IFERROR(__xludf.DUMMYFUNCTION("""COMPUTED_VALUE"""),-0.438700442775949)</f>
        <v>-0.4387004428</v>
      </c>
      <c r="G273" s="15">
        <f>IFERROR(__xludf.DUMMYFUNCTION("""COMPUTED_VALUE"""),0.539147511278251)</f>
        <v>0.5391475113</v>
      </c>
      <c r="H273" s="15">
        <f t="shared" si="1"/>
        <v>26982</v>
      </c>
    </row>
    <row r="274">
      <c r="B274" s="15">
        <f>IFERROR(__xludf.DUMMYFUNCTION("""COMPUTED_VALUE"""),27.2)</f>
        <v>27.2</v>
      </c>
      <c r="C274" s="15">
        <f>IFERROR(__xludf.DUMMYFUNCTION("""COMPUTED_VALUE"""),1.677952127152E12)</f>
        <v>1677952127152</v>
      </c>
      <c r="D274" s="15">
        <f>IFERROR(__xludf.DUMMYFUNCTION("""COMPUTED_VALUE"""),0.690609884683333)</f>
        <v>0.6906098847</v>
      </c>
      <c r="E274" s="15">
        <f>IFERROR(__xludf.DUMMYFUNCTION("""COMPUTED_VALUE"""),0.199799573994354)</f>
        <v>0.199799574</v>
      </c>
      <c r="F274" s="15">
        <f>IFERROR(__xludf.DUMMYFUNCTION("""COMPUTED_VALUE"""),-0.438700442775949)</f>
        <v>-0.4387004428</v>
      </c>
      <c r="G274" s="15">
        <f>IFERROR(__xludf.DUMMYFUNCTION("""COMPUTED_VALUE"""),0.539147511278251)</f>
        <v>0.5391475113</v>
      </c>
      <c r="H274" s="15">
        <f t="shared" si="1"/>
        <v>27039</v>
      </c>
    </row>
    <row r="275">
      <c r="B275" s="15">
        <f>IFERROR(__xludf.DUMMYFUNCTION("""COMPUTED_VALUE"""),27.3)</f>
        <v>27.3</v>
      </c>
      <c r="C275" s="15">
        <f>IFERROR(__xludf.DUMMYFUNCTION("""COMPUTED_VALUE"""),1.677952127251E12)</f>
        <v>1677952127251</v>
      </c>
      <c r="D275" s="15">
        <f>IFERROR(__xludf.DUMMYFUNCTION("""COMPUTED_VALUE"""),0.690609884683333)</f>
        <v>0.6906098847</v>
      </c>
      <c r="E275" s="15">
        <f>IFERROR(__xludf.DUMMYFUNCTION("""COMPUTED_VALUE"""),0.199799573994354)</f>
        <v>0.199799574</v>
      </c>
      <c r="F275" s="15">
        <f>IFERROR(__xludf.DUMMYFUNCTION("""COMPUTED_VALUE"""),-0.438700442775949)</f>
        <v>-0.4387004428</v>
      </c>
      <c r="G275" s="15">
        <f>IFERROR(__xludf.DUMMYFUNCTION("""COMPUTED_VALUE"""),0.539147511278251)</f>
        <v>0.5391475113</v>
      </c>
      <c r="H275" s="15">
        <f t="shared" si="1"/>
        <v>27138</v>
      </c>
    </row>
    <row r="276">
      <c r="B276" s="15">
        <f>IFERROR(__xludf.DUMMYFUNCTION("""COMPUTED_VALUE"""),27.4)</f>
        <v>27.4</v>
      </c>
      <c r="C276" s="15">
        <f>IFERROR(__xludf.DUMMYFUNCTION("""COMPUTED_VALUE"""),1.677952127352E12)</f>
        <v>1677952127352</v>
      </c>
      <c r="D276" s="15">
        <f>IFERROR(__xludf.DUMMYFUNCTION("""COMPUTED_VALUE"""),0.690609884683333)</f>
        <v>0.6906098847</v>
      </c>
      <c r="E276" s="15">
        <f>IFERROR(__xludf.DUMMYFUNCTION("""COMPUTED_VALUE"""),0.199799573994354)</f>
        <v>0.199799574</v>
      </c>
      <c r="F276" s="15">
        <f>IFERROR(__xludf.DUMMYFUNCTION("""COMPUTED_VALUE"""),-0.438700442775949)</f>
        <v>-0.4387004428</v>
      </c>
      <c r="G276" s="15">
        <f>IFERROR(__xludf.DUMMYFUNCTION("""COMPUTED_VALUE"""),0.539147511278251)</f>
        <v>0.5391475113</v>
      </c>
      <c r="H276" s="15">
        <f t="shared" si="1"/>
        <v>27239</v>
      </c>
    </row>
    <row r="277">
      <c r="B277" s="15">
        <f>IFERROR(__xludf.DUMMYFUNCTION("""COMPUTED_VALUE"""),27.5)</f>
        <v>27.5</v>
      </c>
      <c r="C277" s="15">
        <f>IFERROR(__xludf.DUMMYFUNCTION("""COMPUTED_VALUE"""),1.677952127448E12)</f>
        <v>1677952127448</v>
      </c>
      <c r="D277" s="15">
        <f>IFERROR(__xludf.DUMMYFUNCTION("""COMPUTED_VALUE"""),0.690609884683333)</f>
        <v>0.6906098847</v>
      </c>
      <c r="E277" s="15">
        <f>IFERROR(__xludf.DUMMYFUNCTION("""COMPUTED_VALUE"""),0.199799573994354)</f>
        <v>0.199799574</v>
      </c>
      <c r="F277" s="15">
        <f>IFERROR(__xludf.DUMMYFUNCTION("""COMPUTED_VALUE"""),-0.438700442775949)</f>
        <v>-0.4387004428</v>
      </c>
      <c r="G277" s="15">
        <f>IFERROR(__xludf.DUMMYFUNCTION("""COMPUTED_VALUE"""),0.539147511278251)</f>
        <v>0.5391475113</v>
      </c>
      <c r="H277" s="15">
        <f t="shared" si="1"/>
        <v>27335</v>
      </c>
    </row>
    <row r="278">
      <c r="B278" s="15">
        <f>IFERROR(__xludf.DUMMYFUNCTION("""COMPUTED_VALUE"""),27.6)</f>
        <v>27.6</v>
      </c>
      <c r="C278" s="15">
        <f>IFERROR(__xludf.DUMMYFUNCTION("""COMPUTED_VALUE"""),1.677952127637E12)</f>
        <v>1677952127637</v>
      </c>
      <c r="D278" s="15">
        <f>IFERROR(__xludf.DUMMYFUNCTION("""COMPUTED_VALUE"""),-0.163078348376801)</f>
        <v>-0.1630783484</v>
      </c>
      <c r="E278" s="15">
        <f>IFERROR(__xludf.DUMMYFUNCTION("""COMPUTED_VALUE"""),-0.148210747773462)</f>
        <v>-0.1482107478</v>
      </c>
      <c r="F278" s="15">
        <f>IFERROR(__xludf.DUMMYFUNCTION("""COMPUTED_VALUE"""),-0.566627968815392)</f>
        <v>-0.5666279688</v>
      </c>
      <c r="G278" s="15">
        <f>IFERROR(__xludf.DUMMYFUNCTION("""COMPUTED_VALUE"""),0.793959552805599)</f>
        <v>0.7939595528</v>
      </c>
      <c r="H278" s="15">
        <f t="shared" si="1"/>
        <v>27524</v>
      </c>
    </row>
    <row r="279">
      <c r="B279" s="15">
        <f>IFERROR(__xludf.DUMMYFUNCTION("""COMPUTED_VALUE"""),27.7)</f>
        <v>27.7</v>
      </c>
      <c r="C279" s="15">
        <f>IFERROR(__xludf.DUMMYFUNCTION("""COMPUTED_VALUE"""),1.677952127647E12)</f>
        <v>1677952127647</v>
      </c>
      <c r="D279" s="15">
        <f>IFERROR(__xludf.DUMMYFUNCTION("""COMPUTED_VALUE"""),-0.163078348376801)</f>
        <v>-0.1630783484</v>
      </c>
      <c r="E279" s="15">
        <f>IFERROR(__xludf.DUMMYFUNCTION("""COMPUTED_VALUE"""),-0.148210747773462)</f>
        <v>-0.1482107478</v>
      </c>
      <c r="F279" s="15">
        <f>IFERROR(__xludf.DUMMYFUNCTION("""COMPUTED_VALUE"""),-0.566627968815392)</f>
        <v>-0.5666279688</v>
      </c>
      <c r="G279" s="15">
        <f>IFERROR(__xludf.DUMMYFUNCTION("""COMPUTED_VALUE"""),0.793959552805599)</f>
        <v>0.7939595528</v>
      </c>
      <c r="H279" s="15">
        <f t="shared" si="1"/>
        <v>27534</v>
      </c>
    </row>
    <row r="280">
      <c r="B280" s="15">
        <f>IFERROR(__xludf.DUMMYFUNCTION("""COMPUTED_VALUE"""),27.8)</f>
        <v>27.8</v>
      </c>
      <c r="C280" s="15">
        <f>IFERROR(__xludf.DUMMYFUNCTION("""COMPUTED_VALUE"""),1.677952127743E12)</f>
        <v>1677952127743</v>
      </c>
      <c r="D280" s="15">
        <f>IFERROR(__xludf.DUMMYFUNCTION("""COMPUTED_VALUE"""),-0.163078348376801)</f>
        <v>-0.1630783484</v>
      </c>
      <c r="E280" s="15">
        <f>IFERROR(__xludf.DUMMYFUNCTION("""COMPUTED_VALUE"""),-0.148210747773462)</f>
        <v>-0.1482107478</v>
      </c>
      <c r="F280" s="15">
        <f>IFERROR(__xludf.DUMMYFUNCTION("""COMPUTED_VALUE"""),-0.566627968815392)</f>
        <v>-0.5666279688</v>
      </c>
      <c r="G280" s="15">
        <f>IFERROR(__xludf.DUMMYFUNCTION("""COMPUTED_VALUE"""),0.793959552805599)</f>
        <v>0.7939595528</v>
      </c>
      <c r="H280" s="15">
        <f t="shared" si="1"/>
        <v>27630</v>
      </c>
    </row>
    <row r="281">
      <c r="B281" s="15">
        <f>IFERROR(__xludf.DUMMYFUNCTION("""COMPUTED_VALUE"""),27.9)</f>
        <v>27.9</v>
      </c>
      <c r="C281" s="15">
        <f>IFERROR(__xludf.DUMMYFUNCTION("""COMPUTED_VALUE"""),1.677952127851E12)</f>
        <v>1677952127851</v>
      </c>
      <c r="D281" s="15">
        <f>IFERROR(__xludf.DUMMYFUNCTION("""COMPUTED_VALUE"""),-0.163078348376801)</f>
        <v>-0.1630783484</v>
      </c>
      <c r="E281" s="15">
        <f>IFERROR(__xludf.DUMMYFUNCTION("""COMPUTED_VALUE"""),-0.148210747773462)</f>
        <v>-0.1482107478</v>
      </c>
      <c r="F281" s="15">
        <f>IFERROR(__xludf.DUMMYFUNCTION("""COMPUTED_VALUE"""),-0.566627968815392)</f>
        <v>-0.5666279688</v>
      </c>
      <c r="G281" s="15">
        <f>IFERROR(__xludf.DUMMYFUNCTION("""COMPUTED_VALUE"""),0.793959552805599)</f>
        <v>0.7939595528</v>
      </c>
      <c r="H281" s="15">
        <f t="shared" si="1"/>
        <v>27738</v>
      </c>
    </row>
    <row r="282">
      <c r="B282" s="15">
        <f>IFERROR(__xludf.DUMMYFUNCTION("""COMPUTED_VALUE"""),28.0)</f>
        <v>28</v>
      </c>
      <c r="C282" s="15">
        <f>IFERROR(__xludf.DUMMYFUNCTION("""COMPUTED_VALUE"""),1.677952127956E12)</f>
        <v>1677952127956</v>
      </c>
      <c r="D282" s="15">
        <f>IFERROR(__xludf.DUMMYFUNCTION("""COMPUTED_VALUE"""),-0.163078348376801)</f>
        <v>-0.1630783484</v>
      </c>
      <c r="E282" s="15">
        <f>IFERROR(__xludf.DUMMYFUNCTION("""COMPUTED_VALUE"""),-0.148210747773462)</f>
        <v>-0.1482107478</v>
      </c>
      <c r="F282" s="15">
        <f>IFERROR(__xludf.DUMMYFUNCTION("""COMPUTED_VALUE"""),-0.566627968815392)</f>
        <v>-0.5666279688</v>
      </c>
      <c r="G282" s="15">
        <f>IFERROR(__xludf.DUMMYFUNCTION("""COMPUTED_VALUE"""),0.793959552805599)</f>
        <v>0.7939595528</v>
      </c>
      <c r="H282" s="15">
        <f t="shared" si="1"/>
        <v>27843</v>
      </c>
    </row>
    <row r="283">
      <c r="B283" s="15">
        <f>IFERROR(__xludf.DUMMYFUNCTION("""COMPUTED_VALUE"""),28.1)</f>
        <v>28.1</v>
      </c>
      <c r="C283" s="15">
        <f>IFERROR(__xludf.DUMMYFUNCTION("""COMPUTED_VALUE"""),1.677952128146E12)</f>
        <v>1677952128146</v>
      </c>
      <c r="D283" s="15">
        <f>IFERROR(__xludf.DUMMYFUNCTION("""COMPUTED_VALUE"""),0.00587108964119007)</f>
        <v>0.005871089641</v>
      </c>
      <c r="E283" s="15">
        <f>IFERROR(__xludf.DUMMYFUNCTION("""COMPUTED_VALUE"""),-0.125656690565851)</f>
        <v>-0.1256566906</v>
      </c>
      <c r="F283" s="15">
        <f>IFERROR(__xludf.DUMMYFUNCTION("""COMPUTED_VALUE"""),-0.568702132703394)</f>
        <v>-0.5687021327</v>
      </c>
      <c r="G283" s="15">
        <f>IFERROR(__xludf.DUMMYFUNCTION("""COMPUTED_VALUE"""),0.812867646472088)</f>
        <v>0.8128676465</v>
      </c>
      <c r="H283" s="15">
        <f t="shared" si="1"/>
        <v>28033</v>
      </c>
    </row>
    <row r="284">
      <c r="B284" s="15">
        <f>IFERROR(__xludf.DUMMYFUNCTION("""COMPUTED_VALUE"""),28.2)</f>
        <v>28.2</v>
      </c>
      <c r="C284" s="15">
        <f>IFERROR(__xludf.DUMMYFUNCTION("""COMPUTED_VALUE"""),1.677952128154E12)</f>
        <v>1677952128154</v>
      </c>
      <c r="D284" s="15">
        <f>IFERROR(__xludf.DUMMYFUNCTION("""COMPUTED_VALUE"""),0.00587108964119007)</f>
        <v>0.005871089641</v>
      </c>
      <c r="E284" s="15">
        <f>IFERROR(__xludf.DUMMYFUNCTION("""COMPUTED_VALUE"""),-0.125656690565851)</f>
        <v>-0.1256566906</v>
      </c>
      <c r="F284" s="15">
        <f>IFERROR(__xludf.DUMMYFUNCTION("""COMPUTED_VALUE"""),-0.568702132703394)</f>
        <v>-0.5687021327</v>
      </c>
      <c r="G284" s="15">
        <f>IFERROR(__xludf.DUMMYFUNCTION("""COMPUTED_VALUE"""),0.812867646472088)</f>
        <v>0.8128676465</v>
      </c>
      <c r="H284" s="15">
        <f t="shared" si="1"/>
        <v>28041</v>
      </c>
    </row>
    <row r="285">
      <c r="B285" s="15">
        <f>IFERROR(__xludf.DUMMYFUNCTION("""COMPUTED_VALUE"""),28.3)</f>
        <v>28.3</v>
      </c>
      <c r="C285" s="15">
        <f>IFERROR(__xludf.DUMMYFUNCTION("""COMPUTED_VALUE"""),1.677952128247E12)</f>
        <v>1677952128247</v>
      </c>
      <c r="D285" s="15">
        <f>IFERROR(__xludf.DUMMYFUNCTION("""COMPUTED_VALUE"""),0.00587108964119007)</f>
        <v>0.005871089641</v>
      </c>
      <c r="E285" s="15">
        <f>IFERROR(__xludf.DUMMYFUNCTION("""COMPUTED_VALUE"""),-0.125656690565851)</f>
        <v>-0.1256566906</v>
      </c>
      <c r="F285" s="15">
        <f>IFERROR(__xludf.DUMMYFUNCTION("""COMPUTED_VALUE"""),-0.568702132703394)</f>
        <v>-0.5687021327</v>
      </c>
      <c r="G285" s="15">
        <f>IFERROR(__xludf.DUMMYFUNCTION("""COMPUTED_VALUE"""),0.812867646472088)</f>
        <v>0.8128676465</v>
      </c>
      <c r="H285" s="15">
        <f t="shared" si="1"/>
        <v>28134</v>
      </c>
    </row>
    <row r="286">
      <c r="B286" s="15">
        <f>IFERROR(__xludf.DUMMYFUNCTION("""COMPUTED_VALUE"""),28.4)</f>
        <v>28.4</v>
      </c>
      <c r="C286" s="15">
        <f>IFERROR(__xludf.DUMMYFUNCTION("""COMPUTED_VALUE"""),1.677952128347E12)</f>
        <v>1677952128347</v>
      </c>
      <c r="D286" s="15">
        <f>IFERROR(__xludf.DUMMYFUNCTION("""COMPUTED_VALUE"""),0.00587108964119007)</f>
        <v>0.005871089641</v>
      </c>
      <c r="E286" s="15">
        <f>IFERROR(__xludf.DUMMYFUNCTION("""COMPUTED_VALUE"""),-0.125656690565851)</f>
        <v>-0.1256566906</v>
      </c>
      <c r="F286" s="15">
        <f>IFERROR(__xludf.DUMMYFUNCTION("""COMPUTED_VALUE"""),-0.568702132703394)</f>
        <v>-0.5687021327</v>
      </c>
      <c r="G286" s="15">
        <f>IFERROR(__xludf.DUMMYFUNCTION("""COMPUTED_VALUE"""),0.812867646472088)</f>
        <v>0.8128676465</v>
      </c>
      <c r="H286" s="15">
        <f t="shared" si="1"/>
        <v>28234</v>
      </c>
    </row>
    <row r="287">
      <c r="B287" s="15">
        <f>IFERROR(__xludf.DUMMYFUNCTION("""COMPUTED_VALUE"""),28.5)</f>
        <v>28.5</v>
      </c>
      <c r="C287" s="15">
        <f>IFERROR(__xludf.DUMMYFUNCTION("""COMPUTED_VALUE"""),1.677952128459E12)</f>
        <v>1677952128459</v>
      </c>
      <c r="D287" s="15">
        <f>IFERROR(__xludf.DUMMYFUNCTION("""COMPUTED_VALUE"""),0.00587108964119007)</f>
        <v>0.005871089641</v>
      </c>
      <c r="E287" s="15">
        <f>IFERROR(__xludf.DUMMYFUNCTION("""COMPUTED_VALUE"""),-0.125656690565851)</f>
        <v>-0.1256566906</v>
      </c>
      <c r="F287" s="15">
        <f>IFERROR(__xludf.DUMMYFUNCTION("""COMPUTED_VALUE"""),-0.568702132703394)</f>
        <v>-0.5687021327</v>
      </c>
      <c r="G287" s="15">
        <f>IFERROR(__xludf.DUMMYFUNCTION("""COMPUTED_VALUE"""),0.812867646472088)</f>
        <v>0.8128676465</v>
      </c>
      <c r="H287" s="15">
        <f t="shared" si="1"/>
        <v>28346</v>
      </c>
    </row>
    <row r="288">
      <c r="B288" s="15">
        <f>IFERROR(__xludf.DUMMYFUNCTION("""COMPUTED_VALUE"""),28.6)</f>
        <v>28.6</v>
      </c>
      <c r="C288" s="15">
        <f>IFERROR(__xludf.DUMMYFUNCTION("""COMPUTED_VALUE"""),1.677952128555E12)</f>
        <v>1677952128555</v>
      </c>
      <c r="D288" s="15">
        <f>IFERROR(__xludf.DUMMYFUNCTION("""COMPUTED_VALUE"""),0.00587108964119007)</f>
        <v>0.005871089641</v>
      </c>
      <c r="E288" s="15">
        <f>IFERROR(__xludf.DUMMYFUNCTION("""COMPUTED_VALUE"""),-0.125656690565851)</f>
        <v>-0.1256566906</v>
      </c>
      <c r="F288" s="15">
        <f>IFERROR(__xludf.DUMMYFUNCTION("""COMPUTED_VALUE"""),-0.568702132703394)</f>
        <v>-0.5687021327</v>
      </c>
      <c r="G288" s="15">
        <f>IFERROR(__xludf.DUMMYFUNCTION("""COMPUTED_VALUE"""),0.812867646472088)</f>
        <v>0.8128676465</v>
      </c>
      <c r="H288" s="15">
        <f t="shared" si="1"/>
        <v>28442</v>
      </c>
    </row>
    <row r="289">
      <c r="B289" s="15">
        <f>IFERROR(__xludf.DUMMYFUNCTION("""COMPUTED_VALUE"""),28.7)</f>
        <v>28.7</v>
      </c>
      <c r="C289" s="15">
        <f>IFERROR(__xludf.DUMMYFUNCTION("""COMPUTED_VALUE"""),1.677952128656E12)</f>
        <v>1677952128656</v>
      </c>
      <c r="D289" s="15">
        <f>IFERROR(__xludf.DUMMYFUNCTION("""COMPUTED_VALUE"""),0.00587108964119007)</f>
        <v>0.005871089641</v>
      </c>
      <c r="E289" s="15">
        <f>IFERROR(__xludf.DUMMYFUNCTION("""COMPUTED_VALUE"""),-0.125656690565851)</f>
        <v>-0.1256566906</v>
      </c>
      <c r="F289" s="15">
        <f>IFERROR(__xludf.DUMMYFUNCTION("""COMPUTED_VALUE"""),-0.568702132703394)</f>
        <v>-0.5687021327</v>
      </c>
      <c r="G289" s="15">
        <f>IFERROR(__xludf.DUMMYFUNCTION("""COMPUTED_VALUE"""),0.812867646472088)</f>
        <v>0.8128676465</v>
      </c>
      <c r="H289" s="15">
        <f t="shared" si="1"/>
        <v>28543</v>
      </c>
    </row>
    <row r="290">
      <c r="B290" s="15">
        <f>IFERROR(__xludf.DUMMYFUNCTION("""COMPUTED_VALUE"""),28.8)</f>
        <v>28.8</v>
      </c>
      <c r="C290" s="15">
        <f>IFERROR(__xludf.DUMMYFUNCTION("""COMPUTED_VALUE"""),1.677952128823E12)</f>
        <v>1677952128823</v>
      </c>
      <c r="D290" s="15">
        <f>IFERROR(__xludf.DUMMYFUNCTION("""COMPUTED_VALUE"""),0.767861112030159)</f>
        <v>0.767861112</v>
      </c>
      <c r="E290" s="15">
        <f>IFERROR(__xludf.DUMMYFUNCTION("""COMPUTED_VALUE"""),0.298660425882462)</f>
        <v>0.2986604259</v>
      </c>
      <c r="F290" s="15">
        <f>IFERROR(__xludf.DUMMYFUNCTION("""COMPUTED_VALUE"""),0.234226663724686)</f>
        <v>0.2342266637</v>
      </c>
      <c r="G290" s="15">
        <f>IFERROR(__xludf.DUMMYFUNCTION("""COMPUTED_VALUE"""),-0.516070860099573)</f>
        <v>-0.5160708601</v>
      </c>
      <c r="H290" s="15">
        <f t="shared" si="1"/>
        <v>28710</v>
      </c>
    </row>
    <row r="291">
      <c r="B291" s="15">
        <f>IFERROR(__xludf.DUMMYFUNCTION("""COMPUTED_VALUE"""),28.9)</f>
        <v>28.9</v>
      </c>
      <c r="C291" s="15">
        <f>IFERROR(__xludf.DUMMYFUNCTION("""COMPUTED_VALUE"""),1.677952128847E12)</f>
        <v>1677952128847</v>
      </c>
      <c r="D291" s="15">
        <f>IFERROR(__xludf.DUMMYFUNCTION("""COMPUTED_VALUE"""),0.767861112030159)</f>
        <v>0.767861112</v>
      </c>
      <c r="E291" s="15">
        <f>IFERROR(__xludf.DUMMYFUNCTION("""COMPUTED_VALUE"""),0.298660425882462)</f>
        <v>0.2986604259</v>
      </c>
      <c r="F291" s="15">
        <f>IFERROR(__xludf.DUMMYFUNCTION("""COMPUTED_VALUE"""),0.234226663724686)</f>
        <v>0.2342266637</v>
      </c>
      <c r="G291" s="15">
        <f>IFERROR(__xludf.DUMMYFUNCTION("""COMPUTED_VALUE"""),-0.516070860099573)</f>
        <v>-0.5160708601</v>
      </c>
      <c r="H291" s="15">
        <f t="shared" si="1"/>
        <v>28734</v>
      </c>
    </row>
    <row r="292">
      <c r="B292" s="15">
        <f>IFERROR(__xludf.DUMMYFUNCTION("""COMPUTED_VALUE"""),29.0)</f>
        <v>29</v>
      </c>
      <c r="C292" s="15">
        <f>IFERROR(__xludf.DUMMYFUNCTION("""COMPUTED_VALUE"""),1.677952128945E12)</f>
        <v>1677952128945</v>
      </c>
      <c r="D292" s="15">
        <f>IFERROR(__xludf.DUMMYFUNCTION("""COMPUTED_VALUE"""),0.767861112030159)</f>
        <v>0.767861112</v>
      </c>
      <c r="E292" s="15">
        <f>IFERROR(__xludf.DUMMYFUNCTION("""COMPUTED_VALUE"""),0.298660425882462)</f>
        <v>0.2986604259</v>
      </c>
      <c r="F292" s="15">
        <f>IFERROR(__xludf.DUMMYFUNCTION("""COMPUTED_VALUE"""),0.234226663724686)</f>
        <v>0.2342266637</v>
      </c>
      <c r="G292" s="15">
        <f>IFERROR(__xludf.DUMMYFUNCTION("""COMPUTED_VALUE"""),-0.516070860099573)</f>
        <v>-0.5160708601</v>
      </c>
      <c r="H292" s="15">
        <f t="shared" si="1"/>
        <v>28832</v>
      </c>
    </row>
    <row r="293">
      <c r="B293" s="15">
        <f>IFERROR(__xludf.DUMMYFUNCTION("""COMPUTED_VALUE"""),29.1)</f>
        <v>29.1</v>
      </c>
      <c r="C293" s="15">
        <f>IFERROR(__xludf.DUMMYFUNCTION("""COMPUTED_VALUE"""),1.677952129051E12)</f>
        <v>1677952129051</v>
      </c>
      <c r="D293" s="15">
        <f>IFERROR(__xludf.DUMMYFUNCTION("""COMPUTED_VALUE"""),0.767861112030159)</f>
        <v>0.767861112</v>
      </c>
      <c r="E293" s="15">
        <f>IFERROR(__xludf.DUMMYFUNCTION("""COMPUTED_VALUE"""),0.298660425882462)</f>
        <v>0.2986604259</v>
      </c>
      <c r="F293" s="15">
        <f>IFERROR(__xludf.DUMMYFUNCTION("""COMPUTED_VALUE"""),0.234226663724686)</f>
        <v>0.2342266637</v>
      </c>
      <c r="G293" s="15">
        <f>IFERROR(__xludf.DUMMYFUNCTION("""COMPUTED_VALUE"""),-0.516070860099573)</f>
        <v>-0.5160708601</v>
      </c>
      <c r="H293" s="15">
        <f t="shared" si="1"/>
        <v>28938</v>
      </c>
    </row>
    <row r="294">
      <c r="B294" s="15">
        <f>IFERROR(__xludf.DUMMYFUNCTION("""COMPUTED_VALUE"""),29.2)</f>
        <v>29.2</v>
      </c>
      <c r="C294" s="15">
        <f>IFERROR(__xludf.DUMMYFUNCTION("""COMPUTED_VALUE"""),1.677952129155E12)</f>
        <v>1677952129155</v>
      </c>
      <c r="D294" s="15">
        <f>IFERROR(__xludf.DUMMYFUNCTION("""COMPUTED_VALUE"""),0.767861112030159)</f>
        <v>0.767861112</v>
      </c>
      <c r="E294" s="15">
        <f>IFERROR(__xludf.DUMMYFUNCTION("""COMPUTED_VALUE"""),0.298660425882462)</f>
        <v>0.2986604259</v>
      </c>
      <c r="F294" s="15">
        <f>IFERROR(__xludf.DUMMYFUNCTION("""COMPUTED_VALUE"""),0.234226663724686)</f>
        <v>0.2342266637</v>
      </c>
      <c r="G294" s="15">
        <f>IFERROR(__xludf.DUMMYFUNCTION("""COMPUTED_VALUE"""),-0.516070860099573)</f>
        <v>-0.5160708601</v>
      </c>
      <c r="H294" s="15">
        <f t="shared" si="1"/>
        <v>29042</v>
      </c>
    </row>
    <row r="295">
      <c r="B295" s="15">
        <f>IFERROR(__xludf.DUMMYFUNCTION("""COMPUTED_VALUE"""),29.3)</f>
        <v>29.3</v>
      </c>
      <c r="C295" s="15">
        <f>IFERROR(__xludf.DUMMYFUNCTION("""COMPUTED_VALUE"""),1.677952129251E12)</f>
        <v>1677952129251</v>
      </c>
      <c r="D295" s="15">
        <f>IFERROR(__xludf.DUMMYFUNCTION("""COMPUTED_VALUE"""),0.767861112030159)</f>
        <v>0.767861112</v>
      </c>
      <c r="E295" s="15">
        <f>IFERROR(__xludf.DUMMYFUNCTION("""COMPUTED_VALUE"""),0.298660425882462)</f>
        <v>0.2986604259</v>
      </c>
      <c r="F295" s="15">
        <f>IFERROR(__xludf.DUMMYFUNCTION("""COMPUTED_VALUE"""),0.234226663724686)</f>
        <v>0.2342266637</v>
      </c>
      <c r="G295" s="15">
        <f>IFERROR(__xludf.DUMMYFUNCTION("""COMPUTED_VALUE"""),-0.516070860099573)</f>
        <v>-0.5160708601</v>
      </c>
      <c r="H295" s="15">
        <f t="shared" si="1"/>
        <v>29138</v>
      </c>
    </row>
    <row r="296">
      <c r="B296" s="15">
        <f>IFERROR(__xludf.DUMMYFUNCTION("""COMPUTED_VALUE"""),29.4)</f>
        <v>29.4</v>
      </c>
      <c r="C296" s="15">
        <f>IFERROR(__xludf.DUMMYFUNCTION("""COMPUTED_VALUE"""),1.677952129355E12)</f>
        <v>1677952129355</v>
      </c>
      <c r="D296" s="15">
        <f>IFERROR(__xludf.DUMMYFUNCTION("""COMPUTED_VALUE"""),0.767861112030159)</f>
        <v>0.767861112</v>
      </c>
      <c r="E296" s="15">
        <f>IFERROR(__xludf.DUMMYFUNCTION("""COMPUTED_VALUE"""),0.298660425882462)</f>
        <v>0.2986604259</v>
      </c>
      <c r="F296" s="15">
        <f>IFERROR(__xludf.DUMMYFUNCTION("""COMPUTED_VALUE"""),0.234226663724686)</f>
        <v>0.2342266637</v>
      </c>
      <c r="G296" s="15">
        <f>IFERROR(__xludf.DUMMYFUNCTION("""COMPUTED_VALUE"""),-0.516070860099573)</f>
        <v>-0.5160708601</v>
      </c>
      <c r="H296" s="15">
        <f t="shared" si="1"/>
        <v>29242</v>
      </c>
    </row>
    <row r="297">
      <c r="B297" s="15">
        <f>IFERROR(__xludf.DUMMYFUNCTION("""COMPUTED_VALUE"""),29.5)</f>
        <v>29.5</v>
      </c>
      <c r="C297" s="15">
        <f>IFERROR(__xludf.DUMMYFUNCTION("""COMPUTED_VALUE"""),1.677952129449E12)</f>
        <v>1677952129449</v>
      </c>
      <c r="D297" s="15">
        <f>IFERROR(__xludf.DUMMYFUNCTION("""COMPUTED_VALUE"""),0.767861112030159)</f>
        <v>0.767861112</v>
      </c>
      <c r="E297" s="15">
        <f>IFERROR(__xludf.DUMMYFUNCTION("""COMPUTED_VALUE"""),0.298660425882462)</f>
        <v>0.2986604259</v>
      </c>
      <c r="F297" s="15">
        <f>IFERROR(__xludf.DUMMYFUNCTION("""COMPUTED_VALUE"""),0.234226663724686)</f>
        <v>0.2342266637</v>
      </c>
      <c r="G297" s="15">
        <f>IFERROR(__xludf.DUMMYFUNCTION("""COMPUTED_VALUE"""),-0.516070860099573)</f>
        <v>-0.5160708601</v>
      </c>
      <c r="H297" s="15">
        <f t="shared" si="1"/>
        <v>29336</v>
      </c>
    </row>
    <row r="298">
      <c r="B298" s="15">
        <f>IFERROR(__xludf.DUMMYFUNCTION("""COMPUTED_VALUE"""),29.6)</f>
        <v>29.6</v>
      </c>
      <c r="C298" s="15">
        <f>IFERROR(__xludf.DUMMYFUNCTION("""COMPUTED_VALUE"""),1.677952129547E12)</f>
        <v>1677952129547</v>
      </c>
      <c r="D298" s="15">
        <f>IFERROR(__xludf.DUMMYFUNCTION("""COMPUTED_VALUE"""),0.767861112030159)</f>
        <v>0.767861112</v>
      </c>
      <c r="E298" s="15">
        <f>IFERROR(__xludf.DUMMYFUNCTION("""COMPUTED_VALUE"""),0.298660425882462)</f>
        <v>0.2986604259</v>
      </c>
      <c r="F298" s="15">
        <f>IFERROR(__xludf.DUMMYFUNCTION("""COMPUTED_VALUE"""),0.234226663724686)</f>
        <v>0.2342266637</v>
      </c>
      <c r="G298" s="15">
        <f>IFERROR(__xludf.DUMMYFUNCTION("""COMPUTED_VALUE"""),-0.516070860099573)</f>
        <v>-0.5160708601</v>
      </c>
      <c r="H298" s="15">
        <f t="shared" si="1"/>
        <v>29434</v>
      </c>
    </row>
    <row r="299">
      <c r="B299" s="15">
        <f>IFERROR(__xludf.DUMMYFUNCTION("""COMPUTED_VALUE"""),29.7)</f>
        <v>29.7</v>
      </c>
      <c r="C299" s="15">
        <f>IFERROR(__xludf.DUMMYFUNCTION("""COMPUTED_VALUE"""),1.677952129649E12)</f>
        <v>1677952129649</v>
      </c>
      <c r="D299" s="15">
        <f>IFERROR(__xludf.DUMMYFUNCTION("""COMPUTED_VALUE"""),0.767861112030159)</f>
        <v>0.767861112</v>
      </c>
      <c r="E299" s="15">
        <f>IFERROR(__xludf.DUMMYFUNCTION("""COMPUTED_VALUE"""),0.298660425882462)</f>
        <v>0.2986604259</v>
      </c>
      <c r="F299" s="15">
        <f>IFERROR(__xludf.DUMMYFUNCTION("""COMPUTED_VALUE"""),0.234226663724686)</f>
        <v>0.2342266637</v>
      </c>
      <c r="G299" s="15">
        <f>IFERROR(__xludf.DUMMYFUNCTION("""COMPUTED_VALUE"""),-0.516070860099573)</f>
        <v>-0.5160708601</v>
      </c>
      <c r="H299" s="15">
        <f t="shared" si="1"/>
        <v>29536</v>
      </c>
    </row>
    <row r="300">
      <c r="B300" s="15">
        <f>IFERROR(__xludf.DUMMYFUNCTION("""COMPUTED_VALUE"""),29.8)</f>
        <v>29.8</v>
      </c>
      <c r="C300" s="15">
        <f>IFERROR(__xludf.DUMMYFUNCTION("""COMPUTED_VALUE"""),1.67795212975E12)</f>
        <v>1677952129750</v>
      </c>
      <c r="D300" s="15">
        <f>IFERROR(__xludf.DUMMYFUNCTION("""COMPUTED_VALUE"""),0.767861112030159)</f>
        <v>0.767861112</v>
      </c>
      <c r="E300" s="15">
        <f>IFERROR(__xludf.DUMMYFUNCTION("""COMPUTED_VALUE"""),0.298660425882462)</f>
        <v>0.2986604259</v>
      </c>
      <c r="F300" s="15">
        <f>IFERROR(__xludf.DUMMYFUNCTION("""COMPUTED_VALUE"""),0.234226663724686)</f>
        <v>0.2342266637</v>
      </c>
      <c r="G300" s="15">
        <f>IFERROR(__xludf.DUMMYFUNCTION("""COMPUTED_VALUE"""),-0.516070860099573)</f>
        <v>-0.5160708601</v>
      </c>
      <c r="H300" s="15">
        <f t="shared" si="1"/>
        <v>29637</v>
      </c>
    </row>
    <row r="301">
      <c r="B301" s="15">
        <f>IFERROR(__xludf.DUMMYFUNCTION("""COMPUTED_VALUE"""),29.9)</f>
        <v>29.9</v>
      </c>
      <c r="C301" s="15">
        <f>IFERROR(__xludf.DUMMYFUNCTION("""COMPUTED_VALUE"""),1.67795212991E12)</f>
        <v>1677952129910</v>
      </c>
      <c r="D301" s="15">
        <f>IFERROR(__xludf.DUMMYFUNCTION("""COMPUTED_VALUE"""),0.471868238867898)</f>
        <v>0.4718682389</v>
      </c>
      <c r="E301" s="15">
        <f>IFERROR(__xludf.DUMMYFUNCTION("""COMPUTED_VALUE"""),0.0348437879137948)</f>
        <v>0.03484378791</v>
      </c>
      <c r="F301" s="15">
        <f>IFERROR(__xludf.DUMMYFUNCTION("""COMPUTED_VALUE"""),-0.539264836989695)</f>
        <v>-0.539264837</v>
      </c>
      <c r="G301" s="15">
        <f>IFERROR(__xludf.DUMMYFUNCTION("""COMPUTED_VALUE"""),0.696648915292345)</f>
        <v>0.6966489153</v>
      </c>
      <c r="H301" s="15">
        <f t="shared" si="1"/>
        <v>29797</v>
      </c>
    </row>
    <row r="302">
      <c r="B302" s="15">
        <f>IFERROR(__xludf.DUMMYFUNCTION("""COMPUTED_VALUE"""),30.0)</f>
        <v>30</v>
      </c>
      <c r="C302" s="15">
        <f>IFERROR(__xludf.DUMMYFUNCTION("""COMPUTED_VALUE"""),1.677952129943E12)</f>
        <v>1677952129943</v>
      </c>
      <c r="D302" s="15">
        <f>IFERROR(__xludf.DUMMYFUNCTION("""COMPUTED_VALUE"""),0.471868238867898)</f>
        <v>0.4718682389</v>
      </c>
      <c r="E302" s="15">
        <f>IFERROR(__xludf.DUMMYFUNCTION("""COMPUTED_VALUE"""),0.0348437879137948)</f>
        <v>0.03484378791</v>
      </c>
      <c r="F302" s="15">
        <f>IFERROR(__xludf.DUMMYFUNCTION("""COMPUTED_VALUE"""),-0.539264836989695)</f>
        <v>-0.539264837</v>
      </c>
      <c r="G302" s="15">
        <f>IFERROR(__xludf.DUMMYFUNCTION("""COMPUTED_VALUE"""),0.696648915292345)</f>
        <v>0.6966489153</v>
      </c>
      <c r="H302" s="15">
        <f t="shared" si="1"/>
        <v>29830</v>
      </c>
    </row>
    <row r="303">
      <c r="B303" s="15">
        <f>IFERROR(__xludf.DUMMYFUNCTION("""COMPUTED_VALUE"""),30.1)</f>
        <v>30.1</v>
      </c>
      <c r="C303" s="15">
        <f>IFERROR(__xludf.DUMMYFUNCTION("""COMPUTED_VALUE"""),1.677952130047E12)</f>
        <v>1677952130047</v>
      </c>
      <c r="D303" s="15">
        <f>IFERROR(__xludf.DUMMYFUNCTION("""COMPUTED_VALUE"""),0.471868238867898)</f>
        <v>0.4718682389</v>
      </c>
      <c r="E303" s="15">
        <f>IFERROR(__xludf.DUMMYFUNCTION("""COMPUTED_VALUE"""),0.0348437879137948)</f>
        <v>0.03484378791</v>
      </c>
      <c r="F303" s="15">
        <f>IFERROR(__xludf.DUMMYFUNCTION("""COMPUTED_VALUE"""),-0.539264836989695)</f>
        <v>-0.539264837</v>
      </c>
      <c r="G303" s="15">
        <f>IFERROR(__xludf.DUMMYFUNCTION("""COMPUTED_VALUE"""),0.696648915292345)</f>
        <v>0.6966489153</v>
      </c>
      <c r="H303" s="15">
        <f t="shared" si="1"/>
        <v>29934</v>
      </c>
    </row>
    <row r="304">
      <c r="B304" s="15">
        <f>IFERROR(__xludf.DUMMYFUNCTION("""COMPUTED_VALUE"""),30.2)</f>
        <v>30.2</v>
      </c>
      <c r="C304" s="15">
        <f>IFERROR(__xludf.DUMMYFUNCTION("""COMPUTED_VALUE"""),1.677952130143E12)</f>
        <v>1677952130143</v>
      </c>
      <c r="D304" s="15">
        <f>IFERROR(__xludf.DUMMYFUNCTION("""COMPUTED_VALUE"""),0.471868238867898)</f>
        <v>0.4718682389</v>
      </c>
      <c r="E304" s="15">
        <f>IFERROR(__xludf.DUMMYFUNCTION("""COMPUTED_VALUE"""),0.0348437879137948)</f>
        <v>0.03484378791</v>
      </c>
      <c r="F304" s="15">
        <f>IFERROR(__xludf.DUMMYFUNCTION("""COMPUTED_VALUE"""),-0.539264836989695)</f>
        <v>-0.539264837</v>
      </c>
      <c r="G304" s="15">
        <f>IFERROR(__xludf.DUMMYFUNCTION("""COMPUTED_VALUE"""),0.696648915292345)</f>
        <v>0.6966489153</v>
      </c>
      <c r="H304" s="15">
        <f t="shared" si="1"/>
        <v>30030</v>
      </c>
    </row>
    <row r="305">
      <c r="B305" s="15">
        <f>IFERROR(__xludf.DUMMYFUNCTION("""COMPUTED_VALUE"""),30.3)</f>
        <v>30.3</v>
      </c>
      <c r="C305" s="15">
        <f>IFERROR(__xludf.DUMMYFUNCTION("""COMPUTED_VALUE"""),1.677952130247E12)</f>
        <v>1677952130247</v>
      </c>
      <c r="D305" s="15">
        <f>IFERROR(__xludf.DUMMYFUNCTION("""COMPUTED_VALUE"""),0.471868238867898)</f>
        <v>0.4718682389</v>
      </c>
      <c r="E305" s="15">
        <f>IFERROR(__xludf.DUMMYFUNCTION("""COMPUTED_VALUE"""),0.0348437879137948)</f>
        <v>0.03484378791</v>
      </c>
      <c r="F305" s="15">
        <f>IFERROR(__xludf.DUMMYFUNCTION("""COMPUTED_VALUE"""),-0.539264836989695)</f>
        <v>-0.539264837</v>
      </c>
      <c r="G305" s="15">
        <f>IFERROR(__xludf.DUMMYFUNCTION("""COMPUTED_VALUE"""),0.696648915292345)</f>
        <v>0.6966489153</v>
      </c>
      <c r="H305" s="15">
        <f t="shared" si="1"/>
        <v>30134</v>
      </c>
    </row>
    <row r="306">
      <c r="B306" s="15">
        <f>IFERROR(__xludf.DUMMYFUNCTION("""COMPUTED_VALUE"""),30.4)</f>
        <v>30.4</v>
      </c>
      <c r="C306" s="15">
        <f>IFERROR(__xludf.DUMMYFUNCTION("""COMPUTED_VALUE"""),1.677952130352E12)</f>
        <v>1677952130352</v>
      </c>
      <c r="D306" s="15">
        <f>IFERROR(__xludf.DUMMYFUNCTION("""COMPUTED_VALUE"""),0.471868238867898)</f>
        <v>0.4718682389</v>
      </c>
      <c r="E306" s="15">
        <f>IFERROR(__xludf.DUMMYFUNCTION("""COMPUTED_VALUE"""),0.0348437879137948)</f>
        <v>0.03484378791</v>
      </c>
      <c r="F306" s="15">
        <f>IFERROR(__xludf.DUMMYFUNCTION("""COMPUTED_VALUE"""),-0.539264836989695)</f>
        <v>-0.539264837</v>
      </c>
      <c r="G306" s="15">
        <f>IFERROR(__xludf.DUMMYFUNCTION("""COMPUTED_VALUE"""),0.696648915292345)</f>
        <v>0.6966489153</v>
      </c>
      <c r="H306" s="15">
        <f t="shared" si="1"/>
        <v>30239</v>
      </c>
    </row>
    <row r="307">
      <c r="B307" s="15">
        <f>IFERROR(__xludf.DUMMYFUNCTION("""COMPUTED_VALUE"""),30.5)</f>
        <v>30.5</v>
      </c>
      <c r="C307" s="15">
        <f>IFERROR(__xludf.DUMMYFUNCTION("""COMPUTED_VALUE"""),1.677952130447E12)</f>
        <v>1677952130447</v>
      </c>
      <c r="D307" s="15">
        <f>IFERROR(__xludf.DUMMYFUNCTION("""COMPUTED_VALUE"""),0.471868238867898)</f>
        <v>0.4718682389</v>
      </c>
      <c r="E307" s="15">
        <f>IFERROR(__xludf.DUMMYFUNCTION("""COMPUTED_VALUE"""),0.0348437879137948)</f>
        <v>0.03484378791</v>
      </c>
      <c r="F307" s="15">
        <f>IFERROR(__xludf.DUMMYFUNCTION("""COMPUTED_VALUE"""),-0.539264836989695)</f>
        <v>-0.539264837</v>
      </c>
      <c r="G307" s="15">
        <f>IFERROR(__xludf.DUMMYFUNCTION("""COMPUTED_VALUE"""),0.696648915292345)</f>
        <v>0.6966489153</v>
      </c>
      <c r="H307" s="15">
        <f t="shared" si="1"/>
        <v>30334</v>
      </c>
    </row>
    <row r="308">
      <c r="B308" s="15">
        <f>IFERROR(__xludf.DUMMYFUNCTION("""COMPUTED_VALUE"""),30.6)</f>
        <v>30.6</v>
      </c>
      <c r="C308" s="15">
        <f>IFERROR(__xludf.DUMMYFUNCTION("""COMPUTED_VALUE"""),1.67795213055E12)</f>
        <v>1677952130550</v>
      </c>
      <c r="D308" s="15">
        <f>IFERROR(__xludf.DUMMYFUNCTION("""COMPUTED_VALUE"""),0.471868238867898)</f>
        <v>0.4718682389</v>
      </c>
      <c r="E308" s="15">
        <f>IFERROR(__xludf.DUMMYFUNCTION("""COMPUTED_VALUE"""),0.0348437879137948)</f>
        <v>0.03484378791</v>
      </c>
      <c r="F308" s="15">
        <f>IFERROR(__xludf.DUMMYFUNCTION("""COMPUTED_VALUE"""),-0.539264836989695)</f>
        <v>-0.539264837</v>
      </c>
      <c r="G308" s="15">
        <f>IFERROR(__xludf.DUMMYFUNCTION("""COMPUTED_VALUE"""),0.696648915292345)</f>
        <v>0.6966489153</v>
      </c>
      <c r="H308" s="15">
        <f t="shared" si="1"/>
        <v>30437</v>
      </c>
    </row>
    <row r="309">
      <c r="B309" s="15">
        <f>IFERROR(__xludf.DUMMYFUNCTION("""COMPUTED_VALUE"""),30.7)</f>
        <v>30.7</v>
      </c>
      <c r="C309" s="15">
        <f>IFERROR(__xludf.DUMMYFUNCTION("""COMPUTED_VALUE"""),1.677952130647E12)</f>
        <v>1677952130647</v>
      </c>
      <c r="D309" s="15">
        <f>IFERROR(__xludf.DUMMYFUNCTION("""COMPUTED_VALUE"""),0.471868238867898)</f>
        <v>0.4718682389</v>
      </c>
      <c r="E309" s="15">
        <f>IFERROR(__xludf.DUMMYFUNCTION("""COMPUTED_VALUE"""),0.0348437879137948)</f>
        <v>0.03484378791</v>
      </c>
      <c r="F309" s="15">
        <f>IFERROR(__xludf.DUMMYFUNCTION("""COMPUTED_VALUE"""),-0.539264836989695)</f>
        <v>-0.539264837</v>
      </c>
      <c r="G309" s="15">
        <f>IFERROR(__xludf.DUMMYFUNCTION("""COMPUTED_VALUE"""),0.696648915292345)</f>
        <v>0.6966489153</v>
      </c>
      <c r="H309" s="15">
        <f t="shared" si="1"/>
        <v>30534</v>
      </c>
    </row>
    <row r="310">
      <c r="B310" s="15">
        <f>IFERROR(__xludf.DUMMYFUNCTION("""COMPUTED_VALUE"""),30.8)</f>
        <v>30.8</v>
      </c>
      <c r="C310" s="15">
        <f>IFERROR(__xludf.DUMMYFUNCTION("""COMPUTED_VALUE"""),1.677952130751E12)</f>
        <v>1677952130751</v>
      </c>
      <c r="D310" s="15">
        <f>IFERROR(__xludf.DUMMYFUNCTION("""COMPUTED_VALUE"""),0.471868238867898)</f>
        <v>0.4718682389</v>
      </c>
      <c r="E310" s="15">
        <f>IFERROR(__xludf.DUMMYFUNCTION("""COMPUTED_VALUE"""),0.0348437879137948)</f>
        <v>0.03484378791</v>
      </c>
      <c r="F310" s="15">
        <f>IFERROR(__xludf.DUMMYFUNCTION("""COMPUTED_VALUE"""),-0.539264836989695)</f>
        <v>-0.539264837</v>
      </c>
      <c r="G310" s="15">
        <f>IFERROR(__xludf.DUMMYFUNCTION("""COMPUTED_VALUE"""),0.696648915292345)</f>
        <v>0.6966489153</v>
      </c>
      <c r="H310" s="15">
        <f t="shared" si="1"/>
        <v>30638</v>
      </c>
    </row>
    <row r="311">
      <c r="B311" s="15">
        <f>IFERROR(__xludf.DUMMYFUNCTION("""COMPUTED_VALUE"""),30.9)</f>
        <v>30.9</v>
      </c>
      <c r="C311" s="15">
        <f>IFERROR(__xludf.DUMMYFUNCTION("""COMPUTED_VALUE"""),1.677952130849E12)</f>
        <v>1677952130849</v>
      </c>
      <c r="D311" s="15">
        <f>IFERROR(__xludf.DUMMYFUNCTION("""COMPUTED_VALUE"""),0.471868238867898)</f>
        <v>0.4718682389</v>
      </c>
      <c r="E311" s="15">
        <f>IFERROR(__xludf.DUMMYFUNCTION("""COMPUTED_VALUE"""),0.0348437879137948)</f>
        <v>0.03484378791</v>
      </c>
      <c r="F311" s="15">
        <f>IFERROR(__xludf.DUMMYFUNCTION("""COMPUTED_VALUE"""),-0.539264836989695)</f>
        <v>-0.539264837</v>
      </c>
      <c r="G311" s="15">
        <f>IFERROR(__xludf.DUMMYFUNCTION("""COMPUTED_VALUE"""),0.696648915292345)</f>
        <v>0.6966489153</v>
      </c>
      <c r="H311" s="15">
        <f t="shared" si="1"/>
        <v>30736</v>
      </c>
    </row>
    <row r="312">
      <c r="B312" s="15">
        <f>IFERROR(__xludf.DUMMYFUNCTION("""COMPUTED_VALUE"""),31.0)</f>
        <v>31</v>
      </c>
      <c r="C312" s="15">
        <f>IFERROR(__xludf.DUMMYFUNCTION("""COMPUTED_VALUE"""),1.677952131071E12)</f>
        <v>1677952131071</v>
      </c>
      <c r="D312" s="15">
        <f>IFERROR(__xludf.DUMMYFUNCTION("""COMPUTED_VALUE"""),-0.126178019845577)</f>
        <v>-0.1261780198</v>
      </c>
      <c r="E312" s="15">
        <f>IFERROR(__xludf.DUMMYFUNCTION("""COMPUTED_VALUE"""),-0.0851495494814966)</f>
        <v>-0.08514954948</v>
      </c>
      <c r="F312" s="15">
        <f>IFERROR(__xludf.DUMMYFUNCTION("""COMPUTED_VALUE"""),-0.577479614230678)</f>
        <v>-0.5774796142</v>
      </c>
      <c r="G312" s="15">
        <f>IFERROR(__xludf.DUMMYFUNCTION("""COMPUTED_VALUE"""),0.802088496787563)</f>
        <v>0.8020884968</v>
      </c>
      <c r="H312" s="15">
        <f t="shared" si="1"/>
        <v>30958</v>
      </c>
    </row>
    <row r="313">
      <c r="B313" s="15">
        <f>IFERROR(__xludf.DUMMYFUNCTION("""COMPUTED_VALUE"""),31.1)</f>
        <v>31.1</v>
      </c>
      <c r="C313" s="15">
        <f>IFERROR(__xludf.DUMMYFUNCTION("""COMPUTED_VALUE"""),1.677952131119E12)</f>
        <v>1677952131119</v>
      </c>
      <c r="D313" s="15">
        <f>IFERROR(__xludf.DUMMYFUNCTION("""COMPUTED_VALUE"""),-0.187586079371079)</f>
        <v>-0.1875860794</v>
      </c>
      <c r="E313" s="15">
        <f>IFERROR(__xludf.DUMMYFUNCTION("""COMPUTED_VALUE"""),-0.105499815534104)</f>
        <v>-0.1054998155</v>
      </c>
      <c r="F313" s="15">
        <f>IFERROR(__xludf.DUMMYFUNCTION("""COMPUTED_VALUE"""),-0.568320444391275)</f>
        <v>-0.5683204444</v>
      </c>
      <c r="G313" s="15">
        <f>IFERROR(__xludf.DUMMYFUNCTION("""COMPUTED_VALUE"""),0.794161900518628)</f>
        <v>0.7941619005</v>
      </c>
      <c r="H313" s="15">
        <f t="shared" si="1"/>
        <v>31006</v>
      </c>
    </row>
    <row r="314">
      <c r="B314" s="15">
        <f>IFERROR(__xludf.DUMMYFUNCTION("""COMPUTED_VALUE"""),31.2)</f>
        <v>31.2</v>
      </c>
      <c r="C314" s="15">
        <f>IFERROR(__xludf.DUMMYFUNCTION("""COMPUTED_VALUE"""),1.677952131185E12)</f>
        <v>1677952131185</v>
      </c>
      <c r="D314" s="15">
        <f>IFERROR(__xludf.DUMMYFUNCTION("""COMPUTED_VALUE"""),-0.233683277486468)</f>
        <v>-0.2336832775</v>
      </c>
      <c r="E314" s="15">
        <f>IFERROR(__xludf.DUMMYFUNCTION("""COMPUTED_VALUE"""),-0.119677170041473)</f>
        <v>-0.11967717</v>
      </c>
      <c r="F314" s="15">
        <f>IFERROR(__xludf.DUMMYFUNCTION("""COMPUTED_VALUE"""),-0.559680193301153)</f>
        <v>-0.5596801933</v>
      </c>
      <c r="G314" s="15">
        <f>IFERROR(__xludf.DUMMYFUNCTION("""COMPUTED_VALUE"""),0.786020090087034)</f>
        <v>0.7860200901</v>
      </c>
      <c r="H314" s="15">
        <f t="shared" si="1"/>
        <v>31072</v>
      </c>
    </row>
    <row r="315">
      <c r="B315" s="15">
        <f>IFERROR(__xludf.DUMMYFUNCTION("""COMPUTED_VALUE"""),31.3)</f>
        <v>31.3</v>
      </c>
      <c r="C315" s="15">
        <f>IFERROR(__xludf.DUMMYFUNCTION("""COMPUTED_VALUE"""),1.677952131273E12)</f>
        <v>1677952131273</v>
      </c>
      <c r="D315" s="15">
        <f>IFERROR(__xludf.DUMMYFUNCTION("""COMPUTED_VALUE"""),-0.292640182481494)</f>
        <v>-0.2926401825</v>
      </c>
      <c r="E315" s="15">
        <f>IFERROR(__xludf.DUMMYFUNCTION("""COMPUTED_VALUE"""),-0.133914135708407)</f>
        <v>-0.1339141357</v>
      </c>
      <c r="F315" s="15">
        <f>IFERROR(__xludf.DUMMYFUNCTION("""COMPUTED_VALUE"""),-0.545873849795789)</f>
        <v>-0.5458738498</v>
      </c>
      <c r="G315" s="15">
        <f>IFERROR(__xludf.DUMMYFUNCTION("""COMPUTED_VALUE"""),0.773595803998309)</f>
        <v>0.773595804</v>
      </c>
      <c r="H315" s="15">
        <f t="shared" si="1"/>
        <v>31160</v>
      </c>
    </row>
    <row r="316">
      <c r="B316" s="15">
        <f>IFERROR(__xludf.DUMMYFUNCTION("""COMPUTED_VALUE"""),31.4)</f>
        <v>31.4</v>
      </c>
      <c r="C316" s="15">
        <f>IFERROR(__xludf.DUMMYFUNCTION("""COMPUTED_VALUE"""),1.677952131369E12)</f>
        <v>1677952131369</v>
      </c>
      <c r="D316" s="15">
        <f>IFERROR(__xludf.DUMMYFUNCTION("""COMPUTED_VALUE"""),0.730733091457795)</f>
        <v>0.7307330915</v>
      </c>
      <c r="E316" s="15">
        <f>IFERROR(__xludf.DUMMYFUNCTION("""COMPUTED_VALUE"""),0.168052787590617)</f>
        <v>0.1680527876</v>
      </c>
      <c r="F316" s="15">
        <f>IFERROR(__xludf.DUMMYFUNCTION("""COMPUTED_VALUE"""),0.334743220790498)</f>
        <v>0.3347432208</v>
      </c>
      <c r="G316" s="15">
        <f>IFERROR(__xludf.DUMMYFUNCTION("""COMPUTED_VALUE"""),-0.57073144802644)</f>
        <v>-0.570731448</v>
      </c>
      <c r="H316" s="15">
        <f t="shared" si="1"/>
        <v>31256</v>
      </c>
    </row>
    <row r="317">
      <c r="B317" s="15">
        <f>IFERROR(__xludf.DUMMYFUNCTION("""COMPUTED_VALUE"""),31.5)</f>
        <v>31.5</v>
      </c>
      <c r="C317" s="15">
        <f>IFERROR(__xludf.DUMMYFUNCTION("""COMPUTED_VALUE"""),1.677952131447E12)</f>
        <v>1677952131447</v>
      </c>
      <c r="D317" s="15">
        <f>IFERROR(__xludf.DUMMYFUNCTION("""COMPUTED_VALUE"""),0.730733091457795)</f>
        <v>0.7307330915</v>
      </c>
      <c r="E317" s="15">
        <f>IFERROR(__xludf.DUMMYFUNCTION("""COMPUTED_VALUE"""),0.168052787590617)</f>
        <v>0.1680527876</v>
      </c>
      <c r="F317" s="15">
        <f>IFERROR(__xludf.DUMMYFUNCTION("""COMPUTED_VALUE"""),0.334743220790498)</f>
        <v>0.3347432208</v>
      </c>
      <c r="G317" s="15">
        <f>IFERROR(__xludf.DUMMYFUNCTION("""COMPUTED_VALUE"""),-0.57073144802644)</f>
        <v>-0.570731448</v>
      </c>
      <c r="H317" s="15">
        <f t="shared" si="1"/>
        <v>31334</v>
      </c>
    </row>
    <row r="318">
      <c r="B318" s="15">
        <f>IFERROR(__xludf.DUMMYFUNCTION("""COMPUTED_VALUE"""),31.6)</f>
        <v>31.6</v>
      </c>
      <c r="C318" s="15">
        <f>IFERROR(__xludf.DUMMYFUNCTION("""COMPUTED_VALUE"""),1.677952131543E12)</f>
        <v>1677952131543</v>
      </c>
      <c r="D318" s="15">
        <f>IFERROR(__xludf.DUMMYFUNCTION("""COMPUTED_VALUE"""),0.730733091457795)</f>
        <v>0.7307330915</v>
      </c>
      <c r="E318" s="15">
        <f>IFERROR(__xludf.DUMMYFUNCTION("""COMPUTED_VALUE"""),0.168052787590617)</f>
        <v>0.1680527876</v>
      </c>
      <c r="F318" s="15">
        <f>IFERROR(__xludf.DUMMYFUNCTION("""COMPUTED_VALUE"""),0.334743220790498)</f>
        <v>0.3347432208</v>
      </c>
      <c r="G318" s="15">
        <f>IFERROR(__xludf.DUMMYFUNCTION("""COMPUTED_VALUE"""),-0.57073144802644)</f>
        <v>-0.570731448</v>
      </c>
      <c r="H318" s="15">
        <f t="shared" si="1"/>
        <v>31430</v>
      </c>
    </row>
    <row r="319">
      <c r="B319" s="15">
        <f>IFERROR(__xludf.DUMMYFUNCTION("""COMPUTED_VALUE"""),31.7)</f>
        <v>31.7</v>
      </c>
      <c r="C319" s="15">
        <f>IFERROR(__xludf.DUMMYFUNCTION("""COMPUTED_VALUE"""),1.677952131647E12)</f>
        <v>1677952131647</v>
      </c>
      <c r="D319" s="15">
        <f>IFERROR(__xludf.DUMMYFUNCTION("""COMPUTED_VALUE"""),0.730733091457795)</f>
        <v>0.7307330915</v>
      </c>
      <c r="E319" s="15">
        <f>IFERROR(__xludf.DUMMYFUNCTION("""COMPUTED_VALUE"""),0.168052787590617)</f>
        <v>0.1680527876</v>
      </c>
      <c r="F319" s="15">
        <f>IFERROR(__xludf.DUMMYFUNCTION("""COMPUTED_VALUE"""),0.334743220790498)</f>
        <v>0.3347432208</v>
      </c>
      <c r="G319" s="15">
        <f>IFERROR(__xludf.DUMMYFUNCTION("""COMPUTED_VALUE"""),-0.57073144802644)</f>
        <v>-0.570731448</v>
      </c>
      <c r="H319" s="15">
        <f t="shared" si="1"/>
        <v>31534</v>
      </c>
    </row>
    <row r="320">
      <c r="B320" s="15">
        <f>IFERROR(__xludf.DUMMYFUNCTION("""COMPUTED_VALUE"""),31.8)</f>
        <v>31.8</v>
      </c>
      <c r="C320" s="15">
        <f>IFERROR(__xludf.DUMMYFUNCTION("""COMPUTED_VALUE"""),1.677952131743E12)</f>
        <v>1677952131743</v>
      </c>
      <c r="D320" s="15">
        <f>IFERROR(__xludf.DUMMYFUNCTION("""COMPUTED_VALUE"""),0.730733091457795)</f>
        <v>0.7307330915</v>
      </c>
      <c r="E320" s="15">
        <f>IFERROR(__xludf.DUMMYFUNCTION("""COMPUTED_VALUE"""),0.168052787590617)</f>
        <v>0.1680527876</v>
      </c>
      <c r="F320" s="15">
        <f>IFERROR(__xludf.DUMMYFUNCTION("""COMPUTED_VALUE"""),0.334743220790498)</f>
        <v>0.3347432208</v>
      </c>
      <c r="G320" s="15">
        <f>IFERROR(__xludf.DUMMYFUNCTION("""COMPUTED_VALUE"""),-0.57073144802644)</f>
        <v>-0.570731448</v>
      </c>
      <c r="H320" s="15">
        <f t="shared" si="1"/>
        <v>31630</v>
      </c>
    </row>
    <row r="321">
      <c r="B321" s="15">
        <f>IFERROR(__xludf.DUMMYFUNCTION("""COMPUTED_VALUE"""),31.9)</f>
        <v>31.9</v>
      </c>
      <c r="C321" s="15">
        <f>IFERROR(__xludf.DUMMYFUNCTION("""COMPUTED_VALUE"""),1.677952131847E12)</f>
        <v>1677952131847</v>
      </c>
      <c r="D321" s="15">
        <f>IFERROR(__xludf.DUMMYFUNCTION("""COMPUTED_VALUE"""),0.730733091457795)</f>
        <v>0.7307330915</v>
      </c>
      <c r="E321" s="15">
        <f>IFERROR(__xludf.DUMMYFUNCTION("""COMPUTED_VALUE"""),0.168052787590617)</f>
        <v>0.1680527876</v>
      </c>
      <c r="F321" s="15">
        <f>IFERROR(__xludf.DUMMYFUNCTION("""COMPUTED_VALUE"""),0.334743220790498)</f>
        <v>0.3347432208</v>
      </c>
      <c r="G321" s="15">
        <f>IFERROR(__xludf.DUMMYFUNCTION("""COMPUTED_VALUE"""),-0.57073144802644)</f>
        <v>-0.570731448</v>
      </c>
      <c r="H321" s="15">
        <f t="shared" si="1"/>
        <v>31734</v>
      </c>
    </row>
    <row r="322">
      <c r="B322" s="15">
        <f>IFERROR(__xludf.DUMMYFUNCTION("""COMPUTED_VALUE"""),32.0)</f>
        <v>32</v>
      </c>
      <c r="C322" s="15">
        <f>IFERROR(__xludf.DUMMYFUNCTION("""COMPUTED_VALUE"""),1.677952131944E12)</f>
        <v>1677952131944</v>
      </c>
      <c r="D322" s="15">
        <f>IFERROR(__xludf.DUMMYFUNCTION("""COMPUTED_VALUE"""),0.730733091457795)</f>
        <v>0.7307330915</v>
      </c>
      <c r="E322" s="15">
        <f>IFERROR(__xludf.DUMMYFUNCTION("""COMPUTED_VALUE"""),0.168052787590617)</f>
        <v>0.1680527876</v>
      </c>
      <c r="F322" s="15">
        <f>IFERROR(__xludf.DUMMYFUNCTION("""COMPUTED_VALUE"""),0.334743220790498)</f>
        <v>0.3347432208</v>
      </c>
      <c r="G322" s="15">
        <f>IFERROR(__xludf.DUMMYFUNCTION("""COMPUTED_VALUE"""),-0.57073144802644)</f>
        <v>-0.570731448</v>
      </c>
      <c r="H322" s="15">
        <f t="shared" si="1"/>
        <v>31831</v>
      </c>
    </row>
    <row r="323">
      <c r="B323" s="15">
        <f>IFERROR(__xludf.DUMMYFUNCTION("""COMPUTED_VALUE"""),32.1)</f>
        <v>32.1</v>
      </c>
      <c r="C323" s="15">
        <f>IFERROR(__xludf.DUMMYFUNCTION("""COMPUTED_VALUE"""),1.677952132047E12)</f>
        <v>1677952132047</v>
      </c>
      <c r="D323" s="15">
        <f>IFERROR(__xludf.DUMMYFUNCTION("""COMPUTED_VALUE"""),0.730733091457795)</f>
        <v>0.7307330915</v>
      </c>
      <c r="E323" s="15">
        <f>IFERROR(__xludf.DUMMYFUNCTION("""COMPUTED_VALUE"""),0.168052787590617)</f>
        <v>0.1680527876</v>
      </c>
      <c r="F323" s="15">
        <f>IFERROR(__xludf.DUMMYFUNCTION("""COMPUTED_VALUE"""),0.334743220790498)</f>
        <v>0.3347432208</v>
      </c>
      <c r="G323" s="15">
        <f>IFERROR(__xludf.DUMMYFUNCTION("""COMPUTED_VALUE"""),-0.57073144802644)</f>
        <v>-0.570731448</v>
      </c>
      <c r="H323" s="15">
        <f t="shared" si="1"/>
        <v>31934</v>
      </c>
    </row>
    <row r="324">
      <c r="B324" s="15">
        <f>IFERROR(__xludf.DUMMYFUNCTION("""COMPUTED_VALUE"""),32.2)</f>
        <v>32.2</v>
      </c>
      <c r="C324" s="15">
        <f>IFERROR(__xludf.DUMMYFUNCTION("""COMPUTED_VALUE"""),1.677952132168E12)</f>
        <v>1677952132168</v>
      </c>
      <c r="D324" s="15">
        <f>IFERROR(__xludf.DUMMYFUNCTION("""COMPUTED_VALUE"""),0.730733091457795)</f>
        <v>0.7307330915</v>
      </c>
      <c r="E324" s="15">
        <f>IFERROR(__xludf.DUMMYFUNCTION("""COMPUTED_VALUE"""),0.168052787590617)</f>
        <v>0.1680527876</v>
      </c>
      <c r="F324" s="15">
        <f>IFERROR(__xludf.DUMMYFUNCTION("""COMPUTED_VALUE"""),0.334743220790498)</f>
        <v>0.3347432208</v>
      </c>
      <c r="G324" s="15">
        <f>IFERROR(__xludf.DUMMYFUNCTION("""COMPUTED_VALUE"""),-0.57073144802644)</f>
        <v>-0.570731448</v>
      </c>
      <c r="H324" s="15">
        <f t="shared" si="1"/>
        <v>32055</v>
      </c>
    </row>
    <row r="325">
      <c r="B325" s="15">
        <f>IFERROR(__xludf.DUMMYFUNCTION("""COMPUTED_VALUE"""),32.3)</f>
        <v>32.3</v>
      </c>
      <c r="C325" s="15">
        <f>IFERROR(__xludf.DUMMYFUNCTION("""COMPUTED_VALUE"""),1.677952132254E12)</f>
        <v>1677952132254</v>
      </c>
      <c r="D325" s="15">
        <f>IFERROR(__xludf.DUMMYFUNCTION("""COMPUTED_VALUE"""),0.730733091457795)</f>
        <v>0.7307330915</v>
      </c>
      <c r="E325" s="15">
        <f>IFERROR(__xludf.DUMMYFUNCTION("""COMPUTED_VALUE"""),0.168052787590617)</f>
        <v>0.1680527876</v>
      </c>
      <c r="F325" s="15">
        <f>IFERROR(__xludf.DUMMYFUNCTION("""COMPUTED_VALUE"""),0.334743220790498)</f>
        <v>0.3347432208</v>
      </c>
      <c r="G325" s="15">
        <f>IFERROR(__xludf.DUMMYFUNCTION("""COMPUTED_VALUE"""),-0.57073144802644)</f>
        <v>-0.570731448</v>
      </c>
      <c r="H325" s="15">
        <f t="shared" si="1"/>
        <v>32141</v>
      </c>
    </row>
    <row r="326">
      <c r="B326" s="15">
        <f>IFERROR(__xludf.DUMMYFUNCTION("""COMPUTED_VALUE"""),32.4)</f>
        <v>32.4</v>
      </c>
      <c r="C326" s="15">
        <f>IFERROR(__xludf.DUMMYFUNCTION("""COMPUTED_VALUE"""),1.677952132393E12)</f>
        <v>1677952132393</v>
      </c>
      <c r="D326" s="15">
        <f>IFERROR(__xludf.DUMMYFUNCTION("""COMPUTED_VALUE"""),0.76738333533612)</f>
        <v>0.7673833353</v>
      </c>
      <c r="E326" s="15">
        <f>IFERROR(__xludf.DUMMYFUNCTION("""COMPUTED_VALUE"""),0.17510401539398)</f>
        <v>0.1751040154</v>
      </c>
      <c r="F326" s="15">
        <f>IFERROR(__xludf.DUMMYFUNCTION("""COMPUTED_VALUE"""),0.310483199300518)</f>
        <v>0.3104831993</v>
      </c>
      <c r="G326" s="15">
        <f>IFERROR(__xludf.DUMMYFUNCTION("""COMPUTED_VALUE"""),-0.532974280236325)</f>
        <v>-0.5329742802</v>
      </c>
      <c r="H326" s="15">
        <f t="shared" si="1"/>
        <v>32280</v>
      </c>
    </row>
    <row r="327">
      <c r="B327" s="15">
        <f>IFERROR(__xludf.DUMMYFUNCTION("""COMPUTED_VALUE"""),32.5)</f>
        <v>32.5</v>
      </c>
      <c r="C327" s="15">
        <f>IFERROR(__xludf.DUMMYFUNCTION("""COMPUTED_VALUE"""),1.677952132487E12)</f>
        <v>1677952132487</v>
      </c>
      <c r="D327" s="15">
        <f>IFERROR(__xludf.DUMMYFUNCTION("""COMPUTED_VALUE"""),0.834344685919932)</f>
        <v>0.8343446859</v>
      </c>
      <c r="E327" s="15">
        <f>IFERROR(__xludf.DUMMYFUNCTION("""COMPUTED_VALUE"""),0.179263037332187)</f>
        <v>0.1792630373</v>
      </c>
      <c r="F327" s="15">
        <f>IFERROR(__xludf.DUMMYFUNCTION("""COMPUTED_VALUE"""),0.250961001600182)</f>
        <v>0.2509610016</v>
      </c>
      <c r="G327" s="15">
        <f>IFERROR(__xludf.DUMMYFUNCTION("""COMPUTED_VALUE"""),-0.456894171772238)</f>
        <v>-0.4568941718</v>
      </c>
      <c r="H327" s="15">
        <f t="shared" si="1"/>
        <v>32374</v>
      </c>
    </row>
    <row r="328">
      <c r="B328" s="15">
        <f>IFERROR(__xludf.DUMMYFUNCTION("""COMPUTED_VALUE"""),32.6)</f>
        <v>32.6</v>
      </c>
      <c r="C328" s="15">
        <f>IFERROR(__xludf.DUMMYFUNCTION("""COMPUTED_VALUE"""),1.677952132579E12)</f>
        <v>1677952132579</v>
      </c>
      <c r="D328" s="15">
        <f>IFERROR(__xludf.DUMMYFUNCTION("""COMPUTED_VALUE"""),0.868848460245322)</f>
        <v>0.8688484602</v>
      </c>
      <c r="E328" s="15">
        <f>IFERROR(__xludf.DUMMYFUNCTION("""COMPUTED_VALUE"""),0.180234333242032)</f>
        <v>0.1802343332</v>
      </c>
      <c r="F328" s="15">
        <f>IFERROR(__xludf.DUMMYFUNCTION("""COMPUTED_VALUE"""),0.212897710183843)</f>
        <v>0.2128977102</v>
      </c>
      <c r="G328" s="15">
        <f>IFERROR(__xludf.DUMMYFUNCTION("""COMPUTED_VALUE"""),-0.409014062409358)</f>
        <v>-0.4090140624</v>
      </c>
      <c r="H328" s="15">
        <f t="shared" si="1"/>
        <v>32466</v>
      </c>
    </row>
    <row r="329">
      <c r="B329" s="15">
        <f>IFERROR(__xludf.DUMMYFUNCTION("""COMPUTED_VALUE"""),32.7)</f>
        <v>32.7</v>
      </c>
      <c r="C329" s="15">
        <f>IFERROR(__xludf.DUMMYFUNCTION("""COMPUTED_VALUE"""),1.677952132653E12)</f>
        <v>1677952132653</v>
      </c>
      <c r="D329" s="15">
        <f>IFERROR(__xludf.DUMMYFUNCTION("""COMPUTED_VALUE"""),0.965617852900772)</f>
        <v>0.9656178529</v>
      </c>
      <c r="E329" s="15">
        <f>IFERROR(__xludf.DUMMYFUNCTION("""COMPUTED_VALUE"""),0.172679446709979)</f>
        <v>0.1726794467</v>
      </c>
      <c r="F329" s="15">
        <f>IFERROR(__xludf.DUMMYFUNCTION("""COMPUTED_VALUE"""),0.0431870102374969)</f>
        <v>0.04318701024</v>
      </c>
      <c r="G329" s="15">
        <f>IFERROR(__xludf.DUMMYFUNCTION("""COMPUTED_VALUE"""),-0.189469926347115)</f>
        <v>-0.1894699263</v>
      </c>
      <c r="H329" s="15">
        <f t="shared" si="1"/>
        <v>32540</v>
      </c>
    </row>
    <row r="330">
      <c r="B330" s="15">
        <f>IFERROR(__xludf.DUMMYFUNCTION("""COMPUTED_VALUE"""),32.8)</f>
        <v>32.8</v>
      </c>
      <c r="C330" s="15">
        <f>IFERROR(__xludf.DUMMYFUNCTION("""COMPUTED_VALUE"""),1.677952132743E12)</f>
        <v>1677952132743</v>
      </c>
      <c r="D330" s="15">
        <f>IFERROR(__xludf.DUMMYFUNCTION("""COMPUTED_VALUE"""),0.500258350664205)</f>
        <v>0.5002583507</v>
      </c>
      <c r="E330" s="15">
        <f>IFERROR(__xludf.DUMMYFUNCTION("""COMPUTED_VALUE"""),0.0155674540319855)</f>
        <v>0.01556745403</v>
      </c>
      <c r="F330" s="15">
        <f>IFERROR(__xludf.DUMMYFUNCTION("""COMPUTED_VALUE"""),-0.583703392915835)</f>
        <v>-0.5837033929</v>
      </c>
      <c r="G330" s="15">
        <f>IFERROR(__xludf.DUMMYFUNCTION("""COMPUTED_VALUE"""),0.639366550629784)</f>
        <v>0.6393665506</v>
      </c>
      <c r="H330" s="15">
        <f t="shared" si="1"/>
        <v>32630</v>
      </c>
    </row>
    <row r="331">
      <c r="B331" s="15">
        <f>IFERROR(__xludf.DUMMYFUNCTION("""COMPUTED_VALUE"""),32.9)</f>
        <v>32.9</v>
      </c>
      <c r="C331" s="15">
        <f>IFERROR(__xludf.DUMMYFUNCTION("""COMPUTED_VALUE"""),1.677952132847E12)</f>
        <v>1677952132847</v>
      </c>
      <c r="D331" s="15">
        <f>IFERROR(__xludf.DUMMYFUNCTION("""COMPUTED_VALUE"""),0.500258350664205)</f>
        <v>0.5002583507</v>
      </c>
      <c r="E331" s="15">
        <f>IFERROR(__xludf.DUMMYFUNCTION("""COMPUTED_VALUE"""),0.0155674540319855)</f>
        <v>0.01556745403</v>
      </c>
      <c r="F331" s="15">
        <f>IFERROR(__xludf.DUMMYFUNCTION("""COMPUTED_VALUE"""),-0.583703392915835)</f>
        <v>-0.5837033929</v>
      </c>
      <c r="G331" s="15">
        <f>IFERROR(__xludf.DUMMYFUNCTION("""COMPUTED_VALUE"""),0.639366550629784)</f>
        <v>0.6393665506</v>
      </c>
      <c r="H331" s="15">
        <f t="shared" si="1"/>
        <v>32734</v>
      </c>
    </row>
    <row r="332">
      <c r="B332" s="15">
        <f>IFERROR(__xludf.DUMMYFUNCTION("""COMPUTED_VALUE"""),33.0)</f>
        <v>33</v>
      </c>
      <c r="C332" s="15">
        <f>IFERROR(__xludf.DUMMYFUNCTION("""COMPUTED_VALUE"""),1.677952132943E12)</f>
        <v>1677952132943</v>
      </c>
      <c r="D332" s="15">
        <f>IFERROR(__xludf.DUMMYFUNCTION("""COMPUTED_VALUE"""),0.500258350664205)</f>
        <v>0.5002583507</v>
      </c>
      <c r="E332" s="15">
        <f>IFERROR(__xludf.DUMMYFUNCTION("""COMPUTED_VALUE"""),0.0155674540319855)</f>
        <v>0.01556745403</v>
      </c>
      <c r="F332" s="15">
        <f>IFERROR(__xludf.DUMMYFUNCTION("""COMPUTED_VALUE"""),-0.583703392915835)</f>
        <v>-0.5837033929</v>
      </c>
      <c r="G332" s="15">
        <f>IFERROR(__xludf.DUMMYFUNCTION("""COMPUTED_VALUE"""),0.639366550629784)</f>
        <v>0.6393665506</v>
      </c>
      <c r="H332" s="15">
        <f t="shared" si="1"/>
        <v>32830</v>
      </c>
    </row>
    <row r="333">
      <c r="B333" s="15">
        <f>IFERROR(__xludf.DUMMYFUNCTION("""COMPUTED_VALUE"""),33.1)</f>
        <v>33.1</v>
      </c>
      <c r="C333" s="15">
        <f>IFERROR(__xludf.DUMMYFUNCTION("""COMPUTED_VALUE"""),1.677952133047E12)</f>
        <v>1677952133047</v>
      </c>
      <c r="D333" s="15">
        <f>IFERROR(__xludf.DUMMYFUNCTION("""COMPUTED_VALUE"""),0.500258350664205)</f>
        <v>0.5002583507</v>
      </c>
      <c r="E333" s="15">
        <f>IFERROR(__xludf.DUMMYFUNCTION("""COMPUTED_VALUE"""),0.0155674540319855)</f>
        <v>0.01556745403</v>
      </c>
      <c r="F333" s="15">
        <f>IFERROR(__xludf.DUMMYFUNCTION("""COMPUTED_VALUE"""),-0.583703392915835)</f>
        <v>-0.5837033929</v>
      </c>
      <c r="G333" s="15">
        <f>IFERROR(__xludf.DUMMYFUNCTION("""COMPUTED_VALUE"""),0.639366550629784)</f>
        <v>0.6393665506</v>
      </c>
      <c r="H333" s="15">
        <f t="shared" si="1"/>
        <v>32934</v>
      </c>
    </row>
    <row r="334">
      <c r="B334" s="15">
        <f>IFERROR(__xludf.DUMMYFUNCTION("""COMPUTED_VALUE"""),33.2)</f>
        <v>33.2</v>
      </c>
      <c r="C334" s="15">
        <f>IFERROR(__xludf.DUMMYFUNCTION("""COMPUTED_VALUE"""),1.677952133143E12)</f>
        <v>1677952133143</v>
      </c>
      <c r="D334" s="15">
        <f>IFERROR(__xludf.DUMMYFUNCTION("""COMPUTED_VALUE"""),0.500258350664205)</f>
        <v>0.5002583507</v>
      </c>
      <c r="E334" s="15">
        <f>IFERROR(__xludf.DUMMYFUNCTION("""COMPUTED_VALUE"""),0.0155674540319855)</f>
        <v>0.01556745403</v>
      </c>
      <c r="F334" s="15">
        <f>IFERROR(__xludf.DUMMYFUNCTION("""COMPUTED_VALUE"""),-0.583703392915835)</f>
        <v>-0.5837033929</v>
      </c>
      <c r="G334" s="15">
        <f>IFERROR(__xludf.DUMMYFUNCTION("""COMPUTED_VALUE"""),0.639366550629784)</f>
        <v>0.6393665506</v>
      </c>
      <c r="H334" s="15">
        <f t="shared" si="1"/>
        <v>33030</v>
      </c>
    </row>
    <row r="335">
      <c r="B335" s="15">
        <f>IFERROR(__xludf.DUMMYFUNCTION("""COMPUTED_VALUE"""),33.3)</f>
        <v>33.3</v>
      </c>
      <c r="C335" s="15">
        <f>IFERROR(__xludf.DUMMYFUNCTION("""COMPUTED_VALUE"""),1.677952133248E12)</f>
        <v>1677952133248</v>
      </c>
      <c r="D335" s="15">
        <f>IFERROR(__xludf.DUMMYFUNCTION("""COMPUTED_VALUE"""),0.500258350664205)</f>
        <v>0.5002583507</v>
      </c>
      <c r="E335" s="15">
        <f>IFERROR(__xludf.DUMMYFUNCTION("""COMPUTED_VALUE"""),0.0155674540319855)</f>
        <v>0.01556745403</v>
      </c>
      <c r="F335" s="15">
        <f>IFERROR(__xludf.DUMMYFUNCTION("""COMPUTED_VALUE"""),-0.583703392915835)</f>
        <v>-0.5837033929</v>
      </c>
      <c r="G335" s="15">
        <f>IFERROR(__xludf.DUMMYFUNCTION("""COMPUTED_VALUE"""),0.639366550629784)</f>
        <v>0.6393665506</v>
      </c>
      <c r="H335" s="15">
        <f t="shared" si="1"/>
        <v>33135</v>
      </c>
    </row>
    <row r="336">
      <c r="B336" s="15">
        <f>IFERROR(__xludf.DUMMYFUNCTION("""COMPUTED_VALUE"""),33.4)</f>
        <v>33.4</v>
      </c>
      <c r="C336" s="15">
        <f>IFERROR(__xludf.DUMMYFUNCTION("""COMPUTED_VALUE"""),1.677952133343E12)</f>
        <v>1677952133343</v>
      </c>
      <c r="D336" s="15">
        <f>IFERROR(__xludf.DUMMYFUNCTION("""COMPUTED_VALUE"""),0.500258350664205)</f>
        <v>0.5002583507</v>
      </c>
      <c r="E336" s="15">
        <f>IFERROR(__xludf.DUMMYFUNCTION("""COMPUTED_VALUE"""),0.0155674540319855)</f>
        <v>0.01556745403</v>
      </c>
      <c r="F336" s="15">
        <f>IFERROR(__xludf.DUMMYFUNCTION("""COMPUTED_VALUE"""),-0.583703392915835)</f>
        <v>-0.5837033929</v>
      </c>
      <c r="G336" s="15">
        <f>IFERROR(__xludf.DUMMYFUNCTION("""COMPUTED_VALUE"""),0.639366550629784)</f>
        <v>0.6393665506</v>
      </c>
      <c r="H336" s="15">
        <f t="shared" si="1"/>
        <v>33230</v>
      </c>
    </row>
    <row r="337">
      <c r="B337" s="15">
        <f>IFERROR(__xludf.DUMMYFUNCTION("""COMPUTED_VALUE"""),33.5)</f>
        <v>33.5</v>
      </c>
      <c r="C337" s="15">
        <f>IFERROR(__xludf.DUMMYFUNCTION("""COMPUTED_VALUE"""),1.677952133447E12)</f>
        <v>1677952133447</v>
      </c>
      <c r="D337" s="15">
        <f>IFERROR(__xludf.DUMMYFUNCTION("""COMPUTED_VALUE"""),0.500258350664205)</f>
        <v>0.5002583507</v>
      </c>
      <c r="E337" s="15">
        <f>IFERROR(__xludf.DUMMYFUNCTION("""COMPUTED_VALUE"""),0.0155674540319855)</f>
        <v>0.01556745403</v>
      </c>
      <c r="F337" s="15">
        <f>IFERROR(__xludf.DUMMYFUNCTION("""COMPUTED_VALUE"""),-0.583703392915835)</f>
        <v>-0.5837033929</v>
      </c>
      <c r="G337" s="15">
        <f>IFERROR(__xludf.DUMMYFUNCTION("""COMPUTED_VALUE"""),0.639366550629784)</f>
        <v>0.6393665506</v>
      </c>
      <c r="H337" s="15">
        <f t="shared" si="1"/>
        <v>33334</v>
      </c>
    </row>
    <row r="338">
      <c r="B338" s="15">
        <f>IFERROR(__xludf.DUMMYFUNCTION("""COMPUTED_VALUE"""),33.6)</f>
        <v>33.6</v>
      </c>
      <c r="C338" s="15">
        <f>IFERROR(__xludf.DUMMYFUNCTION("""COMPUTED_VALUE"""),1.677952133554E12)</f>
        <v>1677952133554</v>
      </c>
      <c r="D338" s="15">
        <f>IFERROR(__xludf.DUMMYFUNCTION("""COMPUTED_VALUE"""),0.500258350664205)</f>
        <v>0.5002583507</v>
      </c>
      <c r="E338" s="15">
        <f>IFERROR(__xludf.DUMMYFUNCTION("""COMPUTED_VALUE"""),0.0155674540319855)</f>
        <v>0.01556745403</v>
      </c>
      <c r="F338" s="15">
        <f>IFERROR(__xludf.DUMMYFUNCTION("""COMPUTED_VALUE"""),-0.583703392915835)</f>
        <v>-0.5837033929</v>
      </c>
      <c r="G338" s="15">
        <f>IFERROR(__xludf.DUMMYFUNCTION("""COMPUTED_VALUE"""),0.639366550629784)</f>
        <v>0.6393665506</v>
      </c>
      <c r="H338" s="15">
        <f t="shared" si="1"/>
        <v>33441</v>
      </c>
    </row>
    <row r="339">
      <c r="B339" s="15">
        <f>IFERROR(__xludf.DUMMYFUNCTION("""COMPUTED_VALUE"""),33.7)</f>
        <v>33.7</v>
      </c>
      <c r="C339" s="15">
        <f>IFERROR(__xludf.DUMMYFUNCTION("""COMPUTED_VALUE"""),1.677952133776E12)</f>
        <v>1677952133776</v>
      </c>
      <c r="D339" s="15">
        <f>IFERROR(__xludf.DUMMYFUNCTION("""COMPUTED_VALUE"""),0.255128411615329)</f>
        <v>0.2551284116</v>
      </c>
      <c r="E339" s="15">
        <f>IFERROR(__xludf.DUMMYFUNCTION("""COMPUTED_VALUE"""),-0.0140668552455733)</f>
        <v>-0.01406685525</v>
      </c>
      <c r="F339" s="15">
        <f>IFERROR(__xludf.DUMMYFUNCTION("""COMPUTED_VALUE"""),-0.640587688670115)</f>
        <v>-0.6405876887</v>
      </c>
      <c r="G339" s="15">
        <f>IFERROR(__xludf.DUMMYFUNCTION("""COMPUTED_VALUE"""),0.724126391104768)</f>
        <v>0.7241263911</v>
      </c>
      <c r="H339" s="15">
        <f t="shared" si="1"/>
        <v>33663</v>
      </c>
    </row>
    <row r="340">
      <c r="B340" s="15">
        <f>IFERROR(__xludf.DUMMYFUNCTION("""COMPUTED_VALUE"""),33.8)</f>
        <v>33.8</v>
      </c>
      <c r="C340" s="15">
        <f>IFERROR(__xludf.DUMMYFUNCTION("""COMPUTED_VALUE"""),1.677952133822E12)</f>
        <v>1677952133822</v>
      </c>
      <c r="D340" s="15">
        <f>IFERROR(__xludf.DUMMYFUNCTION("""COMPUTED_VALUE"""),0.159445318958795)</f>
        <v>0.159445319</v>
      </c>
      <c r="E340" s="15">
        <f>IFERROR(__xludf.DUMMYFUNCTION("""COMPUTED_VALUE"""),-0.0216438991127872)</f>
        <v>-0.02164389911</v>
      </c>
      <c r="F340" s="15">
        <f>IFERROR(__xludf.DUMMYFUNCTION("""COMPUTED_VALUE"""),-0.651404223683922)</f>
        <v>-0.6514042237</v>
      </c>
      <c r="G340" s="15">
        <f>IFERROR(__xludf.DUMMYFUNCTION("""COMPUTED_VALUE"""),0.741472365810128)</f>
        <v>0.7414723658</v>
      </c>
      <c r="H340" s="15">
        <f t="shared" si="1"/>
        <v>33709</v>
      </c>
    </row>
    <row r="341">
      <c r="B341" s="15">
        <f>IFERROR(__xludf.DUMMYFUNCTION("""COMPUTED_VALUE"""),33.9)</f>
        <v>33.9</v>
      </c>
      <c r="C341" s="15">
        <f>IFERROR(__xludf.DUMMYFUNCTION("""COMPUTED_VALUE"""),1.677952133869E12)</f>
        <v>1677952133869</v>
      </c>
      <c r="D341" s="15">
        <f>IFERROR(__xludf.DUMMYFUNCTION("""COMPUTED_VALUE"""),0.109681955292701)</f>
        <v>0.1096819553</v>
      </c>
      <c r="E341" s="15">
        <f>IFERROR(__xludf.DUMMYFUNCTION("""COMPUTED_VALUE"""),-0.0239069183130459)</f>
        <v>-0.02390691831</v>
      </c>
      <c r="F341" s="15">
        <f>IFERROR(__xludf.DUMMYFUNCTION("""COMPUTED_VALUE"""),-0.654760962616652)</f>
        <v>-0.6547609626</v>
      </c>
      <c r="G341" s="15">
        <f>IFERROR(__xludf.DUMMYFUNCTION("""COMPUTED_VALUE"""),0.747453282669396)</f>
        <v>0.7474532827</v>
      </c>
      <c r="H341" s="15">
        <f t="shared" si="1"/>
        <v>33756</v>
      </c>
    </row>
    <row r="342">
      <c r="B342" s="15">
        <f>IFERROR(__xludf.DUMMYFUNCTION("""COMPUTED_VALUE"""),34.0)</f>
        <v>34</v>
      </c>
      <c r="C342" s="15">
        <f>IFERROR(__xludf.DUMMYFUNCTION("""COMPUTED_VALUE"""),1.677952133979E12)</f>
        <v>1677952133979</v>
      </c>
      <c r="D342" s="15">
        <f>IFERROR(__xludf.DUMMYFUNCTION("""COMPUTED_VALUE"""),0.0371420817809792)</f>
        <v>0.03714208178</v>
      </c>
      <c r="E342" s="15">
        <f>IFERROR(__xludf.DUMMYFUNCTION("""COMPUTED_VALUE"""),-0.0301223771529643)</f>
        <v>-0.03012237715</v>
      </c>
      <c r="F342" s="15">
        <f>IFERROR(__xludf.DUMMYFUNCTION("""COMPUTED_VALUE"""),-0.656341289856026)</f>
        <v>-0.6563412899</v>
      </c>
      <c r="G342" s="15">
        <f>IFERROR(__xludf.DUMMYFUNCTION("""COMPUTED_VALUE"""),0.752947022960948)</f>
        <v>0.752947023</v>
      </c>
      <c r="H342" s="15">
        <f t="shared" si="1"/>
        <v>33866</v>
      </c>
    </row>
    <row r="343">
      <c r="B343" s="15">
        <f>IFERROR(__xludf.DUMMYFUNCTION("""COMPUTED_VALUE"""),34.1)</f>
        <v>34.1</v>
      </c>
      <c r="C343" s="15">
        <f>IFERROR(__xludf.DUMMYFUNCTION("""COMPUTED_VALUE"""),1.677952134071E12)</f>
        <v>1677952134071</v>
      </c>
      <c r="D343" s="15">
        <f>IFERROR(__xludf.DUMMYFUNCTION("""COMPUTED_VALUE"""),-0.482838268703452)</f>
        <v>-0.4828382687</v>
      </c>
      <c r="E343" s="15">
        <f>IFERROR(__xludf.DUMMYFUNCTION("""COMPUTED_VALUE"""),-0.0883449553360777)</f>
        <v>-0.08834495534</v>
      </c>
      <c r="F343" s="15">
        <f>IFERROR(__xludf.DUMMYFUNCTION("""COMPUTED_VALUE"""),-0.558316652859688)</f>
        <v>-0.5583166529</v>
      </c>
      <c r="G343" s="15">
        <f>IFERROR(__xludf.DUMMYFUNCTION("""COMPUTED_VALUE"""),0.668838463518413)</f>
        <v>0.6688384635</v>
      </c>
      <c r="H343" s="15">
        <f t="shared" si="1"/>
        <v>33958</v>
      </c>
    </row>
    <row r="344">
      <c r="B344" s="15">
        <f>IFERROR(__xludf.DUMMYFUNCTION("""COMPUTED_VALUE"""),34.2)</f>
        <v>34.2</v>
      </c>
      <c r="C344" s="15">
        <f>IFERROR(__xludf.DUMMYFUNCTION("""COMPUTED_VALUE"""),1.677952134143E12)</f>
        <v>1677952134143</v>
      </c>
      <c r="D344" s="15">
        <f>IFERROR(__xludf.DUMMYFUNCTION("""COMPUTED_VALUE"""),-0.482838268703452)</f>
        <v>-0.4828382687</v>
      </c>
      <c r="E344" s="15">
        <f>IFERROR(__xludf.DUMMYFUNCTION("""COMPUTED_VALUE"""),-0.0883449553360777)</f>
        <v>-0.08834495534</v>
      </c>
      <c r="F344" s="15">
        <f>IFERROR(__xludf.DUMMYFUNCTION("""COMPUTED_VALUE"""),-0.558316652859688)</f>
        <v>-0.5583166529</v>
      </c>
      <c r="G344" s="15">
        <f>IFERROR(__xludf.DUMMYFUNCTION("""COMPUTED_VALUE"""),0.668838463518413)</f>
        <v>0.6688384635</v>
      </c>
      <c r="H344" s="15">
        <f t="shared" si="1"/>
        <v>34030</v>
      </c>
    </row>
    <row r="345">
      <c r="B345" s="15">
        <f>IFERROR(__xludf.DUMMYFUNCTION("""COMPUTED_VALUE"""),34.3)</f>
        <v>34.3</v>
      </c>
      <c r="C345" s="15">
        <f>IFERROR(__xludf.DUMMYFUNCTION("""COMPUTED_VALUE"""),1.677952134247E12)</f>
        <v>1677952134247</v>
      </c>
      <c r="D345" s="15">
        <f>IFERROR(__xludf.DUMMYFUNCTION("""COMPUTED_VALUE"""),-0.482838268703452)</f>
        <v>-0.4828382687</v>
      </c>
      <c r="E345" s="15">
        <f>IFERROR(__xludf.DUMMYFUNCTION("""COMPUTED_VALUE"""),-0.0883449553360777)</f>
        <v>-0.08834495534</v>
      </c>
      <c r="F345" s="15">
        <f>IFERROR(__xludf.DUMMYFUNCTION("""COMPUTED_VALUE"""),-0.558316652859688)</f>
        <v>-0.5583166529</v>
      </c>
      <c r="G345" s="15">
        <f>IFERROR(__xludf.DUMMYFUNCTION("""COMPUTED_VALUE"""),0.668838463518413)</f>
        <v>0.6688384635</v>
      </c>
      <c r="H345" s="15">
        <f t="shared" si="1"/>
        <v>34134</v>
      </c>
    </row>
    <row r="346">
      <c r="B346" s="15">
        <f>IFERROR(__xludf.DUMMYFUNCTION("""COMPUTED_VALUE"""),34.4)</f>
        <v>34.4</v>
      </c>
      <c r="C346" s="15">
        <f>IFERROR(__xludf.DUMMYFUNCTION("""COMPUTED_VALUE"""),1.677952134343E12)</f>
        <v>1677952134343</v>
      </c>
      <c r="D346" s="15">
        <f>IFERROR(__xludf.DUMMYFUNCTION("""COMPUTED_VALUE"""),-0.482838268703452)</f>
        <v>-0.4828382687</v>
      </c>
      <c r="E346" s="15">
        <f>IFERROR(__xludf.DUMMYFUNCTION("""COMPUTED_VALUE"""),-0.0883449553360777)</f>
        <v>-0.08834495534</v>
      </c>
      <c r="F346" s="15">
        <f>IFERROR(__xludf.DUMMYFUNCTION("""COMPUTED_VALUE"""),-0.558316652859688)</f>
        <v>-0.5583166529</v>
      </c>
      <c r="G346" s="15">
        <f>IFERROR(__xludf.DUMMYFUNCTION("""COMPUTED_VALUE"""),0.668838463518413)</f>
        <v>0.6688384635</v>
      </c>
      <c r="H346" s="15">
        <f t="shared" si="1"/>
        <v>34230</v>
      </c>
    </row>
    <row r="347">
      <c r="B347" s="15">
        <f>IFERROR(__xludf.DUMMYFUNCTION("""COMPUTED_VALUE"""),34.5)</f>
        <v>34.5</v>
      </c>
      <c r="C347" s="15">
        <f>IFERROR(__xludf.DUMMYFUNCTION("""COMPUTED_VALUE"""),1.677952134446E12)</f>
        <v>1677952134446</v>
      </c>
      <c r="D347" s="15">
        <f>IFERROR(__xludf.DUMMYFUNCTION("""COMPUTED_VALUE"""),-0.482838268703452)</f>
        <v>-0.4828382687</v>
      </c>
      <c r="E347" s="15">
        <f>IFERROR(__xludf.DUMMYFUNCTION("""COMPUTED_VALUE"""),-0.0883449553360777)</f>
        <v>-0.08834495534</v>
      </c>
      <c r="F347" s="15">
        <f>IFERROR(__xludf.DUMMYFUNCTION("""COMPUTED_VALUE"""),-0.558316652859688)</f>
        <v>-0.5583166529</v>
      </c>
      <c r="G347" s="15">
        <f>IFERROR(__xludf.DUMMYFUNCTION("""COMPUTED_VALUE"""),0.668838463518413)</f>
        <v>0.6688384635</v>
      </c>
      <c r="H347" s="15">
        <f t="shared" si="1"/>
        <v>34333</v>
      </c>
    </row>
    <row r="348">
      <c r="B348" s="15">
        <f>IFERROR(__xludf.DUMMYFUNCTION("""COMPUTED_VALUE"""),34.6)</f>
        <v>34.6</v>
      </c>
      <c r="C348" s="15">
        <f>IFERROR(__xludf.DUMMYFUNCTION("""COMPUTED_VALUE"""),1.677952134544E12)</f>
        <v>1677952134544</v>
      </c>
      <c r="D348" s="15">
        <f>IFERROR(__xludf.DUMMYFUNCTION("""COMPUTED_VALUE"""),-0.482838268703452)</f>
        <v>-0.4828382687</v>
      </c>
      <c r="E348" s="15">
        <f>IFERROR(__xludf.DUMMYFUNCTION("""COMPUTED_VALUE"""),-0.0883449553360777)</f>
        <v>-0.08834495534</v>
      </c>
      <c r="F348" s="15">
        <f>IFERROR(__xludf.DUMMYFUNCTION("""COMPUTED_VALUE"""),-0.558316652859688)</f>
        <v>-0.5583166529</v>
      </c>
      <c r="G348" s="15">
        <f>IFERROR(__xludf.DUMMYFUNCTION("""COMPUTED_VALUE"""),0.668838463518413)</f>
        <v>0.6688384635</v>
      </c>
      <c r="H348" s="15">
        <f t="shared" si="1"/>
        <v>34431</v>
      </c>
    </row>
    <row r="349">
      <c r="B349" s="15">
        <f>IFERROR(__xludf.DUMMYFUNCTION("""COMPUTED_VALUE"""),34.7)</f>
        <v>34.7</v>
      </c>
      <c r="C349" s="15">
        <f>IFERROR(__xludf.DUMMYFUNCTION("""COMPUTED_VALUE"""),1.67795213464E12)</f>
        <v>1677952134640</v>
      </c>
      <c r="D349" s="15">
        <f>IFERROR(__xludf.DUMMYFUNCTION("""COMPUTED_VALUE"""),-0.482838268703452)</f>
        <v>-0.4828382687</v>
      </c>
      <c r="E349" s="15">
        <f>IFERROR(__xludf.DUMMYFUNCTION("""COMPUTED_VALUE"""),-0.0883449553360777)</f>
        <v>-0.08834495534</v>
      </c>
      <c r="F349" s="15">
        <f>IFERROR(__xludf.DUMMYFUNCTION("""COMPUTED_VALUE"""),-0.558316652859688)</f>
        <v>-0.5583166529</v>
      </c>
      <c r="G349" s="15">
        <f>IFERROR(__xludf.DUMMYFUNCTION("""COMPUTED_VALUE"""),0.668838463518413)</f>
        <v>0.6688384635</v>
      </c>
      <c r="H349" s="15">
        <f t="shared" si="1"/>
        <v>34527</v>
      </c>
    </row>
    <row r="350">
      <c r="B350" s="15">
        <f>IFERROR(__xludf.DUMMYFUNCTION("""COMPUTED_VALUE"""),34.8)</f>
        <v>34.8</v>
      </c>
      <c r="C350" s="15">
        <f>IFERROR(__xludf.DUMMYFUNCTION("""COMPUTED_VALUE"""),1.677952134871E12)</f>
        <v>1677952134871</v>
      </c>
      <c r="D350" s="15">
        <f>IFERROR(__xludf.DUMMYFUNCTION("""COMPUTED_VALUE"""),0.829079592070411)</f>
        <v>0.8290795921</v>
      </c>
      <c r="E350" s="15">
        <f>IFERROR(__xludf.DUMMYFUNCTION("""COMPUTED_VALUE"""),0.159092117730287)</f>
        <v>0.1590921177</v>
      </c>
      <c r="F350" s="15">
        <f>IFERROR(__xludf.DUMMYFUNCTION("""COMPUTED_VALUE"""),0.34481622371097)</f>
        <v>0.3448162237</v>
      </c>
      <c r="G350" s="15">
        <f>IFERROR(__xludf.DUMMYFUNCTION("""COMPUTED_VALUE"""),-0.410388230769544)</f>
        <v>-0.4103882308</v>
      </c>
      <c r="H350" s="15">
        <f t="shared" si="1"/>
        <v>34758</v>
      </c>
    </row>
    <row r="351">
      <c r="B351" s="15">
        <f>IFERROR(__xludf.DUMMYFUNCTION("""COMPUTED_VALUE"""),34.9)</f>
        <v>34.9</v>
      </c>
      <c r="C351" s="15">
        <f>IFERROR(__xludf.DUMMYFUNCTION("""COMPUTED_VALUE"""),1.677952134921E12)</f>
        <v>1677952134921</v>
      </c>
      <c r="D351" s="15">
        <f>IFERROR(__xludf.DUMMYFUNCTION("""COMPUTED_VALUE"""),0.985088187735744)</f>
        <v>0.9850881877</v>
      </c>
      <c r="E351" s="15">
        <f>IFERROR(__xludf.DUMMYFUNCTION("""COMPUTED_VALUE"""),0.164661257482582)</f>
        <v>0.1646612575</v>
      </c>
      <c r="F351" s="15">
        <f>IFERROR(__xludf.DUMMYFUNCTION("""COMPUTED_VALUE"""),-0.0189693851557453)</f>
        <v>-0.01896938516</v>
      </c>
      <c r="G351" s="15">
        <f>IFERROR(__xludf.DUMMYFUNCTION("""COMPUTED_VALUE"""),-0.0461312810853167)</f>
        <v>-0.04613128109</v>
      </c>
      <c r="H351" s="15">
        <f t="shared" si="1"/>
        <v>34808</v>
      </c>
    </row>
    <row r="352">
      <c r="B352" s="15">
        <f>IFERROR(__xludf.DUMMYFUNCTION("""COMPUTED_VALUE"""),35.0)</f>
        <v>35</v>
      </c>
      <c r="C352" s="15">
        <f>IFERROR(__xludf.DUMMYFUNCTION("""COMPUTED_VALUE"""),1.677952134953E12)</f>
        <v>1677952134953</v>
      </c>
      <c r="D352" s="15">
        <f>IFERROR(__xludf.DUMMYFUNCTION("""COMPUTED_VALUE"""),0.965394274947498)</f>
        <v>0.9653942749</v>
      </c>
      <c r="E352" s="15">
        <f>IFERROR(__xludf.DUMMYFUNCTION("""COMPUTED_VALUE"""),0.15067298305028)</f>
        <v>0.1506729831</v>
      </c>
      <c r="F352" s="15">
        <f>IFERROR(__xludf.DUMMYFUNCTION("""COMPUTED_VALUE"""),-0.185413905602132)</f>
        <v>-0.1854139056</v>
      </c>
      <c r="G352" s="15">
        <f>IFERROR(__xludf.DUMMYFUNCTION("""COMPUTED_VALUE"""),0.104562085321049)</f>
        <v>0.1045620853</v>
      </c>
      <c r="H352" s="15">
        <f t="shared" si="1"/>
        <v>34840</v>
      </c>
    </row>
    <row r="353">
      <c r="B353" s="15">
        <f>IFERROR(__xludf.DUMMYFUNCTION("""COMPUTED_VALUE"""),35.1)</f>
        <v>35.1</v>
      </c>
      <c r="C353" s="15">
        <f>IFERROR(__xludf.DUMMYFUNCTION("""COMPUTED_VALUE"""),1.677952135048E12)</f>
        <v>1677952135048</v>
      </c>
      <c r="D353" s="15">
        <f>IFERROR(__xludf.DUMMYFUNCTION("""COMPUTED_VALUE"""),0.965394274947498)</f>
        <v>0.9653942749</v>
      </c>
      <c r="E353" s="15">
        <f>IFERROR(__xludf.DUMMYFUNCTION("""COMPUTED_VALUE"""),0.15067298305028)</f>
        <v>0.1506729831</v>
      </c>
      <c r="F353" s="15">
        <f>IFERROR(__xludf.DUMMYFUNCTION("""COMPUTED_VALUE"""),-0.185413905602132)</f>
        <v>-0.1854139056</v>
      </c>
      <c r="G353" s="15">
        <f>IFERROR(__xludf.DUMMYFUNCTION("""COMPUTED_VALUE"""),0.104562085321049)</f>
        <v>0.1045620853</v>
      </c>
      <c r="H353" s="15">
        <f t="shared" si="1"/>
        <v>34935</v>
      </c>
    </row>
    <row r="354">
      <c r="B354" s="15">
        <f>IFERROR(__xludf.DUMMYFUNCTION("""COMPUTED_VALUE"""),35.2)</f>
        <v>35.2</v>
      </c>
      <c r="C354" s="15">
        <f>IFERROR(__xludf.DUMMYFUNCTION("""COMPUTED_VALUE"""),1.677952135151E12)</f>
        <v>1677952135151</v>
      </c>
      <c r="D354" s="15">
        <f>IFERROR(__xludf.DUMMYFUNCTION("""COMPUTED_VALUE"""),0.965394274947498)</f>
        <v>0.9653942749</v>
      </c>
      <c r="E354" s="15">
        <f>IFERROR(__xludf.DUMMYFUNCTION("""COMPUTED_VALUE"""),0.15067298305028)</f>
        <v>0.1506729831</v>
      </c>
      <c r="F354" s="15">
        <f>IFERROR(__xludf.DUMMYFUNCTION("""COMPUTED_VALUE"""),-0.185413905602132)</f>
        <v>-0.1854139056</v>
      </c>
      <c r="G354" s="15">
        <f>IFERROR(__xludf.DUMMYFUNCTION("""COMPUTED_VALUE"""),0.104562085321049)</f>
        <v>0.1045620853</v>
      </c>
      <c r="H354" s="15">
        <f t="shared" si="1"/>
        <v>35038</v>
      </c>
    </row>
    <row r="355">
      <c r="B355" s="15">
        <f>IFERROR(__xludf.DUMMYFUNCTION("""COMPUTED_VALUE"""),35.3)</f>
        <v>35.3</v>
      </c>
      <c r="C355" s="15">
        <f>IFERROR(__xludf.DUMMYFUNCTION("""COMPUTED_VALUE"""),1.677952135248E12)</f>
        <v>1677952135248</v>
      </c>
      <c r="D355" s="15">
        <f>IFERROR(__xludf.DUMMYFUNCTION("""COMPUTED_VALUE"""),0.965394274947498)</f>
        <v>0.9653942749</v>
      </c>
      <c r="E355" s="15">
        <f>IFERROR(__xludf.DUMMYFUNCTION("""COMPUTED_VALUE"""),0.15067298305028)</f>
        <v>0.1506729831</v>
      </c>
      <c r="F355" s="15">
        <f>IFERROR(__xludf.DUMMYFUNCTION("""COMPUTED_VALUE"""),-0.185413905602132)</f>
        <v>-0.1854139056</v>
      </c>
      <c r="G355" s="15">
        <f>IFERROR(__xludf.DUMMYFUNCTION("""COMPUTED_VALUE"""),0.104562085321049)</f>
        <v>0.1045620853</v>
      </c>
      <c r="H355" s="15">
        <f t="shared" si="1"/>
        <v>35135</v>
      </c>
    </row>
    <row r="356">
      <c r="B356" s="15">
        <f>IFERROR(__xludf.DUMMYFUNCTION("""COMPUTED_VALUE"""),35.4)</f>
        <v>35.4</v>
      </c>
      <c r="C356" s="15">
        <f>IFERROR(__xludf.DUMMYFUNCTION("""COMPUTED_VALUE"""),1.677952135351E12)</f>
        <v>1677952135351</v>
      </c>
      <c r="D356" s="15">
        <f>IFERROR(__xludf.DUMMYFUNCTION("""COMPUTED_VALUE"""),0.965394274947498)</f>
        <v>0.9653942749</v>
      </c>
      <c r="E356" s="15">
        <f>IFERROR(__xludf.DUMMYFUNCTION("""COMPUTED_VALUE"""),0.15067298305028)</f>
        <v>0.1506729831</v>
      </c>
      <c r="F356" s="15">
        <f>IFERROR(__xludf.DUMMYFUNCTION("""COMPUTED_VALUE"""),-0.185413905602132)</f>
        <v>-0.1854139056</v>
      </c>
      <c r="G356" s="15">
        <f>IFERROR(__xludf.DUMMYFUNCTION("""COMPUTED_VALUE"""),0.104562085321049)</f>
        <v>0.1045620853</v>
      </c>
      <c r="H356" s="15">
        <f t="shared" si="1"/>
        <v>35238</v>
      </c>
    </row>
    <row r="357">
      <c r="B357" s="15">
        <f>IFERROR(__xludf.DUMMYFUNCTION("""COMPUTED_VALUE"""),35.5)</f>
        <v>35.5</v>
      </c>
      <c r="C357" s="15">
        <f>IFERROR(__xludf.DUMMYFUNCTION("""COMPUTED_VALUE"""),1.677952135447E12)</f>
        <v>1677952135447</v>
      </c>
      <c r="D357" s="15">
        <f>IFERROR(__xludf.DUMMYFUNCTION("""COMPUTED_VALUE"""),0.965394274947498)</f>
        <v>0.9653942749</v>
      </c>
      <c r="E357" s="15">
        <f>IFERROR(__xludf.DUMMYFUNCTION("""COMPUTED_VALUE"""),0.15067298305028)</f>
        <v>0.1506729831</v>
      </c>
      <c r="F357" s="15">
        <f>IFERROR(__xludf.DUMMYFUNCTION("""COMPUTED_VALUE"""),-0.185413905602132)</f>
        <v>-0.1854139056</v>
      </c>
      <c r="G357" s="15">
        <f>IFERROR(__xludf.DUMMYFUNCTION("""COMPUTED_VALUE"""),0.104562085321049)</f>
        <v>0.1045620853</v>
      </c>
      <c r="H357" s="15">
        <f t="shared" si="1"/>
        <v>35334</v>
      </c>
    </row>
    <row r="358">
      <c r="B358" s="15">
        <f>IFERROR(__xludf.DUMMYFUNCTION("""COMPUTED_VALUE"""),35.6)</f>
        <v>35.6</v>
      </c>
      <c r="C358" s="15">
        <f>IFERROR(__xludf.DUMMYFUNCTION("""COMPUTED_VALUE"""),1.677952135551E12)</f>
        <v>1677952135551</v>
      </c>
      <c r="D358" s="15">
        <f>IFERROR(__xludf.DUMMYFUNCTION("""COMPUTED_VALUE"""),0.965394274947498)</f>
        <v>0.9653942749</v>
      </c>
      <c r="E358" s="15">
        <f>IFERROR(__xludf.DUMMYFUNCTION("""COMPUTED_VALUE"""),0.15067298305028)</f>
        <v>0.1506729831</v>
      </c>
      <c r="F358" s="15">
        <f>IFERROR(__xludf.DUMMYFUNCTION("""COMPUTED_VALUE"""),-0.185413905602132)</f>
        <v>-0.1854139056</v>
      </c>
      <c r="G358" s="15">
        <f>IFERROR(__xludf.DUMMYFUNCTION("""COMPUTED_VALUE"""),0.104562085321049)</f>
        <v>0.1045620853</v>
      </c>
      <c r="H358" s="15">
        <f t="shared" si="1"/>
        <v>35438</v>
      </c>
    </row>
    <row r="359">
      <c r="B359" s="15">
        <f>IFERROR(__xludf.DUMMYFUNCTION("""COMPUTED_VALUE"""),35.7)</f>
        <v>35.7</v>
      </c>
      <c r="C359" s="15">
        <f>IFERROR(__xludf.DUMMYFUNCTION("""COMPUTED_VALUE"""),1.677952135761E12)</f>
        <v>1677952135761</v>
      </c>
      <c r="D359" s="15">
        <f>IFERROR(__xludf.DUMMYFUNCTION("""COMPUTED_VALUE"""),0.848503219233942)</f>
        <v>0.8485032192</v>
      </c>
      <c r="E359" s="15">
        <f>IFERROR(__xludf.DUMMYFUNCTION("""COMPUTED_VALUE"""),0.106846056414729)</f>
        <v>0.1068460564</v>
      </c>
      <c r="F359" s="15">
        <f>IFERROR(__xludf.DUMMYFUNCTION("""COMPUTED_VALUE"""),-0.388473958918528)</f>
        <v>-0.3884739589</v>
      </c>
      <c r="G359" s="15">
        <f>IFERROR(__xludf.DUMMYFUNCTION("""COMPUTED_VALUE"""),0.343095016606799)</f>
        <v>0.3430950166</v>
      </c>
      <c r="H359" s="15">
        <f t="shared" si="1"/>
        <v>35648</v>
      </c>
    </row>
    <row r="360">
      <c r="B360" s="15">
        <f>IFERROR(__xludf.DUMMYFUNCTION("""COMPUTED_VALUE"""),35.8)</f>
        <v>35.8</v>
      </c>
      <c r="C360" s="15">
        <f>IFERROR(__xludf.DUMMYFUNCTION("""COMPUTED_VALUE"""),1.677952135814E12)</f>
        <v>1677952135814</v>
      </c>
      <c r="D360" s="15">
        <f>IFERROR(__xludf.DUMMYFUNCTION("""COMPUTED_VALUE"""),0.769227149224242)</f>
        <v>0.7692271492</v>
      </c>
      <c r="E360" s="15">
        <f>IFERROR(__xludf.DUMMYFUNCTION("""COMPUTED_VALUE"""),0.0901191768283264)</f>
        <v>0.09011917683</v>
      </c>
      <c r="F360" s="15">
        <f>IFERROR(__xludf.DUMMYFUNCTION("""COMPUTED_VALUE"""),-0.466420459193564)</f>
        <v>-0.4664204592</v>
      </c>
      <c r="G360" s="15">
        <f>IFERROR(__xludf.DUMMYFUNCTION("""COMPUTED_VALUE"""),0.427340709633183)</f>
        <v>0.4273407096</v>
      </c>
      <c r="H360" s="15">
        <f t="shared" si="1"/>
        <v>35701</v>
      </c>
    </row>
    <row r="361">
      <c r="B361" s="15">
        <f>IFERROR(__xludf.DUMMYFUNCTION("""COMPUTED_VALUE"""),35.9)</f>
        <v>35.9</v>
      </c>
      <c r="C361" s="15">
        <f>IFERROR(__xludf.DUMMYFUNCTION("""COMPUTED_VALUE"""),1.677952135884E12)</f>
        <v>1677952135884</v>
      </c>
      <c r="D361" s="15">
        <f>IFERROR(__xludf.DUMMYFUNCTION("""COMPUTED_VALUE"""),0.670699544081611)</f>
        <v>0.6706995441</v>
      </c>
      <c r="E361" s="15">
        <f>IFERROR(__xludf.DUMMYFUNCTION("""COMPUTED_VALUE"""),0.0713174673763081)</f>
        <v>0.07131746738</v>
      </c>
      <c r="F361" s="15">
        <f>IFERROR(__xludf.DUMMYFUNCTION("""COMPUTED_VALUE"""),-0.538190035051473)</f>
        <v>-0.5381900351</v>
      </c>
      <c r="G361" s="15">
        <f>IFERROR(__xludf.DUMMYFUNCTION("""COMPUTED_VALUE"""),0.505398285104965)</f>
        <v>0.5053982851</v>
      </c>
      <c r="H361" s="15">
        <f t="shared" si="1"/>
        <v>35771</v>
      </c>
    </row>
    <row r="362">
      <c r="B362" s="15">
        <f>IFERROR(__xludf.DUMMYFUNCTION("""COMPUTED_VALUE"""),36.0)</f>
        <v>36</v>
      </c>
      <c r="C362" s="15">
        <f>IFERROR(__xludf.DUMMYFUNCTION("""COMPUTED_VALUE"""),1.677952135957E12)</f>
        <v>1677952135957</v>
      </c>
      <c r="D362" s="15">
        <f>IFERROR(__xludf.DUMMYFUNCTION("""COMPUTED_VALUE"""),-0.596261435847779)</f>
        <v>-0.5962614358</v>
      </c>
      <c r="E362" s="15">
        <f>IFERROR(__xludf.DUMMYFUNCTION("""COMPUTED_VALUE"""),-0.05435826910626)</f>
        <v>-0.05435826911</v>
      </c>
      <c r="F362" s="15">
        <f>IFERROR(__xludf.DUMMYFUNCTION("""COMPUTED_VALUE"""),0.578266367010376)</f>
        <v>0.578266367</v>
      </c>
      <c r="G362" s="15">
        <f>IFERROR(__xludf.DUMMYFUNCTION("""COMPUTED_VALUE"""),-0.554189035875968)</f>
        <v>-0.5541890359</v>
      </c>
      <c r="H362" s="15">
        <f t="shared" si="1"/>
        <v>35844</v>
      </c>
    </row>
    <row r="363">
      <c r="B363" s="15">
        <f>IFERROR(__xludf.DUMMYFUNCTION("""COMPUTED_VALUE"""),36.1)</f>
        <v>36.1</v>
      </c>
      <c r="C363" s="15">
        <f>IFERROR(__xludf.DUMMYFUNCTION("""COMPUTED_VALUE"""),1.677952136046E12)</f>
        <v>1677952136046</v>
      </c>
      <c r="D363" s="15">
        <f>IFERROR(__xludf.DUMMYFUNCTION("""COMPUTED_VALUE"""),-0.582924968727972)</f>
        <v>-0.5829249687</v>
      </c>
      <c r="E363" s="15">
        <f>IFERROR(__xludf.DUMMYFUNCTION("""COMPUTED_VALUE"""),-0.0496010354797048)</f>
        <v>-0.04960103548</v>
      </c>
      <c r="F363" s="15">
        <f>IFERROR(__xludf.DUMMYFUNCTION("""COMPUTED_VALUE"""),0.583730928460904)</f>
        <v>0.5837309285</v>
      </c>
      <c r="G363" s="15">
        <f>IFERROR(__xludf.DUMMYFUNCTION("""COMPUTED_VALUE"""),-0.563024352289492)</f>
        <v>-0.5630243523</v>
      </c>
      <c r="H363" s="15">
        <f t="shared" si="1"/>
        <v>35933</v>
      </c>
    </row>
    <row r="364">
      <c r="B364" s="15">
        <f>IFERROR(__xludf.DUMMYFUNCTION("""COMPUTED_VALUE"""),36.2)</f>
        <v>36.2</v>
      </c>
      <c r="C364" s="15">
        <f>IFERROR(__xludf.DUMMYFUNCTION("""COMPUTED_VALUE"""),1.677952136165E12)</f>
        <v>1677952136165</v>
      </c>
      <c r="D364" s="15">
        <f>IFERROR(__xludf.DUMMYFUNCTION("""COMPUTED_VALUE"""),-0.560214001575418)</f>
        <v>-0.5602140016</v>
      </c>
      <c r="E364" s="15">
        <f>IFERROR(__xludf.DUMMYFUNCTION("""COMPUTED_VALUE"""),-0.00845319389868668)</f>
        <v>-0.008453193899</v>
      </c>
      <c r="F364" s="15">
        <f>IFERROR(__xludf.DUMMYFUNCTION("""COMPUTED_VALUE"""),0.576497614700928)</f>
        <v>0.5764976147</v>
      </c>
      <c r="G364" s="15">
        <f>IFERROR(__xludf.DUMMYFUNCTION("""COMPUTED_VALUE"""),-0.594759881125069)</f>
        <v>-0.5947598811</v>
      </c>
      <c r="H364" s="15">
        <f t="shared" si="1"/>
        <v>36052</v>
      </c>
    </row>
    <row r="365">
      <c r="B365" s="15">
        <f>IFERROR(__xludf.DUMMYFUNCTION("""COMPUTED_VALUE"""),36.3)</f>
        <v>36.3</v>
      </c>
      <c r="C365" s="15">
        <f>IFERROR(__xludf.DUMMYFUNCTION("""COMPUTED_VALUE"""),1.677952136278E12)</f>
        <v>1677952136278</v>
      </c>
      <c r="D365" s="15">
        <f>IFERROR(__xludf.DUMMYFUNCTION("""COMPUTED_VALUE"""),0.467237580912931)</f>
        <v>0.4672375809</v>
      </c>
      <c r="E365" s="15">
        <f>IFERROR(__xludf.DUMMYFUNCTION("""COMPUTED_VALUE"""),-0.165116567263639)</f>
        <v>-0.1651165673</v>
      </c>
      <c r="F365" s="15">
        <f>IFERROR(__xludf.DUMMYFUNCTION("""COMPUTED_VALUE"""),-0.513711154504403)</f>
        <v>-0.5137111545</v>
      </c>
      <c r="G365" s="15">
        <f>IFERROR(__xludf.DUMMYFUNCTION("""COMPUTED_VALUE"""),0.700375907592097)</f>
        <v>0.7003759076</v>
      </c>
      <c r="H365" s="15">
        <f t="shared" si="1"/>
        <v>36165</v>
      </c>
    </row>
    <row r="366">
      <c r="B366" s="15">
        <f>IFERROR(__xludf.DUMMYFUNCTION("""COMPUTED_VALUE"""),36.4)</f>
        <v>36.4</v>
      </c>
      <c r="C366" s="15">
        <f>IFERROR(__xludf.DUMMYFUNCTION("""COMPUTED_VALUE"""),1.677952136371E12)</f>
        <v>1677952136371</v>
      </c>
      <c r="D366" s="15">
        <f>IFERROR(__xludf.DUMMYFUNCTION("""COMPUTED_VALUE"""),0.373348171157482)</f>
        <v>0.3733481712</v>
      </c>
      <c r="E366" s="15">
        <f>IFERROR(__xludf.DUMMYFUNCTION("""COMPUTED_VALUE"""),-0.187960416083067)</f>
        <v>-0.1879604161</v>
      </c>
      <c r="F366" s="15">
        <f>IFERROR(__xludf.DUMMYFUNCTION("""COMPUTED_VALUE"""),-0.510527360171032)</f>
        <v>-0.5105273602</v>
      </c>
      <c r="G366" s="15">
        <f>IFERROR(__xludf.DUMMYFUNCTION("""COMPUTED_VALUE"""),0.751427867194208)</f>
        <v>0.7514278672</v>
      </c>
      <c r="H366" s="15">
        <f t="shared" si="1"/>
        <v>36258</v>
      </c>
    </row>
    <row r="367">
      <c r="B367" s="15">
        <f>IFERROR(__xludf.DUMMYFUNCTION("""COMPUTED_VALUE"""),36.5)</f>
        <v>36.5</v>
      </c>
      <c r="C367" s="15">
        <f>IFERROR(__xludf.DUMMYFUNCTION("""COMPUTED_VALUE"""),1.677952136432E12)</f>
        <v>1677952136432</v>
      </c>
      <c r="D367" s="15">
        <f>IFERROR(__xludf.DUMMYFUNCTION("""COMPUTED_VALUE"""),0.345450540054543)</f>
        <v>0.3454505401</v>
      </c>
      <c r="E367" s="15">
        <f>IFERROR(__xludf.DUMMYFUNCTION("""COMPUTED_VALUE"""),-0.185141544072809)</f>
        <v>-0.1851415441</v>
      </c>
      <c r="F367" s="15">
        <f>IFERROR(__xludf.DUMMYFUNCTION("""COMPUTED_VALUE"""),-0.513177131316439)</f>
        <v>-0.5131771313</v>
      </c>
      <c r="G367" s="15">
        <f>IFERROR(__xludf.DUMMYFUNCTION("""COMPUTED_VALUE"""),0.763567786727666)</f>
        <v>0.7635677867</v>
      </c>
      <c r="H367" s="15">
        <f t="shared" si="1"/>
        <v>36319</v>
      </c>
    </row>
    <row r="368">
      <c r="B368" s="15">
        <f>IFERROR(__xludf.DUMMYFUNCTION("""COMPUTED_VALUE"""),36.6)</f>
        <v>36.6</v>
      </c>
      <c r="C368" s="15">
        <f>IFERROR(__xludf.DUMMYFUNCTION("""COMPUTED_VALUE"""),1.677952136536E12)</f>
        <v>1677952136536</v>
      </c>
      <c r="D368" s="15">
        <f>IFERROR(__xludf.DUMMYFUNCTION("""COMPUTED_VALUE"""),0.345450540054543)</f>
        <v>0.3454505401</v>
      </c>
      <c r="E368" s="15">
        <f>IFERROR(__xludf.DUMMYFUNCTION("""COMPUTED_VALUE"""),-0.185141544072809)</f>
        <v>-0.1851415441</v>
      </c>
      <c r="F368" s="15">
        <f>IFERROR(__xludf.DUMMYFUNCTION("""COMPUTED_VALUE"""),-0.513177131316439)</f>
        <v>-0.5131771313</v>
      </c>
      <c r="G368" s="15">
        <f>IFERROR(__xludf.DUMMYFUNCTION("""COMPUTED_VALUE"""),0.763567786727666)</f>
        <v>0.7635677867</v>
      </c>
      <c r="H368" s="15">
        <f t="shared" si="1"/>
        <v>36423</v>
      </c>
    </row>
    <row r="369">
      <c r="B369" s="15">
        <f>IFERROR(__xludf.DUMMYFUNCTION("""COMPUTED_VALUE"""),36.7)</f>
        <v>36.7</v>
      </c>
      <c r="C369" s="15">
        <f>IFERROR(__xludf.DUMMYFUNCTION("""COMPUTED_VALUE"""),1.677952136631E12)</f>
        <v>1677952136631</v>
      </c>
      <c r="D369" s="15">
        <f>IFERROR(__xludf.DUMMYFUNCTION("""COMPUTED_VALUE"""),0.345450540054543)</f>
        <v>0.3454505401</v>
      </c>
      <c r="E369" s="15">
        <f>IFERROR(__xludf.DUMMYFUNCTION("""COMPUTED_VALUE"""),-0.185141544072809)</f>
        <v>-0.1851415441</v>
      </c>
      <c r="F369" s="15">
        <f>IFERROR(__xludf.DUMMYFUNCTION("""COMPUTED_VALUE"""),-0.513177131316439)</f>
        <v>-0.5131771313</v>
      </c>
      <c r="G369" s="15">
        <f>IFERROR(__xludf.DUMMYFUNCTION("""COMPUTED_VALUE"""),0.763567786727666)</f>
        <v>0.7635677867</v>
      </c>
      <c r="H369" s="15">
        <f t="shared" si="1"/>
        <v>36518</v>
      </c>
    </row>
    <row r="370">
      <c r="B370" s="15">
        <f>IFERROR(__xludf.DUMMYFUNCTION("""COMPUTED_VALUE"""),36.8)</f>
        <v>36.8</v>
      </c>
      <c r="C370" s="15">
        <f>IFERROR(__xludf.DUMMYFUNCTION("""COMPUTED_VALUE"""),1.677952136767E12)</f>
        <v>1677952136767</v>
      </c>
      <c r="D370" s="15">
        <f>IFERROR(__xludf.DUMMYFUNCTION("""COMPUTED_VALUE"""),0.10606056866922)</f>
        <v>0.1060605687</v>
      </c>
      <c r="E370" s="15">
        <f>IFERROR(__xludf.DUMMYFUNCTION("""COMPUTED_VALUE"""),-0.134501200228373)</f>
        <v>-0.1345012002</v>
      </c>
      <c r="F370" s="15">
        <f>IFERROR(__xludf.DUMMYFUNCTION("""COMPUTED_VALUE"""),-0.525314079667448)</f>
        <v>-0.5253140797</v>
      </c>
      <c r="G370" s="15">
        <f>IFERROR(__xludf.DUMMYFUNCTION("""COMPUTED_VALUE"""),0.833490072294702)</f>
        <v>0.8334900723</v>
      </c>
      <c r="H370" s="15">
        <f t="shared" si="1"/>
        <v>36654</v>
      </c>
    </row>
    <row r="371">
      <c r="B371" s="15">
        <f>IFERROR(__xludf.DUMMYFUNCTION("""COMPUTED_VALUE"""),36.9)</f>
        <v>36.9</v>
      </c>
      <c r="C371" s="15">
        <f>IFERROR(__xludf.DUMMYFUNCTION("""COMPUTED_VALUE"""),1.677952136856E12)</f>
        <v>1677952136856</v>
      </c>
      <c r="D371" s="15">
        <f>IFERROR(__xludf.DUMMYFUNCTION("""COMPUTED_VALUE"""),-0.26755936249061)</f>
        <v>-0.2675593625</v>
      </c>
      <c r="E371" s="15">
        <f>IFERROR(__xludf.DUMMYFUNCTION("""COMPUTED_VALUE"""),-0.0606448786983064)</f>
        <v>-0.0606448787</v>
      </c>
      <c r="F371" s="15">
        <f>IFERROR(__xludf.DUMMYFUNCTION("""COMPUTED_VALUE"""),-0.475789346549205)</f>
        <v>-0.4757893465</v>
      </c>
      <c r="G371" s="15">
        <f>IFERROR(__xludf.DUMMYFUNCTION("""COMPUTED_VALUE"""),0.835678576931085)</f>
        <v>0.8356785769</v>
      </c>
      <c r="H371" s="15">
        <f t="shared" si="1"/>
        <v>36743</v>
      </c>
    </row>
    <row r="372">
      <c r="B372" s="15">
        <f>IFERROR(__xludf.DUMMYFUNCTION("""COMPUTED_VALUE"""),37.0)</f>
        <v>37</v>
      </c>
      <c r="C372" s="15">
        <f>IFERROR(__xludf.DUMMYFUNCTION("""COMPUTED_VALUE"""),1.677952136966E12)</f>
        <v>1677952136966</v>
      </c>
      <c r="D372" s="15">
        <f>IFERROR(__xludf.DUMMYFUNCTION("""COMPUTED_VALUE"""),-0.548519045781158)</f>
        <v>-0.5485190458</v>
      </c>
      <c r="E372" s="15">
        <f>IFERROR(__xludf.DUMMYFUNCTION("""COMPUTED_VALUE"""),0.0328460027493263)</f>
        <v>0.03284600275</v>
      </c>
      <c r="F372" s="15">
        <f>IFERROR(__xludf.DUMMYFUNCTION("""COMPUTED_VALUE"""),-0.368828143549213)</f>
        <v>-0.3688281435</v>
      </c>
      <c r="G372" s="15">
        <f>IFERROR(__xludf.DUMMYFUNCTION("""COMPUTED_VALUE"""),0.749675794623754)</f>
        <v>0.7496757946</v>
      </c>
      <c r="H372" s="15">
        <f t="shared" si="1"/>
        <v>36853</v>
      </c>
    </row>
    <row r="373">
      <c r="B373" s="15">
        <f>IFERROR(__xludf.DUMMYFUNCTION("""COMPUTED_VALUE"""),37.1)</f>
        <v>37.1</v>
      </c>
      <c r="C373" s="15">
        <f>IFERROR(__xludf.DUMMYFUNCTION("""COMPUTED_VALUE"""),1.677952137031E12)</f>
        <v>1677952137031</v>
      </c>
      <c r="D373" s="15">
        <f>IFERROR(__xludf.DUMMYFUNCTION("""COMPUTED_VALUE"""),-0.575818538134656)</f>
        <v>-0.5758185381</v>
      </c>
      <c r="E373" s="15">
        <f>IFERROR(__xludf.DUMMYFUNCTION("""COMPUTED_VALUE"""),0.0520677207887537)</f>
        <v>0.05206772079</v>
      </c>
      <c r="F373" s="15">
        <f>IFERROR(__xludf.DUMMYFUNCTION("""COMPUTED_VALUE"""),-0.349790504096429)</f>
        <v>-0.3497905041</v>
      </c>
      <c r="G373" s="15">
        <f>IFERROR(__xludf.DUMMYFUNCTION("""COMPUTED_VALUE"""),0.737135378906951)</f>
        <v>0.7371353789</v>
      </c>
      <c r="H373" s="15">
        <f t="shared" si="1"/>
        <v>36918</v>
      </c>
    </row>
    <row r="374">
      <c r="B374" s="15">
        <f>IFERROR(__xludf.DUMMYFUNCTION("""COMPUTED_VALUE"""),37.2)</f>
        <v>37.2</v>
      </c>
      <c r="C374" s="15">
        <f>IFERROR(__xludf.DUMMYFUNCTION("""COMPUTED_VALUE"""),1.677952137127E12)</f>
        <v>1677952137127</v>
      </c>
      <c r="D374" s="15">
        <f>IFERROR(__xludf.DUMMYFUNCTION("""COMPUTED_VALUE"""),-0.575818538134656)</f>
        <v>-0.5758185381</v>
      </c>
      <c r="E374" s="15">
        <f>IFERROR(__xludf.DUMMYFUNCTION("""COMPUTED_VALUE"""),0.0520677207887537)</f>
        <v>0.05206772079</v>
      </c>
      <c r="F374" s="15">
        <f>IFERROR(__xludf.DUMMYFUNCTION("""COMPUTED_VALUE"""),-0.349790504096429)</f>
        <v>-0.3497905041</v>
      </c>
      <c r="G374" s="15">
        <f>IFERROR(__xludf.DUMMYFUNCTION("""COMPUTED_VALUE"""),0.737135378906951)</f>
        <v>0.7371353789</v>
      </c>
      <c r="H374" s="15">
        <f t="shared" si="1"/>
        <v>37014</v>
      </c>
    </row>
    <row r="375">
      <c r="B375" s="15">
        <f>IFERROR(__xludf.DUMMYFUNCTION("""COMPUTED_VALUE"""),37.3)</f>
        <v>37.3</v>
      </c>
      <c r="C375" s="15">
        <f>IFERROR(__xludf.DUMMYFUNCTION("""COMPUTED_VALUE"""),1.677952137238E12)</f>
        <v>1677952137238</v>
      </c>
      <c r="D375" s="15">
        <f>IFERROR(__xludf.DUMMYFUNCTION("""COMPUTED_VALUE"""),-0.575818538134656)</f>
        <v>-0.5758185381</v>
      </c>
      <c r="E375" s="15">
        <f>IFERROR(__xludf.DUMMYFUNCTION("""COMPUTED_VALUE"""),0.0520677207887537)</f>
        <v>0.05206772079</v>
      </c>
      <c r="F375" s="15">
        <f>IFERROR(__xludf.DUMMYFUNCTION("""COMPUTED_VALUE"""),-0.349790504096429)</f>
        <v>-0.3497905041</v>
      </c>
      <c r="G375" s="15">
        <f>IFERROR(__xludf.DUMMYFUNCTION("""COMPUTED_VALUE"""),0.737135378906951)</f>
        <v>0.7371353789</v>
      </c>
      <c r="H375" s="15">
        <f t="shared" si="1"/>
        <v>37125</v>
      </c>
    </row>
    <row r="376">
      <c r="B376" s="15">
        <f>IFERROR(__xludf.DUMMYFUNCTION("""COMPUTED_VALUE"""),37.4)</f>
        <v>37.4</v>
      </c>
      <c r="C376" s="15">
        <f>IFERROR(__xludf.DUMMYFUNCTION("""COMPUTED_VALUE"""),1.67795213743E12)</f>
        <v>1677952137430</v>
      </c>
      <c r="D376" s="15">
        <f>IFERROR(__xludf.DUMMYFUNCTION("""COMPUTED_VALUE"""),0.231141089016853)</f>
        <v>0.231141089</v>
      </c>
      <c r="E376" s="15">
        <f>IFERROR(__xludf.DUMMYFUNCTION("""COMPUTED_VALUE"""),-0.0736220743285284)</f>
        <v>-0.07362207433</v>
      </c>
      <c r="F376" s="15">
        <f>IFERROR(__xludf.DUMMYFUNCTION("""COMPUTED_VALUE"""),-0.278252146000669)</f>
        <v>-0.278252146</v>
      </c>
      <c r="G376" s="15">
        <f>IFERROR(__xludf.DUMMYFUNCTION("""COMPUTED_VALUE"""),0.929370394614379)</f>
        <v>0.9293703946</v>
      </c>
      <c r="H376" s="15">
        <f t="shared" si="1"/>
        <v>37317</v>
      </c>
    </row>
    <row r="377">
      <c r="B377" s="15">
        <f>IFERROR(__xludf.DUMMYFUNCTION("""COMPUTED_VALUE"""),37.5)</f>
        <v>37.5</v>
      </c>
      <c r="C377" s="15">
        <f>IFERROR(__xludf.DUMMYFUNCTION("""COMPUTED_VALUE"""),1.677952137478E12)</f>
        <v>1677952137478</v>
      </c>
      <c r="D377" s="15">
        <f>IFERROR(__xludf.DUMMYFUNCTION("""COMPUTED_VALUE"""),0.232019937988046)</f>
        <v>0.232019938</v>
      </c>
      <c r="E377" s="15">
        <f>IFERROR(__xludf.DUMMYFUNCTION("""COMPUTED_VALUE"""),-0.187409117462443)</f>
        <v>-0.1874091175</v>
      </c>
      <c r="F377" s="15">
        <f>IFERROR(__xludf.DUMMYFUNCTION("""COMPUTED_VALUE"""),-0.247686149174671)</f>
        <v>-0.2476861492</v>
      </c>
      <c r="G377" s="15">
        <f>IFERROR(__xludf.DUMMYFUNCTION("""COMPUTED_VALUE"""),0.92178964117362)</f>
        <v>0.9217896412</v>
      </c>
      <c r="H377" s="15">
        <f t="shared" si="1"/>
        <v>37365</v>
      </c>
    </row>
    <row r="378">
      <c r="B378" s="15">
        <f>IFERROR(__xludf.DUMMYFUNCTION("""COMPUTED_VALUE"""),37.6)</f>
        <v>37.6</v>
      </c>
      <c r="C378" s="15">
        <f>IFERROR(__xludf.DUMMYFUNCTION("""COMPUTED_VALUE"""),1.677952137568E12)</f>
        <v>1677952137568</v>
      </c>
      <c r="D378" s="15">
        <f>IFERROR(__xludf.DUMMYFUNCTION("""COMPUTED_VALUE"""),0.224352141603428)</f>
        <v>0.2243521416</v>
      </c>
      <c r="E378" s="15">
        <f>IFERROR(__xludf.DUMMYFUNCTION("""COMPUTED_VALUE"""),-0.292415051129695)</f>
        <v>-0.2924150511</v>
      </c>
      <c r="F378" s="15">
        <f>IFERROR(__xludf.DUMMYFUNCTION("""COMPUTED_VALUE"""),-0.214613480836298)</f>
        <v>-0.2146134808</v>
      </c>
      <c r="G378" s="15">
        <f>IFERROR(__xludf.DUMMYFUNCTION("""COMPUTED_VALUE"""),0.904489142153789)</f>
        <v>0.9044891422</v>
      </c>
      <c r="H378" s="15">
        <f t="shared" si="1"/>
        <v>37455</v>
      </c>
    </row>
    <row r="379">
      <c r="B379" s="15">
        <f>IFERROR(__xludf.DUMMYFUNCTION("""COMPUTED_VALUE"""),37.7)</f>
        <v>37.7</v>
      </c>
      <c r="C379" s="15">
        <f>IFERROR(__xludf.DUMMYFUNCTION("""COMPUTED_VALUE"""),1.677952137658E12)</f>
        <v>1677952137658</v>
      </c>
      <c r="D379" s="15">
        <f>IFERROR(__xludf.DUMMYFUNCTION("""COMPUTED_VALUE"""),0.182808598255275)</f>
        <v>0.1828085983</v>
      </c>
      <c r="E379" s="15">
        <f>IFERROR(__xludf.DUMMYFUNCTION("""COMPUTED_VALUE"""),-0.338851041587951)</f>
        <v>-0.3388510416</v>
      </c>
      <c r="F379" s="15">
        <f>IFERROR(__xludf.DUMMYFUNCTION("""COMPUTED_VALUE"""),-0.18854743500924)</f>
        <v>-0.188547435</v>
      </c>
      <c r="G379" s="15">
        <f>IFERROR(__xludf.DUMMYFUNCTION("""COMPUTED_VALUE"""),0.903443884682461)</f>
        <v>0.9034438847</v>
      </c>
      <c r="H379" s="15">
        <f t="shared" si="1"/>
        <v>37545</v>
      </c>
    </row>
    <row r="380">
      <c r="B380" s="15">
        <f>IFERROR(__xludf.DUMMYFUNCTION("""COMPUTED_VALUE"""),37.8)</f>
        <v>37.8</v>
      </c>
      <c r="C380" s="15">
        <f>IFERROR(__xludf.DUMMYFUNCTION("""COMPUTED_VALUE"""),1.677952137747E12)</f>
        <v>1677952137747</v>
      </c>
      <c r="D380" s="15">
        <f>IFERROR(__xludf.DUMMYFUNCTION("""COMPUTED_VALUE"""),0.164202914174528)</f>
        <v>0.1642029142</v>
      </c>
      <c r="E380" s="15">
        <f>IFERROR(__xludf.DUMMYFUNCTION("""COMPUTED_VALUE"""),-0.375746018413128)</f>
        <v>-0.3757460184</v>
      </c>
      <c r="F380" s="15">
        <f>IFERROR(__xludf.DUMMYFUNCTION("""COMPUTED_VALUE"""),-0.173287630403784)</f>
        <v>-0.1732876304</v>
      </c>
      <c r="G380" s="15">
        <f>IFERROR(__xludf.DUMMYFUNCTION("""COMPUTED_VALUE"""),0.895446106570525)</f>
        <v>0.8954461066</v>
      </c>
      <c r="H380" s="15">
        <f t="shared" si="1"/>
        <v>37634</v>
      </c>
    </row>
    <row r="381">
      <c r="B381" s="15">
        <f>IFERROR(__xludf.DUMMYFUNCTION("""COMPUTED_VALUE"""),37.9)</f>
        <v>37.9</v>
      </c>
      <c r="C381" s="15">
        <f>IFERROR(__xludf.DUMMYFUNCTION("""COMPUTED_VALUE"""),1.677952137856E12)</f>
        <v>1677952137856</v>
      </c>
      <c r="D381" s="15">
        <f>IFERROR(__xludf.DUMMYFUNCTION("""COMPUTED_VALUE"""),0.249924545191325)</f>
        <v>0.2499245452</v>
      </c>
      <c r="E381" s="15">
        <f>IFERROR(__xludf.DUMMYFUNCTION("""COMPUTED_VALUE"""),-0.46776642206455)</f>
        <v>-0.4677664221</v>
      </c>
      <c r="F381" s="15">
        <f>IFERROR(__xludf.DUMMYFUNCTION("""COMPUTED_VALUE"""),-0.18006912878214)</f>
        <v>-0.1800691288</v>
      </c>
      <c r="G381" s="15">
        <f>IFERROR(__xludf.DUMMYFUNCTION("""COMPUTED_VALUE"""),0.828436723570048)</f>
        <v>0.8284367236</v>
      </c>
      <c r="H381" s="15">
        <f t="shared" si="1"/>
        <v>37743</v>
      </c>
    </row>
    <row r="382">
      <c r="B382" s="15">
        <f>IFERROR(__xludf.DUMMYFUNCTION("""COMPUTED_VALUE"""),38.0)</f>
        <v>38</v>
      </c>
      <c r="C382" s="15">
        <f>IFERROR(__xludf.DUMMYFUNCTION("""COMPUTED_VALUE"""),1.677952137915E12)</f>
        <v>1677952137915</v>
      </c>
      <c r="D382" s="15">
        <f>IFERROR(__xludf.DUMMYFUNCTION("""COMPUTED_VALUE"""),0.249924545191325)</f>
        <v>0.2499245452</v>
      </c>
      <c r="E382" s="15">
        <f>IFERROR(__xludf.DUMMYFUNCTION("""COMPUTED_VALUE"""),-0.46776642206455)</f>
        <v>-0.4677664221</v>
      </c>
      <c r="F382" s="15">
        <f>IFERROR(__xludf.DUMMYFUNCTION("""COMPUTED_VALUE"""),-0.18006912878214)</f>
        <v>-0.1800691288</v>
      </c>
      <c r="G382" s="15">
        <f>IFERROR(__xludf.DUMMYFUNCTION("""COMPUTED_VALUE"""),0.828436723570048)</f>
        <v>0.8284367236</v>
      </c>
      <c r="H382" s="15">
        <f t="shared" si="1"/>
        <v>37802</v>
      </c>
    </row>
    <row r="383">
      <c r="B383" s="15">
        <f>IFERROR(__xludf.DUMMYFUNCTION("""COMPUTED_VALUE"""),38.1)</f>
        <v>38.1</v>
      </c>
      <c r="C383" s="15">
        <f>IFERROR(__xludf.DUMMYFUNCTION("""COMPUTED_VALUE"""),1.677952138039E12)</f>
        <v>1677952138039</v>
      </c>
      <c r="D383" s="15">
        <f>IFERROR(__xludf.DUMMYFUNCTION("""COMPUTED_VALUE"""),0.109088144095059)</f>
        <v>0.1090881441</v>
      </c>
      <c r="E383" s="15">
        <f>IFERROR(__xludf.DUMMYFUNCTION("""COMPUTED_VALUE"""),-0.334088730847411)</f>
        <v>-0.3340887308</v>
      </c>
      <c r="F383" s="15">
        <f>IFERROR(__xludf.DUMMYFUNCTION("""COMPUTED_VALUE"""),-0.161507432793963)</f>
        <v>-0.1615074328</v>
      </c>
      <c r="G383" s="15">
        <f>IFERROR(__xludf.DUMMYFUNCTION("""COMPUTED_VALUE"""),0.922171267114174)</f>
        <v>0.9221712671</v>
      </c>
      <c r="H383" s="15">
        <f t="shared" si="1"/>
        <v>37926</v>
      </c>
    </row>
    <row r="384">
      <c r="B384" s="15">
        <f>IFERROR(__xludf.DUMMYFUNCTION("""COMPUTED_VALUE"""),38.2)</f>
        <v>38.2</v>
      </c>
      <c r="C384" s="15">
        <f>IFERROR(__xludf.DUMMYFUNCTION("""COMPUTED_VALUE"""),1.677952138119E12)</f>
        <v>1677952138119</v>
      </c>
      <c r="D384" s="15">
        <f>IFERROR(__xludf.DUMMYFUNCTION("""COMPUTED_VALUE"""),-0.0111695510794706)</f>
        <v>-0.01116955108</v>
      </c>
      <c r="E384" s="15">
        <f>IFERROR(__xludf.DUMMYFUNCTION("""COMPUTED_VALUE"""),-0.223727523932194)</f>
        <v>-0.2237275239</v>
      </c>
      <c r="F384" s="15">
        <f>IFERROR(__xludf.DUMMYFUNCTION("""COMPUTED_VALUE"""),-0.138167562937699)</f>
        <v>-0.1381675629</v>
      </c>
      <c r="G384" s="15">
        <f>IFERROR(__xludf.DUMMYFUNCTION("""COMPUTED_VALUE"""),0.964743987136332)</f>
        <v>0.9647439871</v>
      </c>
      <c r="H384" s="15">
        <f t="shared" si="1"/>
        <v>38006</v>
      </c>
    </row>
    <row r="385">
      <c r="B385" s="15">
        <f>IFERROR(__xludf.DUMMYFUNCTION("""COMPUTED_VALUE"""),38.3)</f>
        <v>38.3</v>
      </c>
      <c r="C385" s="15">
        <f>IFERROR(__xludf.DUMMYFUNCTION("""COMPUTED_VALUE"""),1.677952138222E12)</f>
        <v>1677952138222</v>
      </c>
      <c r="D385" s="15">
        <f>IFERROR(__xludf.DUMMYFUNCTION("""COMPUTED_VALUE"""),-0.0111695510794706)</f>
        <v>-0.01116955108</v>
      </c>
      <c r="E385" s="15">
        <f>IFERROR(__xludf.DUMMYFUNCTION("""COMPUTED_VALUE"""),-0.223727523932194)</f>
        <v>-0.2237275239</v>
      </c>
      <c r="F385" s="15">
        <f>IFERROR(__xludf.DUMMYFUNCTION("""COMPUTED_VALUE"""),-0.138167562937699)</f>
        <v>-0.1381675629</v>
      </c>
      <c r="G385" s="15">
        <f>IFERROR(__xludf.DUMMYFUNCTION("""COMPUTED_VALUE"""),0.964743987136332)</f>
        <v>0.9647439871</v>
      </c>
      <c r="H385" s="15">
        <f t="shared" si="1"/>
        <v>38109</v>
      </c>
    </row>
    <row r="386">
      <c r="B386" s="15">
        <f>IFERROR(__xludf.DUMMYFUNCTION("""COMPUTED_VALUE"""),38.4)</f>
        <v>38.4</v>
      </c>
      <c r="C386" s="15">
        <f>IFERROR(__xludf.DUMMYFUNCTION("""COMPUTED_VALUE"""),1.677952138318E12)</f>
        <v>1677952138318</v>
      </c>
      <c r="D386" s="15">
        <f>IFERROR(__xludf.DUMMYFUNCTION("""COMPUTED_VALUE"""),-0.0111695510794706)</f>
        <v>-0.01116955108</v>
      </c>
      <c r="E386" s="15">
        <f>IFERROR(__xludf.DUMMYFUNCTION("""COMPUTED_VALUE"""),-0.223727523932194)</f>
        <v>-0.2237275239</v>
      </c>
      <c r="F386" s="15">
        <f>IFERROR(__xludf.DUMMYFUNCTION("""COMPUTED_VALUE"""),-0.138167562937699)</f>
        <v>-0.1381675629</v>
      </c>
      <c r="G386" s="15">
        <f>IFERROR(__xludf.DUMMYFUNCTION("""COMPUTED_VALUE"""),0.964743987136332)</f>
        <v>0.9647439871</v>
      </c>
      <c r="H386" s="15">
        <f t="shared" si="1"/>
        <v>38205</v>
      </c>
    </row>
    <row r="387">
      <c r="B387" s="15">
        <f>IFERROR(__xludf.DUMMYFUNCTION("""COMPUTED_VALUE"""),38.5)</f>
        <v>38.5</v>
      </c>
      <c r="C387" s="15">
        <f>IFERROR(__xludf.DUMMYFUNCTION("""COMPUTED_VALUE"""),1.677952138423E12)</f>
        <v>1677952138423</v>
      </c>
      <c r="D387" s="15">
        <f>IFERROR(__xludf.DUMMYFUNCTION("""COMPUTED_VALUE"""),-0.0111695510794706)</f>
        <v>-0.01116955108</v>
      </c>
      <c r="E387" s="15">
        <f>IFERROR(__xludf.DUMMYFUNCTION("""COMPUTED_VALUE"""),-0.223727523932194)</f>
        <v>-0.2237275239</v>
      </c>
      <c r="F387" s="15">
        <f>IFERROR(__xludf.DUMMYFUNCTION("""COMPUTED_VALUE"""),-0.138167562937699)</f>
        <v>-0.1381675629</v>
      </c>
      <c r="G387" s="15">
        <f>IFERROR(__xludf.DUMMYFUNCTION("""COMPUTED_VALUE"""),0.964743987136332)</f>
        <v>0.9647439871</v>
      </c>
      <c r="H387" s="15">
        <f t="shared" si="1"/>
        <v>38310</v>
      </c>
    </row>
    <row r="388">
      <c r="B388" s="15">
        <f>IFERROR(__xludf.DUMMYFUNCTION("""COMPUTED_VALUE"""),38.6)</f>
        <v>38.6</v>
      </c>
      <c r="C388" s="15">
        <f>IFERROR(__xludf.DUMMYFUNCTION("""COMPUTED_VALUE"""),1.677952138622E12)</f>
        <v>1677952138622</v>
      </c>
      <c r="D388" s="15">
        <f>IFERROR(__xludf.DUMMYFUNCTION("""COMPUTED_VALUE"""),-0.364687821585831)</f>
        <v>-0.3646878216</v>
      </c>
      <c r="E388" s="15">
        <f>IFERROR(__xludf.DUMMYFUNCTION("""COMPUTED_VALUE"""),-0.138313614859266)</f>
        <v>-0.1383136149</v>
      </c>
      <c r="F388" s="15">
        <f>IFERROR(__xludf.DUMMYFUNCTION("""COMPUTED_VALUE"""),-0.0369510671531245)</f>
        <v>-0.03695106715</v>
      </c>
      <c r="G388" s="15">
        <f>IFERROR(__xludf.DUMMYFUNCTION("""COMPUTED_VALUE"""),0.920058017392265)</f>
        <v>0.9200580174</v>
      </c>
      <c r="H388" s="15">
        <f t="shared" si="1"/>
        <v>38509</v>
      </c>
    </row>
    <row r="389">
      <c r="B389" s="15">
        <f>IFERROR(__xludf.DUMMYFUNCTION("""COMPUTED_VALUE"""),38.7)</f>
        <v>38.7</v>
      </c>
      <c r="C389" s="15">
        <f>IFERROR(__xludf.DUMMYFUNCTION("""COMPUTED_VALUE"""),1.677952138667E12)</f>
        <v>1677952138667</v>
      </c>
      <c r="D389" s="15">
        <f>IFERROR(__xludf.DUMMYFUNCTION("""COMPUTED_VALUE"""),-0.461547388865843)</f>
        <v>-0.4615473889</v>
      </c>
      <c r="E389" s="15">
        <f>IFERROR(__xludf.DUMMYFUNCTION("""COMPUTED_VALUE"""),-0.0799847802144181)</f>
        <v>-0.07998478021</v>
      </c>
      <c r="F389" s="15">
        <f>IFERROR(__xludf.DUMMYFUNCTION("""COMPUTED_VALUE"""),0.00251635038973053)</f>
        <v>0.00251635039</v>
      </c>
      <c r="G389" s="15">
        <f>IFERROR(__xludf.DUMMYFUNCTION("""COMPUTED_VALUE"""),0.883498789329044)</f>
        <v>0.8834987893</v>
      </c>
      <c r="H389" s="15">
        <f t="shared" si="1"/>
        <v>38554</v>
      </c>
    </row>
    <row r="390">
      <c r="B390" s="15">
        <f>IFERROR(__xludf.DUMMYFUNCTION("""COMPUTED_VALUE"""),38.8)</f>
        <v>38.8</v>
      </c>
      <c r="C390" s="15">
        <f>IFERROR(__xludf.DUMMYFUNCTION("""COMPUTED_VALUE"""),1.677952138772E12)</f>
        <v>1677952138772</v>
      </c>
      <c r="D390" s="15">
        <f>IFERROR(__xludf.DUMMYFUNCTION("""COMPUTED_VALUE"""),-0.588222122843704)</f>
        <v>-0.5882221228</v>
      </c>
      <c r="E390" s="15">
        <f>IFERROR(__xludf.DUMMYFUNCTION("""COMPUTED_VALUE"""),0.0487501332457343)</f>
        <v>0.04875013325</v>
      </c>
      <c r="F390" s="15">
        <f>IFERROR(__xludf.DUMMYFUNCTION("""COMPUTED_VALUE"""),0.0831444335651603)</f>
        <v>0.08314443357</v>
      </c>
      <c r="G390" s="15">
        <f>IFERROR(__xludf.DUMMYFUNCTION("""COMPUTED_VALUE"""),0.802935341028713)</f>
        <v>0.802935341</v>
      </c>
      <c r="H390" s="15">
        <f t="shared" si="1"/>
        <v>38659</v>
      </c>
    </row>
    <row r="391">
      <c r="B391" s="15">
        <f>IFERROR(__xludf.DUMMYFUNCTION("""COMPUTED_VALUE"""),38.9)</f>
        <v>38.9</v>
      </c>
      <c r="C391" s="15">
        <f>IFERROR(__xludf.DUMMYFUNCTION("""COMPUTED_VALUE"""),1.677952138875E12)</f>
        <v>1677952138875</v>
      </c>
      <c r="D391" s="15">
        <f>IFERROR(__xludf.DUMMYFUNCTION("""COMPUTED_VALUE"""),-0.632115105056272)</f>
        <v>-0.6321151051</v>
      </c>
      <c r="E391" s="15">
        <f>IFERROR(__xludf.DUMMYFUNCTION("""COMPUTED_VALUE"""),0.116621158564061)</f>
        <v>0.1166211586</v>
      </c>
      <c r="F391" s="15">
        <f>IFERROR(__xludf.DUMMYFUNCTION("""COMPUTED_VALUE"""),0.126067348138496)</f>
        <v>0.1260673481</v>
      </c>
      <c r="G391" s="15">
        <f>IFERROR(__xludf.DUMMYFUNCTION("""COMPUTED_VALUE"""),0.755603747388932)</f>
        <v>0.7556037474</v>
      </c>
      <c r="H391" s="15">
        <f t="shared" si="1"/>
        <v>38762</v>
      </c>
    </row>
    <row r="392">
      <c r="B392" s="15">
        <f>IFERROR(__xludf.DUMMYFUNCTION("""COMPUTED_VALUE"""),39.0)</f>
        <v>39</v>
      </c>
      <c r="C392" s="15">
        <f>IFERROR(__xludf.DUMMYFUNCTION("""COMPUTED_VALUE"""),1.677952138977E12)</f>
        <v>1677952138977</v>
      </c>
      <c r="D392" s="15">
        <f>IFERROR(__xludf.DUMMYFUNCTION("""COMPUTED_VALUE"""),-0.652303445170128)</f>
        <v>-0.6523034452</v>
      </c>
      <c r="E392" s="15">
        <f>IFERROR(__xludf.DUMMYFUNCTION("""COMPUTED_VALUE"""),0.192917984304976)</f>
        <v>0.1929179843</v>
      </c>
      <c r="F392" s="15">
        <f>IFERROR(__xludf.DUMMYFUNCTION("""COMPUTED_VALUE"""),0.179429221653068)</f>
        <v>0.1794292217</v>
      </c>
      <c r="G392" s="15">
        <f>IFERROR(__xludf.DUMMYFUNCTION("""COMPUTED_VALUE"""),0.710695448956764)</f>
        <v>0.710695449</v>
      </c>
      <c r="H392" s="15">
        <f t="shared" si="1"/>
        <v>38864</v>
      </c>
    </row>
    <row r="393">
      <c r="B393" s="15">
        <f>IFERROR(__xludf.DUMMYFUNCTION("""COMPUTED_VALUE"""),39.1)</f>
        <v>39.1</v>
      </c>
      <c r="C393" s="15">
        <f>IFERROR(__xludf.DUMMYFUNCTION("""COMPUTED_VALUE"""),1.677952139022E12)</f>
        <v>1677952139022</v>
      </c>
      <c r="D393" s="15">
        <f>IFERROR(__xludf.DUMMYFUNCTION("""COMPUTED_VALUE"""),-0.652303445170128)</f>
        <v>-0.6523034452</v>
      </c>
      <c r="E393" s="15">
        <f>IFERROR(__xludf.DUMMYFUNCTION("""COMPUTED_VALUE"""),0.192917984304976)</f>
        <v>0.1929179843</v>
      </c>
      <c r="F393" s="15">
        <f>IFERROR(__xludf.DUMMYFUNCTION("""COMPUTED_VALUE"""),0.179429221653068)</f>
        <v>0.1794292217</v>
      </c>
      <c r="G393" s="15">
        <f>IFERROR(__xludf.DUMMYFUNCTION("""COMPUTED_VALUE"""),0.710695448956764)</f>
        <v>0.710695449</v>
      </c>
      <c r="H393" s="15">
        <f t="shared" si="1"/>
        <v>38909</v>
      </c>
    </row>
    <row r="394">
      <c r="B394" s="15">
        <f>IFERROR(__xludf.DUMMYFUNCTION("""COMPUTED_VALUE"""),39.2)</f>
        <v>39.2</v>
      </c>
      <c r="C394" s="15">
        <f>IFERROR(__xludf.DUMMYFUNCTION("""COMPUTED_VALUE"""),1.677952139134E12)</f>
        <v>1677952139134</v>
      </c>
      <c r="D394" s="15">
        <f>IFERROR(__xludf.DUMMYFUNCTION("""COMPUTED_VALUE"""),-0.652303445170128)</f>
        <v>-0.6523034452</v>
      </c>
      <c r="E394" s="15">
        <f>IFERROR(__xludf.DUMMYFUNCTION("""COMPUTED_VALUE"""),0.192917984304976)</f>
        <v>0.1929179843</v>
      </c>
      <c r="F394" s="15">
        <f>IFERROR(__xludf.DUMMYFUNCTION("""COMPUTED_VALUE"""),0.179429221653068)</f>
        <v>0.1794292217</v>
      </c>
      <c r="G394" s="15">
        <f>IFERROR(__xludf.DUMMYFUNCTION("""COMPUTED_VALUE"""),0.710695448956764)</f>
        <v>0.710695449</v>
      </c>
      <c r="H394" s="15">
        <f t="shared" si="1"/>
        <v>39021</v>
      </c>
    </row>
    <row r="395">
      <c r="B395" s="15">
        <f>IFERROR(__xludf.DUMMYFUNCTION("""COMPUTED_VALUE"""),39.3)</f>
        <v>39.3</v>
      </c>
      <c r="C395" s="15">
        <f>IFERROR(__xludf.DUMMYFUNCTION("""COMPUTED_VALUE"""),1.677952139264E12)</f>
        <v>1677952139264</v>
      </c>
      <c r="D395" s="15">
        <f>IFERROR(__xludf.DUMMYFUNCTION("""COMPUTED_VALUE"""),-0.667639769507136)</f>
        <v>-0.6676397695</v>
      </c>
      <c r="E395" s="15">
        <f>IFERROR(__xludf.DUMMYFUNCTION("""COMPUTED_VALUE"""),0.134463432205695)</f>
        <v>0.1344634322</v>
      </c>
      <c r="F395" s="15">
        <f>IFERROR(__xludf.DUMMYFUNCTION("""COMPUTED_VALUE"""),0.124284762680625)</f>
        <v>0.1242847627</v>
      </c>
      <c r="G395" s="15">
        <f>IFERROR(__xludf.DUMMYFUNCTION("""COMPUTED_VALUE"""),0.721616256286774)</f>
        <v>0.7216162563</v>
      </c>
      <c r="H395" s="15">
        <f t="shared" si="1"/>
        <v>39151</v>
      </c>
    </row>
    <row r="396">
      <c r="B396" s="15">
        <f>IFERROR(__xludf.DUMMYFUNCTION("""COMPUTED_VALUE"""),39.4)</f>
        <v>39.4</v>
      </c>
      <c r="C396" s="15">
        <f>IFERROR(__xludf.DUMMYFUNCTION("""COMPUTED_VALUE"""),1.677952139347E12)</f>
        <v>1677952139347</v>
      </c>
      <c r="D396" s="15">
        <f>IFERROR(__xludf.DUMMYFUNCTION("""COMPUTED_VALUE"""),-0.705590953272216)</f>
        <v>-0.7055909533</v>
      </c>
      <c r="E396" s="15">
        <f>IFERROR(__xludf.DUMMYFUNCTION("""COMPUTED_VALUE"""),-0.0249720523133762)</f>
        <v>-0.02497205231</v>
      </c>
      <c r="F396" s="15">
        <f>IFERROR(__xludf.DUMMYFUNCTION("""COMPUTED_VALUE"""),-0.0373070125983115)</f>
        <v>-0.0373070126</v>
      </c>
      <c r="G396" s="15">
        <f>IFERROR(__xludf.DUMMYFUNCTION("""COMPUTED_VALUE"""),0.707195864011272)</f>
        <v>0.707195864</v>
      </c>
      <c r="H396" s="15">
        <f t="shared" si="1"/>
        <v>39234</v>
      </c>
    </row>
    <row r="397">
      <c r="B397" s="15">
        <f>IFERROR(__xludf.DUMMYFUNCTION("""COMPUTED_VALUE"""),39.5)</f>
        <v>39.5</v>
      </c>
      <c r="C397" s="15">
        <f>IFERROR(__xludf.DUMMYFUNCTION("""COMPUTED_VALUE"""),1.677952139434E12)</f>
        <v>1677952139434</v>
      </c>
      <c r="D397" s="15">
        <f>IFERROR(__xludf.DUMMYFUNCTION("""COMPUTED_VALUE"""),-0.644566279186008)</f>
        <v>-0.6445662792</v>
      </c>
      <c r="E397" s="15">
        <f>IFERROR(__xludf.DUMMYFUNCTION("""COMPUTED_VALUE"""),-0.20077376059049)</f>
        <v>-0.2007737606</v>
      </c>
      <c r="F397" s="15">
        <f>IFERROR(__xludf.DUMMYFUNCTION("""COMPUTED_VALUE"""),-0.22082288382723)</f>
        <v>-0.2208228838</v>
      </c>
      <c r="G397" s="15">
        <f>IFERROR(__xludf.DUMMYFUNCTION("""COMPUTED_VALUE"""),0.70389023488956)</f>
        <v>0.7038902349</v>
      </c>
      <c r="H397" s="15">
        <f t="shared" si="1"/>
        <v>39321</v>
      </c>
    </row>
    <row r="398">
      <c r="B398" s="15">
        <f>IFERROR(__xludf.DUMMYFUNCTION("""COMPUTED_VALUE"""),39.6)</f>
        <v>39.6</v>
      </c>
      <c r="C398" s="15">
        <f>IFERROR(__xludf.DUMMYFUNCTION("""COMPUTED_VALUE"""),1.677952139539E12)</f>
        <v>1677952139539</v>
      </c>
      <c r="D398" s="15">
        <f>IFERROR(__xludf.DUMMYFUNCTION("""COMPUTED_VALUE"""),-0.497948500402491)</f>
        <v>-0.4979485004</v>
      </c>
      <c r="E398" s="15">
        <f>IFERROR(__xludf.DUMMYFUNCTION("""COMPUTED_VALUE"""),-0.321501296353341)</f>
        <v>-0.3215012964</v>
      </c>
      <c r="F398" s="15">
        <f>IFERROR(__xludf.DUMMYFUNCTION("""COMPUTED_VALUE"""),-0.378607183392439)</f>
        <v>-0.3786071834</v>
      </c>
      <c r="G398" s="15">
        <f>IFERROR(__xludf.DUMMYFUNCTION("""COMPUTED_VALUE"""),0.710873271458192)</f>
        <v>0.7108732715</v>
      </c>
      <c r="H398" s="15">
        <f t="shared" si="1"/>
        <v>39426</v>
      </c>
    </row>
    <row r="399">
      <c r="B399" s="15">
        <f>IFERROR(__xludf.DUMMYFUNCTION("""COMPUTED_VALUE"""),39.7)</f>
        <v>39.7</v>
      </c>
      <c r="C399" s="15">
        <f>IFERROR(__xludf.DUMMYFUNCTION("""COMPUTED_VALUE"""),1.677952139623E12)</f>
        <v>1677952139623</v>
      </c>
      <c r="D399" s="15">
        <f>IFERROR(__xludf.DUMMYFUNCTION("""COMPUTED_VALUE"""),-0.492164210633621)</f>
        <v>-0.4921642106</v>
      </c>
      <c r="E399" s="15">
        <f>IFERROR(__xludf.DUMMYFUNCTION("""COMPUTED_VALUE"""),-0.325585247469378)</f>
        <v>-0.3255852475</v>
      </c>
      <c r="F399" s="15">
        <f>IFERROR(__xludf.DUMMYFUNCTION("""COMPUTED_VALUE"""),-0.383765931368171)</f>
        <v>-0.3837659314</v>
      </c>
      <c r="G399" s="15">
        <f>IFERROR(__xludf.DUMMYFUNCTION("""COMPUTED_VALUE"""),0.710276246486398)</f>
        <v>0.7102762465</v>
      </c>
      <c r="H399" s="15">
        <f t="shared" si="1"/>
        <v>39510</v>
      </c>
    </row>
    <row r="400">
      <c r="B400" s="15">
        <f>IFERROR(__xludf.DUMMYFUNCTION("""COMPUTED_VALUE"""),39.8)</f>
        <v>39.8</v>
      </c>
      <c r="C400" s="15">
        <f>IFERROR(__xludf.DUMMYFUNCTION("""COMPUTED_VALUE"""),1.677952139727E12)</f>
        <v>1677952139727</v>
      </c>
      <c r="D400" s="15">
        <f>IFERROR(__xludf.DUMMYFUNCTION("""COMPUTED_VALUE"""),-0.492164210633621)</f>
        <v>-0.4921642106</v>
      </c>
      <c r="E400" s="15">
        <f>IFERROR(__xludf.DUMMYFUNCTION("""COMPUTED_VALUE"""),-0.325585247469378)</f>
        <v>-0.3255852475</v>
      </c>
      <c r="F400" s="15">
        <f>IFERROR(__xludf.DUMMYFUNCTION("""COMPUTED_VALUE"""),-0.383765931368171)</f>
        <v>-0.3837659314</v>
      </c>
      <c r="G400" s="15">
        <f>IFERROR(__xludf.DUMMYFUNCTION("""COMPUTED_VALUE"""),0.710276246486398)</f>
        <v>0.7102762465</v>
      </c>
      <c r="H400" s="15">
        <f t="shared" si="1"/>
        <v>39614</v>
      </c>
    </row>
    <row r="401">
      <c r="B401" s="15">
        <f>IFERROR(__xludf.DUMMYFUNCTION("""COMPUTED_VALUE"""),39.9)</f>
        <v>39.9</v>
      </c>
      <c r="C401" s="15">
        <f>IFERROR(__xludf.DUMMYFUNCTION("""COMPUTED_VALUE"""),1.677952139835E12)</f>
        <v>1677952139835</v>
      </c>
      <c r="D401" s="15">
        <f>IFERROR(__xludf.DUMMYFUNCTION("""COMPUTED_VALUE"""),-0.678707107435132)</f>
        <v>-0.6787071074</v>
      </c>
      <c r="E401" s="15">
        <f>IFERROR(__xludf.DUMMYFUNCTION("""COMPUTED_VALUE"""),0.244530789100399)</f>
        <v>0.2445307891</v>
      </c>
      <c r="F401" s="15">
        <f>IFERROR(__xludf.DUMMYFUNCTION("""COMPUTED_VALUE"""),0.111250859150394)</f>
        <v>0.1112508592</v>
      </c>
      <c r="G401" s="15">
        <f>IFERROR(__xludf.DUMMYFUNCTION("""COMPUTED_VALUE"""),0.683509035666148)</f>
        <v>0.6835090357</v>
      </c>
      <c r="H401" s="15">
        <f t="shared" si="1"/>
        <v>39722</v>
      </c>
    </row>
    <row r="402">
      <c r="B402" s="15">
        <f>IFERROR(__xludf.DUMMYFUNCTION("""COMPUTED_VALUE"""),40.0)</f>
        <v>40</v>
      </c>
      <c r="C402" s="15">
        <f>IFERROR(__xludf.DUMMYFUNCTION("""COMPUTED_VALUE"""),1.677952140001E12)</f>
        <v>1677952140001</v>
      </c>
      <c r="D402" s="15">
        <f>IFERROR(__xludf.DUMMYFUNCTION("""COMPUTED_VALUE"""),-0.581314314574835)</f>
        <v>-0.5813143146</v>
      </c>
      <c r="E402" s="15">
        <f>IFERROR(__xludf.DUMMYFUNCTION("""COMPUTED_VALUE"""),0.143680950582242)</f>
        <v>0.1436809506</v>
      </c>
      <c r="F402" s="15">
        <f>IFERROR(__xludf.DUMMYFUNCTION("""COMPUTED_VALUE"""),0.0656555217416834)</f>
        <v>0.06565552174</v>
      </c>
      <c r="G402" s="15">
        <f>IFERROR(__xludf.DUMMYFUNCTION("""COMPUTED_VALUE"""),0.798197221603156)</f>
        <v>0.7981972216</v>
      </c>
      <c r="H402" s="15">
        <f t="shared" si="1"/>
        <v>39888</v>
      </c>
    </row>
    <row r="403">
      <c r="B403" s="15">
        <f>IFERROR(__xludf.DUMMYFUNCTION("""COMPUTED_VALUE"""),40.1)</f>
        <v>40.1</v>
      </c>
      <c r="C403" s="15">
        <f>IFERROR(__xludf.DUMMYFUNCTION("""COMPUTED_VALUE"""),1.677952140073E12)</f>
        <v>1677952140073</v>
      </c>
      <c r="D403" s="15">
        <f>IFERROR(__xludf.DUMMYFUNCTION("""COMPUTED_VALUE"""),-0.557522805258931)</f>
        <v>-0.5575228053</v>
      </c>
      <c r="E403" s="15">
        <f>IFERROR(__xludf.DUMMYFUNCTION("""COMPUTED_VALUE"""),0.119647117450714)</f>
        <v>0.1196471175</v>
      </c>
      <c r="F403" s="15">
        <f>IFERROR(__xludf.DUMMYFUNCTION("""COMPUTED_VALUE"""),0.0540116371037276)</f>
        <v>0.0540116371</v>
      </c>
      <c r="G403" s="15">
        <f>IFERROR(__xludf.DUMMYFUNCTION("""COMPUTED_VALUE"""),0.819716799851826)</f>
        <v>0.8197167999</v>
      </c>
      <c r="H403" s="15">
        <f t="shared" si="1"/>
        <v>39960</v>
      </c>
    </row>
    <row r="404">
      <c r="B404" s="15">
        <f>IFERROR(__xludf.DUMMYFUNCTION("""COMPUTED_VALUE"""),40.2)</f>
        <v>40.2</v>
      </c>
      <c r="C404" s="15">
        <f>IFERROR(__xludf.DUMMYFUNCTION("""COMPUTED_VALUE"""),1.677952140135E12)</f>
        <v>1677952140135</v>
      </c>
      <c r="D404" s="15">
        <f>IFERROR(__xludf.DUMMYFUNCTION("""COMPUTED_VALUE"""),-0.557730609064963)</f>
        <v>-0.5577306091</v>
      </c>
      <c r="E404" s="15">
        <f>IFERROR(__xludf.DUMMYFUNCTION("""COMPUTED_VALUE"""),0.116427182921386)</f>
        <v>0.1164271829</v>
      </c>
      <c r="F404" s="15">
        <f>IFERROR(__xludf.DUMMYFUNCTION("""COMPUTED_VALUE"""),0.0518218393965111)</f>
        <v>0.0518218394</v>
      </c>
      <c r="G404" s="15">
        <f>IFERROR(__xludf.DUMMYFUNCTION("""COMPUTED_VALUE"""),0.820180331238548)</f>
        <v>0.8201803312</v>
      </c>
      <c r="H404" s="15">
        <f t="shared" si="1"/>
        <v>40022</v>
      </c>
    </row>
    <row r="405">
      <c r="B405" s="15">
        <f>IFERROR(__xludf.DUMMYFUNCTION("""COMPUTED_VALUE"""),40.3)</f>
        <v>40.3</v>
      </c>
      <c r="C405" s="15">
        <f>IFERROR(__xludf.DUMMYFUNCTION("""COMPUTED_VALUE"""),1.677952140231E12)</f>
        <v>1677952140231</v>
      </c>
      <c r="D405" s="15">
        <f>IFERROR(__xludf.DUMMYFUNCTION("""COMPUTED_VALUE"""),-0.557730609064963)</f>
        <v>-0.5577306091</v>
      </c>
      <c r="E405" s="15">
        <f>IFERROR(__xludf.DUMMYFUNCTION("""COMPUTED_VALUE"""),0.116427182921386)</f>
        <v>0.1164271829</v>
      </c>
      <c r="F405" s="15">
        <f>IFERROR(__xludf.DUMMYFUNCTION("""COMPUTED_VALUE"""),0.0518218393965111)</f>
        <v>0.0518218394</v>
      </c>
      <c r="G405" s="15">
        <f>IFERROR(__xludf.DUMMYFUNCTION("""COMPUTED_VALUE"""),0.820180331238548)</f>
        <v>0.8201803312</v>
      </c>
      <c r="H405" s="15">
        <f t="shared" si="1"/>
        <v>40118</v>
      </c>
    </row>
    <row r="406">
      <c r="B406" s="15">
        <f>IFERROR(__xludf.DUMMYFUNCTION("""COMPUTED_VALUE"""),40.4)</f>
        <v>40.4</v>
      </c>
      <c r="C406" s="15">
        <f>IFERROR(__xludf.DUMMYFUNCTION("""COMPUTED_VALUE"""),1.677952140368E12)</f>
        <v>1677952140368</v>
      </c>
      <c r="D406" s="15">
        <f>IFERROR(__xludf.DUMMYFUNCTION("""COMPUTED_VALUE"""),-0.537079488666426)</f>
        <v>-0.5370794887</v>
      </c>
      <c r="E406" s="15">
        <f>IFERROR(__xludf.DUMMYFUNCTION("""COMPUTED_VALUE"""),0.0664530858649711)</f>
        <v>0.06645308586</v>
      </c>
      <c r="F406" s="15">
        <f>IFERROR(__xludf.DUMMYFUNCTION("""COMPUTED_VALUE"""),0.0221182606616008)</f>
        <v>0.02211826066</v>
      </c>
      <c r="G406" s="15">
        <f>IFERROR(__xludf.DUMMYFUNCTION("""COMPUTED_VALUE"""),0.840619053304251)</f>
        <v>0.8406190533</v>
      </c>
      <c r="H406" s="15">
        <f t="shared" si="1"/>
        <v>40255</v>
      </c>
    </row>
    <row r="407">
      <c r="B407" s="15">
        <f>IFERROR(__xludf.DUMMYFUNCTION("""COMPUTED_VALUE"""),40.5)</f>
        <v>40.5</v>
      </c>
      <c r="C407" s="15">
        <f>IFERROR(__xludf.DUMMYFUNCTION("""COMPUTED_VALUE"""),1.677952140462E12)</f>
        <v>1677952140462</v>
      </c>
      <c r="D407" s="15">
        <f>IFERROR(__xludf.DUMMYFUNCTION("""COMPUTED_VALUE"""),-0.484110366329222)</f>
        <v>-0.4841103663</v>
      </c>
      <c r="E407" s="15">
        <f>IFERROR(__xludf.DUMMYFUNCTION("""COMPUTED_VALUE"""),-0.10399625599983)</f>
        <v>-0.103996256</v>
      </c>
      <c r="F407" s="15">
        <f>IFERROR(__xludf.DUMMYFUNCTION("""COMPUTED_VALUE"""),-0.0804556534244261)</f>
        <v>-0.08045565342</v>
      </c>
      <c r="G407" s="15">
        <f>IFERROR(__xludf.DUMMYFUNCTION("""COMPUTED_VALUE"""),0.865071569167921)</f>
        <v>0.8650715692</v>
      </c>
      <c r="H407" s="15">
        <f t="shared" si="1"/>
        <v>40349</v>
      </c>
    </row>
    <row r="408">
      <c r="B408" s="15">
        <f>IFERROR(__xludf.DUMMYFUNCTION("""COMPUTED_VALUE"""),40.6)</f>
        <v>40.6</v>
      </c>
      <c r="C408" s="15">
        <f>IFERROR(__xludf.DUMMYFUNCTION("""COMPUTED_VALUE"""),1.677952140562E12)</f>
        <v>1677952140562</v>
      </c>
      <c r="D408" s="15">
        <f>IFERROR(__xludf.DUMMYFUNCTION("""COMPUTED_VALUE"""),-0.450024321069254)</f>
        <v>-0.4500243211</v>
      </c>
      <c r="E408" s="15">
        <f>IFERROR(__xludf.DUMMYFUNCTION("""COMPUTED_VALUE"""),-0.296688380652153)</f>
        <v>-0.2966883807</v>
      </c>
      <c r="F408" s="15">
        <f>IFERROR(__xludf.DUMMYFUNCTION("""COMPUTED_VALUE"""),-0.187453793770703)</f>
        <v>-0.1874537938</v>
      </c>
      <c r="G408" s="15">
        <f>IFERROR(__xludf.DUMMYFUNCTION("""COMPUTED_VALUE"""),0.821166968669057)</f>
        <v>0.8211669687</v>
      </c>
      <c r="H408" s="15">
        <f t="shared" si="1"/>
        <v>40449</v>
      </c>
    </row>
    <row r="409">
      <c r="B409" s="15">
        <f>IFERROR(__xludf.DUMMYFUNCTION("""COMPUTED_VALUE"""),40.7)</f>
        <v>40.7</v>
      </c>
      <c r="C409" s="15">
        <f>IFERROR(__xludf.DUMMYFUNCTION("""COMPUTED_VALUE"""),1.677952140676E12)</f>
        <v>1677952140676</v>
      </c>
      <c r="D409" s="15">
        <f>IFERROR(__xludf.DUMMYFUNCTION("""COMPUTED_VALUE"""),-0.425238877121053)</f>
        <v>-0.4252388771</v>
      </c>
      <c r="E409" s="15">
        <f>IFERROR(__xludf.DUMMYFUNCTION("""COMPUTED_VALUE"""),-0.411296967021663)</f>
        <v>-0.411296967</v>
      </c>
      <c r="F409" s="15">
        <f>IFERROR(__xludf.DUMMYFUNCTION("""COMPUTED_VALUE"""),-0.24591374568619)</f>
        <v>-0.2459137457</v>
      </c>
      <c r="G409" s="15">
        <f>IFERROR(__xludf.DUMMYFUNCTION("""COMPUTED_VALUE"""),0.76781060945144)</f>
        <v>0.7678106095</v>
      </c>
      <c r="H409" s="15">
        <f t="shared" si="1"/>
        <v>40563</v>
      </c>
    </row>
    <row r="410">
      <c r="B410" s="15">
        <f>IFERROR(__xludf.DUMMYFUNCTION("""COMPUTED_VALUE"""),40.8)</f>
        <v>40.8</v>
      </c>
      <c r="C410" s="15">
        <f>IFERROR(__xludf.DUMMYFUNCTION("""COMPUTED_VALUE"""),1.677952140727E12)</f>
        <v>1677952140727</v>
      </c>
      <c r="D410" s="15">
        <f>IFERROR(__xludf.DUMMYFUNCTION("""COMPUTED_VALUE"""),-0.424269899756223)</f>
        <v>-0.4242698998</v>
      </c>
      <c r="E410" s="15">
        <f>IFERROR(__xludf.DUMMYFUNCTION("""COMPUTED_VALUE"""),-0.414308973040863)</f>
        <v>-0.414308973</v>
      </c>
      <c r="F410" s="15">
        <f>IFERROR(__xludf.DUMMYFUNCTION("""COMPUTED_VALUE"""),-0.247581754362939)</f>
        <v>-0.2475817544</v>
      </c>
      <c r="G410" s="15">
        <f>IFERROR(__xludf.DUMMYFUNCTION("""COMPUTED_VALUE"""),0.766189533943943)</f>
        <v>0.7661895339</v>
      </c>
      <c r="H410" s="15">
        <f t="shared" si="1"/>
        <v>40614</v>
      </c>
    </row>
    <row r="411">
      <c r="B411" s="15">
        <f>IFERROR(__xludf.DUMMYFUNCTION("""COMPUTED_VALUE"""),40.9)</f>
        <v>40.9</v>
      </c>
      <c r="C411" s="15">
        <f>IFERROR(__xludf.DUMMYFUNCTION("""COMPUTED_VALUE"""),1.677952140823E12)</f>
        <v>1677952140823</v>
      </c>
      <c r="D411" s="15">
        <f>IFERROR(__xludf.DUMMYFUNCTION("""COMPUTED_VALUE"""),-0.424269899756223)</f>
        <v>-0.4242698998</v>
      </c>
      <c r="E411" s="15">
        <f>IFERROR(__xludf.DUMMYFUNCTION("""COMPUTED_VALUE"""),-0.414308973040863)</f>
        <v>-0.414308973</v>
      </c>
      <c r="F411" s="15">
        <f>IFERROR(__xludf.DUMMYFUNCTION("""COMPUTED_VALUE"""),-0.247581754362939)</f>
        <v>-0.2475817544</v>
      </c>
      <c r="G411" s="15">
        <f>IFERROR(__xludf.DUMMYFUNCTION("""COMPUTED_VALUE"""),0.766189533943943)</f>
        <v>0.7661895339</v>
      </c>
      <c r="H411" s="15">
        <f t="shared" si="1"/>
        <v>40710</v>
      </c>
    </row>
    <row r="412">
      <c r="B412" s="15">
        <f>IFERROR(__xludf.DUMMYFUNCTION("""COMPUTED_VALUE"""),41.0)</f>
        <v>41</v>
      </c>
      <c r="C412" s="15">
        <f>IFERROR(__xludf.DUMMYFUNCTION("""COMPUTED_VALUE"""),1.677952140942E12)</f>
        <v>1677952140942</v>
      </c>
      <c r="D412" s="15">
        <f>IFERROR(__xludf.DUMMYFUNCTION("""COMPUTED_VALUE"""),-0.424269899756223)</f>
        <v>-0.4242698998</v>
      </c>
      <c r="E412" s="15">
        <f>IFERROR(__xludf.DUMMYFUNCTION("""COMPUTED_VALUE"""),-0.414308973040863)</f>
        <v>-0.414308973</v>
      </c>
      <c r="F412" s="15">
        <f>IFERROR(__xludf.DUMMYFUNCTION("""COMPUTED_VALUE"""),-0.247581754362939)</f>
        <v>-0.2475817544</v>
      </c>
      <c r="G412" s="15">
        <f>IFERROR(__xludf.DUMMYFUNCTION("""COMPUTED_VALUE"""),0.766189533943943)</f>
        <v>0.7661895339</v>
      </c>
      <c r="H412" s="15">
        <f t="shared" si="1"/>
        <v>40829</v>
      </c>
    </row>
    <row r="413">
      <c r="B413" s="15">
        <f>IFERROR(__xludf.DUMMYFUNCTION("""COMPUTED_VALUE"""),41.1)</f>
        <v>41.1</v>
      </c>
      <c r="C413" s="15">
        <f>IFERROR(__xludf.DUMMYFUNCTION("""COMPUTED_VALUE"""),1.677952141055E12)</f>
        <v>1677952141055</v>
      </c>
      <c r="D413" s="15">
        <f>IFERROR(__xludf.DUMMYFUNCTION("""COMPUTED_VALUE"""),-0.325647471778013)</f>
        <v>-0.3256474718</v>
      </c>
      <c r="E413" s="15">
        <f>IFERROR(__xludf.DUMMYFUNCTION("""COMPUTED_VALUE"""),-0.420103118699727)</f>
        <v>-0.4201031187</v>
      </c>
      <c r="F413" s="15">
        <f>IFERROR(__xludf.DUMMYFUNCTION("""COMPUTED_VALUE"""),-0.311379216604787)</f>
        <v>-0.3113792166</v>
      </c>
      <c r="G413" s="15">
        <f>IFERROR(__xludf.DUMMYFUNCTION("""COMPUTED_VALUE"""),0.787724620187752)</f>
        <v>0.7877246202</v>
      </c>
      <c r="H413" s="15">
        <f t="shared" si="1"/>
        <v>40942</v>
      </c>
    </row>
    <row r="414">
      <c r="B414" s="15">
        <f>IFERROR(__xludf.DUMMYFUNCTION("""COMPUTED_VALUE"""),41.2)</f>
        <v>41.2</v>
      </c>
      <c r="C414" s="15">
        <f>IFERROR(__xludf.DUMMYFUNCTION("""COMPUTED_VALUE"""),1.677952141162E12)</f>
        <v>1677952141162</v>
      </c>
      <c r="D414" s="15">
        <f>IFERROR(__xludf.DUMMYFUNCTION("""COMPUTED_VALUE"""),-0.0600090967894429)</f>
        <v>-0.06000909679</v>
      </c>
      <c r="E414" s="15">
        <f>IFERROR(__xludf.DUMMYFUNCTION("""COMPUTED_VALUE"""),-0.403838804050499)</f>
        <v>-0.4038388041</v>
      </c>
      <c r="F414" s="15">
        <f>IFERROR(__xludf.DUMMYFUNCTION("""COMPUTED_VALUE"""),-0.449767900504397)</f>
        <v>-0.4497679005</v>
      </c>
      <c r="G414" s="15">
        <f>IFERROR(__xludf.DUMMYFUNCTION("""COMPUTED_VALUE"""),0.794368909463004)</f>
        <v>0.7943689095</v>
      </c>
      <c r="H414" s="15">
        <f t="shared" si="1"/>
        <v>41049</v>
      </c>
    </row>
    <row r="415">
      <c r="B415" s="15">
        <f>IFERROR(__xludf.DUMMYFUNCTION("""COMPUTED_VALUE"""),41.3)</f>
        <v>41.3</v>
      </c>
      <c r="C415" s="15">
        <f>IFERROR(__xludf.DUMMYFUNCTION("""COMPUTED_VALUE"""),1.677952141248E12)</f>
        <v>1677952141248</v>
      </c>
      <c r="D415" s="15">
        <f>IFERROR(__xludf.DUMMYFUNCTION("""COMPUTED_VALUE"""),0.0352362199660803)</f>
        <v>0.03523621997</v>
      </c>
      <c r="E415" s="15">
        <f>IFERROR(__xludf.DUMMYFUNCTION("""COMPUTED_VALUE"""),-0.380580165570385)</f>
        <v>-0.3805801656</v>
      </c>
      <c r="F415" s="15">
        <f>IFERROR(__xludf.DUMMYFUNCTION("""COMPUTED_VALUE"""),-0.490533814139158)</f>
        <v>-0.4905338141</v>
      </c>
      <c r="G415" s="15">
        <f>IFERROR(__xludf.DUMMYFUNCTION("""COMPUTED_VALUE"""),0.783130719332991)</f>
        <v>0.7831307193</v>
      </c>
      <c r="H415" s="15">
        <f t="shared" si="1"/>
        <v>41135</v>
      </c>
    </row>
    <row r="416">
      <c r="B416" s="15">
        <f>IFERROR(__xludf.DUMMYFUNCTION("""COMPUTED_VALUE"""),41.4)</f>
        <v>41.4</v>
      </c>
      <c r="C416" s="15">
        <f>IFERROR(__xludf.DUMMYFUNCTION("""COMPUTED_VALUE"""),1.677952141357E12)</f>
        <v>1677952141357</v>
      </c>
      <c r="D416" s="15">
        <f>IFERROR(__xludf.DUMMYFUNCTION("""COMPUTED_VALUE"""),0.101515257532982)</f>
        <v>0.1015152575</v>
      </c>
      <c r="E416" s="15">
        <f>IFERROR(__xludf.DUMMYFUNCTION("""COMPUTED_VALUE"""),-0.341954530960675)</f>
        <v>-0.341954531</v>
      </c>
      <c r="F416" s="15">
        <f>IFERROR(__xludf.DUMMYFUNCTION("""COMPUTED_VALUE"""),-0.520146589481292)</f>
        <v>-0.5201465895</v>
      </c>
      <c r="G416" s="15">
        <f>IFERROR(__xludf.DUMMYFUNCTION("""COMPUTED_VALUE"""),0.776021440872901)</f>
        <v>0.7760214409</v>
      </c>
      <c r="H416" s="15">
        <f t="shared" si="1"/>
        <v>41244</v>
      </c>
    </row>
    <row r="417">
      <c r="B417" s="15">
        <f>IFERROR(__xludf.DUMMYFUNCTION("""COMPUTED_VALUE"""),41.5)</f>
        <v>41.5</v>
      </c>
      <c r="C417" s="15">
        <f>IFERROR(__xludf.DUMMYFUNCTION("""COMPUTED_VALUE"""),1.677952141462E12)</f>
        <v>1677952141462</v>
      </c>
      <c r="D417" s="15">
        <f>IFERROR(__xludf.DUMMYFUNCTION("""COMPUTED_VALUE"""),0.0787386391003572)</f>
        <v>0.0787386391</v>
      </c>
      <c r="E417" s="15">
        <f>IFERROR(__xludf.DUMMYFUNCTION("""COMPUTED_VALUE"""),-0.294742973826419)</f>
        <v>-0.2947429738</v>
      </c>
      <c r="F417" s="15">
        <f>IFERROR(__xludf.DUMMYFUNCTION("""COMPUTED_VALUE"""),-0.527892504741224)</f>
        <v>-0.5278925047</v>
      </c>
      <c r="G417" s="15">
        <f>IFERROR(__xludf.DUMMYFUNCTION("""COMPUTED_VALUE"""),0.792626210474153)</f>
        <v>0.7926262105</v>
      </c>
      <c r="H417" s="15">
        <f t="shared" si="1"/>
        <v>41349</v>
      </c>
    </row>
    <row r="418">
      <c r="B418" s="15">
        <f>IFERROR(__xludf.DUMMYFUNCTION("""COMPUTED_VALUE"""),41.6)</f>
        <v>41.6</v>
      </c>
      <c r="C418" s="15">
        <f>IFERROR(__xludf.DUMMYFUNCTION("""COMPUTED_VALUE"""),1.677952141527E12)</f>
        <v>1677952141527</v>
      </c>
      <c r="D418" s="15">
        <f>IFERROR(__xludf.DUMMYFUNCTION("""COMPUTED_VALUE"""),0.0245595899195616)</f>
        <v>0.02455958992</v>
      </c>
      <c r="E418" s="15">
        <f>IFERROR(__xludf.DUMMYFUNCTION("""COMPUTED_VALUE"""),-0.226190674427232)</f>
        <v>-0.2261906744</v>
      </c>
      <c r="F418" s="15">
        <f>IFERROR(__xludf.DUMMYFUNCTION("""COMPUTED_VALUE"""),-0.530560954339158)</f>
        <v>-0.5305609543</v>
      </c>
      <c r="G418" s="15">
        <f>IFERROR(__xludf.DUMMYFUNCTION("""COMPUTED_VALUE"""),0.816541290490478)</f>
        <v>0.8165412905</v>
      </c>
      <c r="H418" s="15">
        <f t="shared" si="1"/>
        <v>41414</v>
      </c>
    </row>
    <row r="419">
      <c r="B419" s="15">
        <f>IFERROR(__xludf.DUMMYFUNCTION("""COMPUTED_VALUE"""),41.7)</f>
        <v>41.7</v>
      </c>
      <c r="C419" s="15">
        <f>IFERROR(__xludf.DUMMYFUNCTION("""COMPUTED_VALUE"""),1.677952141656E12)</f>
        <v>1677952141656</v>
      </c>
      <c r="D419" s="15">
        <f>IFERROR(__xludf.DUMMYFUNCTION("""COMPUTED_VALUE"""),-0.0685234559121157)</f>
        <v>-0.06852345591</v>
      </c>
      <c r="E419" s="15">
        <f>IFERROR(__xludf.DUMMYFUNCTION("""COMPUTED_VALUE"""),-0.180461781509826)</f>
        <v>-0.1804617815</v>
      </c>
      <c r="F419" s="15">
        <f>IFERROR(__xludf.DUMMYFUNCTION("""COMPUTED_VALUE"""),-0.518559831363547)</f>
        <v>-0.5185598314</v>
      </c>
      <c r="G419" s="15">
        <f>IFERROR(__xludf.DUMMYFUNCTION("""COMPUTED_VALUE"""),0.832966855703375)</f>
        <v>0.8329668557</v>
      </c>
      <c r="H419" s="15">
        <f t="shared" si="1"/>
        <v>41543</v>
      </c>
    </row>
    <row r="420">
      <c r="B420" s="15">
        <f>IFERROR(__xludf.DUMMYFUNCTION("""COMPUTED_VALUE"""),41.8)</f>
        <v>41.8</v>
      </c>
      <c r="C420" s="15">
        <f>IFERROR(__xludf.DUMMYFUNCTION("""COMPUTED_VALUE"""),1.677952141743E12)</f>
        <v>1677952141743</v>
      </c>
      <c r="D420" s="15">
        <f>IFERROR(__xludf.DUMMYFUNCTION("""COMPUTED_VALUE"""),-0.134562285999976)</f>
        <v>-0.134562286</v>
      </c>
      <c r="E420" s="15">
        <f>IFERROR(__xludf.DUMMYFUNCTION("""COMPUTED_VALUE"""),-0.175817808179144)</f>
        <v>-0.1758178082</v>
      </c>
      <c r="F420" s="15">
        <f>IFERROR(__xludf.DUMMYFUNCTION("""COMPUTED_VALUE"""),-0.505185260434591)</f>
        <v>-0.5051852604</v>
      </c>
      <c r="G420" s="15">
        <f>IFERROR(__xludf.DUMMYFUNCTION("""COMPUTED_VALUE"""),0.834127653391958)</f>
        <v>0.8341276534</v>
      </c>
      <c r="H420" s="15">
        <f t="shared" si="1"/>
        <v>41630</v>
      </c>
    </row>
    <row r="421">
      <c r="B421" s="15">
        <f>IFERROR(__xludf.DUMMYFUNCTION("""COMPUTED_VALUE"""),41.9)</f>
        <v>41.9</v>
      </c>
      <c r="C421" s="15">
        <f>IFERROR(__xludf.DUMMYFUNCTION("""COMPUTED_VALUE"""),1.677952141853E12)</f>
        <v>1677952141853</v>
      </c>
      <c r="D421" s="15">
        <f>IFERROR(__xludf.DUMMYFUNCTION("""COMPUTED_VALUE"""),-0.236772306165308)</f>
        <v>-0.2367723062</v>
      </c>
      <c r="E421" s="15">
        <f>IFERROR(__xludf.DUMMYFUNCTION("""COMPUTED_VALUE"""),-0.254297336860096)</f>
        <v>-0.2542973369</v>
      </c>
      <c r="F421" s="15">
        <f>IFERROR(__xludf.DUMMYFUNCTION("""COMPUTED_VALUE"""),-0.48080869052285)</f>
        <v>-0.4808086905</v>
      </c>
      <c r="G421" s="15">
        <f>IFERROR(__xludf.DUMMYFUNCTION("""COMPUTED_VALUE"""),0.805043317230026)</f>
        <v>0.8050433172</v>
      </c>
      <c r="H421" s="15">
        <f t="shared" si="1"/>
        <v>41740</v>
      </c>
    </row>
    <row r="422">
      <c r="B422" s="15">
        <f>IFERROR(__xludf.DUMMYFUNCTION("""COMPUTED_VALUE"""),42.0)</f>
        <v>42</v>
      </c>
      <c r="C422" s="15">
        <f>IFERROR(__xludf.DUMMYFUNCTION("""COMPUTED_VALUE"""),1.677952141939E12)</f>
        <v>1677952141939</v>
      </c>
      <c r="D422" s="15">
        <f>IFERROR(__xludf.DUMMYFUNCTION("""COMPUTED_VALUE"""),-0.284163669436376)</f>
        <v>-0.2841636694</v>
      </c>
      <c r="E422" s="15">
        <f>IFERROR(__xludf.DUMMYFUNCTION("""COMPUTED_VALUE"""),-0.349864289533479)</f>
        <v>-0.3498642895</v>
      </c>
      <c r="F422" s="15">
        <f>IFERROR(__xludf.DUMMYFUNCTION("""COMPUTED_VALUE"""),-0.46838581448386)</f>
        <v>-0.4683858145</v>
      </c>
      <c r="G422" s="15">
        <f>IFERROR(__xludf.DUMMYFUNCTION("""COMPUTED_VALUE"""),0.759908360706722)</f>
        <v>0.7599083607</v>
      </c>
      <c r="H422" s="15">
        <f t="shared" si="1"/>
        <v>41826</v>
      </c>
    </row>
    <row r="423">
      <c r="B423" s="15">
        <f>IFERROR(__xludf.DUMMYFUNCTION("""COMPUTED_VALUE"""),42.1)</f>
        <v>42.1</v>
      </c>
      <c r="C423" s="15">
        <f>IFERROR(__xludf.DUMMYFUNCTION("""COMPUTED_VALUE"""),1.677952142046E12)</f>
        <v>1677952142046</v>
      </c>
      <c r="D423" s="15">
        <f>IFERROR(__xludf.DUMMYFUNCTION("""COMPUTED_VALUE"""),-0.322893527601286)</f>
        <v>-0.3228935276</v>
      </c>
      <c r="E423" s="15">
        <f>IFERROR(__xludf.DUMMYFUNCTION("""COMPUTED_VALUE"""),-0.398295256564005)</f>
        <v>-0.3982952566</v>
      </c>
      <c r="F423" s="15">
        <f>IFERROR(__xludf.DUMMYFUNCTION("""COMPUTED_VALUE"""),-0.450098865474164)</f>
        <v>-0.4500988655</v>
      </c>
      <c r="G423" s="15">
        <f>IFERROR(__xludf.DUMMYFUNCTION("""COMPUTED_VALUE"""),0.731103050007781)</f>
        <v>0.73110305</v>
      </c>
      <c r="H423" s="15">
        <f t="shared" si="1"/>
        <v>41933</v>
      </c>
    </row>
    <row r="424">
      <c r="B424" s="15">
        <f>IFERROR(__xludf.DUMMYFUNCTION("""COMPUTED_VALUE"""),42.2)</f>
        <v>42.2</v>
      </c>
      <c r="C424" s="15">
        <f>IFERROR(__xludf.DUMMYFUNCTION("""COMPUTED_VALUE"""),1.677952142151E12)</f>
        <v>1677952142151</v>
      </c>
      <c r="D424" s="15">
        <f>IFERROR(__xludf.DUMMYFUNCTION("""COMPUTED_VALUE"""),-0.388970263029719)</f>
        <v>-0.388970263</v>
      </c>
      <c r="E424" s="15">
        <f>IFERROR(__xludf.DUMMYFUNCTION("""COMPUTED_VALUE"""),-0.403369421096961)</f>
        <v>-0.4033694211</v>
      </c>
      <c r="F424" s="15">
        <f>IFERROR(__xludf.DUMMYFUNCTION("""COMPUTED_VALUE"""),-0.408397065624811)</f>
        <v>-0.4083970656</v>
      </c>
      <c r="G424" s="15">
        <f>IFERROR(__xludf.DUMMYFUNCTION("""COMPUTED_VALUE"""),0.720560255212245)</f>
        <v>0.7205602552</v>
      </c>
      <c r="H424" s="15">
        <f t="shared" si="1"/>
        <v>42038</v>
      </c>
    </row>
    <row r="425">
      <c r="B425" s="15">
        <f>IFERROR(__xludf.DUMMYFUNCTION("""COMPUTED_VALUE"""),42.3)</f>
        <v>42.3</v>
      </c>
      <c r="C425" s="15">
        <f>IFERROR(__xludf.DUMMYFUNCTION("""COMPUTED_VALUE"""),1.677952142295E12)</f>
        <v>1677952142295</v>
      </c>
      <c r="D425" s="15">
        <f>IFERROR(__xludf.DUMMYFUNCTION("""COMPUTED_VALUE"""),-0.4144008324345)</f>
        <v>-0.4144008324</v>
      </c>
      <c r="E425" s="15">
        <f>IFERROR(__xludf.DUMMYFUNCTION("""COMPUTED_VALUE"""),-0.384045353179035)</f>
        <v>-0.3840453532</v>
      </c>
      <c r="F425" s="15">
        <f>IFERROR(__xludf.DUMMYFUNCTION("""COMPUTED_VALUE"""),-0.387968661619886)</f>
        <v>-0.3879686616</v>
      </c>
      <c r="G425" s="15">
        <f>IFERROR(__xludf.DUMMYFUNCTION("""COMPUTED_VALUE"""),0.728190520660668)</f>
        <v>0.7281905207</v>
      </c>
      <c r="H425" s="15">
        <f t="shared" si="1"/>
        <v>42182</v>
      </c>
    </row>
    <row r="426">
      <c r="B426" s="15">
        <f>IFERROR(__xludf.DUMMYFUNCTION("""COMPUTED_VALUE"""),42.4)</f>
        <v>42.4</v>
      </c>
      <c r="C426" s="15">
        <f>IFERROR(__xludf.DUMMYFUNCTION("""COMPUTED_VALUE"""),1.677952142325E12)</f>
        <v>1677952142325</v>
      </c>
      <c r="D426" s="15">
        <f>IFERROR(__xludf.DUMMYFUNCTION("""COMPUTED_VALUE"""),-0.4144008324345)</f>
        <v>-0.4144008324</v>
      </c>
      <c r="E426" s="15">
        <f>IFERROR(__xludf.DUMMYFUNCTION("""COMPUTED_VALUE"""),-0.384045353179035)</f>
        <v>-0.3840453532</v>
      </c>
      <c r="F426" s="15">
        <f>IFERROR(__xludf.DUMMYFUNCTION("""COMPUTED_VALUE"""),-0.387968661619886)</f>
        <v>-0.3879686616</v>
      </c>
      <c r="G426" s="15">
        <f>IFERROR(__xludf.DUMMYFUNCTION("""COMPUTED_VALUE"""),0.728190520660668)</f>
        <v>0.7281905207</v>
      </c>
      <c r="H426" s="15">
        <f t="shared" si="1"/>
        <v>42212</v>
      </c>
    </row>
    <row r="427">
      <c r="B427" s="15">
        <f>IFERROR(__xludf.DUMMYFUNCTION("""COMPUTED_VALUE"""),42.5)</f>
        <v>42.5</v>
      </c>
      <c r="C427" s="15">
        <f>IFERROR(__xludf.DUMMYFUNCTION("""COMPUTED_VALUE"""),1.677952142422E12)</f>
        <v>1677952142422</v>
      </c>
      <c r="D427" s="15">
        <f>IFERROR(__xludf.DUMMYFUNCTION("""COMPUTED_VALUE"""),-0.4144008324345)</f>
        <v>-0.4144008324</v>
      </c>
      <c r="E427" s="15">
        <f>IFERROR(__xludf.DUMMYFUNCTION("""COMPUTED_VALUE"""),-0.384045353179035)</f>
        <v>-0.3840453532</v>
      </c>
      <c r="F427" s="15">
        <f>IFERROR(__xludf.DUMMYFUNCTION("""COMPUTED_VALUE"""),-0.387968661619886)</f>
        <v>-0.3879686616</v>
      </c>
      <c r="G427" s="15">
        <f>IFERROR(__xludf.DUMMYFUNCTION("""COMPUTED_VALUE"""),0.728190520660668)</f>
        <v>0.7281905207</v>
      </c>
      <c r="H427" s="15">
        <f t="shared" si="1"/>
        <v>42309</v>
      </c>
    </row>
    <row r="428">
      <c r="B428" s="15">
        <f>IFERROR(__xludf.DUMMYFUNCTION("""COMPUTED_VALUE"""),42.6)</f>
        <v>42.6</v>
      </c>
      <c r="C428" s="15">
        <f>IFERROR(__xludf.DUMMYFUNCTION("""COMPUTED_VALUE"""),1.677952142526E12)</f>
        <v>1677952142526</v>
      </c>
      <c r="D428" s="15">
        <f>IFERROR(__xludf.DUMMYFUNCTION("""COMPUTED_VALUE"""),-0.4144008324345)</f>
        <v>-0.4144008324</v>
      </c>
      <c r="E428" s="15">
        <f>IFERROR(__xludf.DUMMYFUNCTION("""COMPUTED_VALUE"""),-0.384045353179035)</f>
        <v>-0.3840453532</v>
      </c>
      <c r="F428" s="15">
        <f>IFERROR(__xludf.DUMMYFUNCTION("""COMPUTED_VALUE"""),-0.387968661619886)</f>
        <v>-0.3879686616</v>
      </c>
      <c r="G428" s="15">
        <f>IFERROR(__xludf.DUMMYFUNCTION("""COMPUTED_VALUE"""),0.728190520660668)</f>
        <v>0.7281905207</v>
      </c>
      <c r="H428" s="15">
        <f t="shared" si="1"/>
        <v>42413</v>
      </c>
    </row>
    <row r="429">
      <c r="B429" s="15">
        <f>IFERROR(__xludf.DUMMYFUNCTION("""COMPUTED_VALUE"""),42.7)</f>
        <v>42.7</v>
      </c>
      <c r="C429" s="15">
        <f>IFERROR(__xludf.DUMMYFUNCTION("""COMPUTED_VALUE"""),1.677952142621E12)</f>
        <v>1677952142621</v>
      </c>
      <c r="D429" s="15">
        <f>IFERROR(__xludf.DUMMYFUNCTION("""COMPUTED_VALUE"""),-0.4144008324345)</f>
        <v>-0.4144008324</v>
      </c>
      <c r="E429" s="15">
        <f>IFERROR(__xludf.DUMMYFUNCTION("""COMPUTED_VALUE"""),-0.384045353179035)</f>
        <v>-0.3840453532</v>
      </c>
      <c r="F429" s="15">
        <f>IFERROR(__xludf.DUMMYFUNCTION("""COMPUTED_VALUE"""),-0.387968661619886)</f>
        <v>-0.3879686616</v>
      </c>
      <c r="G429" s="15">
        <f>IFERROR(__xludf.DUMMYFUNCTION("""COMPUTED_VALUE"""),0.728190520660668)</f>
        <v>0.7281905207</v>
      </c>
      <c r="H429" s="15">
        <f t="shared" si="1"/>
        <v>42508</v>
      </c>
    </row>
    <row r="430">
      <c r="B430" s="15">
        <f>IFERROR(__xludf.DUMMYFUNCTION("""COMPUTED_VALUE"""),42.8)</f>
        <v>42.8</v>
      </c>
      <c r="C430" s="15">
        <f>IFERROR(__xludf.DUMMYFUNCTION("""COMPUTED_VALUE"""),1.677952142727E12)</f>
        <v>1677952142727</v>
      </c>
      <c r="D430" s="15">
        <f>IFERROR(__xludf.DUMMYFUNCTION("""COMPUTED_VALUE"""),-0.4144008324345)</f>
        <v>-0.4144008324</v>
      </c>
      <c r="E430" s="15">
        <f>IFERROR(__xludf.DUMMYFUNCTION("""COMPUTED_VALUE"""),-0.384045353179035)</f>
        <v>-0.3840453532</v>
      </c>
      <c r="F430" s="15">
        <f>IFERROR(__xludf.DUMMYFUNCTION("""COMPUTED_VALUE"""),-0.387968661619886)</f>
        <v>-0.3879686616</v>
      </c>
      <c r="G430" s="15">
        <f>IFERROR(__xludf.DUMMYFUNCTION("""COMPUTED_VALUE"""),0.728190520660668)</f>
        <v>0.7281905207</v>
      </c>
      <c r="H430" s="15">
        <f t="shared" si="1"/>
        <v>42614</v>
      </c>
    </row>
    <row r="431">
      <c r="B431" s="15">
        <f>IFERROR(__xludf.DUMMYFUNCTION("""COMPUTED_VALUE"""),42.9)</f>
        <v>42.9</v>
      </c>
      <c r="C431" s="15">
        <f>IFERROR(__xludf.DUMMYFUNCTION("""COMPUTED_VALUE"""),1.677952142831E12)</f>
        <v>1677952142831</v>
      </c>
      <c r="D431" s="15">
        <f>IFERROR(__xludf.DUMMYFUNCTION("""COMPUTED_VALUE"""),-0.4144008324345)</f>
        <v>-0.4144008324</v>
      </c>
      <c r="E431" s="15">
        <f>IFERROR(__xludf.DUMMYFUNCTION("""COMPUTED_VALUE"""),-0.384045353179035)</f>
        <v>-0.3840453532</v>
      </c>
      <c r="F431" s="15">
        <f>IFERROR(__xludf.DUMMYFUNCTION("""COMPUTED_VALUE"""),-0.387968661619886)</f>
        <v>-0.3879686616</v>
      </c>
      <c r="G431" s="15">
        <f>IFERROR(__xludf.DUMMYFUNCTION("""COMPUTED_VALUE"""),0.728190520660668)</f>
        <v>0.7281905207</v>
      </c>
      <c r="H431" s="15">
        <f t="shared" si="1"/>
        <v>42718</v>
      </c>
    </row>
    <row r="432">
      <c r="B432" s="15">
        <f>IFERROR(__xludf.DUMMYFUNCTION("""COMPUTED_VALUE"""),43.0)</f>
        <v>43</v>
      </c>
      <c r="C432" s="15">
        <f>IFERROR(__xludf.DUMMYFUNCTION("""COMPUTED_VALUE"""),1.677952142945E12)</f>
        <v>1677952142945</v>
      </c>
      <c r="D432" s="15">
        <f>IFERROR(__xludf.DUMMYFUNCTION("""COMPUTED_VALUE"""),-0.0741186709877083)</f>
        <v>-0.07411867099</v>
      </c>
      <c r="E432" s="15">
        <f>IFERROR(__xludf.DUMMYFUNCTION("""COMPUTED_VALUE"""),-0.429815047342907)</f>
        <v>-0.4298150473</v>
      </c>
      <c r="F432" s="15">
        <f>IFERROR(__xludf.DUMMYFUNCTION("""COMPUTED_VALUE"""),-0.574517283063076)</f>
        <v>-0.5745172831</v>
      </c>
      <c r="G432" s="15">
        <f>IFERROR(__xludf.DUMMYFUNCTION("""COMPUTED_VALUE"""),0.692600418098668)</f>
        <v>0.6926004181</v>
      </c>
      <c r="H432" s="15">
        <f t="shared" si="1"/>
        <v>42832</v>
      </c>
    </row>
    <row r="433">
      <c r="B433" s="15">
        <f>IFERROR(__xludf.DUMMYFUNCTION("""COMPUTED_VALUE"""),43.1)</f>
        <v>43.1</v>
      </c>
      <c r="C433" s="15">
        <f>IFERROR(__xludf.DUMMYFUNCTION("""COMPUTED_VALUE"""),1.677952143048E12)</f>
        <v>1677952143048</v>
      </c>
      <c r="D433" s="15">
        <f>IFERROR(__xludf.DUMMYFUNCTION("""COMPUTED_VALUE"""),-0.0741186709877083)</f>
        <v>-0.07411867099</v>
      </c>
      <c r="E433" s="15">
        <f>IFERROR(__xludf.DUMMYFUNCTION("""COMPUTED_VALUE"""),-0.429815047342907)</f>
        <v>-0.4298150473</v>
      </c>
      <c r="F433" s="15">
        <f>IFERROR(__xludf.DUMMYFUNCTION("""COMPUTED_VALUE"""),-0.574517283063076)</f>
        <v>-0.5745172831</v>
      </c>
      <c r="G433" s="15">
        <f>IFERROR(__xludf.DUMMYFUNCTION("""COMPUTED_VALUE"""),0.692600418098668)</f>
        <v>0.6926004181</v>
      </c>
      <c r="H433" s="15">
        <f t="shared" si="1"/>
        <v>42935</v>
      </c>
    </row>
    <row r="434">
      <c r="B434" s="15">
        <f>IFERROR(__xludf.DUMMYFUNCTION("""COMPUTED_VALUE"""),43.2)</f>
        <v>43.2</v>
      </c>
      <c r="C434" s="15">
        <f>IFERROR(__xludf.DUMMYFUNCTION("""COMPUTED_VALUE"""),1.677952143146E12)</f>
        <v>1677952143146</v>
      </c>
      <c r="D434" s="15">
        <f>IFERROR(__xludf.DUMMYFUNCTION("""COMPUTED_VALUE"""),-0.0741186709877083)</f>
        <v>-0.07411867099</v>
      </c>
      <c r="E434" s="15">
        <f>IFERROR(__xludf.DUMMYFUNCTION("""COMPUTED_VALUE"""),-0.429815047342907)</f>
        <v>-0.4298150473</v>
      </c>
      <c r="F434" s="15">
        <f>IFERROR(__xludf.DUMMYFUNCTION("""COMPUTED_VALUE"""),-0.574517283063076)</f>
        <v>-0.5745172831</v>
      </c>
      <c r="G434" s="15">
        <f>IFERROR(__xludf.DUMMYFUNCTION("""COMPUTED_VALUE"""),0.692600418098668)</f>
        <v>0.6926004181</v>
      </c>
      <c r="H434" s="15">
        <f t="shared" si="1"/>
        <v>43033</v>
      </c>
    </row>
    <row r="435">
      <c r="B435" s="15">
        <f>IFERROR(__xludf.DUMMYFUNCTION("""COMPUTED_VALUE"""),43.3)</f>
        <v>43.3</v>
      </c>
      <c r="C435" s="15">
        <f>IFERROR(__xludf.DUMMYFUNCTION("""COMPUTED_VALUE"""),1.677952143246E12)</f>
        <v>1677952143246</v>
      </c>
      <c r="D435" s="15">
        <f>IFERROR(__xludf.DUMMYFUNCTION("""COMPUTED_VALUE"""),-0.0741186709877083)</f>
        <v>-0.07411867099</v>
      </c>
      <c r="E435" s="15">
        <f>IFERROR(__xludf.DUMMYFUNCTION("""COMPUTED_VALUE"""),-0.429815047342907)</f>
        <v>-0.4298150473</v>
      </c>
      <c r="F435" s="15">
        <f>IFERROR(__xludf.DUMMYFUNCTION("""COMPUTED_VALUE"""),-0.574517283063076)</f>
        <v>-0.5745172831</v>
      </c>
      <c r="G435" s="15">
        <f>IFERROR(__xludf.DUMMYFUNCTION("""COMPUTED_VALUE"""),0.692600418098668)</f>
        <v>0.6926004181</v>
      </c>
      <c r="H435" s="15">
        <f t="shared" si="1"/>
        <v>43133</v>
      </c>
    </row>
    <row r="436">
      <c r="B436" s="15">
        <f>IFERROR(__xludf.DUMMYFUNCTION("""COMPUTED_VALUE"""),43.4)</f>
        <v>43.4</v>
      </c>
      <c r="C436" s="15">
        <f>IFERROR(__xludf.DUMMYFUNCTION("""COMPUTED_VALUE"""),1.67795214335E12)</f>
        <v>1677952143350</v>
      </c>
      <c r="D436" s="15">
        <f>IFERROR(__xludf.DUMMYFUNCTION("""COMPUTED_VALUE"""),-0.0741186709877083)</f>
        <v>-0.07411867099</v>
      </c>
      <c r="E436" s="15">
        <f>IFERROR(__xludf.DUMMYFUNCTION("""COMPUTED_VALUE"""),-0.429815047342907)</f>
        <v>-0.4298150473</v>
      </c>
      <c r="F436" s="15">
        <f>IFERROR(__xludf.DUMMYFUNCTION("""COMPUTED_VALUE"""),-0.574517283063076)</f>
        <v>-0.5745172831</v>
      </c>
      <c r="G436" s="15">
        <f>IFERROR(__xludf.DUMMYFUNCTION("""COMPUTED_VALUE"""),0.692600418098668)</f>
        <v>0.6926004181</v>
      </c>
      <c r="H436" s="15">
        <f t="shared" si="1"/>
        <v>43237</v>
      </c>
    </row>
    <row r="437">
      <c r="B437" s="15">
        <f>IFERROR(__xludf.DUMMYFUNCTION("""COMPUTED_VALUE"""),43.5)</f>
        <v>43.5</v>
      </c>
      <c r="C437" s="15">
        <f>IFERROR(__xludf.DUMMYFUNCTION("""COMPUTED_VALUE"""),1.677952143447E12)</f>
        <v>1677952143447</v>
      </c>
      <c r="D437" s="15">
        <f>IFERROR(__xludf.DUMMYFUNCTION("""COMPUTED_VALUE"""),-0.0741186709877083)</f>
        <v>-0.07411867099</v>
      </c>
      <c r="E437" s="15">
        <f>IFERROR(__xludf.DUMMYFUNCTION("""COMPUTED_VALUE"""),-0.429815047342907)</f>
        <v>-0.4298150473</v>
      </c>
      <c r="F437" s="15">
        <f>IFERROR(__xludf.DUMMYFUNCTION("""COMPUTED_VALUE"""),-0.574517283063076)</f>
        <v>-0.5745172831</v>
      </c>
      <c r="G437" s="15">
        <f>IFERROR(__xludf.DUMMYFUNCTION("""COMPUTED_VALUE"""),0.692600418098668)</f>
        <v>0.6926004181</v>
      </c>
      <c r="H437" s="15">
        <f t="shared" si="1"/>
        <v>43334</v>
      </c>
    </row>
    <row r="438">
      <c r="B438" s="15">
        <f>IFERROR(__xludf.DUMMYFUNCTION("""COMPUTED_VALUE"""),43.6)</f>
        <v>43.6</v>
      </c>
      <c r="C438" s="15">
        <f>IFERROR(__xludf.DUMMYFUNCTION("""COMPUTED_VALUE"""),1.67795214355E12)</f>
        <v>1677952143550</v>
      </c>
      <c r="D438" s="15">
        <f>IFERROR(__xludf.DUMMYFUNCTION("""COMPUTED_VALUE"""),-0.0741186709877083)</f>
        <v>-0.07411867099</v>
      </c>
      <c r="E438" s="15">
        <f>IFERROR(__xludf.DUMMYFUNCTION("""COMPUTED_VALUE"""),-0.429815047342907)</f>
        <v>-0.4298150473</v>
      </c>
      <c r="F438" s="15">
        <f>IFERROR(__xludf.DUMMYFUNCTION("""COMPUTED_VALUE"""),-0.574517283063076)</f>
        <v>-0.5745172831</v>
      </c>
      <c r="G438" s="15">
        <f>IFERROR(__xludf.DUMMYFUNCTION("""COMPUTED_VALUE"""),0.692600418098668)</f>
        <v>0.6926004181</v>
      </c>
      <c r="H438" s="15">
        <f t="shared" si="1"/>
        <v>43437</v>
      </c>
    </row>
    <row r="439">
      <c r="B439" s="15">
        <f>IFERROR(__xludf.DUMMYFUNCTION("""COMPUTED_VALUE"""),43.7)</f>
        <v>43.7</v>
      </c>
      <c r="C439" s="15">
        <f>IFERROR(__xludf.DUMMYFUNCTION("""COMPUTED_VALUE"""),1.677952143647E12)</f>
        <v>1677952143647</v>
      </c>
      <c r="D439" s="15">
        <f>IFERROR(__xludf.DUMMYFUNCTION("""COMPUTED_VALUE"""),-0.0741186709877083)</f>
        <v>-0.07411867099</v>
      </c>
      <c r="E439" s="15">
        <f>IFERROR(__xludf.DUMMYFUNCTION("""COMPUTED_VALUE"""),-0.429815047342907)</f>
        <v>-0.4298150473</v>
      </c>
      <c r="F439" s="15">
        <f>IFERROR(__xludf.DUMMYFUNCTION("""COMPUTED_VALUE"""),-0.574517283063076)</f>
        <v>-0.5745172831</v>
      </c>
      <c r="G439" s="15">
        <f>IFERROR(__xludf.DUMMYFUNCTION("""COMPUTED_VALUE"""),0.692600418098668)</f>
        <v>0.6926004181</v>
      </c>
      <c r="H439" s="15">
        <f t="shared" si="1"/>
        <v>43534</v>
      </c>
    </row>
    <row r="440">
      <c r="B440" s="15">
        <f>IFERROR(__xludf.DUMMYFUNCTION("""COMPUTED_VALUE"""),43.8)</f>
        <v>43.8</v>
      </c>
      <c r="C440" s="15">
        <f>IFERROR(__xludf.DUMMYFUNCTION("""COMPUTED_VALUE"""),1.67795214375E12)</f>
        <v>1677952143750</v>
      </c>
      <c r="D440" s="15">
        <f>IFERROR(__xludf.DUMMYFUNCTION("""COMPUTED_VALUE"""),-0.0741186709877083)</f>
        <v>-0.07411867099</v>
      </c>
      <c r="E440" s="15">
        <f>IFERROR(__xludf.DUMMYFUNCTION("""COMPUTED_VALUE"""),-0.429815047342907)</f>
        <v>-0.4298150473</v>
      </c>
      <c r="F440" s="15">
        <f>IFERROR(__xludf.DUMMYFUNCTION("""COMPUTED_VALUE"""),-0.574517283063076)</f>
        <v>-0.5745172831</v>
      </c>
      <c r="G440" s="15">
        <f>IFERROR(__xludf.DUMMYFUNCTION("""COMPUTED_VALUE"""),0.692600418098668)</f>
        <v>0.6926004181</v>
      </c>
      <c r="H440" s="15">
        <f t="shared" si="1"/>
        <v>43637</v>
      </c>
    </row>
    <row r="441">
      <c r="B441" s="15">
        <f>IFERROR(__xludf.DUMMYFUNCTION("""COMPUTED_VALUE"""),43.9)</f>
        <v>43.9</v>
      </c>
      <c r="C441" s="15">
        <f>IFERROR(__xludf.DUMMYFUNCTION("""COMPUTED_VALUE"""),1.677952143847E12)</f>
        <v>1677952143847</v>
      </c>
      <c r="D441" s="15">
        <f>IFERROR(__xludf.DUMMYFUNCTION("""COMPUTED_VALUE"""),-0.409714088213872)</f>
        <v>-0.4097140882</v>
      </c>
      <c r="E441" s="15">
        <f>IFERROR(__xludf.DUMMYFUNCTION("""COMPUTED_VALUE"""),0.205992107628638)</f>
        <v>0.2059921076</v>
      </c>
      <c r="F441" s="15">
        <f>IFERROR(__xludf.DUMMYFUNCTION("""COMPUTED_VALUE"""),0.714549549464375)</f>
        <v>0.7145495495</v>
      </c>
      <c r="G441" s="15">
        <f>IFERROR(__xludf.DUMMYFUNCTION("""COMPUTED_VALUE"""),-0.528318614922893)</f>
        <v>-0.5283186149</v>
      </c>
      <c r="H441" s="15">
        <f t="shared" si="1"/>
        <v>43734</v>
      </c>
    </row>
    <row r="442">
      <c r="B442" s="15">
        <f>IFERROR(__xludf.DUMMYFUNCTION("""COMPUTED_VALUE"""),44.0)</f>
        <v>44</v>
      </c>
      <c r="C442" s="15">
        <f>IFERROR(__xludf.DUMMYFUNCTION("""COMPUTED_VALUE"""),1.677952143947E12)</f>
        <v>1677952143947</v>
      </c>
      <c r="D442" s="15">
        <f>IFERROR(__xludf.DUMMYFUNCTION("""COMPUTED_VALUE"""),-0.409714088213872)</f>
        <v>-0.4097140882</v>
      </c>
      <c r="E442" s="15">
        <f>IFERROR(__xludf.DUMMYFUNCTION("""COMPUTED_VALUE"""),0.205992107628638)</f>
        <v>0.2059921076</v>
      </c>
      <c r="F442" s="15">
        <f>IFERROR(__xludf.DUMMYFUNCTION("""COMPUTED_VALUE"""),0.714549549464375)</f>
        <v>0.7145495495</v>
      </c>
      <c r="G442" s="15">
        <f>IFERROR(__xludf.DUMMYFUNCTION("""COMPUTED_VALUE"""),-0.528318614922893)</f>
        <v>-0.5283186149</v>
      </c>
      <c r="H442" s="15">
        <f t="shared" si="1"/>
        <v>43834</v>
      </c>
    </row>
    <row r="443">
      <c r="B443" s="15">
        <f>IFERROR(__xludf.DUMMYFUNCTION("""COMPUTED_VALUE"""),44.1)</f>
        <v>44.1</v>
      </c>
      <c r="C443" s="15">
        <f>IFERROR(__xludf.DUMMYFUNCTION("""COMPUTED_VALUE"""),1.677952144054E12)</f>
        <v>1677952144054</v>
      </c>
      <c r="D443" s="15">
        <f>IFERROR(__xludf.DUMMYFUNCTION("""COMPUTED_VALUE"""),-0.409714088213872)</f>
        <v>-0.4097140882</v>
      </c>
      <c r="E443" s="15">
        <f>IFERROR(__xludf.DUMMYFUNCTION("""COMPUTED_VALUE"""),0.205992107628638)</f>
        <v>0.2059921076</v>
      </c>
      <c r="F443" s="15">
        <f>IFERROR(__xludf.DUMMYFUNCTION("""COMPUTED_VALUE"""),0.714549549464375)</f>
        <v>0.7145495495</v>
      </c>
      <c r="G443" s="15">
        <f>IFERROR(__xludf.DUMMYFUNCTION("""COMPUTED_VALUE"""),-0.528318614922893)</f>
        <v>-0.5283186149</v>
      </c>
      <c r="H443" s="15">
        <f t="shared" si="1"/>
        <v>43941</v>
      </c>
    </row>
    <row r="444">
      <c r="B444" s="15">
        <f>IFERROR(__xludf.DUMMYFUNCTION("""COMPUTED_VALUE"""),44.2)</f>
        <v>44.2</v>
      </c>
      <c r="C444" s="15">
        <f>IFERROR(__xludf.DUMMYFUNCTION("""COMPUTED_VALUE"""),1.67795214415E12)</f>
        <v>1677952144150</v>
      </c>
      <c r="D444" s="15">
        <f>IFERROR(__xludf.DUMMYFUNCTION("""COMPUTED_VALUE"""),-0.409714088213872)</f>
        <v>-0.4097140882</v>
      </c>
      <c r="E444" s="15">
        <f>IFERROR(__xludf.DUMMYFUNCTION("""COMPUTED_VALUE"""),0.205992107628638)</f>
        <v>0.2059921076</v>
      </c>
      <c r="F444" s="15">
        <f>IFERROR(__xludf.DUMMYFUNCTION("""COMPUTED_VALUE"""),0.714549549464375)</f>
        <v>0.7145495495</v>
      </c>
      <c r="G444" s="15">
        <f>IFERROR(__xludf.DUMMYFUNCTION("""COMPUTED_VALUE"""),-0.528318614922893)</f>
        <v>-0.5283186149</v>
      </c>
      <c r="H444" s="15">
        <f t="shared" si="1"/>
        <v>44037</v>
      </c>
    </row>
    <row r="445">
      <c r="B445" s="15">
        <f>IFERROR(__xludf.DUMMYFUNCTION("""COMPUTED_VALUE"""),44.3)</f>
        <v>44.3</v>
      </c>
      <c r="C445" s="15">
        <f>IFERROR(__xludf.DUMMYFUNCTION("""COMPUTED_VALUE"""),1.677952144246E12)</f>
        <v>1677952144246</v>
      </c>
      <c r="D445" s="15">
        <f>IFERROR(__xludf.DUMMYFUNCTION("""COMPUTED_VALUE"""),-0.409714088213872)</f>
        <v>-0.4097140882</v>
      </c>
      <c r="E445" s="15">
        <f>IFERROR(__xludf.DUMMYFUNCTION("""COMPUTED_VALUE"""),0.205992107628638)</f>
        <v>0.2059921076</v>
      </c>
      <c r="F445" s="15">
        <f>IFERROR(__xludf.DUMMYFUNCTION("""COMPUTED_VALUE"""),0.714549549464375)</f>
        <v>0.7145495495</v>
      </c>
      <c r="G445" s="15">
        <f>IFERROR(__xludf.DUMMYFUNCTION("""COMPUTED_VALUE"""),-0.528318614922893)</f>
        <v>-0.5283186149</v>
      </c>
      <c r="H445" s="15">
        <f t="shared" si="1"/>
        <v>44133</v>
      </c>
    </row>
    <row r="446">
      <c r="B446" s="15">
        <f>IFERROR(__xludf.DUMMYFUNCTION("""COMPUTED_VALUE"""),44.4)</f>
        <v>44.4</v>
      </c>
      <c r="C446" s="15">
        <f>IFERROR(__xludf.DUMMYFUNCTION("""COMPUTED_VALUE"""),1.677952144401E12)</f>
        <v>1677952144401</v>
      </c>
      <c r="D446" s="15">
        <f>IFERROR(__xludf.DUMMYFUNCTION("""COMPUTED_VALUE"""),-0.409714088213872)</f>
        <v>-0.4097140882</v>
      </c>
      <c r="E446" s="15">
        <f>IFERROR(__xludf.DUMMYFUNCTION("""COMPUTED_VALUE"""),0.205992107628638)</f>
        <v>0.2059921076</v>
      </c>
      <c r="F446" s="15">
        <f>IFERROR(__xludf.DUMMYFUNCTION("""COMPUTED_VALUE"""),0.714549549464375)</f>
        <v>0.7145495495</v>
      </c>
      <c r="G446" s="15">
        <f>IFERROR(__xludf.DUMMYFUNCTION("""COMPUTED_VALUE"""),-0.528318614922893)</f>
        <v>-0.5283186149</v>
      </c>
      <c r="H446" s="15">
        <f t="shared" si="1"/>
        <v>44288</v>
      </c>
    </row>
    <row r="447">
      <c r="B447" s="15">
        <f>IFERROR(__xludf.DUMMYFUNCTION("""COMPUTED_VALUE"""),44.5)</f>
        <v>44.5</v>
      </c>
      <c r="C447" s="15">
        <f>IFERROR(__xludf.DUMMYFUNCTION("""COMPUTED_VALUE"""),1.677952144448E12)</f>
        <v>1677952144448</v>
      </c>
      <c r="D447" s="15">
        <f>IFERROR(__xludf.DUMMYFUNCTION("""COMPUTED_VALUE"""),-0.409714088213872)</f>
        <v>-0.4097140882</v>
      </c>
      <c r="E447" s="15">
        <f>IFERROR(__xludf.DUMMYFUNCTION("""COMPUTED_VALUE"""),0.205992107628638)</f>
        <v>0.2059921076</v>
      </c>
      <c r="F447" s="15">
        <f>IFERROR(__xludf.DUMMYFUNCTION("""COMPUTED_VALUE"""),0.714549549464375)</f>
        <v>0.7145495495</v>
      </c>
      <c r="G447" s="15">
        <f>IFERROR(__xludf.DUMMYFUNCTION("""COMPUTED_VALUE"""),-0.528318614922893)</f>
        <v>-0.5283186149</v>
      </c>
      <c r="H447" s="15">
        <f t="shared" si="1"/>
        <v>44335</v>
      </c>
    </row>
    <row r="448">
      <c r="B448" s="15">
        <f>IFERROR(__xludf.DUMMYFUNCTION("""COMPUTED_VALUE"""),44.6)</f>
        <v>44.6</v>
      </c>
      <c r="C448" s="15">
        <f>IFERROR(__xludf.DUMMYFUNCTION("""COMPUTED_VALUE"""),1.67795214455E12)</f>
        <v>1677952144550</v>
      </c>
      <c r="D448" s="15">
        <f>IFERROR(__xludf.DUMMYFUNCTION("""COMPUTED_VALUE"""),-0.409714088213872)</f>
        <v>-0.4097140882</v>
      </c>
      <c r="E448" s="15">
        <f>IFERROR(__xludf.DUMMYFUNCTION("""COMPUTED_VALUE"""),0.205992107628638)</f>
        <v>0.2059921076</v>
      </c>
      <c r="F448" s="15">
        <f>IFERROR(__xludf.DUMMYFUNCTION("""COMPUTED_VALUE"""),0.714549549464375)</f>
        <v>0.7145495495</v>
      </c>
      <c r="G448" s="15">
        <f>IFERROR(__xludf.DUMMYFUNCTION("""COMPUTED_VALUE"""),-0.528318614922893)</f>
        <v>-0.5283186149</v>
      </c>
      <c r="H448" s="15">
        <f t="shared" si="1"/>
        <v>44437</v>
      </c>
    </row>
    <row r="449">
      <c r="B449" s="15">
        <f>IFERROR(__xludf.DUMMYFUNCTION("""COMPUTED_VALUE"""),44.7)</f>
        <v>44.7</v>
      </c>
      <c r="C449" s="15">
        <f>IFERROR(__xludf.DUMMYFUNCTION("""COMPUTED_VALUE"""),1.677952144646E12)</f>
        <v>1677952144646</v>
      </c>
      <c r="D449" s="15">
        <f>IFERROR(__xludf.DUMMYFUNCTION("""COMPUTED_VALUE"""),-0.409714088213872)</f>
        <v>-0.4097140882</v>
      </c>
      <c r="E449" s="15">
        <f>IFERROR(__xludf.DUMMYFUNCTION("""COMPUTED_VALUE"""),0.205992107628638)</f>
        <v>0.2059921076</v>
      </c>
      <c r="F449" s="15">
        <f>IFERROR(__xludf.DUMMYFUNCTION("""COMPUTED_VALUE"""),0.714549549464375)</f>
        <v>0.7145495495</v>
      </c>
      <c r="G449" s="15">
        <f>IFERROR(__xludf.DUMMYFUNCTION("""COMPUTED_VALUE"""),-0.528318614922893)</f>
        <v>-0.5283186149</v>
      </c>
      <c r="H449" s="15">
        <f t="shared" si="1"/>
        <v>44533</v>
      </c>
    </row>
    <row r="450">
      <c r="B450" s="15">
        <f>IFERROR(__xludf.DUMMYFUNCTION("""COMPUTED_VALUE"""),44.8)</f>
        <v>44.8</v>
      </c>
      <c r="C450" s="15">
        <f>IFERROR(__xludf.DUMMYFUNCTION("""COMPUTED_VALUE"""),1.677952144768E12)</f>
        <v>1677952144768</v>
      </c>
      <c r="D450" s="15">
        <f>IFERROR(__xludf.DUMMYFUNCTION("""COMPUTED_VALUE"""),0.722153858563647)</f>
        <v>0.7221538586</v>
      </c>
      <c r="E450" s="15">
        <f>IFERROR(__xludf.DUMMYFUNCTION("""COMPUTED_VALUE"""),0.404132412258938)</f>
        <v>0.4041324123</v>
      </c>
      <c r="F450" s="15">
        <f>IFERROR(__xludf.DUMMYFUNCTION("""COMPUTED_VALUE"""),-0.560832884647463)</f>
        <v>-0.5608328846</v>
      </c>
      <c r="G450" s="15">
        <f>IFERROR(__xludf.DUMMYFUNCTION("""COMPUTED_VALUE"""),-0.0252442750224737)</f>
        <v>-0.02524427502</v>
      </c>
      <c r="H450" s="15">
        <f t="shared" si="1"/>
        <v>44655</v>
      </c>
    </row>
    <row r="451">
      <c r="B451" s="15">
        <f>IFERROR(__xludf.DUMMYFUNCTION("""COMPUTED_VALUE"""),44.9)</f>
        <v>44.9</v>
      </c>
      <c r="C451" s="15">
        <f>IFERROR(__xludf.DUMMYFUNCTION("""COMPUTED_VALUE"""),1.677952144848E12)</f>
        <v>1677952144848</v>
      </c>
      <c r="D451" s="15">
        <f>IFERROR(__xludf.DUMMYFUNCTION("""COMPUTED_VALUE"""),0.722153858563647)</f>
        <v>0.7221538586</v>
      </c>
      <c r="E451" s="15">
        <f>IFERROR(__xludf.DUMMYFUNCTION("""COMPUTED_VALUE"""),0.404132412258938)</f>
        <v>0.4041324123</v>
      </c>
      <c r="F451" s="15">
        <f>IFERROR(__xludf.DUMMYFUNCTION("""COMPUTED_VALUE"""),-0.560832884647463)</f>
        <v>-0.5608328846</v>
      </c>
      <c r="G451" s="15">
        <f>IFERROR(__xludf.DUMMYFUNCTION("""COMPUTED_VALUE"""),-0.0252442750224737)</f>
        <v>-0.02524427502</v>
      </c>
      <c r="H451" s="15">
        <f t="shared" si="1"/>
        <v>44735</v>
      </c>
    </row>
    <row r="452">
      <c r="B452" s="15">
        <f>IFERROR(__xludf.DUMMYFUNCTION("""COMPUTED_VALUE"""),45.0)</f>
        <v>45</v>
      </c>
      <c r="C452" s="15">
        <f>IFERROR(__xludf.DUMMYFUNCTION("""COMPUTED_VALUE"""),1.677952144954E12)</f>
        <v>1677952144954</v>
      </c>
      <c r="D452" s="15">
        <f>IFERROR(__xludf.DUMMYFUNCTION("""COMPUTED_VALUE"""),0.722153858563647)</f>
        <v>0.7221538586</v>
      </c>
      <c r="E452" s="15">
        <f>IFERROR(__xludf.DUMMYFUNCTION("""COMPUTED_VALUE"""),0.404132412258938)</f>
        <v>0.4041324123</v>
      </c>
      <c r="F452" s="15">
        <f>IFERROR(__xludf.DUMMYFUNCTION("""COMPUTED_VALUE"""),-0.560832884647463)</f>
        <v>-0.5608328846</v>
      </c>
      <c r="G452" s="15">
        <f>IFERROR(__xludf.DUMMYFUNCTION("""COMPUTED_VALUE"""),-0.0252442750224737)</f>
        <v>-0.02524427502</v>
      </c>
      <c r="H452" s="15">
        <f t="shared" si="1"/>
        <v>44841</v>
      </c>
    </row>
    <row r="453">
      <c r="B453" s="15">
        <f>IFERROR(__xludf.DUMMYFUNCTION("""COMPUTED_VALUE"""),45.1)</f>
        <v>45.1</v>
      </c>
      <c r="C453" s="15">
        <f>IFERROR(__xludf.DUMMYFUNCTION("""COMPUTED_VALUE"""),1.677952145058E12)</f>
        <v>1677952145058</v>
      </c>
      <c r="D453" s="15">
        <f>IFERROR(__xludf.DUMMYFUNCTION("""COMPUTED_VALUE"""),0.722153858563647)</f>
        <v>0.7221538586</v>
      </c>
      <c r="E453" s="15">
        <f>IFERROR(__xludf.DUMMYFUNCTION("""COMPUTED_VALUE"""),0.404132412258938)</f>
        <v>0.4041324123</v>
      </c>
      <c r="F453" s="15">
        <f>IFERROR(__xludf.DUMMYFUNCTION("""COMPUTED_VALUE"""),-0.560832884647463)</f>
        <v>-0.5608328846</v>
      </c>
      <c r="G453" s="15">
        <f>IFERROR(__xludf.DUMMYFUNCTION("""COMPUTED_VALUE"""),-0.0252442750224737)</f>
        <v>-0.02524427502</v>
      </c>
      <c r="H453" s="15">
        <f t="shared" si="1"/>
        <v>44945</v>
      </c>
    </row>
    <row r="454">
      <c r="B454" s="15">
        <f>IFERROR(__xludf.DUMMYFUNCTION("""COMPUTED_VALUE"""),45.2)</f>
        <v>45.2</v>
      </c>
      <c r="C454" s="15">
        <f>IFERROR(__xludf.DUMMYFUNCTION("""COMPUTED_VALUE"""),1.677952145153E12)</f>
        <v>1677952145153</v>
      </c>
      <c r="D454" s="15">
        <f>IFERROR(__xludf.DUMMYFUNCTION("""COMPUTED_VALUE"""),0.722153858563647)</f>
        <v>0.7221538586</v>
      </c>
      <c r="E454" s="15">
        <f>IFERROR(__xludf.DUMMYFUNCTION("""COMPUTED_VALUE"""),0.404132412258938)</f>
        <v>0.4041324123</v>
      </c>
      <c r="F454" s="15">
        <f>IFERROR(__xludf.DUMMYFUNCTION("""COMPUTED_VALUE"""),-0.560832884647463)</f>
        <v>-0.5608328846</v>
      </c>
      <c r="G454" s="15">
        <f>IFERROR(__xludf.DUMMYFUNCTION("""COMPUTED_VALUE"""),-0.0252442750224737)</f>
        <v>-0.02524427502</v>
      </c>
      <c r="H454" s="15">
        <f t="shared" si="1"/>
        <v>45040</v>
      </c>
    </row>
    <row r="455">
      <c r="B455" s="15">
        <f>IFERROR(__xludf.DUMMYFUNCTION("""COMPUTED_VALUE"""),45.3)</f>
        <v>45.3</v>
      </c>
      <c r="C455" s="15">
        <f>IFERROR(__xludf.DUMMYFUNCTION("""COMPUTED_VALUE"""),1.677952145251E12)</f>
        <v>1677952145251</v>
      </c>
      <c r="D455" s="15">
        <f>IFERROR(__xludf.DUMMYFUNCTION("""COMPUTED_VALUE"""),0.722153858563647)</f>
        <v>0.7221538586</v>
      </c>
      <c r="E455" s="15">
        <f>IFERROR(__xludf.DUMMYFUNCTION("""COMPUTED_VALUE"""),0.404132412258938)</f>
        <v>0.4041324123</v>
      </c>
      <c r="F455" s="15">
        <f>IFERROR(__xludf.DUMMYFUNCTION("""COMPUTED_VALUE"""),-0.560832884647463)</f>
        <v>-0.5608328846</v>
      </c>
      <c r="G455" s="15">
        <f>IFERROR(__xludf.DUMMYFUNCTION("""COMPUTED_VALUE"""),-0.0252442750224737)</f>
        <v>-0.02524427502</v>
      </c>
      <c r="H455" s="15">
        <f t="shared" si="1"/>
        <v>45138</v>
      </c>
    </row>
    <row r="456">
      <c r="B456" s="15">
        <f>IFERROR(__xludf.DUMMYFUNCTION("""COMPUTED_VALUE"""),45.4)</f>
        <v>45.4</v>
      </c>
      <c r="C456" s="15">
        <f>IFERROR(__xludf.DUMMYFUNCTION("""COMPUTED_VALUE"""),1.677952145353E12)</f>
        <v>1677952145353</v>
      </c>
      <c r="D456" s="15">
        <f>IFERROR(__xludf.DUMMYFUNCTION("""COMPUTED_VALUE"""),0.722153858563647)</f>
        <v>0.7221538586</v>
      </c>
      <c r="E456" s="15">
        <f>IFERROR(__xludf.DUMMYFUNCTION("""COMPUTED_VALUE"""),0.404132412258938)</f>
        <v>0.4041324123</v>
      </c>
      <c r="F456" s="15">
        <f>IFERROR(__xludf.DUMMYFUNCTION("""COMPUTED_VALUE"""),-0.560832884647463)</f>
        <v>-0.5608328846</v>
      </c>
      <c r="G456" s="15">
        <f>IFERROR(__xludf.DUMMYFUNCTION("""COMPUTED_VALUE"""),-0.0252442750224737)</f>
        <v>-0.02524427502</v>
      </c>
      <c r="H456" s="15">
        <f t="shared" si="1"/>
        <v>45240</v>
      </c>
    </row>
    <row r="457">
      <c r="B457" s="15">
        <f>IFERROR(__xludf.DUMMYFUNCTION("""COMPUTED_VALUE"""),45.5)</f>
        <v>45.5</v>
      </c>
      <c r="C457" s="15">
        <f>IFERROR(__xludf.DUMMYFUNCTION("""COMPUTED_VALUE"""),1.677952145451E12)</f>
        <v>1677952145451</v>
      </c>
      <c r="D457" s="15">
        <f>IFERROR(__xludf.DUMMYFUNCTION("""COMPUTED_VALUE"""),0.722153858563647)</f>
        <v>0.7221538586</v>
      </c>
      <c r="E457" s="15">
        <f>IFERROR(__xludf.DUMMYFUNCTION("""COMPUTED_VALUE"""),0.404132412258938)</f>
        <v>0.4041324123</v>
      </c>
      <c r="F457" s="15">
        <f>IFERROR(__xludf.DUMMYFUNCTION("""COMPUTED_VALUE"""),-0.560832884647463)</f>
        <v>-0.5608328846</v>
      </c>
      <c r="G457" s="15">
        <f>IFERROR(__xludf.DUMMYFUNCTION("""COMPUTED_VALUE"""),-0.0252442750224737)</f>
        <v>-0.02524427502</v>
      </c>
      <c r="H457" s="15">
        <f t="shared" si="1"/>
        <v>45338</v>
      </c>
    </row>
    <row r="458">
      <c r="B458" s="15">
        <f>IFERROR(__xludf.DUMMYFUNCTION("""COMPUTED_VALUE"""),45.6)</f>
        <v>45.6</v>
      </c>
      <c r="C458" s="15">
        <f>IFERROR(__xludf.DUMMYFUNCTION("""COMPUTED_VALUE"""),1.677952145553E12)</f>
        <v>1677952145553</v>
      </c>
      <c r="D458" s="15">
        <f>IFERROR(__xludf.DUMMYFUNCTION("""COMPUTED_VALUE"""),0.722153858563647)</f>
        <v>0.7221538586</v>
      </c>
      <c r="E458" s="15">
        <f>IFERROR(__xludf.DUMMYFUNCTION("""COMPUTED_VALUE"""),0.404132412258938)</f>
        <v>0.4041324123</v>
      </c>
      <c r="F458" s="15">
        <f>IFERROR(__xludf.DUMMYFUNCTION("""COMPUTED_VALUE"""),-0.560832884647463)</f>
        <v>-0.5608328846</v>
      </c>
      <c r="G458" s="15">
        <f>IFERROR(__xludf.DUMMYFUNCTION("""COMPUTED_VALUE"""),-0.0252442750224737)</f>
        <v>-0.02524427502</v>
      </c>
      <c r="H458" s="15">
        <f t="shared" si="1"/>
        <v>45440</v>
      </c>
    </row>
    <row r="459">
      <c r="B459" s="15">
        <f>IFERROR(__xludf.DUMMYFUNCTION("""COMPUTED_VALUE"""),45.7)</f>
        <v>45.7</v>
      </c>
      <c r="C459" s="15">
        <f>IFERROR(__xludf.DUMMYFUNCTION("""COMPUTED_VALUE"""),1.677952145651E12)</f>
        <v>1677952145651</v>
      </c>
      <c r="D459" s="15">
        <f>IFERROR(__xludf.DUMMYFUNCTION("""COMPUTED_VALUE"""),0.722153858563647)</f>
        <v>0.7221538586</v>
      </c>
      <c r="E459" s="15">
        <f>IFERROR(__xludf.DUMMYFUNCTION("""COMPUTED_VALUE"""),0.404132412258938)</f>
        <v>0.4041324123</v>
      </c>
      <c r="F459" s="15">
        <f>IFERROR(__xludf.DUMMYFUNCTION("""COMPUTED_VALUE"""),-0.560832884647463)</f>
        <v>-0.5608328846</v>
      </c>
      <c r="G459" s="15">
        <f>IFERROR(__xludf.DUMMYFUNCTION("""COMPUTED_VALUE"""),-0.0252442750224737)</f>
        <v>-0.02524427502</v>
      </c>
      <c r="H459" s="15">
        <f t="shared" si="1"/>
        <v>45538</v>
      </c>
    </row>
    <row r="460">
      <c r="B460" s="15">
        <f>IFERROR(__xludf.DUMMYFUNCTION("""COMPUTED_VALUE"""),45.8)</f>
        <v>45.8</v>
      </c>
      <c r="C460" s="15">
        <f>IFERROR(__xludf.DUMMYFUNCTION("""COMPUTED_VALUE"""),1.67795214575E12)</f>
        <v>1677952145750</v>
      </c>
      <c r="D460" s="15">
        <f>IFERROR(__xludf.DUMMYFUNCTION("""COMPUTED_VALUE"""),0.722153858563647)</f>
        <v>0.7221538586</v>
      </c>
      <c r="E460" s="15">
        <f>IFERROR(__xludf.DUMMYFUNCTION("""COMPUTED_VALUE"""),0.404132412258938)</f>
        <v>0.4041324123</v>
      </c>
      <c r="F460" s="15">
        <f>IFERROR(__xludf.DUMMYFUNCTION("""COMPUTED_VALUE"""),-0.560832884647463)</f>
        <v>-0.5608328846</v>
      </c>
      <c r="G460" s="15">
        <f>IFERROR(__xludf.DUMMYFUNCTION("""COMPUTED_VALUE"""),-0.0252442750224737)</f>
        <v>-0.02524427502</v>
      </c>
      <c r="H460" s="15">
        <f t="shared" si="1"/>
        <v>45637</v>
      </c>
    </row>
    <row r="461">
      <c r="B461" s="15">
        <f>IFERROR(__xludf.DUMMYFUNCTION("""COMPUTED_VALUE"""),45.9)</f>
        <v>45.9</v>
      </c>
      <c r="C461" s="15">
        <f>IFERROR(__xludf.DUMMYFUNCTION("""COMPUTED_VALUE"""),1.677952145858E12)</f>
        <v>1677952145858</v>
      </c>
      <c r="D461" s="15">
        <f>IFERROR(__xludf.DUMMYFUNCTION("""COMPUTED_VALUE"""),0.722153858563647)</f>
        <v>0.7221538586</v>
      </c>
      <c r="E461" s="15">
        <f>IFERROR(__xludf.DUMMYFUNCTION("""COMPUTED_VALUE"""),0.404132412258938)</f>
        <v>0.4041324123</v>
      </c>
      <c r="F461" s="15">
        <f>IFERROR(__xludf.DUMMYFUNCTION("""COMPUTED_VALUE"""),-0.560832884647463)</f>
        <v>-0.5608328846</v>
      </c>
      <c r="G461" s="15">
        <f>IFERROR(__xludf.DUMMYFUNCTION("""COMPUTED_VALUE"""),-0.0252442750224737)</f>
        <v>-0.02524427502</v>
      </c>
      <c r="H461" s="15">
        <f t="shared" si="1"/>
        <v>45745</v>
      </c>
    </row>
    <row r="462">
      <c r="B462" s="15">
        <f>IFERROR(__xludf.DUMMYFUNCTION("""COMPUTED_VALUE"""),46.0)</f>
        <v>46</v>
      </c>
      <c r="C462" s="15">
        <f>IFERROR(__xludf.DUMMYFUNCTION("""COMPUTED_VALUE"""),1.677952145955E12)</f>
        <v>1677952145955</v>
      </c>
      <c r="D462" s="15">
        <f>IFERROR(__xludf.DUMMYFUNCTION("""COMPUTED_VALUE"""),0.722153858563647)</f>
        <v>0.7221538586</v>
      </c>
      <c r="E462" s="15">
        <f>IFERROR(__xludf.DUMMYFUNCTION("""COMPUTED_VALUE"""),0.404132412258938)</f>
        <v>0.4041324123</v>
      </c>
      <c r="F462" s="15">
        <f>IFERROR(__xludf.DUMMYFUNCTION("""COMPUTED_VALUE"""),-0.560832884647463)</f>
        <v>-0.5608328846</v>
      </c>
      <c r="G462" s="15">
        <f>IFERROR(__xludf.DUMMYFUNCTION("""COMPUTED_VALUE"""),-0.0252442750224737)</f>
        <v>-0.02524427502</v>
      </c>
      <c r="H462" s="15">
        <f t="shared" si="1"/>
        <v>45842</v>
      </c>
    </row>
    <row r="463">
      <c r="B463" s="15">
        <f>IFERROR(__xludf.DUMMYFUNCTION("""COMPUTED_VALUE"""),46.1)</f>
        <v>46.1</v>
      </c>
      <c r="C463" s="15">
        <f>IFERROR(__xludf.DUMMYFUNCTION("""COMPUTED_VALUE"""),1.677952146048E12)</f>
        <v>1677952146048</v>
      </c>
      <c r="D463" s="15">
        <f>IFERROR(__xludf.DUMMYFUNCTION("""COMPUTED_VALUE"""),0.722153858563647)</f>
        <v>0.7221538586</v>
      </c>
      <c r="E463" s="15">
        <f>IFERROR(__xludf.DUMMYFUNCTION("""COMPUTED_VALUE"""),0.404132412258938)</f>
        <v>0.4041324123</v>
      </c>
      <c r="F463" s="15">
        <f>IFERROR(__xludf.DUMMYFUNCTION("""COMPUTED_VALUE"""),-0.560832884647463)</f>
        <v>-0.5608328846</v>
      </c>
      <c r="G463" s="15">
        <f>IFERROR(__xludf.DUMMYFUNCTION("""COMPUTED_VALUE"""),-0.0252442750224737)</f>
        <v>-0.02524427502</v>
      </c>
      <c r="H463" s="15">
        <f t="shared" si="1"/>
        <v>45935</v>
      </c>
    </row>
    <row r="464">
      <c r="B464" s="15">
        <f>IFERROR(__xludf.DUMMYFUNCTION("""COMPUTED_VALUE"""),46.2)</f>
        <v>46.2</v>
      </c>
      <c r="C464" s="15">
        <f>IFERROR(__xludf.DUMMYFUNCTION("""COMPUTED_VALUE"""),1.677952146155E12)</f>
        <v>1677952146155</v>
      </c>
      <c r="D464" s="15">
        <f>IFERROR(__xludf.DUMMYFUNCTION("""COMPUTED_VALUE"""),0.722153858563647)</f>
        <v>0.7221538586</v>
      </c>
      <c r="E464" s="15">
        <f>IFERROR(__xludf.DUMMYFUNCTION("""COMPUTED_VALUE"""),0.404132412258938)</f>
        <v>0.4041324123</v>
      </c>
      <c r="F464" s="15">
        <f>IFERROR(__xludf.DUMMYFUNCTION("""COMPUTED_VALUE"""),-0.560832884647463)</f>
        <v>-0.5608328846</v>
      </c>
      <c r="G464" s="15">
        <f>IFERROR(__xludf.DUMMYFUNCTION("""COMPUTED_VALUE"""),-0.0252442750224737)</f>
        <v>-0.02524427502</v>
      </c>
      <c r="H464" s="15">
        <f t="shared" si="1"/>
        <v>46042</v>
      </c>
    </row>
    <row r="465">
      <c r="B465" s="15">
        <f>IFERROR(__xludf.DUMMYFUNCTION("""COMPUTED_VALUE"""),46.3)</f>
        <v>46.3</v>
      </c>
      <c r="C465" s="15">
        <f>IFERROR(__xludf.DUMMYFUNCTION("""COMPUTED_VALUE"""),1.67795214625E12)</f>
        <v>1677952146250</v>
      </c>
      <c r="D465" s="15">
        <f>IFERROR(__xludf.DUMMYFUNCTION("""COMPUTED_VALUE"""),0.722153858563647)</f>
        <v>0.7221538586</v>
      </c>
      <c r="E465" s="15">
        <f>IFERROR(__xludf.DUMMYFUNCTION("""COMPUTED_VALUE"""),0.404132412258938)</f>
        <v>0.4041324123</v>
      </c>
      <c r="F465" s="15">
        <f>IFERROR(__xludf.DUMMYFUNCTION("""COMPUTED_VALUE"""),-0.560832884647463)</f>
        <v>-0.5608328846</v>
      </c>
      <c r="G465" s="15">
        <f>IFERROR(__xludf.DUMMYFUNCTION("""COMPUTED_VALUE"""),-0.0252442750224737)</f>
        <v>-0.02524427502</v>
      </c>
      <c r="H465" s="15">
        <f t="shared" si="1"/>
        <v>46137</v>
      </c>
    </row>
    <row r="466">
      <c r="B466" s="15">
        <f>IFERROR(__xludf.DUMMYFUNCTION("""COMPUTED_VALUE"""),46.4)</f>
        <v>46.4</v>
      </c>
      <c r="C466" s="15">
        <f>IFERROR(__xludf.DUMMYFUNCTION("""COMPUTED_VALUE"""),1.677952146354E12)</f>
        <v>1677952146354</v>
      </c>
      <c r="D466" s="15">
        <f>IFERROR(__xludf.DUMMYFUNCTION("""COMPUTED_VALUE"""),0.722153858563647)</f>
        <v>0.7221538586</v>
      </c>
      <c r="E466" s="15">
        <f>IFERROR(__xludf.DUMMYFUNCTION("""COMPUTED_VALUE"""),0.404132412258938)</f>
        <v>0.4041324123</v>
      </c>
      <c r="F466" s="15">
        <f>IFERROR(__xludf.DUMMYFUNCTION("""COMPUTED_VALUE"""),-0.560832884647463)</f>
        <v>-0.5608328846</v>
      </c>
      <c r="G466" s="15">
        <f>IFERROR(__xludf.DUMMYFUNCTION("""COMPUTED_VALUE"""),-0.0252442750224737)</f>
        <v>-0.02524427502</v>
      </c>
      <c r="H466" s="15">
        <f t="shared" si="1"/>
        <v>46241</v>
      </c>
    </row>
    <row r="467">
      <c r="B467" s="15">
        <f>IFERROR(__xludf.DUMMYFUNCTION("""COMPUTED_VALUE"""),46.5)</f>
        <v>46.5</v>
      </c>
      <c r="C467" s="15">
        <f>IFERROR(__xludf.DUMMYFUNCTION("""COMPUTED_VALUE"""),1.677952146456E12)</f>
        <v>1677952146456</v>
      </c>
      <c r="D467" s="15">
        <f>IFERROR(__xludf.DUMMYFUNCTION("""COMPUTED_VALUE"""),0.722153858563647)</f>
        <v>0.7221538586</v>
      </c>
      <c r="E467" s="15">
        <f>IFERROR(__xludf.DUMMYFUNCTION("""COMPUTED_VALUE"""),0.404132412258938)</f>
        <v>0.4041324123</v>
      </c>
      <c r="F467" s="15">
        <f>IFERROR(__xludf.DUMMYFUNCTION("""COMPUTED_VALUE"""),-0.560832884647463)</f>
        <v>-0.5608328846</v>
      </c>
      <c r="G467" s="15">
        <f>IFERROR(__xludf.DUMMYFUNCTION("""COMPUTED_VALUE"""),-0.0252442750224737)</f>
        <v>-0.02524427502</v>
      </c>
      <c r="H467" s="15">
        <f t="shared" si="1"/>
        <v>46343</v>
      </c>
    </row>
    <row r="468">
      <c r="B468" s="15">
        <f>IFERROR(__xludf.DUMMYFUNCTION("""COMPUTED_VALUE"""),46.6)</f>
        <v>46.6</v>
      </c>
      <c r="C468" s="15">
        <f>IFERROR(__xludf.DUMMYFUNCTION("""COMPUTED_VALUE"""),1.677952146543E12)</f>
        <v>1677952146543</v>
      </c>
      <c r="D468" s="15">
        <f>IFERROR(__xludf.DUMMYFUNCTION("""COMPUTED_VALUE"""),0.722153858563647)</f>
        <v>0.7221538586</v>
      </c>
      <c r="E468" s="15">
        <f>IFERROR(__xludf.DUMMYFUNCTION("""COMPUTED_VALUE"""),0.404132412258938)</f>
        <v>0.4041324123</v>
      </c>
      <c r="F468" s="15">
        <f>IFERROR(__xludf.DUMMYFUNCTION("""COMPUTED_VALUE"""),-0.560832884647463)</f>
        <v>-0.5608328846</v>
      </c>
      <c r="G468" s="15">
        <f>IFERROR(__xludf.DUMMYFUNCTION("""COMPUTED_VALUE"""),-0.0252442750224737)</f>
        <v>-0.02524427502</v>
      </c>
      <c r="H468" s="15">
        <f t="shared" si="1"/>
        <v>46430</v>
      </c>
    </row>
    <row r="469">
      <c r="B469" s="15">
        <f>IFERROR(__xludf.DUMMYFUNCTION("""COMPUTED_VALUE"""),46.7)</f>
        <v>46.7</v>
      </c>
      <c r="C469" s="15">
        <f>IFERROR(__xludf.DUMMYFUNCTION("""COMPUTED_VALUE"""),1.677952146646E12)</f>
        <v>1677952146646</v>
      </c>
      <c r="D469" s="15">
        <f>IFERROR(__xludf.DUMMYFUNCTION("""COMPUTED_VALUE"""),0.722153858563647)</f>
        <v>0.7221538586</v>
      </c>
      <c r="E469" s="15">
        <f>IFERROR(__xludf.DUMMYFUNCTION("""COMPUTED_VALUE"""),0.404132412258938)</f>
        <v>0.4041324123</v>
      </c>
      <c r="F469" s="15">
        <f>IFERROR(__xludf.DUMMYFUNCTION("""COMPUTED_VALUE"""),-0.560832884647463)</f>
        <v>-0.5608328846</v>
      </c>
      <c r="G469" s="15">
        <f>IFERROR(__xludf.DUMMYFUNCTION("""COMPUTED_VALUE"""),-0.0252442750224737)</f>
        <v>-0.02524427502</v>
      </c>
      <c r="H469" s="15">
        <f t="shared" si="1"/>
        <v>46533</v>
      </c>
    </row>
    <row r="470">
      <c r="B470" s="15">
        <f>IFERROR(__xludf.DUMMYFUNCTION("""COMPUTED_VALUE"""),46.8)</f>
        <v>46.8</v>
      </c>
      <c r="C470" s="15">
        <f>IFERROR(__xludf.DUMMYFUNCTION("""COMPUTED_VALUE"""),1.677952146743E12)</f>
        <v>1677952146743</v>
      </c>
      <c r="D470" s="15">
        <f>IFERROR(__xludf.DUMMYFUNCTION("""COMPUTED_VALUE"""),0.722153858563647)</f>
        <v>0.7221538586</v>
      </c>
      <c r="E470" s="15">
        <f>IFERROR(__xludf.DUMMYFUNCTION("""COMPUTED_VALUE"""),0.404132412258938)</f>
        <v>0.4041324123</v>
      </c>
      <c r="F470" s="15">
        <f>IFERROR(__xludf.DUMMYFUNCTION("""COMPUTED_VALUE"""),-0.560832884647463)</f>
        <v>-0.5608328846</v>
      </c>
      <c r="G470" s="15">
        <f>IFERROR(__xludf.DUMMYFUNCTION("""COMPUTED_VALUE"""),-0.0252442750224737)</f>
        <v>-0.02524427502</v>
      </c>
      <c r="H470" s="15">
        <f t="shared" si="1"/>
        <v>46630</v>
      </c>
    </row>
    <row r="471">
      <c r="B471" s="15">
        <f>IFERROR(__xludf.DUMMYFUNCTION("""COMPUTED_VALUE"""),46.9)</f>
        <v>46.9</v>
      </c>
      <c r="C471" s="15">
        <f>IFERROR(__xludf.DUMMYFUNCTION("""COMPUTED_VALUE"""),1.677952146847E12)</f>
        <v>1677952146847</v>
      </c>
      <c r="D471" s="15">
        <f>IFERROR(__xludf.DUMMYFUNCTION("""COMPUTED_VALUE"""),0.722153858563647)</f>
        <v>0.7221538586</v>
      </c>
      <c r="E471" s="15">
        <f>IFERROR(__xludf.DUMMYFUNCTION("""COMPUTED_VALUE"""),0.404132412258938)</f>
        <v>0.4041324123</v>
      </c>
      <c r="F471" s="15">
        <f>IFERROR(__xludf.DUMMYFUNCTION("""COMPUTED_VALUE"""),-0.560832884647463)</f>
        <v>-0.5608328846</v>
      </c>
      <c r="G471" s="15">
        <f>IFERROR(__xludf.DUMMYFUNCTION("""COMPUTED_VALUE"""),-0.0252442750224737)</f>
        <v>-0.02524427502</v>
      </c>
      <c r="H471" s="15">
        <f t="shared" si="1"/>
        <v>46734</v>
      </c>
    </row>
    <row r="472">
      <c r="B472" s="15">
        <f>IFERROR(__xludf.DUMMYFUNCTION("""COMPUTED_VALUE"""),47.0)</f>
        <v>47</v>
      </c>
      <c r="C472" s="15">
        <f>IFERROR(__xludf.DUMMYFUNCTION("""COMPUTED_VALUE"""),1.677952146949E12)</f>
        <v>1677952146949</v>
      </c>
      <c r="D472" s="15">
        <f>IFERROR(__xludf.DUMMYFUNCTION("""COMPUTED_VALUE"""),-0.094975008661217)</f>
        <v>-0.09497500866</v>
      </c>
      <c r="E472" s="15">
        <f>IFERROR(__xludf.DUMMYFUNCTION("""COMPUTED_VALUE"""),0.11872123045171)</f>
        <v>0.1187212305</v>
      </c>
      <c r="F472" s="15">
        <f>IFERROR(__xludf.DUMMYFUNCTION("""COMPUTED_VALUE"""),0.972297866752534)</f>
        <v>0.9722978668</v>
      </c>
      <c r="G472" s="15">
        <f>IFERROR(__xludf.DUMMYFUNCTION("""COMPUTED_VALUE"""),-0.177544009975846)</f>
        <v>-0.17754401</v>
      </c>
      <c r="H472" s="15">
        <f t="shared" si="1"/>
        <v>46836</v>
      </c>
    </row>
    <row r="473">
      <c r="B473" s="15">
        <f>IFERROR(__xludf.DUMMYFUNCTION("""COMPUTED_VALUE"""),47.1)</f>
        <v>47.1</v>
      </c>
      <c r="C473" s="15">
        <f>IFERROR(__xludf.DUMMYFUNCTION("""COMPUTED_VALUE"""),1.677952147047E12)</f>
        <v>1677952147047</v>
      </c>
      <c r="D473" s="15">
        <f>IFERROR(__xludf.DUMMYFUNCTION("""COMPUTED_VALUE"""),-0.094975008661217)</f>
        <v>-0.09497500866</v>
      </c>
      <c r="E473" s="15">
        <f>IFERROR(__xludf.DUMMYFUNCTION("""COMPUTED_VALUE"""),0.11872123045171)</f>
        <v>0.1187212305</v>
      </c>
      <c r="F473" s="15">
        <f>IFERROR(__xludf.DUMMYFUNCTION("""COMPUTED_VALUE"""),0.972297866752534)</f>
        <v>0.9722978668</v>
      </c>
      <c r="G473" s="15">
        <f>IFERROR(__xludf.DUMMYFUNCTION("""COMPUTED_VALUE"""),-0.177544009975846)</f>
        <v>-0.17754401</v>
      </c>
      <c r="H473" s="15">
        <f t="shared" si="1"/>
        <v>46934</v>
      </c>
    </row>
    <row r="474">
      <c r="B474" s="15">
        <f>IFERROR(__xludf.DUMMYFUNCTION("""COMPUTED_VALUE"""),47.2)</f>
        <v>47.2</v>
      </c>
      <c r="C474" s="15">
        <f>IFERROR(__xludf.DUMMYFUNCTION("""COMPUTED_VALUE"""),1.67795214715E12)</f>
        <v>1677952147150</v>
      </c>
      <c r="D474" s="15">
        <f>IFERROR(__xludf.DUMMYFUNCTION("""COMPUTED_VALUE"""),-0.094975008661217)</f>
        <v>-0.09497500866</v>
      </c>
      <c r="E474" s="15">
        <f>IFERROR(__xludf.DUMMYFUNCTION("""COMPUTED_VALUE"""),0.11872123045171)</f>
        <v>0.1187212305</v>
      </c>
      <c r="F474" s="15">
        <f>IFERROR(__xludf.DUMMYFUNCTION("""COMPUTED_VALUE"""),0.972297866752534)</f>
        <v>0.9722978668</v>
      </c>
      <c r="G474" s="15">
        <f>IFERROR(__xludf.DUMMYFUNCTION("""COMPUTED_VALUE"""),-0.177544009975846)</f>
        <v>-0.17754401</v>
      </c>
      <c r="H474" s="15">
        <f t="shared" si="1"/>
        <v>47037</v>
      </c>
    </row>
    <row r="475">
      <c r="B475" s="15">
        <f>IFERROR(__xludf.DUMMYFUNCTION("""COMPUTED_VALUE"""),47.3)</f>
        <v>47.3</v>
      </c>
      <c r="C475" s="15">
        <f>IFERROR(__xludf.DUMMYFUNCTION("""COMPUTED_VALUE"""),1.677952147247E12)</f>
        <v>1677952147247</v>
      </c>
      <c r="D475" s="15">
        <f>IFERROR(__xludf.DUMMYFUNCTION("""COMPUTED_VALUE"""),-0.094975008661217)</f>
        <v>-0.09497500866</v>
      </c>
      <c r="E475" s="15">
        <f>IFERROR(__xludf.DUMMYFUNCTION("""COMPUTED_VALUE"""),0.11872123045171)</f>
        <v>0.1187212305</v>
      </c>
      <c r="F475" s="15">
        <f>IFERROR(__xludf.DUMMYFUNCTION("""COMPUTED_VALUE"""),0.972297866752534)</f>
        <v>0.9722978668</v>
      </c>
      <c r="G475" s="15">
        <f>IFERROR(__xludf.DUMMYFUNCTION("""COMPUTED_VALUE"""),-0.177544009975846)</f>
        <v>-0.17754401</v>
      </c>
      <c r="H475" s="15">
        <f t="shared" si="1"/>
        <v>47134</v>
      </c>
    </row>
    <row r="476">
      <c r="B476" s="15">
        <f>IFERROR(__xludf.DUMMYFUNCTION("""COMPUTED_VALUE"""),47.4)</f>
        <v>47.4</v>
      </c>
      <c r="C476" s="15">
        <f>IFERROR(__xludf.DUMMYFUNCTION("""COMPUTED_VALUE"""),1.67795214735E12)</f>
        <v>1677952147350</v>
      </c>
      <c r="D476" s="15">
        <f>IFERROR(__xludf.DUMMYFUNCTION("""COMPUTED_VALUE"""),-0.094975008661217)</f>
        <v>-0.09497500866</v>
      </c>
      <c r="E476" s="15">
        <f>IFERROR(__xludf.DUMMYFUNCTION("""COMPUTED_VALUE"""),0.11872123045171)</f>
        <v>0.1187212305</v>
      </c>
      <c r="F476" s="15">
        <f>IFERROR(__xludf.DUMMYFUNCTION("""COMPUTED_VALUE"""),0.972297866752534)</f>
        <v>0.9722978668</v>
      </c>
      <c r="G476" s="15">
        <f>IFERROR(__xludf.DUMMYFUNCTION("""COMPUTED_VALUE"""),-0.177544009975846)</f>
        <v>-0.17754401</v>
      </c>
      <c r="H476" s="15">
        <f t="shared" si="1"/>
        <v>47237</v>
      </c>
    </row>
    <row r="477">
      <c r="B477" s="15">
        <f>IFERROR(__xludf.DUMMYFUNCTION("""COMPUTED_VALUE"""),47.5)</f>
        <v>47.5</v>
      </c>
      <c r="C477" s="15">
        <f>IFERROR(__xludf.DUMMYFUNCTION("""COMPUTED_VALUE"""),1.677952147446E12)</f>
        <v>1677952147446</v>
      </c>
      <c r="D477" s="15">
        <f>IFERROR(__xludf.DUMMYFUNCTION("""COMPUTED_VALUE"""),-0.094975008661217)</f>
        <v>-0.09497500866</v>
      </c>
      <c r="E477" s="15">
        <f>IFERROR(__xludf.DUMMYFUNCTION("""COMPUTED_VALUE"""),0.11872123045171)</f>
        <v>0.1187212305</v>
      </c>
      <c r="F477" s="15">
        <f>IFERROR(__xludf.DUMMYFUNCTION("""COMPUTED_VALUE"""),0.972297866752534)</f>
        <v>0.9722978668</v>
      </c>
      <c r="G477" s="15">
        <f>IFERROR(__xludf.DUMMYFUNCTION("""COMPUTED_VALUE"""),-0.177544009975846)</f>
        <v>-0.17754401</v>
      </c>
      <c r="H477" s="15">
        <f t="shared" si="1"/>
        <v>47333</v>
      </c>
    </row>
    <row r="478">
      <c r="B478" s="15">
        <f>IFERROR(__xludf.DUMMYFUNCTION("""COMPUTED_VALUE"""),47.6)</f>
        <v>47.6</v>
      </c>
      <c r="C478" s="15">
        <f>IFERROR(__xludf.DUMMYFUNCTION("""COMPUTED_VALUE"""),1.677952147544E12)</f>
        <v>1677952147544</v>
      </c>
      <c r="D478" s="15">
        <f>IFERROR(__xludf.DUMMYFUNCTION("""COMPUTED_VALUE"""),-0.094975008661217)</f>
        <v>-0.09497500866</v>
      </c>
      <c r="E478" s="15">
        <f>IFERROR(__xludf.DUMMYFUNCTION("""COMPUTED_VALUE"""),0.11872123045171)</f>
        <v>0.1187212305</v>
      </c>
      <c r="F478" s="15">
        <f>IFERROR(__xludf.DUMMYFUNCTION("""COMPUTED_VALUE"""),0.972297866752534)</f>
        <v>0.9722978668</v>
      </c>
      <c r="G478" s="15">
        <f>IFERROR(__xludf.DUMMYFUNCTION("""COMPUTED_VALUE"""),-0.177544009975846)</f>
        <v>-0.17754401</v>
      </c>
      <c r="H478" s="15">
        <f t="shared" si="1"/>
        <v>47431</v>
      </c>
    </row>
    <row r="479">
      <c r="B479" s="15">
        <f>IFERROR(__xludf.DUMMYFUNCTION("""COMPUTED_VALUE"""),47.7)</f>
        <v>47.7</v>
      </c>
      <c r="C479" s="15">
        <f>IFERROR(__xludf.DUMMYFUNCTION("""COMPUTED_VALUE"""),1.677952147786E12)</f>
        <v>1677952147786</v>
      </c>
      <c r="D479" s="15">
        <f>IFERROR(__xludf.DUMMYFUNCTION("""COMPUTED_VALUE"""),-0.0454658830216887)</f>
        <v>-0.04546588302</v>
      </c>
      <c r="E479" s="15">
        <f>IFERROR(__xludf.DUMMYFUNCTION("""COMPUTED_VALUE"""),-0.194229436250603)</f>
        <v>-0.1942294363</v>
      </c>
      <c r="F479" s="15">
        <f>IFERROR(__xludf.DUMMYFUNCTION("""COMPUTED_VALUE"""),0.967830440174266)</f>
        <v>0.9678304402</v>
      </c>
      <c r="G479" s="15">
        <f>IFERROR(__xludf.DUMMYFUNCTION("""COMPUTED_VALUE"""),-0.153336292660661)</f>
        <v>-0.1533362927</v>
      </c>
      <c r="H479" s="15">
        <f t="shared" si="1"/>
        <v>47673</v>
      </c>
    </row>
    <row r="480">
      <c r="B480" s="15">
        <f>IFERROR(__xludf.DUMMYFUNCTION("""COMPUTED_VALUE"""),47.8)</f>
        <v>47.8</v>
      </c>
      <c r="C480" s="15">
        <f>IFERROR(__xludf.DUMMYFUNCTION("""COMPUTED_VALUE"""),1.677952147815E12)</f>
        <v>1677952147815</v>
      </c>
      <c r="D480" s="15">
        <f>IFERROR(__xludf.DUMMYFUNCTION("""COMPUTED_VALUE"""),-0.0383642706464415)</f>
        <v>-0.03836427065</v>
      </c>
      <c r="E480" s="15">
        <f>IFERROR(__xludf.DUMMYFUNCTION("""COMPUTED_VALUE"""),-0.272530971713083)</f>
        <v>-0.2725309717</v>
      </c>
      <c r="F480" s="15">
        <f>IFERROR(__xludf.DUMMYFUNCTION("""COMPUTED_VALUE"""),0.950314235084994)</f>
        <v>0.9503142351</v>
      </c>
      <c r="G480" s="15">
        <f>IFERROR(__xludf.DUMMYFUNCTION("""COMPUTED_VALUE"""),-0.145457577285301)</f>
        <v>-0.1454575773</v>
      </c>
      <c r="H480" s="15">
        <f t="shared" si="1"/>
        <v>47702</v>
      </c>
    </row>
    <row r="481">
      <c r="B481" s="15">
        <f>IFERROR(__xludf.DUMMYFUNCTION("""COMPUTED_VALUE"""),47.9)</f>
        <v>47.9</v>
      </c>
      <c r="C481" s="15">
        <f>IFERROR(__xludf.DUMMYFUNCTION("""COMPUTED_VALUE"""),1.677952147877E12)</f>
        <v>1677952147877</v>
      </c>
      <c r="D481" s="15">
        <f>IFERROR(__xludf.DUMMYFUNCTION("""COMPUTED_VALUE"""),-0.0274775793383674)</f>
        <v>-0.02747757934</v>
      </c>
      <c r="E481" s="15">
        <f>IFERROR(__xludf.DUMMYFUNCTION("""COMPUTED_VALUE"""),-0.375444620979479)</f>
        <v>-0.375444621</v>
      </c>
      <c r="F481" s="15">
        <f>IFERROR(__xludf.DUMMYFUNCTION("""COMPUTED_VALUE"""),0.916844306573088)</f>
        <v>0.9168443066</v>
      </c>
      <c r="G481" s="15">
        <f>IFERROR(__xludf.DUMMYFUNCTION("""COMPUTED_VALUE"""),-0.132976827739987)</f>
        <v>-0.1329768277</v>
      </c>
      <c r="H481" s="15">
        <f t="shared" si="1"/>
        <v>47764</v>
      </c>
    </row>
    <row r="482">
      <c r="B482" s="15">
        <f>IFERROR(__xludf.DUMMYFUNCTION("""COMPUTED_VALUE"""),48.0)</f>
        <v>48</v>
      </c>
      <c r="C482" s="15">
        <f>IFERROR(__xludf.DUMMYFUNCTION("""COMPUTED_VALUE"""),1.677952147978E12)</f>
        <v>1677952147978</v>
      </c>
      <c r="D482" s="15">
        <f>IFERROR(__xludf.DUMMYFUNCTION("""COMPUTED_VALUE"""),-0.0234393418668532)</f>
        <v>-0.02343934187</v>
      </c>
      <c r="E482" s="15">
        <f>IFERROR(__xludf.DUMMYFUNCTION("""COMPUTED_VALUE"""),-0.472893140040855)</f>
        <v>-0.47289314</v>
      </c>
      <c r="F482" s="15">
        <f>IFERROR(__xludf.DUMMYFUNCTION("""COMPUTED_VALUE"""),0.87232784710773)</f>
        <v>0.8723278471</v>
      </c>
      <c r="G482" s="15">
        <f>IFERROR(__xludf.DUMMYFUNCTION("""COMPUTED_VALUE"""),-0.121929498135353)</f>
        <v>-0.1219294981</v>
      </c>
      <c r="H482" s="15">
        <f t="shared" si="1"/>
        <v>47865</v>
      </c>
    </row>
    <row r="483">
      <c r="B483" s="15">
        <f>IFERROR(__xludf.DUMMYFUNCTION("""COMPUTED_VALUE"""),48.1)</f>
        <v>48.1</v>
      </c>
      <c r="C483" s="15">
        <f>IFERROR(__xludf.DUMMYFUNCTION("""COMPUTED_VALUE"""),1.677952148068E12)</f>
        <v>1677952148068</v>
      </c>
      <c r="D483" s="15">
        <f>IFERROR(__xludf.DUMMYFUNCTION("""COMPUTED_VALUE"""),-0.0155840150070383)</f>
        <v>-0.01558401501</v>
      </c>
      <c r="E483" s="15">
        <f>IFERROR(__xludf.DUMMYFUNCTION("""COMPUTED_VALUE"""),-0.538886090549276)</f>
        <v>-0.5388860905</v>
      </c>
      <c r="F483" s="15">
        <f>IFERROR(__xludf.DUMMYFUNCTION("""COMPUTED_VALUE"""),0.83500734983791)</f>
        <v>0.8350073498</v>
      </c>
      <c r="G483" s="15">
        <f>IFERROR(__xludf.DUMMYFUNCTION("""COMPUTED_VALUE"""),-0.110098345153074)</f>
        <v>-0.1100983452</v>
      </c>
      <c r="H483" s="15">
        <f t="shared" si="1"/>
        <v>47955</v>
      </c>
    </row>
    <row r="484">
      <c r="B484" s="15">
        <f>IFERROR(__xludf.DUMMYFUNCTION("""COMPUTED_VALUE"""),48.2)</f>
        <v>48.2</v>
      </c>
      <c r="C484" s="15">
        <f>IFERROR(__xludf.DUMMYFUNCTION("""COMPUTED_VALUE"""),1.677952148179E12)</f>
        <v>1677952148179</v>
      </c>
      <c r="D484" s="15">
        <f>IFERROR(__xludf.DUMMYFUNCTION("""COMPUTED_VALUE"""),0.00943886176641915)</f>
        <v>0.009438861766</v>
      </c>
      <c r="E484" s="15">
        <f>IFERROR(__xludf.DUMMYFUNCTION("""COMPUTED_VALUE"""),-0.574793241946773)</f>
        <v>-0.5747932419</v>
      </c>
      <c r="F484" s="15">
        <f>IFERROR(__xludf.DUMMYFUNCTION("""COMPUTED_VALUE"""),0.813276647577842)</f>
        <v>0.8132766476</v>
      </c>
      <c r="G484" s="15">
        <f>IFERROR(__xludf.DUMMYFUNCTION("""COMPUTED_VALUE"""),-0.0900262817482527)</f>
        <v>-0.09002628175</v>
      </c>
      <c r="H484" s="15">
        <f t="shared" si="1"/>
        <v>48066</v>
      </c>
    </row>
    <row r="485">
      <c r="B485" s="15">
        <f>IFERROR(__xludf.DUMMYFUNCTION("""COMPUTED_VALUE"""),48.3)</f>
        <v>48.3</v>
      </c>
      <c r="C485" s="15">
        <f>IFERROR(__xludf.DUMMYFUNCTION("""COMPUTED_VALUE"""),1.677952148275E12)</f>
        <v>1677952148275</v>
      </c>
      <c r="D485" s="15">
        <f>IFERROR(__xludf.DUMMYFUNCTION("""COMPUTED_VALUE"""),0.0557145290817966)</f>
        <v>0.05571452908</v>
      </c>
      <c r="E485" s="15">
        <f>IFERROR(__xludf.DUMMYFUNCTION("""COMPUTED_VALUE"""),-0.59494046829329)</f>
        <v>-0.5949404683</v>
      </c>
      <c r="F485" s="15">
        <f>IFERROR(__xludf.DUMMYFUNCTION("""COMPUTED_VALUE"""),0.799845847204955)</f>
        <v>0.7998458472</v>
      </c>
      <c r="G485" s="15">
        <f>IFERROR(__xludf.DUMMYFUNCTION("""COMPUTED_VALUE"""),-0.0564654863181036)</f>
        <v>-0.05646548632</v>
      </c>
      <c r="H485" s="15">
        <f t="shared" si="1"/>
        <v>48162</v>
      </c>
    </row>
    <row r="486">
      <c r="B486" s="15">
        <f>IFERROR(__xludf.DUMMYFUNCTION("""COMPUTED_VALUE"""),48.4)</f>
        <v>48.4</v>
      </c>
      <c r="C486" s="15">
        <f>IFERROR(__xludf.DUMMYFUNCTION("""COMPUTED_VALUE"""),1.677952148363E12)</f>
        <v>1677952148363</v>
      </c>
      <c r="D486" s="15">
        <f>IFERROR(__xludf.DUMMYFUNCTION("""COMPUTED_VALUE"""),0.0867284330570781)</f>
        <v>0.08672843306</v>
      </c>
      <c r="E486" s="15">
        <f>IFERROR(__xludf.DUMMYFUNCTION("""COMPUTED_VALUE"""),-0.602951065901701)</f>
        <v>-0.6029510659</v>
      </c>
      <c r="F486" s="15">
        <f>IFERROR(__xludf.DUMMYFUNCTION("""COMPUTED_VALUE"""),0.792336270587964)</f>
        <v>0.7923362706</v>
      </c>
      <c r="G486" s="15">
        <f>IFERROR(__xludf.DUMMYFUNCTION("""COMPUTED_VALUE"""),-0.0336366665741474)</f>
        <v>-0.03363666657</v>
      </c>
      <c r="H486" s="15">
        <f t="shared" si="1"/>
        <v>48250</v>
      </c>
    </row>
    <row r="487">
      <c r="B487" s="15">
        <f>IFERROR(__xludf.DUMMYFUNCTION("""COMPUTED_VALUE"""),48.5)</f>
        <v>48.5</v>
      </c>
      <c r="C487" s="15">
        <f>IFERROR(__xludf.DUMMYFUNCTION("""COMPUTED_VALUE"""),1.677952148455E12)</f>
        <v>1677952148455</v>
      </c>
      <c r="D487" s="15">
        <f>IFERROR(__xludf.DUMMYFUNCTION("""COMPUTED_VALUE"""),0.0929486885024466)</f>
        <v>0.0929486885</v>
      </c>
      <c r="E487" s="15">
        <f>IFERROR(__xludf.DUMMYFUNCTION("""COMPUTED_VALUE"""),-0.60319664850949)</f>
        <v>-0.6031966485</v>
      </c>
      <c r="F487" s="15">
        <f>IFERROR(__xludf.DUMMYFUNCTION("""COMPUTED_VALUE"""),0.791630676575544)</f>
        <v>0.7916306766</v>
      </c>
      <c r="G487" s="15">
        <f>IFERROR(__xludf.DUMMYFUNCTION("""COMPUTED_VALUE"""),-0.0289001113689266)</f>
        <v>-0.02890011137</v>
      </c>
      <c r="H487" s="15">
        <f t="shared" si="1"/>
        <v>48342</v>
      </c>
    </row>
    <row r="488">
      <c r="B488" s="15">
        <f>IFERROR(__xludf.DUMMYFUNCTION("""COMPUTED_VALUE"""),48.6)</f>
        <v>48.6</v>
      </c>
      <c r="C488" s="15">
        <f>IFERROR(__xludf.DUMMYFUNCTION("""COMPUTED_VALUE"""),1.677952148519E12)</f>
        <v>1677952148519</v>
      </c>
      <c r="D488" s="15">
        <f>IFERROR(__xludf.DUMMYFUNCTION("""COMPUTED_VALUE"""),0.0929486885024466)</f>
        <v>0.0929486885</v>
      </c>
      <c r="E488" s="15">
        <f>IFERROR(__xludf.DUMMYFUNCTION("""COMPUTED_VALUE"""),-0.60319664850949)</f>
        <v>-0.6031966485</v>
      </c>
      <c r="F488" s="15">
        <f>IFERROR(__xludf.DUMMYFUNCTION("""COMPUTED_VALUE"""),0.791630676575544)</f>
        <v>0.7916306766</v>
      </c>
      <c r="G488" s="15">
        <f>IFERROR(__xludf.DUMMYFUNCTION("""COMPUTED_VALUE"""),-0.0289001113689266)</f>
        <v>-0.02890011137</v>
      </c>
      <c r="H488" s="15">
        <f t="shared" si="1"/>
        <v>48406</v>
      </c>
    </row>
    <row r="489">
      <c r="B489" s="15">
        <f>IFERROR(__xludf.DUMMYFUNCTION("""COMPUTED_VALUE"""),48.7)</f>
        <v>48.7</v>
      </c>
      <c r="C489" s="15">
        <f>IFERROR(__xludf.DUMMYFUNCTION("""COMPUTED_VALUE"""),1.677952148615E12)</f>
        <v>1677952148615</v>
      </c>
      <c r="D489" s="15">
        <f>IFERROR(__xludf.DUMMYFUNCTION("""COMPUTED_VALUE"""),0.0929486885024466)</f>
        <v>0.0929486885</v>
      </c>
      <c r="E489" s="15">
        <f>IFERROR(__xludf.DUMMYFUNCTION("""COMPUTED_VALUE"""),-0.60319664850949)</f>
        <v>-0.6031966485</v>
      </c>
      <c r="F489" s="15">
        <f>IFERROR(__xludf.DUMMYFUNCTION("""COMPUTED_VALUE"""),0.791630676575544)</f>
        <v>0.7916306766</v>
      </c>
      <c r="G489" s="15">
        <f>IFERROR(__xludf.DUMMYFUNCTION("""COMPUTED_VALUE"""),-0.0289001113689266)</f>
        <v>-0.02890011137</v>
      </c>
      <c r="H489" s="15">
        <f t="shared" si="1"/>
        <v>48502</v>
      </c>
    </row>
    <row r="490">
      <c r="B490" s="15">
        <f>IFERROR(__xludf.DUMMYFUNCTION("""COMPUTED_VALUE"""),48.8)</f>
        <v>48.8</v>
      </c>
      <c r="C490" s="15">
        <f>IFERROR(__xludf.DUMMYFUNCTION("""COMPUTED_VALUE"""),1.677952148719E12)</f>
        <v>1677952148719</v>
      </c>
      <c r="D490" s="15">
        <f>IFERROR(__xludf.DUMMYFUNCTION("""COMPUTED_VALUE"""),0.0929486885024466)</f>
        <v>0.0929486885</v>
      </c>
      <c r="E490" s="15">
        <f>IFERROR(__xludf.DUMMYFUNCTION("""COMPUTED_VALUE"""),-0.60319664850949)</f>
        <v>-0.6031966485</v>
      </c>
      <c r="F490" s="15">
        <f>IFERROR(__xludf.DUMMYFUNCTION("""COMPUTED_VALUE"""),0.791630676575544)</f>
        <v>0.7916306766</v>
      </c>
      <c r="G490" s="15">
        <f>IFERROR(__xludf.DUMMYFUNCTION("""COMPUTED_VALUE"""),-0.0289001113689266)</f>
        <v>-0.02890011137</v>
      </c>
      <c r="H490" s="15">
        <f t="shared" si="1"/>
        <v>48606</v>
      </c>
    </row>
    <row r="491">
      <c r="B491" s="15">
        <f>IFERROR(__xludf.DUMMYFUNCTION("""COMPUTED_VALUE"""),48.9)</f>
        <v>48.9</v>
      </c>
      <c r="C491" s="15">
        <f>IFERROR(__xludf.DUMMYFUNCTION("""COMPUTED_VALUE"""),1.677952148823E12)</f>
        <v>1677952148823</v>
      </c>
      <c r="D491" s="15">
        <f>IFERROR(__xludf.DUMMYFUNCTION("""COMPUTED_VALUE"""),0.0929486885024466)</f>
        <v>0.0929486885</v>
      </c>
      <c r="E491" s="15">
        <f>IFERROR(__xludf.DUMMYFUNCTION("""COMPUTED_VALUE"""),-0.60319664850949)</f>
        <v>-0.6031966485</v>
      </c>
      <c r="F491" s="15">
        <f>IFERROR(__xludf.DUMMYFUNCTION("""COMPUTED_VALUE"""),0.791630676575544)</f>
        <v>0.7916306766</v>
      </c>
      <c r="G491" s="15">
        <f>IFERROR(__xludf.DUMMYFUNCTION("""COMPUTED_VALUE"""),-0.0289001113689266)</f>
        <v>-0.02890011137</v>
      </c>
      <c r="H491" s="15">
        <f t="shared" si="1"/>
        <v>48710</v>
      </c>
    </row>
    <row r="492">
      <c r="B492" s="15">
        <f>IFERROR(__xludf.DUMMYFUNCTION("""COMPUTED_VALUE"""),49.0)</f>
        <v>49</v>
      </c>
      <c r="C492" s="15">
        <f>IFERROR(__xludf.DUMMYFUNCTION("""COMPUTED_VALUE"""),1.677952148927E12)</f>
        <v>1677952148927</v>
      </c>
      <c r="D492" s="15">
        <f>IFERROR(__xludf.DUMMYFUNCTION("""COMPUTED_VALUE"""),0.0929486885024466)</f>
        <v>0.0929486885</v>
      </c>
      <c r="E492" s="15">
        <f>IFERROR(__xludf.DUMMYFUNCTION("""COMPUTED_VALUE"""),-0.60319664850949)</f>
        <v>-0.6031966485</v>
      </c>
      <c r="F492" s="15">
        <f>IFERROR(__xludf.DUMMYFUNCTION("""COMPUTED_VALUE"""),0.791630676575544)</f>
        <v>0.7916306766</v>
      </c>
      <c r="G492" s="15">
        <f>IFERROR(__xludf.DUMMYFUNCTION("""COMPUTED_VALUE"""),-0.0289001113689266)</f>
        <v>-0.02890011137</v>
      </c>
      <c r="H492" s="15">
        <f t="shared" si="1"/>
        <v>48814</v>
      </c>
    </row>
    <row r="493">
      <c r="B493" s="15">
        <f>IFERROR(__xludf.DUMMYFUNCTION("""COMPUTED_VALUE"""),49.1)</f>
        <v>49.1</v>
      </c>
      <c r="C493" s="15">
        <f>IFERROR(__xludf.DUMMYFUNCTION("""COMPUTED_VALUE"""),1.677952149036E12)</f>
        <v>1677952149036</v>
      </c>
      <c r="D493" s="15">
        <f>IFERROR(__xludf.DUMMYFUNCTION("""COMPUTED_VALUE"""),0.0929486885024466)</f>
        <v>0.0929486885</v>
      </c>
      <c r="E493" s="15">
        <f>IFERROR(__xludf.DUMMYFUNCTION("""COMPUTED_VALUE"""),-0.60319664850949)</f>
        <v>-0.6031966485</v>
      </c>
      <c r="F493" s="15">
        <f>IFERROR(__xludf.DUMMYFUNCTION("""COMPUTED_VALUE"""),0.791630676575544)</f>
        <v>0.7916306766</v>
      </c>
      <c r="G493" s="15">
        <f>IFERROR(__xludf.DUMMYFUNCTION("""COMPUTED_VALUE"""),-0.0289001113689266)</f>
        <v>-0.02890011137</v>
      </c>
      <c r="H493" s="15">
        <f t="shared" si="1"/>
        <v>48923</v>
      </c>
    </row>
    <row r="494">
      <c r="B494" s="15">
        <f>IFERROR(__xludf.DUMMYFUNCTION("""COMPUTED_VALUE"""),49.2)</f>
        <v>49.2</v>
      </c>
      <c r="C494" s="15">
        <f>IFERROR(__xludf.DUMMYFUNCTION("""COMPUTED_VALUE"""),1.677952149172E12)</f>
        <v>1677952149172</v>
      </c>
      <c r="D494" s="15">
        <f>IFERROR(__xludf.DUMMYFUNCTION("""COMPUTED_VALUE"""),-0.111764532342166)</f>
        <v>-0.1117645323</v>
      </c>
      <c r="E494" s="15">
        <f>IFERROR(__xludf.DUMMYFUNCTION("""COMPUTED_VALUE"""),0.666941856815532)</f>
        <v>0.6669418568</v>
      </c>
      <c r="F494" s="15">
        <f>IFERROR(__xludf.DUMMYFUNCTION("""COMPUTED_VALUE"""),-0.736417961351172)</f>
        <v>-0.7364179614</v>
      </c>
      <c r="G494" s="15">
        <f>IFERROR(__xludf.DUMMYFUNCTION("""COMPUTED_VALUE"""),0.0196426866076356)</f>
        <v>0.01964268661</v>
      </c>
      <c r="H494" s="15">
        <f t="shared" si="1"/>
        <v>49059</v>
      </c>
    </row>
    <row r="495">
      <c r="B495" s="15">
        <f>IFERROR(__xludf.DUMMYFUNCTION("""COMPUTED_VALUE"""),49.3)</f>
        <v>49.3</v>
      </c>
      <c r="C495" s="15">
        <f>IFERROR(__xludf.DUMMYFUNCTION("""COMPUTED_VALUE"""),1.677952149281E12)</f>
        <v>1677952149281</v>
      </c>
      <c r="D495" s="15">
        <f>IFERROR(__xludf.DUMMYFUNCTION("""COMPUTED_VALUE"""),-0.148339294657105)</f>
        <v>-0.1483392947</v>
      </c>
      <c r="E495" s="15">
        <f>IFERROR(__xludf.DUMMYFUNCTION("""COMPUTED_VALUE"""),0.756559533322093)</f>
        <v>0.7565595333</v>
      </c>
      <c r="F495" s="15">
        <f>IFERROR(__xludf.DUMMYFUNCTION("""COMPUTED_VALUE"""),-0.636871357303849)</f>
        <v>-0.6368713573</v>
      </c>
      <c r="G495" s="15">
        <f>IFERROR(__xludf.DUMMYFUNCTION("""COMPUTED_VALUE"""),-0.00282850597278532)</f>
        <v>-0.002828505973</v>
      </c>
      <c r="H495" s="15">
        <f t="shared" si="1"/>
        <v>49168</v>
      </c>
    </row>
    <row r="496">
      <c r="B496" s="15">
        <f>IFERROR(__xludf.DUMMYFUNCTION("""COMPUTED_VALUE"""),49.4)</f>
        <v>49.4</v>
      </c>
      <c r="C496" s="15">
        <f>IFERROR(__xludf.DUMMYFUNCTION("""COMPUTED_VALUE"""),1.67795214937E12)</f>
        <v>1677952149370</v>
      </c>
      <c r="D496" s="15">
        <f>IFERROR(__xludf.DUMMYFUNCTION("""COMPUTED_VALUE"""),-0.174811663041822)</f>
        <v>-0.174811663</v>
      </c>
      <c r="E496" s="15">
        <f>IFERROR(__xludf.DUMMYFUNCTION("""COMPUTED_VALUE"""),0.827463323772379)</f>
        <v>0.8274633238</v>
      </c>
      <c r="F496" s="15">
        <f>IFERROR(__xludf.DUMMYFUNCTION("""COMPUTED_VALUE"""),-0.533330068152987)</f>
        <v>-0.5333300682</v>
      </c>
      <c r="G496" s="15">
        <f>IFERROR(__xludf.DUMMYFUNCTION("""COMPUTED_VALUE"""),-0.0174461651960201)</f>
        <v>-0.0174461652</v>
      </c>
      <c r="H496" s="15">
        <f t="shared" si="1"/>
        <v>49257</v>
      </c>
    </row>
    <row r="497">
      <c r="B497" s="15">
        <f>IFERROR(__xludf.DUMMYFUNCTION("""COMPUTED_VALUE"""),49.5)</f>
        <v>49.5</v>
      </c>
      <c r="C497" s="15">
        <f>IFERROR(__xludf.DUMMYFUNCTION("""COMPUTED_VALUE"""),1.67795214948E12)</f>
        <v>1677952149480</v>
      </c>
      <c r="D497" s="15">
        <f>IFERROR(__xludf.DUMMYFUNCTION("""COMPUTED_VALUE"""),-0.191756550131038)</f>
        <v>-0.1917565501</v>
      </c>
      <c r="E497" s="15">
        <f>IFERROR(__xludf.DUMMYFUNCTION("""COMPUTED_VALUE"""),0.905877076630319)</f>
        <v>0.9058770766</v>
      </c>
      <c r="F497" s="15">
        <f>IFERROR(__xludf.DUMMYFUNCTION("""COMPUTED_VALUE"""),-0.377420038705033)</f>
        <v>-0.3774200387</v>
      </c>
      <c r="G497" s="15">
        <f>IFERROR(__xludf.DUMMYFUNCTION("""COMPUTED_VALUE"""),-0.0130484444068312)</f>
        <v>-0.01304844441</v>
      </c>
      <c r="H497" s="15">
        <f t="shared" si="1"/>
        <v>49367</v>
      </c>
    </row>
    <row r="498">
      <c r="B498" s="15">
        <f>IFERROR(__xludf.DUMMYFUNCTION("""COMPUTED_VALUE"""),49.6)</f>
        <v>49.6</v>
      </c>
      <c r="C498" s="15">
        <f>IFERROR(__xludf.DUMMYFUNCTION("""COMPUTED_VALUE"""),1.677952149571E12)</f>
        <v>1677952149571</v>
      </c>
      <c r="D498" s="15">
        <f>IFERROR(__xludf.DUMMYFUNCTION("""COMPUTED_VALUE"""),-0.200726321342372)</f>
        <v>-0.2007263213</v>
      </c>
      <c r="E498" s="15">
        <f>IFERROR(__xludf.DUMMYFUNCTION("""COMPUTED_VALUE"""),0.950353153320527)</f>
        <v>0.9503531533</v>
      </c>
      <c r="F498" s="15">
        <f>IFERROR(__xludf.DUMMYFUNCTION("""COMPUTED_VALUE"""),-0.237693558018769)</f>
        <v>-0.237693558</v>
      </c>
      <c r="G498" s="15">
        <f>IFERROR(__xludf.DUMMYFUNCTION("""COMPUTED_VALUE"""),-0.00629288252429152)</f>
        <v>-0.006292882524</v>
      </c>
      <c r="H498" s="15">
        <f t="shared" si="1"/>
        <v>49458</v>
      </c>
    </row>
    <row r="499">
      <c r="B499" s="15">
        <f>IFERROR(__xludf.DUMMYFUNCTION("""COMPUTED_VALUE"""),49.7)</f>
        <v>49.7</v>
      </c>
      <c r="C499" s="15">
        <f>IFERROR(__xludf.DUMMYFUNCTION("""COMPUTED_VALUE"""),1.677952149664E12)</f>
        <v>1677952149664</v>
      </c>
      <c r="D499" s="15">
        <f>IFERROR(__xludf.DUMMYFUNCTION("""COMPUTED_VALUE"""),-0.208341119284446)</f>
        <v>-0.2083411193</v>
      </c>
      <c r="E499" s="15">
        <f>IFERROR(__xludf.DUMMYFUNCTION("""COMPUTED_VALUE"""),0.967783146985275)</f>
        <v>0.967783147</v>
      </c>
      <c r="F499" s="15">
        <f>IFERROR(__xludf.DUMMYFUNCTION("""COMPUTED_VALUE"""),-0.13917180715161)</f>
        <v>-0.1391718072</v>
      </c>
      <c r="G499" s="15">
        <f>IFERROR(__xludf.DUMMYFUNCTION("""COMPUTED_VALUE"""),-0.0249191998413742)</f>
        <v>-0.02491919984</v>
      </c>
      <c r="H499" s="15">
        <f t="shared" si="1"/>
        <v>49551</v>
      </c>
    </row>
    <row r="500">
      <c r="B500" s="15">
        <f>IFERROR(__xludf.DUMMYFUNCTION("""COMPUTED_VALUE"""),49.8)</f>
        <v>49.8</v>
      </c>
      <c r="C500" s="15">
        <f>IFERROR(__xludf.DUMMYFUNCTION("""COMPUTED_VALUE"""),1.677952149753E12)</f>
        <v>1677952149753</v>
      </c>
      <c r="D500" s="15">
        <f>IFERROR(__xludf.DUMMYFUNCTION("""COMPUTED_VALUE"""),-0.225739260623396)</f>
        <v>-0.2257392606</v>
      </c>
      <c r="E500" s="15">
        <f>IFERROR(__xludf.DUMMYFUNCTION("""COMPUTED_VALUE"""),0.954089452490213)</f>
        <v>0.9540894525</v>
      </c>
      <c r="F500" s="15">
        <f>IFERROR(__xludf.DUMMYFUNCTION("""COMPUTED_VALUE"""),-0.10284817843748)</f>
        <v>-0.1028481784</v>
      </c>
      <c r="G500" s="15">
        <f>IFERROR(__xludf.DUMMYFUNCTION("""COMPUTED_VALUE"""),-0.167861118345545)</f>
        <v>-0.1678611183</v>
      </c>
      <c r="H500" s="15">
        <f t="shared" si="1"/>
        <v>49640</v>
      </c>
    </row>
    <row r="501">
      <c r="B501" s="15">
        <f>IFERROR(__xludf.DUMMYFUNCTION("""COMPUTED_VALUE"""),49.9)</f>
        <v>49.9</v>
      </c>
      <c r="C501" s="15">
        <f>IFERROR(__xludf.DUMMYFUNCTION("""COMPUTED_VALUE"""),1.677952149845E12)</f>
        <v>1677952149845</v>
      </c>
      <c r="D501" s="15">
        <f>IFERROR(__xludf.DUMMYFUNCTION("""COMPUTED_VALUE"""),-0.234673613952764)</f>
        <v>-0.234673614</v>
      </c>
      <c r="E501" s="15">
        <f>IFERROR(__xludf.DUMMYFUNCTION("""COMPUTED_VALUE"""),0.899031649515237)</f>
        <v>0.8990316495</v>
      </c>
      <c r="F501" s="15">
        <f>IFERROR(__xludf.DUMMYFUNCTION("""COMPUTED_VALUE"""),-0.0814026329534774)</f>
        <v>-0.08140263295</v>
      </c>
      <c r="G501" s="15">
        <f>IFERROR(__xludf.DUMMYFUNCTION("""COMPUTED_VALUE"""),-0.360616138619031)</f>
        <v>-0.3606161386</v>
      </c>
      <c r="H501" s="15">
        <f t="shared" si="1"/>
        <v>49732</v>
      </c>
    </row>
    <row r="502">
      <c r="B502" s="15">
        <f>IFERROR(__xludf.DUMMYFUNCTION("""COMPUTED_VALUE"""),50.0)</f>
        <v>50</v>
      </c>
      <c r="C502" s="15">
        <f>IFERROR(__xludf.DUMMYFUNCTION("""COMPUTED_VALUE"""),1.677952149956E12)</f>
        <v>1677952149956</v>
      </c>
      <c r="D502" s="15">
        <f>IFERROR(__xludf.DUMMYFUNCTION("""COMPUTED_VALUE"""),-0.188373497383731)</f>
        <v>-0.1883734974</v>
      </c>
      <c r="E502" s="15">
        <f>IFERROR(__xludf.DUMMYFUNCTION("""COMPUTED_VALUE"""),0.824549387988705)</f>
        <v>0.824549388</v>
      </c>
      <c r="F502" s="15">
        <f>IFERROR(__xludf.DUMMYFUNCTION("""COMPUTED_VALUE"""),-0.1701507213063)</f>
        <v>-0.1701507213</v>
      </c>
      <c r="G502" s="15">
        <f>IFERROR(__xludf.DUMMYFUNCTION("""COMPUTED_VALUE"""),-0.505650535735715)</f>
        <v>-0.5056505357</v>
      </c>
      <c r="H502" s="15">
        <f t="shared" si="1"/>
        <v>49843</v>
      </c>
    </row>
    <row r="503">
      <c r="B503" s="15">
        <f>IFERROR(__xludf.DUMMYFUNCTION("""COMPUTED_VALUE"""),50.1)</f>
        <v>50.1</v>
      </c>
      <c r="C503" s="15">
        <f>IFERROR(__xludf.DUMMYFUNCTION("""COMPUTED_VALUE"""),1.677952150051E12)</f>
        <v>1677952150051</v>
      </c>
      <c r="D503" s="15">
        <f>IFERROR(__xludf.DUMMYFUNCTION("""COMPUTED_VALUE"""),-0.0917053346464846)</f>
        <v>-0.09170533465</v>
      </c>
      <c r="E503" s="15">
        <f>IFERROR(__xludf.DUMMYFUNCTION("""COMPUTED_VALUE"""),0.76102770766506)</f>
        <v>0.7610277077</v>
      </c>
      <c r="F503" s="15">
        <f>IFERROR(__xludf.DUMMYFUNCTION("""COMPUTED_VALUE"""),-0.317652094018456)</f>
        <v>-0.317652094</v>
      </c>
      <c r="G503" s="15">
        <f>IFERROR(__xludf.DUMMYFUNCTION("""COMPUTED_VALUE"""),-0.558143446552163)</f>
        <v>-0.5581434466</v>
      </c>
      <c r="H503" s="15">
        <f t="shared" si="1"/>
        <v>49938</v>
      </c>
    </row>
    <row r="504">
      <c r="B504" s="15">
        <f>IFERROR(__xludf.DUMMYFUNCTION("""COMPUTED_VALUE"""),50.2)</f>
        <v>50.2</v>
      </c>
      <c r="C504" s="15">
        <f>IFERROR(__xludf.DUMMYFUNCTION("""COMPUTED_VALUE"""),1.677952150162E12)</f>
        <v>1677952150162</v>
      </c>
      <c r="D504" s="15">
        <f>IFERROR(__xludf.DUMMYFUNCTION("""COMPUTED_VALUE"""),0.0144819417485486)</f>
        <v>0.01448194175</v>
      </c>
      <c r="E504" s="15">
        <f>IFERROR(__xludf.DUMMYFUNCTION("""COMPUTED_VALUE"""),0.671512615400768)</f>
        <v>0.6715126154</v>
      </c>
      <c r="F504" s="15">
        <f>IFERROR(__xludf.DUMMYFUNCTION("""COMPUTED_VALUE"""),-0.461184678210136)</f>
        <v>-0.4611846782</v>
      </c>
      <c r="G504" s="15">
        <f>IFERROR(__xludf.DUMMYFUNCTION("""COMPUTED_VALUE"""),-0.579801494741969)</f>
        <v>-0.5798014947</v>
      </c>
      <c r="H504" s="15">
        <f t="shared" si="1"/>
        <v>50049</v>
      </c>
    </row>
    <row r="505">
      <c r="B505" s="15">
        <f>IFERROR(__xludf.DUMMYFUNCTION("""COMPUTED_VALUE"""),50.3)</f>
        <v>50.3</v>
      </c>
      <c r="C505" s="15">
        <f>IFERROR(__xludf.DUMMYFUNCTION("""COMPUTED_VALUE"""),1.677952150256E12)</f>
        <v>1677952150256</v>
      </c>
      <c r="D505" s="15">
        <f>IFERROR(__xludf.DUMMYFUNCTION("""COMPUTED_VALUE"""),0.0965654853286204)</f>
        <v>0.09656548533</v>
      </c>
      <c r="E505" s="15">
        <f>IFERROR(__xludf.DUMMYFUNCTION("""COMPUTED_VALUE"""),0.599818428781052)</f>
        <v>0.5998184288</v>
      </c>
      <c r="F505" s="15">
        <f>IFERROR(__xludf.DUMMYFUNCTION("""COMPUTED_VALUE"""),-0.550734964479295)</f>
        <v>-0.5507349645</v>
      </c>
      <c r="G505" s="15">
        <f>IFERROR(__xludf.DUMMYFUNCTION("""COMPUTED_VALUE"""),-0.572349507239994)</f>
        <v>-0.5723495072</v>
      </c>
      <c r="H505" s="15">
        <f t="shared" si="1"/>
        <v>50143</v>
      </c>
    </row>
    <row r="506">
      <c r="B506" s="15">
        <f>IFERROR(__xludf.DUMMYFUNCTION("""COMPUTED_VALUE"""),50.4)</f>
        <v>50.4</v>
      </c>
      <c r="C506" s="15">
        <f>IFERROR(__xludf.DUMMYFUNCTION("""COMPUTED_VALUE"""),1.677952150345E12)</f>
        <v>1677952150345</v>
      </c>
      <c r="D506" s="15">
        <f>IFERROR(__xludf.DUMMYFUNCTION("""COMPUTED_VALUE"""),-0.147645443404087)</f>
        <v>-0.1476454434</v>
      </c>
      <c r="E506" s="15">
        <f>IFERROR(__xludf.DUMMYFUNCTION("""COMPUTED_VALUE"""),-0.556895418704682)</f>
        <v>-0.5568954187</v>
      </c>
      <c r="F506" s="15">
        <f>IFERROR(__xludf.DUMMYFUNCTION("""COMPUTED_VALUE"""),0.597550100113313)</f>
        <v>0.5975501001</v>
      </c>
      <c r="G506" s="15">
        <f>IFERROR(__xludf.DUMMYFUNCTION("""COMPUTED_VALUE"""),0.557675706412171)</f>
        <v>0.5576757064</v>
      </c>
      <c r="H506" s="15">
        <f t="shared" si="1"/>
        <v>50232</v>
      </c>
    </row>
    <row r="507">
      <c r="B507" s="15">
        <f>IFERROR(__xludf.DUMMYFUNCTION("""COMPUTED_VALUE"""),50.5)</f>
        <v>50.5</v>
      </c>
      <c r="C507" s="15">
        <f>IFERROR(__xludf.DUMMYFUNCTION("""COMPUTED_VALUE"""),1.677952150422E12)</f>
        <v>1677952150422</v>
      </c>
      <c r="D507" s="15">
        <f>IFERROR(__xludf.DUMMYFUNCTION("""COMPUTED_VALUE"""),-0.160894292896938)</f>
        <v>-0.1608942929</v>
      </c>
      <c r="E507" s="15">
        <f>IFERROR(__xludf.DUMMYFUNCTION("""COMPUTED_VALUE"""),-0.547246134983295)</f>
        <v>-0.547246135</v>
      </c>
      <c r="F507" s="15">
        <f>IFERROR(__xludf.DUMMYFUNCTION("""COMPUTED_VALUE"""),0.607801602034898)</f>
        <v>0.607801602</v>
      </c>
      <c r="G507" s="15">
        <f>IFERROR(__xludf.DUMMYFUNCTION("""COMPUTED_VALUE"""),0.552459868970452)</f>
        <v>0.552459869</v>
      </c>
      <c r="H507" s="15">
        <f t="shared" si="1"/>
        <v>50309</v>
      </c>
    </row>
    <row r="508">
      <c r="B508" s="15">
        <f>IFERROR(__xludf.DUMMYFUNCTION("""COMPUTED_VALUE"""),50.6)</f>
        <v>50.6</v>
      </c>
      <c r="C508" s="15">
        <f>IFERROR(__xludf.DUMMYFUNCTION("""COMPUTED_VALUE"""),1.67795215052E12)</f>
        <v>1677952150520</v>
      </c>
      <c r="D508" s="15">
        <f>IFERROR(__xludf.DUMMYFUNCTION("""COMPUTED_VALUE"""),-0.160894292896938)</f>
        <v>-0.1608942929</v>
      </c>
      <c r="E508" s="15">
        <f>IFERROR(__xludf.DUMMYFUNCTION("""COMPUTED_VALUE"""),-0.547246134983295)</f>
        <v>-0.547246135</v>
      </c>
      <c r="F508" s="15">
        <f>IFERROR(__xludf.DUMMYFUNCTION("""COMPUTED_VALUE"""),0.607801602034898)</f>
        <v>0.607801602</v>
      </c>
      <c r="G508" s="15">
        <f>IFERROR(__xludf.DUMMYFUNCTION("""COMPUTED_VALUE"""),0.552459868970452)</f>
        <v>0.552459869</v>
      </c>
      <c r="H508" s="15">
        <f t="shared" si="1"/>
        <v>50407</v>
      </c>
    </row>
    <row r="509">
      <c r="B509" s="15">
        <f>IFERROR(__xludf.DUMMYFUNCTION("""COMPUTED_VALUE"""),50.7)</f>
        <v>50.7</v>
      </c>
      <c r="C509" s="15">
        <f>IFERROR(__xludf.DUMMYFUNCTION("""COMPUTED_VALUE"""),1.677952150622E12)</f>
        <v>1677952150622</v>
      </c>
      <c r="D509" s="15">
        <f>IFERROR(__xludf.DUMMYFUNCTION("""COMPUTED_VALUE"""),-0.160894292896938)</f>
        <v>-0.1608942929</v>
      </c>
      <c r="E509" s="15">
        <f>IFERROR(__xludf.DUMMYFUNCTION("""COMPUTED_VALUE"""),-0.547246134983295)</f>
        <v>-0.547246135</v>
      </c>
      <c r="F509" s="15">
        <f>IFERROR(__xludf.DUMMYFUNCTION("""COMPUTED_VALUE"""),0.607801602034898)</f>
        <v>0.607801602</v>
      </c>
      <c r="G509" s="15">
        <f>IFERROR(__xludf.DUMMYFUNCTION("""COMPUTED_VALUE"""),0.552459868970452)</f>
        <v>0.552459869</v>
      </c>
      <c r="H509" s="15">
        <f t="shared" si="1"/>
        <v>50509</v>
      </c>
    </row>
    <row r="510">
      <c r="B510" s="15">
        <f>IFERROR(__xludf.DUMMYFUNCTION("""COMPUTED_VALUE"""),50.8)</f>
        <v>50.8</v>
      </c>
      <c r="C510" s="15">
        <f>IFERROR(__xludf.DUMMYFUNCTION("""COMPUTED_VALUE"""),1.677952150727E12)</f>
        <v>1677952150727</v>
      </c>
      <c r="D510" s="15">
        <f>IFERROR(__xludf.DUMMYFUNCTION("""COMPUTED_VALUE"""),-0.160894292896938)</f>
        <v>-0.1608942929</v>
      </c>
      <c r="E510" s="15">
        <f>IFERROR(__xludf.DUMMYFUNCTION("""COMPUTED_VALUE"""),-0.547246134983295)</f>
        <v>-0.547246135</v>
      </c>
      <c r="F510" s="15">
        <f>IFERROR(__xludf.DUMMYFUNCTION("""COMPUTED_VALUE"""),0.607801602034898)</f>
        <v>0.607801602</v>
      </c>
      <c r="G510" s="15">
        <f>IFERROR(__xludf.DUMMYFUNCTION("""COMPUTED_VALUE"""),0.552459868970452)</f>
        <v>0.552459869</v>
      </c>
      <c r="H510" s="15">
        <f t="shared" si="1"/>
        <v>50614</v>
      </c>
    </row>
    <row r="511">
      <c r="B511" s="15">
        <f>IFERROR(__xludf.DUMMYFUNCTION("""COMPUTED_VALUE"""),50.9)</f>
        <v>50.9</v>
      </c>
      <c r="C511" s="15">
        <f>IFERROR(__xludf.DUMMYFUNCTION("""COMPUTED_VALUE"""),1.677952150823E12)</f>
        <v>1677952150823</v>
      </c>
      <c r="D511" s="15">
        <f>IFERROR(__xludf.DUMMYFUNCTION("""COMPUTED_VALUE"""),-0.160894292896938)</f>
        <v>-0.1608942929</v>
      </c>
      <c r="E511" s="15">
        <f>IFERROR(__xludf.DUMMYFUNCTION("""COMPUTED_VALUE"""),-0.547246134983295)</f>
        <v>-0.547246135</v>
      </c>
      <c r="F511" s="15">
        <f>IFERROR(__xludf.DUMMYFUNCTION("""COMPUTED_VALUE"""),0.607801602034898)</f>
        <v>0.607801602</v>
      </c>
      <c r="G511" s="15">
        <f>IFERROR(__xludf.DUMMYFUNCTION("""COMPUTED_VALUE"""),0.552459868970452)</f>
        <v>0.552459869</v>
      </c>
      <c r="H511" s="15">
        <f t="shared" si="1"/>
        <v>50710</v>
      </c>
    </row>
    <row r="512">
      <c r="B512" s="15">
        <f>IFERROR(__xludf.DUMMYFUNCTION("""COMPUTED_VALUE"""),51.0)</f>
        <v>51</v>
      </c>
      <c r="C512" s="15">
        <f>IFERROR(__xludf.DUMMYFUNCTION("""COMPUTED_VALUE"""),1.677952150999E12)</f>
        <v>1677952150999</v>
      </c>
      <c r="D512" s="15">
        <f>IFERROR(__xludf.DUMMYFUNCTION("""COMPUTED_VALUE"""),0.0244011104117008)</f>
        <v>0.02440111041</v>
      </c>
      <c r="E512" s="15">
        <f>IFERROR(__xludf.DUMMYFUNCTION("""COMPUTED_VALUE"""),-0.348381275818395)</f>
        <v>-0.3483812758</v>
      </c>
      <c r="F512" s="15">
        <f>IFERROR(__xludf.DUMMYFUNCTION("""COMPUTED_VALUE"""),0.635278744183844)</f>
        <v>0.6352787442</v>
      </c>
      <c r="G512" s="15">
        <f>IFERROR(__xludf.DUMMYFUNCTION("""COMPUTED_VALUE"""),0.688807657955411)</f>
        <v>0.688807658</v>
      </c>
      <c r="H512" s="15">
        <f t="shared" si="1"/>
        <v>50886</v>
      </c>
    </row>
    <row r="513">
      <c r="B513" s="15">
        <f>IFERROR(__xludf.DUMMYFUNCTION("""COMPUTED_VALUE"""),51.1)</f>
        <v>51.1</v>
      </c>
      <c r="C513" s="15">
        <f>IFERROR(__xludf.DUMMYFUNCTION("""COMPUTED_VALUE"""),1.677952151067E12)</f>
        <v>1677952151067</v>
      </c>
      <c r="D513" s="15">
        <f>IFERROR(__xludf.DUMMYFUNCTION("""COMPUTED_VALUE"""),0.10629248252039)</f>
        <v>0.1062924825</v>
      </c>
      <c r="E513" s="15">
        <f>IFERROR(__xludf.DUMMYFUNCTION("""COMPUTED_VALUE"""),-0.256446625854288)</f>
        <v>-0.2564466259</v>
      </c>
      <c r="F513" s="15">
        <f>IFERROR(__xludf.DUMMYFUNCTION("""COMPUTED_VALUE"""),0.626798536342243)</f>
        <v>0.6267985363</v>
      </c>
      <c r="G513" s="15">
        <f>IFERROR(__xludf.DUMMYFUNCTION("""COMPUTED_VALUE"""),0.728052629338582)</f>
        <v>0.7280526293</v>
      </c>
      <c r="H513" s="15">
        <f t="shared" si="1"/>
        <v>50954</v>
      </c>
    </row>
    <row r="514">
      <c r="B514" s="15">
        <f>IFERROR(__xludf.DUMMYFUNCTION("""COMPUTED_VALUE"""),51.2)</f>
        <v>51.2</v>
      </c>
      <c r="C514" s="15">
        <f>IFERROR(__xludf.DUMMYFUNCTION("""COMPUTED_VALUE"""),1.677952151174E12)</f>
        <v>1677952151174</v>
      </c>
      <c r="D514" s="15">
        <f>IFERROR(__xludf.DUMMYFUNCTION("""COMPUTED_VALUE"""),0.237305689211921)</f>
        <v>0.2373056892</v>
      </c>
      <c r="E514" s="15">
        <f>IFERROR(__xludf.DUMMYFUNCTION("""COMPUTED_VALUE"""),-0.113798299540007)</f>
        <v>-0.1137982995</v>
      </c>
      <c r="F514" s="15">
        <f>IFERROR(__xludf.DUMMYFUNCTION("""COMPUTED_VALUE"""),0.589964993475186)</f>
        <v>0.5899649935</v>
      </c>
      <c r="G514" s="15">
        <f>IFERROR(__xludf.DUMMYFUNCTION("""COMPUTED_VALUE"""),0.76333299638053)</f>
        <v>0.7633329964</v>
      </c>
      <c r="H514" s="15">
        <f t="shared" si="1"/>
        <v>51061</v>
      </c>
    </row>
    <row r="515">
      <c r="B515" s="15">
        <f>IFERROR(__xludf.DUMMYFUNCTION("""COMPUTED_VALUE"""),51.3)</f>
        <v>51.3</v>
      </c>
      <c r="C515" s="15">
        <f>IFERROR(__xludf.DUMMYFUNCTION("""COMPUTED_VALUE"""),1.677952151262E12)</f>
        <v>1677952151262</v>
      </c>
      <c r="D515" s="15">
        <f>IFERROR(__xludf.DUMMYFUNCTION("""COMPUTED_VALUE"""),0.377198869867848)</f>
        <v>0.3771988699</v>
      </c>
      <c r="E515" s="15">
        <f>IFERROR(__xludf.DUMMYFUNCTION("""COMPUTED_VALUE"""),0.0471121642567378)</f>
        <v>0.04711216426</v>
      </c>
      <c r="F515" s="15">
        <f>IFERROR(__xludf.DUMMYFUNCTION("""COMPUTED_VALUE"""),0.52058691818933)</f>
        <v>0.5205869182</v>
      </c>
      <c r="G515" s="15">
        <f>IFERROR(__xludf.DUMMYFUNCTION("""COMPUTED_VALUE"""),0.764519925940192)</f>
        <v>0.7645199259</v>
      </c>
      <c r="H515" s="15">
        <f t="shared" si="1"/>
        <v>51149</v>
      </c>
    </row>
    <row r="516">
      <c r="B516" s="15">
        <f>IFERROR(__xludf.DUMMYFUNCTION("""COMPUTED_VALUE"""),51.4)</f>
        <v>51.4</v>
      </c>
      <c r="C516" s="15">
        <f>IFERROR(__xludf.DUMMYFUNCTION("""COMPUTED_VALUE"""),1.677952151373E12)</f>
        <v>1677952151373</v>
      </c>
      <c r="D516" s="15">
        <f>IFERROR(__xludf.DUMMYFUNCTION("""COMPUTED_VALUE"""),0.45805545262791)</f>
        <v>0.4580554526</v>
      </c>
      <c r="E516" s="15">
        <f>IFERROR(__xludf.DUMMYFUNCTION("""COMPUTED_VALUE"""),0.138211728097638)</f>
        <v>0.1382117281</v>
      </c>
      <c r="F516" s="15">
        <f>IFERROR(__xludf.DUMMYFUNCTION("""COMPUTED_VALUE"""),0.466510630018229)</f>
        <v>0.46651063</v>
      </c>
      <c r="G516" s="15">
        <f>IFERROR(__xludf.DUMMYFUNCTION("""COMPUTED_VALUE"""),0.743942573465249)</f>
        <v>0.7439425735</v>
      </c>
      <c r="H516" s="15">
        <f t="shared" si="1"/>
        <v>51260</v>
      </c>
    </row>
    <row r="517">
      <c r="B517" s="15">
        <f>IFERROR(__xludf.DUMMYFUNCTION("""COMPUTED_VALUE"""),51.5)</f>
        <v>51.5</v>
      </c>
      <c r="C517" s="15">
        <f>IFERROR(__xludf.DUMMYFUNCTION("""COMPUTED_VALUE"""),1.677952151431E12)</f>
        <v>1677952151431</v>
      </c>
      <c r="D517" s="15">
        <f>IFERROR(__xludf.DUMMYFUNCTION("""COMPUTED_VALUE"""),0.45805545262791)</f>
        <v>0.4580554526</v>
      </c>
      <c r="E517" s="15">
        <f>IFERROR(__xludf.DUMMYFUNCTION("""COMPUTED_VALUE"""),0.138211728097638)</f>
        <v>0.1382117281</v>
      </c>
      <c r="F517" s="15">
        <f>IFERROR(__xludf.DUMMYFUNCTION("""COMPUTED_VALUE"""),0.466510630018229)</f>
        <v>0.46651063</v>
      </c>
      <c r="G517" s="15">
        <f>IFERROR(__xludf.DUMMYFUNCTION("""COMPUTED_VALUE"""),0.743942573465249)</f>
        <v>0.7439425735</v>
      </c>
      <c r="H517" s="15">
        <f t="shared" si="1"/>
        <v>51318</v>
      </c>
    </row>
    <row r="518">
      <c r="B518" s="15">
        <f>IFERROR(__xludf.DUMMYFUNCTION("""COMPUTED_VALUE"""),51.6)</f>
        <v>51.6</v>
      </c>
      <c r="C518" s="15">
        <f>IFERROR(__xludf.DUMMYFUNCTION("""COMPUTED_VALUE"""),1.677952151535E12)</f>
        <v>1677952151535</v>
      </c>
      <c r="D518" s="15">
        <f>IFERROR(__xludf.DUMMYFUNCTION("""COMPUTED_VALUE"""),0.45805545262791)</f>
        <v>0.4580554526</v>
      </c>
      <c r="E518" s="15">
        <f>IFERROR(__xludf.DUMMYFUNCTION("""COMPUTED_VALUE"""),0.138211728097638)</f>
        <v>0.1382117281</v>
      </c>
      <c r="F518" s="15">
        <f>IFERROR(__xludf.DUMMYFUNCTION("""COMPUTED_VALUE"""),0.466510630018229)</f>
        <v>0.46651063</v>
      </c>
      <c r="G518" s="15">
        <f>IFERROR(__xludf.DUMMYFUNCTION("""COMPUTED_VALUE"""),0.743942573465249)</f>
        <v>0.7439425735</v>
      </c>
      <c r="H518" s="15">
        <f t="shared" si="1"/>
        <v>51422</v>
      </c>
    </row>
    <row r="519">
      <c r="B519" s="15">
        <f>IFERROR(__xludf.DUMMYFUNCTION("""COMPUTED_VALUE"""),51.7)</f>
        <v>51.7</v>
      </c>
      <c r="C519" s="15">
        <f>IFERROR(__xludf.DUMMYFUNCTION("""COMPUTED_VALUE"""),1.677952151631E12)</f>
        <v>1677952151631</v>
      </c>
      <c r="D519" s="15">
        <f>IFERROR(__xludf.DUMMYFUNCTION("""COMPUTED_VALUE"""),0.45805545262791)</f>
        <v>0.4580554526</v>
      </c>
      <c r="E519" s="15">
        <f>IFERROR(__xludf.DUMMYFUNCTION("""COMPUTED_VALUE"""),0.138211728097638)</f>
        <v>0.1382117281</v>
      </c>
      <c r="F519" s="15">
        <f>IFERROR(__xludf.DUMMYFUNCTION("""COMPUTED_VALUE"""),0.466510630018229)</f>
        <v>0.46651063</v>
      </c>
      <c r="G519" s="15">
        <f>IFERROR(__xludf.DUMMYFUNCTION("""COMPUTED_VALUE"""),0.743942573465249)</f>
        <v>0.7439425735</v>
      </c>
      <c r="H519" s="15">
        <f t="shared" si="1"/>
        <v>51518</v>
      </c>
    </row>
    <row r="520">
      <c r="B520" s="15">
        <f>IFERROR(__xludf.DUMMYFUNCTION("""COMPUTED_VALUE"""),51.8)</f>
        <v>51.8</v>
      </c>
      <c r="C520" s="15">
        <f>IFERROR(__xludf.DUMMYFUNCTION("""COMPUTED_VALUE"""),1.677952151735E12)</f>
        <v>1677952151735</v>
      </c>
      <c r="D520" s="15">
        <f>IFERROR(__xludf.DUMMYFUNCTION("""COMPUTED_VALUE"""),0.45805545262791)</f>
        <v>0.4580554526</v>
      </c>
      <c r="E520" s="15">
        <f>IFERROR(__xludf.DUMMYFUNCTION("""COMPUTED_VALUE"""),0.138211728097638)</f>
        <v>0.1382117281</v>
      </c>
      <c r="F520" s="15">
        <f>IFERROR(__xludf.DUMMYFUNCTION("""COMPUTED_VALUE"""),0.466510630018229)</f>
        <v>0.46651063</v>
      </c>
      <c r="G520" s="15">
        <f>IFERROR(__xludf.DUMMYFUNCTION("""COMPUTED_VALUE"""),0.743942573465249)</f>
        <v>0.7439425735</v>
      </c>
      <c r="H520" s="15">
        <f t="shared" si="1"/>
        <v>51622</v>
      </c>
    </row>
    <row r="521">
      <c r="B521" s="15">
        <f>IFERROR(__xludf.DUMMYFUNCTION("""COMPUTED_VALUE"""),51.9)</f>
        <v>51.9</v>
      </c>
      <c r="C521" s="15">
        <f>IFERROR(__xludf.DUMMYFUNCTION("""COMPUTED_VALUE"""),1.677952151971E12)</f>
        <v>1677952151971</v>
      </c>
      <c r="D521" s="15">
        <f>IFERROR(__xludf.DUMMYFUNCTION("""COMPUTED_VALUE"""),0.585471714746005)</f>
        <v>0.5854717147</v>
      </c>
      <c r="E521" s="15">
        <f>IFERROR(__xludf.DUMMYFUNCTION("""COMPUTED_VALUE"""),0.374985484530973)</f>
        <v>0.3749854845</v>
      </c>
      <c r="F521" s="15">
        <f>IFERROR(__xludf.DUMMYFUNCTION("""COMPUTED_VALUE"""),0.291865372002838)</f>
        <v>0.291865372</v>
      </c>
      <c r="G521" s="15">
        <f>IFERROR(__xludf.DUMMYFUNCTION("""COMPUTED_VALUE"""),0.656828259325896)</f>
        <v>0.6568282593</v>
      </c>
      <c r="H521" s="15">
        <f t="shared" si="1"/>
        <v>51858</v>
      </c>
    </row>
    <row r="522">
      <c r="B522" s="15">
        <f>IFERROR(__xludf.DUMMYFUNCTION("""COMPUTED_VALUE"""),52.0)</f>
        <v>52</v>
      </c>
      <c r="C522" s="15">
        <f>IFERROR(__xludf.DUMMYFUNCTION("""COMPUTED_VALUE"""),1.677952152017E12)</f>
        <v>1677952152017</v>
      </c>
      <c r="D522" s="15">
        <f>IFERROR(__xludf.DUMMYFUNCTION("""COMPUTED_VALUE"""),0.620638971520083)</f>
        <v>0.6206389715</v>
      </c>
      <c r="E522" s="15">
        <f>IFERROR(__xludf.DUMMYFUNCTION("""COMPUTED_VALUE"""),0.430398913358693)</f>
        <v>0.4303989134</v>
      </c>
      <c r="F522" s="15">
        <f>IFERROR(__xludf.DUMMYFUNCTION("""COMPUTED_VALUE"""),0.241199301869899)</f>
        <v>0.2411993019</v>
      </c>
      <c r="G522" s="15">
        <f>IFERROR(__xludf.DUMMYFUNCTION("""COMPUTED_VALUE"""),0.609415243645595)</f>
        <v>0.6094152436</v>
      </c>
      <c r="H522" s="15">
        <f t="shared" si="1"/>
        <v>51904</v>
      </c>
    </row>
    <row r="523">
      <c r="B523" s="15">
        <f>IFERROR(__xludf.DUMMYFUNCTION("""COMPUTED_VALUE"""),52.1)</f>
        <v>52.1</v>
      </c>
      <c r="C523" s="15">
        <f>IFERROR(__xludf.DUMMYFUNCTION("""COMPUTED_VALUE"""),1.677952152062E12)</f>
        <v>1677952152062</v>
      </c>
      <c r="D523" s="15">
        <f>IFERROR(__xludf.DUMMYFUNCTION("""COMPUTED_VALUE"""),0.655936106943502)</f>
        <v>0.6559361069</v>
      </c>
      <c r="E523" s="15">
        <f>IFERROR(__xludf.DUMMYFUNCTION("""COMPUTED_VALUE"""),0.484779564878858)</f>
        <v>0.4847795649</v>
      </c>
      <c r="F523" s="15">
        <f>IFERROR(__xludf.DUMMYFUNCTION("""COMPUTED_VALUE"""),0.187047104871392)</f>
        <v>0.1870471049</v>
      </c>
      <c r="G523" s="15">
        <f>IFERROR(__xludf.DUMMYFUNCTION("""COMPUTED_VALUE"""),0.547494271790029)</f>
        <v>0.5474942718</v>
      </c>
      <c r="H523" s="15">
        <f t="shared" si="1"/>
        <v>51949</v>
      </c>
    </row>
    <row r="524">
      <c r="B524" s="15">
        <f>IFERROR(__xludf.DUMMYFUNCTION("""COMPUTED_VALUE"""),52.2)</f>
        <v>52.2</v>
      </c>
      <c r="C524" s="15">
        <f>IFERROR(__xludf.DUMMYFUNCTION("""COMPUTED_VALUE"""),1.677952152147E12)</f>
        <v>1677952152147</v>
      </c>
      <c r="D524" s="15">
        <f>IFERROR(__xludf.DUMMYFUNCTION("""COMPUTED_VALUE"""),0.703677973121555)</f>
        <v>0.7036779731</v>
      </c>
      <c r="E524" s="15">
        <f>IFERROR(__xludf.DUMMYFUNCTION("""COMPUTED_VALUE"""),0.542760692513895)</f>
        <v>0.5427606925</v>
      </c>
      <c r="F524" s="15">
        <f>IFERROR(__xludf.DUMMYFUNCTION("""COMPUTED_VALUE"""),0.124758480790677)</f>
        <v>0.1247584808</v>
      </c>
      <c r="G524" s="15">
        <f>IFERROR(__xludf.DUMMYFUNCTION("""COMPUTED_VALUE"""),0.441229489354664)</f>
        <v>0.4412294894</v>
      </c>
      <c r="H524" s="15">
        <f t="shared" si="1"/>
        <v>52034</v>
      </c>
    </row>
    <row r="525">
      <c r="B525" s="15">
        <f>IFERROR(__xludf.DUMMYFUNCTION("""COMPUTED_VALUE"""),52.3)</f>
        <v>52.3</v>
      </c>
      <c r="C525" s="15">
        <f>IFERROR(__xludf.DUMMYFUNCTION("""COMPUTED_VALUE"""),1.677952152219E12)</f>
        <v>1677952152219</v>
      </c>
      <c r="D525" s="15">
        <f>IFERROR(__xludf.DUMMYFUNCTION("""COMPUTED_VALUE"""),0.725002914431174)</f>
        <v>0.7250029144</v>
      </c>
      <c r="E525" s="15">
        <f>IFERROR(__xludf.DUMMYFUNCTION("""COMPUTED_VALUE"""),0.562967941454319)</f>
        <v>0.5629679415</v>
      </c>
      <c r="F525" s="15">
        <f>IFERROR(__xludf.DUMMYFUNCTION("""COMPUTED_VALUE"""),0.102169270469123)</f>
        <v>0.1021692705</v>
      </c>
      <c r="G525" s="15">
        <f>IFERROR(__xludf.DUMMYFUNCTION("""COMPUTED_VALUE"""),0.383404891899928)</f>
        <v>0.3834048919</v>
      </c>
      <c r="H525" s="15">
        <f t="shared" si="1"/>
        <v>52106</v>
      </c>
    </row>
    <row r="526">
      <c r="B526" s="15">
        <f>IFERROR(__xludf.DUMMYFUNCTION("""COMPUTED_VALUE"""),52.4)</f>
        <v>52.4</v>
      </c>
      <c r="C526" s="15">
        <f>IFERROR(__xludf.DUMMYFUNCTION("""COMPUTED_VALUE"""),1.677952152335E12)</f>
        <v>1677952152335</v>
      </c>
      <c r="D526" s="15">
        <f>IFERROR(__xludf.DUMMYFUNCTION("""COMPUTED_VALUE"""),0.725002914431174)</f>
        <v>0.7250029144</v>
      </c>
      <c r="E526" s="15">
        <f>IFERROR(__xludf.DUMMYFUNCTION("""COMPUTED_VALUE"""),0.562967941454319)</f>
        <v>0.5629679415</v>
      </c>
      <c r="F526" s="15">
        <f>IFERROR(__xludf.DUMMYFUNCTION("""COMPUTED_VALUE"""),0.102169270469123)</f>
        <v>0.1021692705</v>
      </c>
      <c r="G526" s="15">
        <f>IFERROR(__xludf.DUMMYFUNCTION("""COMPUTED_VALUE"""),0.383404891899928)</f>
        <v>0.3834048919</v>
      </c>
      <c r="H526" s="15">
        <f t="shared" si="1"/>
        <v>52222</v>
      </c>
    </row>
    <row r="527">
      <c r="B527" s="15">
        <f>IFERROR(__xludf.DUMMYFUNCTION("""COMPUTED_VALUE"""),52.5)</f>
        <v>52.5</v>
      </c>
      <c r="C527" s="15">
        <f>IFERROR(__xludf.DUMMYFUNCTION("""COMPUTED_VALUE"""),1.677952152446E12)</f>
        <v>1677952152446</v>
      </c>
      <c r="D527" s="15">
        <f>IFERROR(__xludf.DUMMYFUNCTION("""COMPUTED_VALUE"""),0.725002914431174)</f>
        <v>0.7250029144</v>
      </c>
      <c r="E527" s="15">
        <f>IFERROR(__xludf.DUMMYFUNCTION("""COMPUTED_VALUE"""),0.562967941454319)</f>
        <v>0.5629679415</v>
      </c>
      <c r="F527" s="15">
        <f>IFERROR(__xludf.DUMMYFUNCTION("""COMPUTED_VALUE"""),0.102169270469123)</f>
        <v>0.1021692705</v>
      </c>
      <c r="G527" s="15">
        <f>IFERROR(__xludf.DUMMYFUNCTION("""COMPUTED_VALUE"""),0.383404891899928)</f>
        <v>0.3834048919</v>
      </c>
      <c r="H527" s="15">
        <f t="shared" si="1"/>
        <v>52333</v>
      </c>
    </row>
    <row r="528">
      <c r="B528" s="15">
        <f>IFERROR(__xludf.DUMMYFUNCTION("""COMPUTED_VALUE"""),52.6)</f>
        <v>52.6</v>
      </c>
      <c r="C528" s="15">
        <f>IFERROR(__xludf.DUMMYFUNCTION("""COMPUTED_VALUE"""),1.677952152551E12)</f>
        <v>1677952152551</v>
      </c>
      <c r="D528" s="15">
        <f>IFERROR(__xludf.DUMMYFUNCTION("""COMPUTED_VALUE"""),0.725002914431174)</f>
        <v>0.7250029144</v>
      </c>
      <c r="E528" s="15">
        <f>IFERROR(__xludf.DUMMYFUNCTION("""COMPUTED_VALUE"""),0.562967941454319)</f>
        <v>0.5629679415</v>
      </c>
      <c r="F528" s="15">
        <f>IFERROR(__xludf.DUMMYFUNCTION("""COMPUTED_VALUE"""),0.102169270469123)</f>
        <v>0.1021692705</v>
      </c>
      <c r="G528" s="15">
        <f>IFERROR(__xludf.DUMMYFUNCTION("""COMPUTED_VALUE"""),0.383404891899928)</f>
        <v>0.3834048919</v>
      </c>
      <c r="H528" s="15">
        <f t="shared" si="1"/>
        <v>52438</v>
      </c>
    </row>
    <row r="529">
      <c r="B529" s="15">
        <f>IFERROR(__xludf.DUMMYFUNCTION("""COMPUTED_VALUE"""),52.7)</f>
        <v>52.7</v>
      </c>
      <c r="C529" s="15">
        <f>IFERROR(__xludf.DUMMYFUNCTION("""COMPUTED_VALUE"""),1.677952152646E12)</f>
        <v>1677952152646</v>
      </c>
      <c r="D529" s="15">
        <f>IFERROR(__xludf.DUMMYFUNCTION("""COMPUTED_VALUE"""),0.725002914431174)</f>
        <v>0.7250029144</v>
      </c>
      <c r="E529" s="15">
        <f>IFERROR(__xludf.DUMMYFUNCTION("""COMPUTED_VALUE"""),0.562967941454319)</f>
        <v>0.5629679415</v>
      </c>
      <c r="F529" s="15">
        <f>IFERROR(__xludf.DUMMYFUNCTION("""COMPUTED_VALUE"""),0.102169270469123)</f>
        <v>0.1021692705</v>
      </c>
      <c r="G529" s="15">
        <f>IFERROR(__xludf.DUMMYFUNCTION("""COMPUTED_VALUE"""),0.383404891899928)</f>
        <v>0.3834048919</v>
      </c>
      <c r="H529" s="15">
        <f t="shared" si="1"/>
        <v>52533</v>
      </c>
    </row>
    <row r="530">
      <c r="B530" s="15">
        <f>IFERROR(__xludf.DUMMYFUNCTION("""COMPUTED_VALUE"""),52.8)</f>
        <v>52.8</v>
      </c>
      <c r="C530" s="15">
        <f>IFERROR(__xludf.DUMMYFUNCTION("""COMPUTED_VALUE"""),1.677952152853E12)</f>
        <v>1677952152853</v>
      </c>
      <c r="D530" s="15">
        <f>IFERROR(__xludf.DUMMYFUNCTION("""COMPUTED_VALUE"""),0.795419543432865)</f>
        <v>0.7954195434</v>
      </c>
      <c r="E530" s="15">
        <f>IFERROR(__xludf.DUMMYFUNCTION("""COMPUTED_VALUE"""),0.539413280871027)</f>
        <v>0.5394132809</v>
      </c>
      <c r="F530" s="15">
        <f>IFERROR(__xludf.DUMMYFUNCTION("""COMPUTED_VALUE"""),0.20674561271441)</f>
        <v>0.2067456127</v>
      </c>
      <c r="G530" s="15">
        <f>IFERROR(__xludf.DUMMYFUNCTION("""COMPUTED_VALUE"""),0.183295700899793)</f>
        <v>0.1832957009</v>
      </c>
      <c r="H530" s="15">
        <f t="shared" si="1"/>
        <v>52740</v>
      </c>
    </row>
    <row r="531">
      <c r="B531" s="15">
        <f>IFERROR(__xludf.DUMMYFUNCTION("""COMPUTED_VALUE"""),52.9)</f>
        <v>52.9</v>
      </c>
      <c r="C531" s="15">
        <f>IFERROR(__xludf.DUMMYFUNCTION("""COMPUTED_VALUE"""),1.6779521529E12)</f>
        <v>1677952152900</v>
      </c>
      <c r="D531" s="15">
        <f>IFERROR(__xludf.DUMMYFUNCTION("""COMPUTED_VALUE"""),0.809393329193502)</f>
        <v>0.8093933292</v>
      </c>
      <c r="E531" s="15">
        <f>IFERROR(__xludf.DUMMYFUNCTION("""COMPUTED_VALUE"""),0.511058377569237)</f>
        <v>0.5110583776</v>
      </c>
      <c r="F531" s="15">
        <f>IFERROR(__xludf.DUMMYFUNCTION("""COMPUTED_VALUE"""),0.272949186186733)</f>
        <v>0.2729491862</v>
      </c>
      <c r="G531" s="15">
        <f>IFERROR(__xludf.DUMMYFUNCTION("""COMPUTED_VALUE"""),0.0959193157469171)</f>
        <v>0.09591931575</v>
      </c>
      <c r="H531" s="15">
        <f t="shared" si="1"/>
        <v>52787</v>
      </c>
    </row>
    <row r="532">
      <c r="B532" s="15">
        <f>IFERROR(__xludf.DUMMYFUNCTION("""COMPUTED_VALUE"""),53.0)</f>
        <v>53</v>
      </c>
      <c r="C532" s="15">
        <f>IFERROR(__xludf.DUMMYFUNCTION("""COMPUTED_VALUE"""),1.677952152964E12)</f>
        <v>1677952152964</v>
      </c>
      <c r="D532" s="15">
        <f>IFERROR(__xludf.DUMMYFUNCTION("""COMPUTED_VALUE"""),0.811139769103377)</f>
        <v>0.8111397691</v>
      </c>
      <c r="E532" s="15">
        <f>IFERROR(__xludf.DUMMYFUNCTION("""COMPUTED_VALUE"""),0.459368935827062)</f>
        <v>0.4593689358</v>
      </c>
      <c r="F532" s="15">
        <f>IFERROR(__xludf.DUMMYFUNCTION("""COMPUTED_VALUE"""),0.360819101673666)</f>
        <v>0.3608191017</v>
      </c>
      <c r="G532" s="15">
        <f>IFERROR(__xludf.DUMMYFUNCTION("""COMPUTED_VALUE"""),-0.0290177815044289)</f>
        <v>-0.0290177815</v>
      </c>
      <c r="H532" s="15">
        <f t="shared" si="1"/>
        <v>52851</v>
      </c>
    </row>
    <row r="533">
      <c r="B533" s="15">
        <f>IFERROR(__xludf.DUMMYFUNCTION("""COMPUTED_VALUE"""),53.1)</f>
        <v>53.1</v>
      </c>
      <c r="C533" s="15">
        <f>IFERROR(__xludf.DUMMYFUNCTION("""COMPUTED_VALUE"""),1.677952153068E12)</f>
        <v>1677952153068</v>
      </c>
      <c r="D533" s="15">
        <f>IFERROR(__xludf.DUMMYFUNCTION("""COMPUTED_VALUE"""),0.789496823204546)</f>
        <v>0.7894968232</v>
      </c>
      <c r="E533" s="15">
        <f>IFERROR(__xludf.DUMMYFUNCTION("""COMPUTED_VALUE"""),0.385026051296162)</f>
        <v>0.3850260513</v>
      </c>
      <c r="F533" s="15">
        <f>IFERROR(__xludf.DUMMYFUNCTION("""COMPUTED_VALUE"""),0.445340881365161)</f>
        <v>0.4453408814</v>
      </c>
      <c r="G533" s="15">
        <f>IFERROR(__xludf.DUMMYFUNCTION("""COMPUTED_VALUE"""),-0.173554617795418)</f>
        <v>-0.1735546178</v>
      </c>
      <c r="H533" s="15">
        <f t="shared" si="1"/>
        <v>52955</v>
      </c>
    </row>
    <row r="534">
      <c r="B534" s="15">
        <f>IFERROR(__xludf.DUMMYFUNCTION("""COMPUTED_VALUE"""),53.2)</f>
        <v>53.2</v>
      </c>
      <c r="C534" s="15">
        <f>IFERROR(__xludf.DUMMYFUNCTION("""COMPUTED_VALUE"""),1.677952153174E12)</f>
        <v>1677952153174</v>
      </c>
      <c r="D534" s="15">
        <f>IFERROR(__xludf.DUMMYFUNCTION("""COMPUTED_VALUE"""),0.761519244509014)</f>
        <v>0.7615192445</v>
      </c>
      <c r="E534" s="15">
        <f>IFERROR(__xludf.DUMMYFUNCTION("""COMPUTED_VALUE"""),0.326173995014793)</f>
        <v>0.326173995</v>
      </c>
      <c r="F534" s="15">
        <f>IFERROR(__xludf.DUMMYFUNCTION("""COMPUTED_VALUE"""),0.490085794293105)</f>
        <v>0.4900857943</v>
      </c>
      <c r="G534" s="15">
        <f>IFERROR(__xludf.DUMMYFUNCTION("""COMPUTED_VALUE"""),-0.271136274686003)</f>
        <v>-0.2711362747</v>
      </c>
      <c r="H534" s="15">
        <f t="shared" si="1"/>
        <v>53061</v>
      </c>
    </row>
    <row r="535">
      <c r="B535" s="15">
        <f>IFERROR(__xludf.DUMMYFUNCTION("""COMPUTED_VALUE"""),53.3)</f>
        <v>53.3</v>
      </c>
      <c r="C535" s="15">
        <f>IFERROR(__xludf.DUMMYFUNCTION("""COMPUTED_VALUE"""),1.677952153259E12)</f>
        <v>1677952153259</v>
      </c>
      <c r="D535" s="15">
        <f>IFERROR(__xludf.DUMMYFUNCTION("""COMPUTED_VALUE"""),0.755676911597366)</f>
        <v>0.7556769116</v>
      </c>
      <c r="E535" s="15">
        <f>IFERROR(__xludf.DUMMYFUNCTION("""COMPUTED_VALUE"""),0.290026896099064)</f>
        <v>0.2900268961</v>
      </c>
      <c r="F535" s="15">
        <f>IFERROR(__xludf.DUMMYFUNCTION("""COMPUTED_VALUE"""),0.490461451961402)</f>
        <v>0.490461452</v>
      </c>
      <c r="G535" s="15">
        <f>IFERROR(__xludf.DUMMYFUNCTION("""COMPUTED_VALUE"""),-0.322930904308829)</f>
        <v>-0.3229309043</v>
      </c>
      <c r="H535" s="15">
        <f t="shared" si="1"/>
        <v>53146</v>
      </c>
    </row>
    <row r="536">
      <c r="B536" s="15">
        <f>IFERROR(__xludf.DUMMYFUNCTION("""COMPUTED_VALUE"""),53.4)</f>
        <v>53.4</v>
      </c>
      <c r="C536" s="15">
        <f>IFERROR(__xludf.DUMMYFUNCTION("""COMPUTED_VALUE"""),1.677952153369E12)</f>
        <v>1677952153369</v>
      </c>
      <c r="D536" s="15">
        <f>IFERROR(__xludf.DUMMYFUNCTION("""COMPUTED_VALUE"""),0.761586747820745)</f>
        <v>0.7615867478</v>
      </c>
      <c r="E536" s="15">
        <f>IFERROR(__xludf.DUMMYFUNCTION("""COMPUTED_VALUE"""),0.254151464392058)</f>
        <v>0.2541514644</v>
      </c>
      <c r="F536" s="15">
        <f>IFERROR(__xludf.DUMMYFUNCTION("""COMPUTED_VALUE"""),0.469536368881624)</f>
        <v>0.4695363689</v>
      </c>
      <c r="G536" s="15">
        <f>IFERROR(__xludf.DUMMYFUNCTION("""COMPUTED_VALUE"""),-0.367325818570721)</f>
        <v>-0.3673258186</v>
      </c>
      <c r="H536" s="15">
        <f t="shared" si="1"/>
        <v>53256</v>
      </c>
    </row>
    <row r="537">
      <c r="B537" s="15">
        <f>IFERROR(__xludf.DUMMYFUNCTION("""COMPUTED_VALUE"""),53.5)</f>
        <v>53.5</v>
      </c>
      <c r="C537" s="15">
        <f>IFERROR(__xludf.DUMMYFUNCTION("""COMPUTED_VALUE"""),1.677952153455E12)</f>
        <v>1677952153455</v>
      </c>
      <c r="D537" s="15">
        <f>IFERROR(__xludf.DUMMYFUNCTION("""COMPUTED_VALUE"""),0.760247319001325)</f>
        <v>0.760247319</v>
      </c>
      <c r="E537" s="15">
        <f>IFERROR(__xludf.DUMMYFUNCTION("""COMPUTED_VALUE"""),0.233973127574856)</f>
        <v>0.2339731276</v>
      </c>
      <c r="F537" s="15">
        <f>IFERROR(__xludf.DUMMYFUNCTION("""COMPUTED_VALUE"""),0.46126251471133)</f>
        <v>0.4612625147</v>
      </c>
      <c r="G537" s="15">
        <f>IFERROR(__xludf.DUMMYFUNCTION("""COMPUTED_VALUE"""),-0.393087117629559)</f>
        <v>-0.3930871176</v>
      </c>
      <c r="H537" s="15">
        <f t="shared" si="1"/>
        <v>53342</v>
      </c>
    </row>
    <row r="538">
      <c r="B538" s="15">
        <f>IFERROR(__xludf.DUMMYFUNCTION("""COMPUTED_VALUE"""),53.6)</f>
        <v>53.6</v>
      </c>
      <c r="C538" s="15">
        <f>IFERROR(__xludf.DUMMYFUNCTION("""COMPUTED_VALUE"""),1.677952153528E12)</f>
        <v>1677952153528</v>
      </c>
      <c r="D538" s="15">
        <f>IFERROR(__xludf.DUMMYFUNCTION("""COMPUTED_VALUE"""),0.762052825974533)</f>
        <v>0.762052826</v>
      </c>
      <c r="E538" s="15">
        <f>IFERROR(__xludf.DUMMYFUNCTION("""COMPUTED_VALUE"""),0.232427678009709)</f>
        <v>0.232427678</v>
      </c>
      <c r="F538" s="15">
        <f>IFERROR(__xludf.DUMMYFUNCTION("""COMPUTED_VALUE"""),0.458273481614144)</f>
        <v>0.4582734816</v>
      </c>
      <c r="G538" s="15">
        <f>IFERROR(__xludf.DUMMYFUNCTION("""COMPUTED_VALUE"""),-0.39400289461943)</f>
        <v>-0.3940028946</v>
      </c>
      <c r="H538" s="15">
        <f t="shared" si="1"/>
        <v>53415</v>
      </c>
    </row>
    <row r="539">
      <c r="B539" s="15">
        <f>IFERROR(__xludf.DUMMYFUNCTION("""COMPUTED_VALUE"""),53.7)</f>
        <v>53.7</v>
      </c>
      <c r="C539" s="15">
        <f>IFERROR(__xludf.DUMMYFUNCTION("""COMPUTED_VALUE"""),1.677952153632E12)</f>
        <v>1677952153632</v>
      </c>
      <c r="D539" s="15">
        <f>IFERROR(__xludf.DUMMYFUNCTION("""COMPUTED_VALUE"""),0.762052825974533)</f>
        <v>0.762052826</v>
      </c>
      <c r="E539" s="15">
        <f>IFERROR(__xludf.DUMMYFUNCTION("""COMPUTED_VALUE"""),0.232427678009709)</f>
        <v>0.232427678</v>
      </c>
      <c r="F539" s="15">
        <f>IFERROR(__xludf.DUMMYFUNCTION("""COMPUTED_VALUE"""),0.458273481614144)</f>
        <v>0.4582734816</v>
      </c>
      <c r="G539" s="15">
        <f>IFERROR(__xludf.DUMMYFUNCTION("""COMPUTED_VALUE"""),-0.39400289461943)</f>
        <v>-0.3940028946</v>
      </c>
      <c r="H539" s="15">
        <f t="shared" si="1"/>
        <v>53519</v>
      </c>
    </row>
    <row r="540">
      <c r="B540" s="15">
        <f>IFERROR(__xludf.DUMMYFUNCTION("""COMPUTED_VALUE"""),53.8)</f>
        <v>53.8</v>
      </c>
      <c r="C540" s="15">
        <f>IFERROR(__xludf.DUMMYFUNCTION("""COMPUTED_VALUE"""),1.677952153731E12)</f>
        <v>1677952153731</v>
      </c>
      <c r="D540" s="15">
        <f>IFERROR(__xludf.DUMMYFUNCTION("""COMPUTED_VALUE"""),0.762052825974533)</f>
        <v>0.762052826</v>
      </c>
      <c r="E540" s="15">
        <f>IFERROR(__xludf.DUMMYFUNCTION("""COMPUTED_VALUE"""),0.232427678009709)</f>
        <v>0.232427678</v>
      </c>
      <c r="F540" s="15">
        <f>IFERROR(__xludf.DUMMYFUNCTION("""COMPUTED_VALUE"""),0.458273481614144)</f>
        <v>0.4582734816</v>
      </c>
      <c r="G540" s="15">
        <f>IFERROR(__xludf.DUMMYFUNCTION("""COMPUTED_VALUE"""),-0.39400289461943)</f>
        <v>-0.3940028946</v>
      </c>
      <c r="H540" s="15">
        <f t="shared" si="1"/>
        <v>53618</v>
      </c>
    </row>
    <row r="541">
      <c r="B541" s="15">
        <f>IFERROR(__xludf.DUMMYFUNCTION("""COMPUTED_VALUE"""),53.9)</f>
        <v>53.9</v>
      </c>
      <c r="C541" s="15">
        <f>IFERROR(__xludf.DUMMYFUNCTION("""COMPUTED_VALUE"""),1.677952153833E12)</f>
        <v>1677952153833</v>
      </c>
      <c r="D541" s="15">
        <f>IFERROR(__xludf.DUMMYFUNCTION("""COMPUTED_VALUE"""),0.762052825974533)</f>
        <v>0.762052826</v>
      </c>
      <c r="E541" s="15">
        <f>IFERROR(__xludf.DUMMYFUNCTION("""COMPUTED_VALUE"""),0.232427678009709)</f>
        <v>0.232427678</v>
      </c>
      <c r="F541" s="15">
        <f>IFERROR(__xludf.DUMMYFUNCTION("""COMPUTED_VALUE"""),0.458273481614144)</f>
        <v>0.4582734816</v>
      </c>
      <c r="G541" s="15">
        <f>IFERROR(__xludf.DUMMYFUNCTION("""COMPUTED_VALUE"""),-0.39400289461943)</f>
        <v>-0.3940028946</v>
      </c>
      <c r="H541" s="15">
        <f t="shared" si="1"/>
        <v>53720</v>
      </c>
    </row>
    <row r="542">
      <c r="B542" s="15">
        <f>IFERROR(__xludf.DUMMYFUNCTION("""COMPUTED_VALUE"""),54.0)</f>
        <v>54</v>
      </c>
      <c r="C542" s="15">
        <f>IFERROR(__xludf.DUMMYFUNCTION("""COMPUTED_VALUE"""),1.677952153938E12)</f>
        <v>1677952153938</v>
      </c>
      <c r="D542" s="15">
        <f>IFERROR(__xludf.DUMMYFUNCTION("""COMPUTED_VALUE"""),0.762052825974533)</f>
        <v>0.762052826</v>
      </c>
      <c r="E542" s="15">
        <f>IFERROR(__xludf.DUMMYFUNCTION("""COMPUTED_VALUE"""),0.232427678009709)</f>
        <v>0.232427678</v>
      </c>
      <c r="F542" s="15">
        <f>IFERROR(__xludf.DUMMYFUNCTION("""COMPUTED_VALUE"""),0.458273481614144)</f>
        <v>0.4582734816</v>
      </c>
      <c r="G542" s="15">
        <f>IFERROR(__xludf.DUMMYFUNCTION("""COMPUTED_VALUE"""),-0.39400289461943)</f>
        <v>-0.3940028946</v>
      </c>
      <c r="H542" s="15">
        <f t="shared" si="1"/>
        <v>53825</v>
      </c>
    </row>
    <row r="543">
      <c r="B543" s="15">
        <f>IFERROR(__xludf.DUMMYFUNCTION("""COMPUTED_VALUE"""),54.1)</f>
        <v>54.1</v>
      </c>
      <c r="C543" s="15">
        <f>IFERROR(__xludf.DUMMYFUNCTION("""COMPUTED_VALUE"""),1.677952154211E12)</f>
        <v>1677952154211</v>
      </c>
      <c r="D543" s="15">
        <f>IFERROR(__xludf.DUMMYFUNCTION("""COMPUTED_VALUE"""),0.630074233303394)</f>
        <v>0.6300742333</v>
      </c>
      <c r="E543" s="15">
        <f>IFERROR(__xludf.DUMMYFUNCTION("""COMPUTED_VALUE"""),0.182351402894624)</f>
        <v>0.1823514029</v>
      </c>
      <c r="F543" s="15">
        <f>IFERROR(__xludf.DUMMYFUNCTION("""COMPUTED_VALUE"""),0.561215088236403)</f>
        <v>0.5612150882</v>
      </c>
      <c r="G543" s="15">
        <f>IFERROR(__xludf.DUMMYFUNCTION("""COMPUTED_VALUE"""),-0.504769304856491)</f>
        <v>-0.5047693049</v>
      </c>
      <c r="H543" s="15">
        <f t="shared" si="1"/>
        <v>54098</v>
      </c>
    </row>
    <row r="544">
      <c r="B544" s="15">
        <f>IFERROR(__xludf.DUMMYFUNCTION("""COMPUTED_VALUE"""),54.2)</f>
        <v>54.2</v>
      </c>
      <c r="C544" s="15">
        <f>IFERROR(__xludf.DUMMYFUNCTION("""COMPUTED_VALUE"""),1.677952154255E12)</f>
        <v>1677952154255</v>
      </c>
      <c r="D544" s="15">
        <f>IFERROR(__xludf.DUMMYFUNCTION("""COMPUTED_VALUE"""),0.608388574299767)</f>
        <v>0.6083885743</v>
      </c>
      <c r="E544" s="15">
        <f>IFERROR(__xludf.DUMMYFUNCTION("""COMPUTED_VALUE"""),0.189649045327209)</f>
        <v>0.1896490453</v>
      </c>
      <c r="F544" s="15">
        <f>IFERROR(__xludf.DUMMYFUNCTION("""COMPUTED_VALUE"""),0.580335665893276)</f>
        <v>0.5803356659</v>
      </c>
      <c r="G544" s="15">
        <f>IFERROR(__xludf.DUMMYFUNCTION("""COMPUTED_VALUE"""),-0.507057291792731)</f>
        <v>-0.5070572918</v>
      </c>
      <c r="H544" s="15">
        <f t="shared" si="1"/>
        <v>54142</v>
      </c>
    </row>
    <row r="545">
      <c r="B545" s="15">
        <f>IFERROR(__xludf.DUMMYFUNCTION("""COMPUTED_VALUE"""),54.3)</f>
        <v>54.3</v>
      </c>
      <c r="C545" s="15">
        <f>IFERROR(__xludf.DUMMYFUNCTION("""COMPUTED_VALUE"""),1.6779521543E12)</f>
        <v>1677952154300</v>
      </c>
      <c r="D545" s="15">
        <f>IFERROR(__xludf.DUMMYFUNCTION("""COMPUTED_VALUE"""),0.598857779667533)</f>
        <v>0.5988577797</v>
      </c>
      <c r="E545" s="15">
        <f>IFERROR(__xludf.DUMMYFUNCTION("""COMPUTED_VALUE"""),0.201863994513799)</f>
        <v>0.2018639945</v>
      </c>
      <c r="F545" s="15">
        <f>IFERROR(__xludf.DUMMYFUNCTION("""COMPUTED_VALUE"""),0.591403838570691)</f>
        <v>0.5914038386</v>
      </c>
      <c r="G545" s="15">
        <f>IFERROR(__xludf.DUMMYFUNCTION("""COMPUTED_VALUE"""),-0.500861045774627)</f>
        <v>-0.5008610458</v>
      </c>
      <c r="H545" s="15">
        <f t="shared" si="1"/>
        <v>54187</v>
      </c>
    </row>
    <row r="546">
      <c r="B546" s="15">
        <f>IFERROR(__xludf.DUMMYFUNCTION("""COMPUTED_VALUE"""),54.4)</f>
        <v>54.4</v>
      </c>
      <c r="C546" s="15">
        <f>IFERROR(__xludf.DUMMYFUNCTION("""COMPUTED_VALUE"""),1.677952154365E12)</f>
        <v>1677952154365</v>
      </c>
      <c r="D546" s="15">
        <f>IFERROR(__xludf.DUMMYFUNCTION("""COMPUTED_VALUE"""),0.58003925902819)</f>
        <v>0.580039259</v>
      </c>
      <c r="E546" s="15">
        <f>IFERROR(__xludf.DUMMYFUNCTION("""COMPUTED_VALUE"""),0.236837842038176)</f>
        <v>0.236837842</v>
      </c>
      <c r="F546" s="15">
        <f>IFERROR(__xludf.DUMMYFUNCTION("""COMPUTED_VALUE"""),0.614848119369365)</f>
        <v>0.6148481194</v>
      </c>
      <c r="G546" s="15">
        <f>IFERROR(__xludf.DUMMYFUNCTION("""COMPUTED_VALUE"""),-0.478982342756682)</f>
        <v>-0.4789823428</v>
      </c>
      <c r="H546" s="15">
        <f t="shared" si="1"/>
        <v>54252</v>
      </c>
    </row>
    <row r="547">
      <c r="B547" s="15">
        <f>IFERROR(__xludf.DUMMYFUNCTION("""COMPUTED_VALUE"""),54.5)</f>
        <v>54.5</v>
      </c>
      <c r="C547" s="15">
        <f>IFERROR(__xludf.DUMMYFUNCTION("""COMPUTED_VALUE"""),1.677952154472E12)</f>
        <v>1677952154472</v>
      </c>
      <c r="D547" s="15">
        <f>IFERROR(__xludf.DUMMYFUNCTION("""COMPUTED_VALUE"""),0.531015342151424)</f>
        <v>0.5310153422</v>
      </c>
      <c r="E547" s="15">
        <f>IFERROR(__xludf.DUMMYFUNCTION("""COMPUTED_VALUE"""),0.305657107427829)</f>
        <v>0.3056571074</v>
      </c>
      <c r="F547" s="15">
        <f>IFERROR(__xludf.DUMMYFUNCTION("""COMPUTED_VALUE"""),0.662261079881354)</f>
        <v>0.6622610799</v>
      </c>
      <c r="G547" s="15">
        <f>IFERROR(__xludf.DUMMYFUNCTION("""COMPUTED_VALUE"""),-0.431284941950258)</f>
        <v>-0.431284942</v>
      </c>
      <c r="H547" s="15">
        <f t="shared" si="1"/>
        <v>54359</v>
      </c>
    </row>
    <row r="548">
      <c r="B548" s="15">
        <f>IFERROR(__xludf.DUMMYFUNCTION("""COMPUTED_VALUE"""),54.6)</f>
        <v>54.6</v>
      </c>
      <c r="C548" s="15">
        <f>IFERROR(__xludf.DUMMYFUNCTION("""COMPUTED_VALUE"""),1.677952154556E12)</f>
        <v>1677952154556</v>
      </c>
      <c r="D548" s="15">
        <f>IFERROR(__xludf.DUMMYFUNCTION("""COMPUTED_VALUE"""),0.490772640006189)</f>
        <v>0.49077264</v>
      </c>
      <c r="E548" s="15">
        <f>IFERROR(__xludf.DUMMYFUNCTION("""COMPUTED_VALUE"""),0.359045864280879)</f>
        <v>0.3590458643</v>
      </c>
      <c r="F548" s="15">
        <f>IFERROR(__xludf.DUMMYFUNCTION("""COMPUTED_VALUE"""),0.692064876765614)</f>
        <v>0.6920648768</v>
      </c>
      <c r="G548" s="15">
        <f>IFERROR(__xludf.DUMMYFUNCTION("""COMPUTED_VALUE"""),-0.388940213286752)</f>
        <v>-0.3889402133</v>
      </c>
      <c r="H548" s="15">
        <f t="shared" si="1"/>
        <v>54443</v>
      </c>
    </row>
    <row r="549">
      <c r="B549" s="15">
        <f>IFERROR(__xludf.DUMMYFUNCTION("""COMPUTED_VALUE"""),54.7)</f>
        <v>54.7</v>
      </c>
      <c r="C549" s="15">
        <f>IFERROR(__xludf.DUMMYFUNCTION("""COMPUTED_VALUE"""),1.677952154641E12)</f>
        <v>1677952154641</v>
      </c>
      <c r="D549" s="15">
        <f>IFERROR(__xludf.DUMMYFUNCTION("""COMPUTED_VALUE"""),0.41370354962627)</f>
        <v>0.4137035496</v>
      </c>
      <c r="E549" s="15">
        <f>IFERROR(__xludf.DUMMYFUNCTION("""COMPUTED_VALUE"""),0.435542345317622)</f>
        <v>0.4355423453</v>
      </c>
      <c r="F549" s="15">
        <f>IFERROR(__xludf.DUMMYFUNCTION("""COMPUTED_VALUE"""),0.733721575291254)</f>
        <v>0.7337215753</v>
      </c>
      <c r="G549" s="15">
        <f>IFERROR(__xludf.DUMMYFUNCTION("""COMPUTED_VALUE"""),-0.317497855762785)</f>
        <v>-0.3174978558</v>
      </c>
      <c r="H549" s="15">
        <f t="shared" si="1"/>
        <v>54528</v>
      </c>
    </row>
    <row r="550">
      <c r="B550" s="15">
        <f>IFERROR(__xludf.DUMMYFUNCTION("""COMPUTED_VALUE"""),54.8)</f>
        <v>54.8</v>
      </c>
      <c r="C550" s="15">
        <f>IFERROR(__xludf.DUMMYFUNCTION("""COMPUTED_VALUE"""),1.677952154768E12)</f>
        <v>1677952154768</v>
      </c>
      <c r="D550" s="15">
        <f>IFERROR(__xludf.DUMMYFUNCTION("""COMPUTED_VALUE"""),0.273764116826478)</f>
        <v>0.2737641168</v>
      </c>
      <c r="E550" s="15">
        <f>IFERROR(__xludf.DUMMYFUNCTION("""COMPUTED_VALUE"""),0.504659619932776)</f>
        <v>0.5046596199</v>
      </c>
      <c r="F550" s="15">
        <f>IFERROR(__xludf.DUMMYFUNCTION("""COMPUTED_VALUE"""),0.789356505892046)</f>
        <v>0.7893565059</v>
      </c>
      <c r="G550" s="15">
        <f>IFERROR(__xludf.DUMMYFUNCTION("""COMPUTED_VALUE"""),-0.217458462593251)</f>
        <v>-0.2174584626</v>
      </c>
      <c r="H550" s="15">
        <f t="shared" si="1"/>
        <v>54655</v>
      </c>
    </row>
    <row r="551">
      <c r="B551" s="15">
        <f>IFERROR(__xludf.DUMMYFUNCTION("""COMPUTED_VALUE"""),54.9)</f>
        <v>54.9</v>
      </c>
      <c r="C551" s="15">
        <f>IFERROR(__xludf.DUMMYFUNCTION("""COMPUTED_VALUE"""),1.677952154855E12)</f>
        <v>1677952154855</v>
      </c>
      <c r="D551" s="15">
        <f>IFERROR(__xludf.DUMMYFUNCTION("""COMPUTED_VALUE"""),0.215609771285776)</f>
        <v>0.2156097713</v>
      </c>
      <c r="E551" s="15">
        <f>IFERROR(__xludf.DUMMYFUNCTION("""COMPUTED_VALUE"""),0.525771849994855)</f>
        <v>0.52577185</v>
      </c>
      <c r="F551" s="15">
        <f>IFERROR(__xludf.DUMMYFUNCTION("""COMPUTED_VALUE"""),0.803479963327117)</f>
        <v>0.8034799633</v>
      </c>
      <c r="G551" s="15">
        <f>IFERROR(__xludf.DUMMYFUNCTION("""COMPUTED_VALUE"""),-0.177472073326861)</f>
        <v>-0.1774720733</v>
      </c>
      <c r="H551" s="15">
        <f t="shared" si="1"/>
        <v>54742</v>
      </c>
    </row>
    <row r="552">
      <c r="B552" s="15">
        <f>IFERROR(__xludf.DUMMYFUNCTION("""COMPUTED_VALUE"""),55.0)</f>
        <v>55</v>
      </c>
      <c r="C552" s="15">
        <f>IFERROR(__xludf.DUMMYFUNCTION("""COMPUTED_VALUE"""),1.67795215496E12)</f>
        <v>1677952154960</v>
      </c>
      <c r="D552" s="15">
        <f>IFERROR(__xludf.DUMMYFUNCTION("""COMPUTED_VALUE"""),0.25827331785957)</f>
        <v>0.2582733179</v>
      </c>
      <c r="E552" s="15">
        <f>IFERROR(__xludf.DUMMYFUNCTION("""COMPUTED_VALUE"""),0.574087205366046)</f>
        <v>0.5740872054</v>
      </c>
      <c r="F552" s="15">
        <f>IFERROR(__xludf.DUMMYFUNCTION("""COMPUTED_VALUE"""),0.755048991251922)</f>
        <v>0.7550489913</v>
      </c>
      <c r="G552" s="15">
        <f>IFERROR(__xludf.DUMMYFUNCTION("""COMPUTED_VALUE"""),-0.183357014390682)</f>
        <v>-0.1833570144</v>
      </c>
      <c r="H552" s="15">
        <f t="shared" si="1"/>
        <v>54847</v>
      </c>
    </row>
    <row r="553">
      <c r="B553" s="15">
        <f>IFERROR(__xludf.DUMMYFUNCTION("""COMPUTED_VALUE"""),55.1)</f>
        <v>55.1</v>
      </c>
      <c r="C553" s="15">
        <f>IFERROR(__xludf.DUMMYFUNCTION("""COMPUTED_VALUE"""),1.677952155048E12)</f>
        <v>1677952155048</v>
      </c>
      <c r="D553" s="15">
        <f>IFERROR(__xludf.DUMMYFUNCTION("""COMPUTED_VALUE"""),0.344859965909848)</f>
        <v>0.3448599659</v>
      </c>
      <c r="E553" s="15">
        <f>IFERROR(__xludf.DUMMYFUNCTION("""COMPUTED_VALUE"""),0.628406201092613)</f>
        <v>0.6284062011</v>
      </c>
      <c r="F553" s="15">
        <f>IFERROR(__xludf.DUMMYFUNCTION("""COMPUTED_VALUE"""),0.664918531820179)</f>
        <v>0.6649185318</v>
      </c>
      <c r="G553" s="15">
        <f>IFERROR(__xludf.DUMMYFUNCTION("""COMPUTED_VALUE"""),-0.20990616089839)</f>
        <v>-0.2099061609</v>
      </c>
      <c r="H553" s="15">
        <f t="shared" si="1"/>
        <v>54935</v>
      </c>
    </row>
    <row r="554">
      <c r="B554" s="15">
        <f>IFERROR(__xludf.DUMMYFUNCTION("""COMPUTED_VALUE"""),55.2)</f>
        <v>55.2</v>
      </c>
      <c r="C554" s="15">
        <f>IFERROR(__xludf.DUMMYFUNCTION("""COMPUTED_VALUE"""),1.677952155151E12)</f>
        <v>1677952155151</v>
      </c>
      <c r="D554" s="15">
        <f>IFERROR(__xludf.DUMMYFUNCTION("""COMPUTED_VALUE"""),0.45371774652114)</f>
        <v>0.4537177465</v>
      </c>
      <c r="E554" s="15">
        <f>IFERROR(__xludf.DUMMYFUNCTION("""COMPUTED_VALUE"""),0.641054583858615)</f>
        <v>0.6410545839</v>
      </c>
      <c r="F554" s="15">
        <f>IFERROR(__xludf.DUMMYFUNCTION("""COMPUTED_VALUE"""),0.55469280618177)</f>
        <v>0.5546928062</v>
      </c>
      <c r="G554" s="15">
        <f>IFERROR(__xludf.DUMMYFUNCTION("""COMPUTED_VALUE"""),-0.274781945869494)</f>
        <v>-0.2747819459</v>
      </c>
      <c r="H554" s="15">
        <f t="shared" si="1"/>
        <v>55038</v>
      </c>
    </row>
    <row r="555">
      <c r="B555" s="15">
        <f>IFERROR(__xludf.DUMMYFUNCTION("""COMPUTED_VALUE"""),55.3)</f>
        <v>55.3</v>
      </c>
      <c r="C555" s="15">
        <f>IFERROR(__xludf.DUMMYFUNCTION("""COMPUTED_VALUE"""),1.67795215526E12)</f>
        <v>1677952155260</v>
      </c>
      <c r="D555" s="15">
        <f>IFERROR(__xludf.DUMMYFUNCTION("""COMPUTED_VALUE"""),0.513190540992127)</f>
        <v>0.513190541</v>
      </c>
      <c r="E555" s="15">
        <f>IFERROR(__xludf.DUMMYFUNCTION("""COMPUTED_VALUE"""),0.611918171673433)</f>
        <v>0.6119181717</v>
      </c>
      <c r="F555" s="15">
        <f>IFERROR(__xludf.DUMMYFUNCTION("""COMPUTED_VALUE"""),0.496180617215692)</f>
        <v>0.4961806172</v>
      </c>
      <c r="G555" s="15">
        <f>IFERROR(__xludf.DUMMYFUNCTION("""COMPUTED_VALUE"""),-0.340582464186724)</f>
        <v>-0.3405824642</v>
      </c>
      <c r="H555" s="15">
        <f t="shared" si="1"/>
        <v>55147</v>
      </c>
    </row>
    <row r="556">
      <c r="B556" s="15">
        <f>IFERROR(__xludf.DUMMYFUNCTION("""COMPUTED_VALUE"""),55.4)</f>
        <v>55.4</v>
      </c>
      <c r="C556" s="15">
        <f>IFERROR(__xludf.DUMMYFUNCTION("""COMPUTED_VALUE"""),1.677952155347E12)</f>
        <v>1677952155347</v>
      </c>
      <c r="D556" s="15">
        <f>IFERROR(__xludf.DUMMYFUNCTION("""COMPUTED_VALUE"""),0.548362255331963)</f>
        <v>0.5483622553</v>
      </c>
      <c r="E556" s="15">
        <f>IFERROR(__xludf.DUMMYFUNCTION("""COMPUTED_VALUE"""),0.556468997067225)</f>
        <v>0.5564689971</v>
      </c>
      <c r="F556" s="15">
        <f>IFERROR(__xludf.DUMMYFUNCTION("""COMPUTED_VALUE"""),0.462357266027682)</f>
        <v>0.462357266</v>
      </c>
      <c r="G556" s="15">
        <f>IFERROR(__xludf.DUMMYFUNCTION("""COMPUTED_VALUE"""),-0.419364818244976)</f>
        <v>-0.4193648182</v>
      </c>
      <c r="H556" s="15">
        <f t="shared" si="1"/>
        <v>55234</v>
      </c>
    </row>
    <row r="557">
      <c r="B557" s="15">
        <f>IFERROR(__xludf.DUMMYFUNCTION("""COMPUTED_VALUE"""),55.5)</f>
        <v>55.5</v>
      </c>
      <c r="C557" s="15">
        <f>IFERROR(__xludf.DUMMYFUNCTION("""COMPUTED_VALUE"""),1.677952155453E12)</f>
        <v>1677952155453</v>
      </c>
      <c r="D557" s="15">
        <f>IFERROR(__xludf.DUMMYFUNCTION("""COMPUTED_VALUE"""),0.553785144665998)</f>
        <v>0.5537851447</v>
      </c>
      <c r="E557" s="15">
        <f>IFERROR(__xludf.DUMMYFUNCTION("""COMPUTED_VALUE"""),0.461379927020794)</f>
        <v>0.461379927</v>
      </c>
      <c r="F557" s="15">
        <f>IFERROR(__xludf.DUMMYFUNCTION("""COMPUTED_VALUE"""),0.449611093336558)</f>
        <v>0.4496110933</v>
      </c>
      <c r="G557" s="15">
        <f>IFERROR(__xludf.DUMMYFUNCTION("""COMPUTED_VALUE"""),-0.527541885766661)</f>
        <v>-0.5275418858</v>
      </c>
      <c r="H557" s="15">
        <f t="shared" si="1"/>
        <v>55340</v>
      </c>
    </row>
    <row r="558">
      <c r="B558" s="15">
        <f>IFERROR(__xludf.DUMMYFUNCTION("""COMPUTED_VALUE"""),55.6)</f>
        <v>55.6</v>
      </c>
      <c r="C558" s="15">
        <f>IFERROR(__xludf.DUMMYFUNCTION("""COMPUTED_VALUE"""),1.677952155557E12)</f>
        <v>1677952155557</v>
      </c>
      <c r="D558" s="15">
        <f>IFERROR(__xludf.DUMMYFUNCTION("""COMPUTED_VALUE"""),-0.532600035496201)</f>
        <v>-0.5326000355</v>
      </c>
      <c r="E558" s="15">
        <f>IFERROR(__xludf.DUMMYFUNCTION("""COMPUTED_VALUE"""),-0.372852025094507)</f>
        <v>-0.3728520251</v>
      </c>
      <c r="F558" s="15">
        <f>IFERROR(__xludf.DUMMYFUNCTION("""COMPUTED_VALUE"""),-0.447415803674174)</f>
        <v>-0.4474158037</v>
      </c>
      <c r="G558" s="15">
        <f>IFERROR(__xludf.DUMMYFUNCTION("""COMPUTED_VALUE"""),0.614115354143633)</f>
        <v>0.6141153541</v>
      </c>
      <c r="H558" s="15">
        <f t="shared" si="1"/>
        <v>55444</v>
      </c>
    </row>
    <row r="559">
      <c r="B559" s="15">
        <f>IFERROR(__xludf.DUMMYFUNCTION("""COMPUTED_VALUE"""),55.7)</f>
        <v>55.7</v>
      </c>
      <c r="C559" s="15">
        <f>IFERROR(__xludf.DUMMYFUNCTION("""COMPUTED_VALUE"""),1.677952155642E12)</f>
        <v>1677952155642</v>
      </c>
      <c r="D559" s="15">
        <f>IFERROR(__xludf.DUMMYFUNCTION("""COMPUTED_VALUE"""),-0.500920639293071)</f>
        <v>-0.5009206393</v>
      </c>
      <c r="E559" s="15">
        <f>IFERROR(__xludf.DUMMYFUNCTION("""COMPUTED_VALUE"""),-0.316401951876997)</f>
        <v>-0.3164019519</v>
      </c>
      <c r="F559" s="15">
        <f>IFERROR(__xludf.DUMMYFUNCTION("""COMPUTED_VALUE"""),-0.455058094924579)</f>
        <v>-0.4550580949</v>
      </c>
      <c r="G559" s="15">
        <f>IFERROR(__xludf.DUMMYFUNCTION("""COMPUTED_VALUE"""),0.664748409717735)</f>
        <v>0.6647484097</v>
      </c>
      <c r="H559" s="15">
        <f t="shared" si="1"/>
        <v>55529</v>
      </c>
    </row>
    <row r="560">
      <c r="B560" s="15">
        <f>IFERROR(__xludf.DUMMYFUNCTION("""COMPUTED_VALUE"""),55.8)</f>
        <v>55.8</v>
      </c>
      <c r="C560" s="15">
        <f>IFERROR(__xludf.DUMMYFUNCTION("""COMPUTED_VALUE"""),1.677952155747E12)</f>
        <v>1677952155747</v>
      </c>
      <c r="D560" s="15">
        <f>IFERROR(__xludf.DUMMYFUNCTION("""COMPUTED_VALUE"""),-0.482425295603385)</f>
        <v>-0.4824252956</v>
      </c>
      <c r="E560" s="15">
        <f>IFERROR(__xludf.DUMMYFUNCTION("""COMPUTED_VALUE"""),-0.2923039645906)</f>
        <v>-0.2923039646</v>
      </c>
      <c r="F560" s="15">
        <f>IFERROR(__xludf.DUMMYFUNCTION("""COMPUTED_VALUE"""),-0.459980785596093)</f>
        <v>-0.4599807856</v>
      </c>
      <c r="G560" s="15">
        <f>IFERROR(__xludf.DUMMYFUNCTION("""COMPUTED_VALUE"""),0.685741863479985)</f>
        <v>0.6857418635</v>
      </c>
      <c r="H560" s="15">
        <f t="shared" si="1"/>
        <v>55634</v>
      </c>
    </row>
    <row r="561">
      <c r="B561" s="15">
        <f>IFERROR(__xludf.DUMMYFUNCTION("""COMPUTED_VALUE"""),55.9)</f>
        <v>55.9</v>
      </c>
      <c r="C561" s="15">
        <f>IFERROR(__xludf.DUMMYFUNCTION("""COMPUTED_VALUE"""),1.677952155852E12)</f>
        <v>1677952155852</v>
      </c>
      <c r="D561" s="15">
        <f>IFERROR(__xludf.DUMMYFUNCTION("""COMPUTED_VALUE"""),-0.480542418986733)</f>
        <v>-0.480542419</v>
      </c>
      <c r="E561" s="15">
        <f>IFERROR(__xludf.DUMMYFUNCTION("""COMPUTED_VALUE"""),-0.271509094664035)</f>
        <v>-0.2715090947</v>
      </c>
      <c r="F561" s="15">
        <f>IFERROR(__xludf.DUMMYFUNCTION("""COMPUTED_VALUE"""),-0.454975969413952)</f>
        <v>-0.4549759694</v>
      </c>
      <c r="G561" s="15">
        <f>IFERROR(__xludf.DUMMYFUNCTION("""COMPUTED_VALUE"""),0.698826632524067)</f>
        <v>0.6988266325</v>
      </c>
      <c r="H561" s="15">
        <f t="shared" si="1"/>
        <v>55739</v>
      </c>
    </row>
    <row r="562">
      <c r="B562" s="15">
        <f>IFERROR(__xludf.DUMMYFUNCTION("""COMPUTED_VALUE"""),56.0)</f>
        <v>56</v>
      </c>
      <c r="C562" s="15">
        <f>IFERROR(__xludf.DUMMYFUNCTION("""COMPUTED_VALUE"""),1.677952155957E12)</f>
        <v>1677952155957</v>
      </c>
      <c r="D562" s="15">
        <f>IFERROR(__xludf.DUMMYFUNCTION("""COMPUTED_VALUE"""),-0.478585076794201)</f>
        <v>-0.4785850768</v>
      </c>
      <c r="E562" s="15">
        <f>IFERROR(__xludf.DUMMYFUNCTION("""COMPUTED_VALUE"""),-0.262452913482758)</f>
        <v>-0.2624529135</v>
      </c>
      <c r="F562" s="15">
        <f>IFERROR(__xludf.DUMMYFUNCTION("""COMPUTED_VALUE"""),-0.453273881583829)</f>
        <v>-0.4532738816</v>
      </c>
      <c r="G562" s="15">
        <f>IFERROR(__xludf.DUMMYFUNCTION("""COMPUTED_VALUE"""),0.70471099093758)</f>
        <v>0.7047109909</v>
      </c>
      <c r="H562" s="15">
        <f t="shared" si="1"/>
        <v>55844</v>
      </c>
    </row>
    <row r="563">
      <c r="B563" s="15">
        <f>IFERROR(__xludf.DUMMYFUNCTION("""COMPUTED_VALUE"""),56.1)</f>
        <v>56.1</v>
      </c>
      <c r="C563" s="15">
        <f>IFERROR(__xludf.DUMMYFUNCTION("""COMPUTED_VALUE"""),1.677952156024E12)</f>
        <v>1677952156024</v>
      </c>
      <c r="D563" s="15">
        <f>IFERROR(__xludf.DUMMYFUNCTION("""COMPUTED_VALUE"""),-0.478585076794201)</f>
        <v>-0.4785850768</v>
      </c>
      <c r="E563" s="15">
        <f>IFERROR(__xludf.DUMMYFUNCTION("""COMPUTED_VALUE"""),-0.262452913482758)</f>
        <v>-0.2624529135</v>
      </c>
      <c r="F563" s="15">
        <f>IFERROR(__xludf.DUMMYFUNCTION("""COMPUTED_VALUE"""),-0.453273881583829)</f>
        <v>-0.4532738816</v>
      </c>
      <c r="G563" s="15">
        <f>IFERROR(__xludf.DUMMYFUNCTION("""COMPUTED_VALUE"""),0.70471099093758)</f>
        <v>0.7047109909</v>
      </c>
      <c r="H563" s="15">
        <f t="shared" si="1"/>
        <v>55911</v>
      </c>
    </row>
    <row r="564">
      <c r="B564" s="15">
        <f>IFERROR(__xludf.DUMMYFUNCTION("""COMPUTED_VALUE"""),56.2)</f>
        <v>56.2</v>
      </c>
      <c r="C564" s="15">
        <f>IFERROR(__xludf.DUMMYFUNCTION("""COMPUTED_VALUE"""),1.677952156119E12)</f>
        <v>1677952156119</v>
      </c>
      <c r="D564" s="15">
        <f>IFERROR(__xludf.DUMMYFUNCTION("""COMPUTED_VALUE"""),-0.478585076794201)</f>
        <v>-0.4785850768</v>
      </c>
      <c r="E564" s="15">
        <f>IFERROR(__xludf.DUMMYFUNCTION("""COMPUTED_VALUE"""),-0.262452913482758)</f>
        <v>-0.2624529135</v>
      </c>
      <c r="F564" s="15">
        <f>IFERROR(__xludf.DUMMYFUNCTION("""COMPUTED_VALUE"""),-0.453273881583829)</f>
        <v>-0.4532738816</v>
      </c>
      <c r="G564" s="15">
        <f>IFERROR(__xludf.DUMMYFUNCTION("""COMPUTED_VALUE"""),0.70471099093758)</f>
        <v>0.7047109909</v>
      </c>
      <c r="H564" s="15">
        <f t="shared" si="1"/>
        <v>56006</v>
      </c>
    </row>
    <row r="565">
      <c r="B565" s="15">
        <f>IFERROR(__xludf.DUMMYFUNCTION("""COMPUTED_VALUE"""),56.3)</f>
        <v>56.3</v>
      </c>
      <c r="C565" s="15">
        <f>IFERROR(__xludf.DUMMYFUNCTION("""COMPUTED_VALUE"""),1.67795215636E12)</f>
        <v>1677952156360</v>
      </c>
      <c r="D565" s="15">
        <f>IFERROR(__xludf.DUMMYFUNCTION("""COMPUTED_VALUE"""),-0.449308032839851)</f>
        <v>-0.4493080328</v>
      </c>
      <c r="E565" s="15">
        <f>IFERROR(__xludf.DUMMYFUNCTION("""COMPUTED_VALUE"""),-0.282743541743602)</f>
        <v>-0.2827435417</v>
      </c>
      <c r="F565" s="15">
        <f>IFERROR(__xludf.DUMMYFUNCTION("""COMPUTED_VALUE"""),-0.475810880079387)</f>
        <v>-0.4758108801</v>
      </c>
      <c r="G565" s="15">
        <f>IFERROR(__xludf.DUMMYFUNCTION("""COMPUTED_VALUE"""),0.701271978355005)</f>
        <v>0.7012719784</v>
      </c>
      <c r="H565" s="15">
        <f t="shared" si="1"/>
        <v>56247</v>
      </c>
    </row>
    <row r="566">
      <c r="B566" s="15">
        <f>IFERROR(__xludf.DUMMYFUNCTION("""COMPUTED_VALUE"""),56.4)</f>
        <v>56.4</v>
      </c>
      <c r="C566" s="15">
        <f>IFERROR(__xludf.DUMMYFUNCTION("""COMPUTED_VALUE"""),1.677952156367E12)</f>
        <v>1677952156367</v>
      </c>
      <c r="D566" s="15">
        <f>IFERROR(__xludf.DUMMYFUNCTION("""COMPUTED_VALUE"""),-0.449308032839851)</f>
        <v>-0.4493080328</v>
      </c>
      <c r="E566" s="15">
        <f>IFERROR(__xludf.DUMMYFUNCTION("""COMPUTED_VALUE"""),-0.282743541743602)</f>
        <v>-0.2827435417</v>
      </c>
      <c r="F566" s="15">
        <f>IFERROR(__xludf.DUMMYFUNCTION("""COMPUTED_VALUE"""),-0.475810880079387)</f>
        <v>-0.4758108801</v>
      </c>
      <c r="G566" s="15">
        <f>IFERROR(__xludf.DUMMYFUNCTION("""COMPUTED_VALUE"""),0.701271978355005)</f>
        <v>0.7012719784</v>
      </c>
      <c r="H566" s="15">
        <f t="shared" si="1"/>
        <v>56254</v>
      </c>
    </row>
    <row r="567">
      <c r="B567" s="15">
        <f>IFERROR(__xludf.DUMMYFUNCTION("""COMPUTED_VALUE"""),56.5)</f>
        <v>56.5</v>
      </c>
      <c r="C567" s="15">
        <f>IFERROR(__xludf.DUMMYFUNCTION("""COMPUTED_VALUE"""),1.677952156425E12)</f>
        <v>1677952156425</v>
      </c>
      <c r="D567" s="15">
        <f>IFERROR(__xludf.DUMMYFUNCTION("""COMPUTED_VALUE"""),-0.449308032839851)</f>
        <v>-0.4493080328</v>
      </c>
      <c r="E567" s="15">
        <f>IFERROR(__xludf.DUMMYFUNCTION("""COMPUTED_VALUE"""),-0.282743541743602)</f>
        <v>-0.2827435417</v>
      </c>
      <c r="F567" s="15">
        <f>IFERROR(__xludf.DUMMYFUNCTION("""COMPUTED_VALUE"""),-0.475810880079387)</f>
        <v>-0.4758108801</v>
      </c>
      <c r="G567" s="15">
        <f>IFERROR(__xludf.DUMMYFUNCTION("""COMPUTED_VALUE"""),0.701271978355005)</f>
        <v>0.7012719784</v>
      </c>
      <c r="H567" s="15">
        <f t="shared" si="1"/>
        <v>56312</v>
      </c>
    </row>
    <row r="568">
      <c r="B568" s="15">
        <f>IFERROR(__xludf.DUMMYFUNCTION("""COMPUTED_VALUE"""),56.6)</f>
        <v>56.6</v>
      </c>
      <c r="C568" s="15">
        <f>IFERROR(__xludf.DUMMYFUNCTION("""COMPUTED_VALUE"""),1.677952156523E12)</f>
        <v>1677952156523</v>
      </c>
      <c r="D568" s="15">
        <f>IFERROR(__xludf.DUMMYFUNCTION("""COMPUTED_VALUE"""),-0.449308032839851)</f>
        <v>-0.4493080328</v>
      </c>
      <c r="E568" s="15">
        <f>IFERROR(__xludf.DUMMYFUNCTION("""COMPUTED_VALUE"""),-0.282743541743602)</f>
        <v>-0.2827435417</v>
      </c>
      <c r="F568" s="15">
        <f>IFERROR(__xludf.DUMMYFUNCTION("""COMPUTED_VALUE"""),-0.475810880079387)</f>
        <v>-0.4758108801</v>
      </c>
      <c r="G568" s="15">
        <f>IFERROR(__xludf.DUMMYFUNCTION("""COMPUTED_VALUE"""),0.701271978355005)</f>
        <v>0.7012719784</v>
      </c>
      <c r="H568" s="15">
        <f t="shared" si="1"/>
        <v>56410</v>
      </c>
    </row>
    <row r="569">
      <c r="B569" s="15">
        <f>IFERROR(__xludf.DUMMYFUNCTION("""COMPUTED_VALUE"""),56.7)</f>
        <v>56.7</v>
      </c>
      <c r="C569" s="15">
        <f>IFERROR(__xludf.DUMMYFUNCTION("""COMPUTED_VALUE"""),1.677952156659E12)</f>
        <v>1677952156659</v>
      </c>
      <c r="D569" s="15">
        <f>IFERROR(__xludf.DUMMYFUNCTION("""COMPUTED_VALUE"""),-0.452738418364176)</f>
        <v>-0.4527384184</v>
      </c>
      <c r="E569" s="15">
        <f>IFERROR(__xludf.DUMMYFUNCTION("""COMPUTED_VALUE"""),-0.301161833527978)</f>
        <v>-0.3011618335</v>
      </c>
      <c r="F569" s="15">
        <f>IFERROR(__xludf.DUMMYFUNCTION("""COMPUTED_VALUE"""),-0.478309656931255)</f>
        <v>-0.4783096569</v>
      </c>
      <c r="G569" s="15">
        <f>IFERROR(__xludf.DUMMYFUNCTION("""COMPUTED_VALUE"""),0.689600860389162)</f>
        <v>0.6896008604</v>
      </c>
      <c r="H569" s="15">
        <f t="shared" si="1"/>
        <v>56546</v>
      </c>
    </row>
    <row r="570">
      <c r="B570" s="15">
        <f>IFERROR(__xludf.DUMMYFUNCTION("""COMPUTED_VALUE"""),56.8)</f>
        <v>56.8</v>
      </c>
      <c r="C570" s="15">
        <f>IFERROR(__xludf.DUMMYFUNCTION("""COMPUTED_VALUE"""),1.677952156751E12)</f>
        <v>1677952156751</v>
      </c>
      <c r="D570" s="15">
        <f>IFERROR(__xludf.DUMMYFUNCTION("""COMPUTED_VALUE"""),-0.454021951883235)</f>
        <v>-0.4540219519</v>
      </c>
      <c r="E570" s="15">
        <f>IFERROR(__xludf.DUMMYFUNCTION("""COMPUTED_VALUE"""),-0.322138852825652)</f>
        <v>-0.3221388528</v>
      </c>
      <c r="F570" s="15">
        <f>IFERROR(__xludf.DUMMYFUNCTION("""COMPUTED_VALUE"""),-0.482284900243442)</f>
        <v>-0.4822849002</v>
      </c>
      <c r="G570" s="15">
        <f>IFERROR(__xludf.DUMMYFUNCTION("""COMPUTED_VALUE"""),0.676381476465375)</f>
        <v>0.6763814765</v>
      </c>
      <c r="H570" s="15">
        <f t="shared" si="1"/>
        <v>56638</v>
      </c>
    </row>
    <row r="571">
      <c r="B571" s="15">
        <f>IFERROR(__xludf.DUMMYFUNCTION("""COMPUTED_VALUE"""),56.9)</f>
        <v>56.9</v>
      </c>
      <c r="C571" s="15">
        <f>IFERROR(__xludf.DUMMYFUNCTION("""COMPUTED_VALUE"""),1.677952156856E12)</f>
        <v>1677952156856</v>
      </c>
      <c r="D571" s="15">
        <f>IFERROR(__xludf.DUMMYFUNCTION("""COMPUTED_VALUE"""),-0.482081260879829)</f>
        <v>-0.4820812609</v>
      </c>
      <c r="E571" s="15">
        <f>IFERROR(__xludf.DUMMYFUNCTION("""COMPUTED_VALUE"""),-0.338216243437842)</f>
        <v>-0.3382162434</v>
      </c>
      <c r="F571" s="15">
        <f>IFERROR(__xludf.DUMMYFUNCTION("""COMPUTED_VALUE"""),-0.46740710157168)</f>
        <v>-0.4674071016</v>
      </c>
      <c r="G571" s="15">
        <f>IFERROR(__xludf.DUMMYFUNCTION("""COMPUTED_VALUE"""),0.659346670563874)</f>
        <v>0.6593466706</v>
      </c>
      <c r="H571" s="15">
        <f t="shared" si="1"/>
        <v>56743</v>
      </c>
    </row>
    <row r="572">
      <c r="B572" s="15">
        <f>IFERROR(__xludf.DUMMYFUNCTION("""COMPUTED_VALUE"""),57.0)</f>
        <v>57</v>
      </c>
      <c r="C572" s="15">
        <f>IFERROR(__xludf.DUMMYFUNCTION("""COMPUTED_VALUE"""),1.677952156962E12)</f>
        <v>1677952156962</v>
      </c>
      <c r="D572" s="15">
        <f>IFERROR(__xludf.DUMMYFUNCTION("""COMPUTED_VALUE"""),-0.507501291763535)</f>
        <v>-0.5075012918</v>
      </c>
      <c r="E572" s="15">
        <f>IFERROR(__xludf.DUMMYFUNCTION("""COMPUTED_VALUE"""),-0.329212351583392)</f>
        <v>-0.3292123516</v>
      </c>
      <c r="F572" s="15">
        <f>IFERROR(__xludf.DUMMYFUNCTION("""COMPUTED_VALUE"""),-0.447069282201084)</f>
        <v>-0.4470692822</v>
      </c>
      <c r="G572" s="15">
        <f>IFERROR(__xludf.DUMMYFUNCTION("""COMPUTED_VALUE"""),0.65893150124689)</f>
        <v>0.6589315012</v>
      </c>
      <c r="H572" s="15">
        <f t="shared" si="1"/>
        <v>56849</v>
      </c>
    </row>
    <row r="573">
      <c r="B573" s="15">
        <f>IFERROR(__xludf.DUMMYFUNCTION("""COMPUTED_VALUE"""),57.1)</f>
        <v>57.1</v>
      </c>
      <c r="C573" s="15">
        <f>IFERROR(__xludf.DUMMYFUNCTION("""COMPUTED_VALUE"""),1.677952157046E12)</f>
        <v>1677952157046</v>
      </c>
      <c r="D573" s="15">
        <f>IFERROR(__xludf.DUMMYFUNCTION("""COMPUTED_VALUE"""),-0.522981802230011)</f>
        <v>-0.5229818022</v>
      </c>
      <c r="E573" s="15">
        <f>IFERROR(__xludf.DUMMYFUNCTION("""COMPUTED_VALUE"""),-0.305723047009775)</f>
        <v>-0.305723047</v>
      </c>
      <c r="F573" s="15">
        <f>IFERROR(__xludf.DUMMYFUNCTION("""COMPUTED_VALUE"""),-0.428857247537802)</f>
        <v>-0.4288572475</v>
      </c>
      <c r="G573" s="15">
        <f>IFERROR(__xludf.DUMMYFUNCTION("""COMPUTED_VALUE"""),0.670152903670204)</f>
        <v>0.6701529037</v>
      </c>
      <c r="H573" s="15">
        <f t="shared" si="1"/>
        <v>56933</v>
      </c>
    </row>
    <row r="574">
      <c r="B574" s="15">
        <f>IFERROR(__xludf.DUMMYFUNCTION("""COMPUTED_VALUE"""),57.2)</f>
        <v>57.2</v>
      </c>
      <c r="C574" s="15">
        <f>IFERROR(__xludf.DUMMYFUNCTION("""COMPUTED_VALUE"""),1.677952157151E12)</f>
        <v>1677952157151</v>
      </c>
      <c r="D574" s="15">
        <f>IFERROR(__xludf.DUMMYFUNCTION("""COMPUTED_VALUE"""),-0.507669461729561)</f>
        <v>-0.5076694617</v>
      </c>
      <c r="E574" s="15">
        <f>IFERROR(__xludf.DUMMYFUNCTION("""COMPUTED_VALUE"""),-0.288629466780579)</f>
        <v>-0.2886294668</v>
      </c>
      <c r="F574" s="15">
        <f>IFERROR(__xludf.DUMMYFUNCTION("""COMPUTED_VALUE"""),-0.432874785349896)</f>
        <v>-0.4328747853</v>
      </c>
      <c r="G574" s="15">
        <f>IFERROR(__xludf.DUMMYFUNCTION("""COMPUTED_VALUE"""),0.686719861909829)</f>
        <v>0.6867198619</v>
      </c>
      <c r="H574" s="15">
        <f t="shared" si="1"/>
        <v>57038</v>
      </c>
    </row>
    <row r="575">
      <c r="B575" s="15">
        <f>IFERROR(__xludf.DUMMYFUNCTION("""COMPUTED_VALUE"""),57.3)</f>
        <v>57.3</v>
      </c>
      <c r="C575" s="15">
        <f>IFERROR(__xludf.DUMMYFUNCTION("""COMPUTED_VALUE"""),1.677952157256E12)</f>
        <v>1677952157256</v>
      </c>
      <c r="D575" s="15">
        <f>IFERROR(__xludf.DUMMYFUNCTION("""COMPUTED_VALUE"""),-0.44301209662967)</f>
        <v>-0.4430120966</v>
      </c>
      <c r="E575" s="15">
        <f>IFERROR(__xludf.DUMMYFUNCTION("""COMPUTED_VALUE"""),-0.274282103385389)</f>
        <v>-0.2742821034</v>
      </c>
      <c r="F575" s="15">
        <f>IFERROR(__xludf.DUMMYFUNCTION("""COMPUTED_VALUE"""),-0.467003747882504)</f>
        <v>-0.4670037479</v>
      </c>
      <c r="G575" s="15">
        <f>IFERROR(__xludf.DUMMYFUNCTION("""COMPUTED_VALUE"""),0.714434818206644)</f>
        <v>0.7144348182</v>
      </c>
      <c r="H575" s="15">
        <f t="shared" si="1"/>
        <v>57143</v>
      </c>
    </row>
    <row r="576">
      <c r="B576" s="15">
        <f>IFERROR(__xludf.DUMMYFUNCTION("""COMPUTED_VALUE"""),57.4)</f>
        <v>57.4</v>
      </c>
      <c r="C576" s="15">
        <f>IFERROR(__xludf.DUMMYFUNCTION("""COMPUTED_VALUE"""),1.677952157343E12)</f>
        <v>1677952157343</v>
      </c>
      <c r="D576" s="15">
        <f>IFERROR(__xludf.DUMMYFUNCTION("""COMPUTED_VALUE"""),-0.409108331710292)</f>
        <v>-0.4091083317</v>
      </c>
      <c r="E576" s="15">
        <f>IFERROR(__xludf.DUMMYFUNCTION("""COMPUTED_VALUE"""),-0.264106013396441)</f>
        <v>-0.2641060134</v>
      </c>
      <c r="F576" s="15">
        <f>IFERROR(__xludf.DUMMYFUNCTION("""COMPUTED_VALUE"""),-0.482641537182618)</f>
        <v>-0.4826415372</v>
      </c>
      <c r="G576" s="15">
        <f>IFERROR(__xludf.DUMMYFUNCTION("""COMPUTED_VALUE"""),0.72796671160092)</f>
        <v>0.7279667116</v>
      </c>
      <c r="H576" s="15">
        <f t="shared" si="1"/>
        <v>57230</v>
      </c>
    </row>
    <row r="577">
      <c r="B577" s="15">
        <f>IFERROR(__xludf.DUMMYFUNCTION("""COMPUTED_VALUE"""),57.5)</f>
        <v>57.5</v>
      </c>
      <c r="C577" s="15">
        <f>IFERROR(__xludf.DUMMYFUNCTION("""COMPUTED_VALUE"""),1.677952157429E12)</f>
        <v>1677952157429</v>
      </c>
      <c r="D577" s="15">
        <f>IFERROR(__xludf.DUMMYFUNCTION("""COMPUTED_VALUE"""),-0.396709109020028)</f>
        <v>-0.396709109</v>
      </c>
      <c r="E577" s="15">
        <f>IFERROR(__xludf.DUMMYFUNCTION("""COMPUTED_VALUE"""),-0.264098440580305)</f>
        <v>-0.2640984406</v>
      </c>
      <c r="F577" s="15">
        <f>IFERROR(__xludf.DUMMYFUNCTION("""COMPUTED_VALUE"""),-0.488939949444919)</f>
        <v>-0.4889399494</v>
      </c>
      <c r="G577" s="15">
        <f>IFERROR(__xludf.DUMMYFUNCTION("""COMPUTED_VALUE"""),0.730624132054494)</f>
        <v>0.7306241321</v>
      </c>
      <c r="H577" s="15">
        <f t="shared" si="1"/>
        <v>57316</v>
      </c>
    </row>
    <row r="578">
      <c r="B578" s="15">
        <f>IFERROR(__xludf.DUMMYFUNCTION("""COMPUTED_VALUE"""),57.6)</f>
        <v>57.6</v>
      </c>
      <c r="C578" s="15">
        <f>IFERROR(__xludf.DUMMYFUNCTION("""COMPUTED_VALUE"""),1.677952157528E12)</f>
        <v>1677952157528</v>
      </c>
      <c r="D578" s="15">
        <f>IFERROR(__xludf.DUMMYFUNCTION("""COMPUTED_VALUE"""),-0.396709109020028)</f>
        <v>-0.396709109</v>
      </c>
      <c r="E578" s="15">
        <f>IFERROR(__xludf.DUMMYFUNCTION("""COMPUTED_VALUE"""),-0.264098440580305)</f>
        <v>-0.2640984406</v>
      </c>
      <c r="F578" s="15">
        <f>IFERROR(__xludf.DUMMYFUNCTION("""COMPUTED_VALUE"""),-0.488939949444919)</f>
        <v>-0.4889399494</v>
      </c>
      <c r="G578" s="15">
        <f>IFERROR(__xludf.DUMMYFUNCTION("""COMPUTED_VALUE"""),0.730624132054494)</f>
        <v>0.7306241321</v>
      </c>
      <c r="H578" s="15">
        <f t="shared" si="1"/>
        <v>57415</v>
      </c>
    </row>
    <row r="579">
      <c r="B579" s="15">
        <f>IFERROR(__xludf.DUMMYFUNCTION("""COMPUTED_VALUE"""),57.7)</f>
        <v>57.7</v>
      </c>
      <c r="C579" s="15">
        <f>IFERROR(__xludf.DUMMYFUNCTION("""COMPUTED_VALUE"""),1.677952157663E12)</f>
        <v>1677952157663</v>
      </c>
      <c r="D579" s="15">
        <f>IFERROR(__xludf.DUMMYFUNCTION("""COMPUTED_VALUE"""),-0.410040882073719)</f>
        <v>-0.4100408821</v>
      </c>
      <c r="E579" s="15">
        <f>IFERROR(__xludf.DUMMYFUNCTION("""COMPUTED_VALUE"""),-0.26889312100389)</f>
        <v>-0.268893121</v>
      </c>
      <c r="F579" s="15">
        <f>IFERROR(__xludf.DUMMYFUNCTION("""COMPUTED_VALUE"""),-0.483136051876073)</f>
        <v>-0.4831360519</v>
      </c>
      <c r="G579" s="15">
        <f>IFERROR(__xludf.DUMMYFUNCTION("""COMPUTED_VALUE"""),0.725356822455397)</f>
        <v>0.7253568225</v>
      </c>
      <c r="H579" s="15">
        <f t="shared" si="1"/>
        <v>57550</v>
      </c>
    </row>
    <row r="580">
      <c r="B580" s="15">
        <f>IFERROR(__xludf.DUMMYFUNCTION("""COMPUTED_VALUE"""),57.8)</f>
        <v>57.8</v>
      </c>
      <c r="C580" s="15">
        <f>IFERROR(__xludf.DUMMYFUNCTION("""COMPUTED_VALUE"""),1.677952157728E12)</f>
        <v>1677952157728</v>
      </c>
      <c r="D580" s="15">
        <f>IFERROR(__xludf.DUMMYFUNCTION("""COMPUTED_VALUE"""),-0.410040882073719)</f>
        <v>-0.4100408821</v>
      </c>
      <c r="E580" s="15">
        <f>IFERROR(__xludf.DUMMYFUNCTION("""COMPUTED_VALUE"""),-0.26889312100389)</f>
        <v>-0.268893121</v>
      </c>
      <c r="F580" s="15">
        <f>IFERROR(__xludf.DUMMYFUNCTION("""COMPUTED_VALUE"""),-0.483136051876073)</f>
        <v>-0.4831360519</v>
      </c>
      <c r="G580" s="15">
        <f>IFERROR(__xludf.DUMMYFUNCTION("""COMPUTED_VALUE"""),0.725356822455397)</f>
        <v>0.7253568225</v>
      </c>
      <c r="H580" s="15">
        <f t="shared" si="1"/>
        <v>57615</v>
      </c>
    </row>
    <row r="581">
      <c r="B581" s="15">
        <f>IFERROR(__xludf.DUMMYFUNCTION("""COMPUTED_VALUE"""),57.9)</f>
        <v>57.9</v>
      </c>
      <c r="C581" s="15">
        <f>IFERROR(__xludf.DUMMYFUNCTION("""COMPUTED_VALUE"""),1.677952157898E12)</f>
        <v>1677952157898</v>
      </c>
      <c r="D581" s="15">
        <f>IFERROR(__xludf.DUMMYFUNCTION("""COMPUTED_VALUE"""),-0.410040882073719)</f>
        <v>-0.4100408821</v>
      </c>
      <c r="E581" s="15">
        <f>IFERROR(__xludf.DUMMYFUNCTION("""COMPUTED_VALUE"""),-0.26889312100389)</f>
        <v>-0.268893121</v>
      </c>
      <c r="F581" s="15">
        <f>IFERROR(__xludf.DUMMYFUNCTION("""COMPUTED_VALUE"""),-0.483136051876073)</f>
        <v>-0.4831360519</v>
      </c>
      <c r="G581" s="15">
        <f>IFERROR(__xludf.DUMMYFUNCTION("""COMPUTED_VALUE"""),0.725356822455397)</f>
        <v>0.7253568225</v>
      </c>
      <c r="H581" s="15">
        <f t="shared" si="1"/>
        <v>57785</v>
      </c>
    </row>
    <row r="582">
      <c r="B582" s="15">
        <f>IFERROR(__xludf.DUMMYFUNCTION("""COMPUTED_VALUE"""),58.0)</f>
        <v>58</v>
      </c>
      <c r="C582" s="15">
        <f>IFERROR(__xludf.DUMMYFUNCTION("""COMPUTED_VALUE"""),1.67795215793E12)</f>
        <v>1677952157930</v>
      </c>
      <c r="D582" s="15">
        <f>IFERROR(__xludf.DUMMYFUNCTION("""COMPUTED_VALUE"""),-0.410040882073719)</f>
        <v>-0.4100408821</v>
      </c>
      <c r="E582" s="15">
        <f>IFERROR(__xludf.DUMMYFUNCTION("""COMPUTED_VALUE"""),-0.26889312100389)</f>
        <v>-0.268893121</v>
      </c>
      <c r="F582" s="15">
        <f>IFERROR(__xludf.DUMMYFUNCTION("""COMPUTED_VALUE"""),-0.483136051876073)</f>
        <v>-0.4831360519</v>
      </c>
      <c r="G582" s="15">
        <f>IFERROR(__xludf.DUMMYFUNCTION("""COMPUTED_VALUE"""),0.725356822455397)</f>
        <v>0.7253568225</v>
      </c>
      <c r="H582" s="15">
        <f t="shared" si="1"/>
        <v>57817</v>
      </c>
    </row>
    <row r="583">
      <c r="B583" s="15">
        <f>IFERROR(__xludf.DUMMYFUNCTION("""COMPUTED_VALUE"""),58.1)</f>
        <v>58.1</v>
      </c>
      <c r="C583" s="15">
        <f>IFERROR(__xludf.DUMMYFUNCTION("""COMPUTED_VALUE"""),1.677952158028E12)</f>
        <v>1677952158028</v>
      </c>
      <c r="D583" s="15">
        <f>IFERROR(__xludf.DUMMYFUNCTION("""COMPUTED_VALUE"""),-0.410040882073719)</f>
        <v>-0.4100408821</v>
      </c>
      <c r="E583" s="15">
        <f>IFERROR(__xludf.DUMMYFUNCTION("""COMPUTED_VALUE"""),-0.26889312100389)</f>
        <v>-0.268893121</v>
      </c>
      <c r="F583" s="15">
        <f>IFERROR(__xludf.DUMMYFUNCTION("""COMPUTED_VALUE"""),-0.483136051876073)</f>
        <v>-0.4831360519</v>
      </c>
      <c r="G583" s="15">
        <f>IFERROR(__xludf.DUMMYFUNCTION("""COMPUTED_VALUE"""),0.725356822455397)</f>
        <v>0.7253568225</v>
      </c>
      <c r="H583" s="15">
        <f t="shared" si="1"/>
        <v>57915</v>
      </c>
    </row>
    <row r="584">
      <c r="B584" s="15">
        <f>IFERROR(__xludf.DUMMYFUNCTION("""COMPUTED_VALUE"""),58.2)</f>
        <v>58.2</v>
      </c>
      <c r="C584" s="15">
        <f>IFERROR(__xludf.DUMMYFUNCTION("""COMPUTED_VALUE"""),1.677952158138E12)</f>
        <v>1677952158138</v>
      </c>
      <c r="D584" s="15">
        <f>IFERROR(__xludf.DUMMYFUNCTION("""COMPUTED_VALUE"""),-0.410040882073719)</f>
        <v>-0.4100408821</v>
      </c>
      <c r="E584" s="15">
        <f>IFERROR(__xludf.DUMMYFUNCTION("""COMPUTED_VALUE"""),-0.26889312100389)</f>
        <v>-0.268893121</v>
      </c>
      <c r="F584" s="15">
        <f>IFERROR(__xludf.DUMMYFUNCTION("""COMPUTED_VALUE"""),-0.483136051876073)</f>
        <v>-0.4831360519</v>
      </c>
      <c r="G584" s="15">
        <f>IFERROR(__xludf.DUMMYFUNCTION("""COMPUTED_VALUE"""),0.725356822455397)</f>
        <v>0.7253568225</v>
      </c>
      <c r="H584" s="15">
        <f t="shared" si="1"/>
        <v>58025</v>
      </c>
    </row>
    <row r="585">
      <c r="B585" s="15">
        <f>IFERROR(__xludf.DUMMYFUNCTION("""COMPUTED_VALUE"""),58.3)</f>
        <v>58.3</v>
      </c>
      <c r="C585" s="15">
        <f>IFERROR(__xludf.DUMMYFUNCTION("""COMPUTED_VALUE"""),1.677952158267E12)</f>
        <v>1677952158267</v>
      </c>
      <c r="D585" s="15">
        <f>IFERROR(__xludf.DUMMYFUNCTION("""COMPUTED_VALUE"""),-0.410040882073719)</f>
        <v>-0.4100408821</v>
      </c>
      <c r="E585" s="15">
        <f>IFERROR(__xludf.DUMMYFUNCTION("""COMPUTED_VALUE"""),-0.26889312100389)</f>
        <v>-0.268893121</v>
      </c>
      <c r="F585" s="15">
        <f>IFERROR(__xludf.DUMMYFUNCTION("""COMPUTED_VALUE"""),-0.483136051876073)</f>
        <v>-0.4831360519</v>
      </c>
      <c r="G585" s="15">
        <f>IFERROR(__xludf.DUMMYFUNCTION("""COMPUTED_VALUE"""),0.725356822455397)</f>
        <v>0.7253568225</v>
      </c>
      <c r="H585" s="15">
        <f t="shared" si="1"/>
        <v>58154</v>
      </c>
    </row>
    <row r="586">
      <c r="B586" s="15">
        <f>IFERROR(__xludf.DUMMYFUNCTION("""COMPUTED_VALUE"""),58.4)</f>
        <v>58.4</v>
      </c>
      <c r="C586" s="15">
        <f>IFERROR(__xludf.DUMMYFUNCTION("""COMPUTED_VALUE"""),1.677952158346E12)</f>
        <v>1677952158346</v>
      </c>
      <c r="D586" s="15">
        <f>IFERROR(__xludf.DUMMYFUNCTION("""COMPUTED_VALUE"""),-0.410040882073719)</f>
        <v>-0.4100408821</v>
      </c>
      <c r="E586" s="15">
        <f>IFERROR(__xludf.DUMMYFUNCTION("""COMPUTED_VALUE"""),-0.26889312100389)</f>
        <v>-0.268893121</v>
      </c>
      <c r="F586" s="15">
        <f>IFERROR(__xludf.DUMMYFUNCTION("""COMPUTED_VALUE"""),-0.483136051876073)</f>
        <v>-0.4831360519</v>
      </c>
      <c r="G586" s="15">
        <f>IFERROR(__xludf.DUMMYFUNCTION("""COMPUTED_VALUE"""),0.725356822455397)</f>
        <v>0.7253568225</v>
      </c>
      <c r="H586" s="15">
        <f t="shared" si="1"/>
        <v>58233</v>
      </c>
    </row>
    <row r="587">
      <c r="B587" s="15">
        <f>IFERROR(__xludf.DUMMYFUNCTION("""COMPUTED_VALUE"""),58.5)</f>
        <v>58.5</v>
      </c>
      <c r="C587" s="15">
        <f>IFERROR(__xludf.DUMMYFUNCTION("""COMPUTED_VALUE"""),1.677952158451E12)</f>
        <v>1677952158451</v>
      </c>
      <c r="D587" s="15">
        <f>IFERROR(__xludf.DUMMYFUNCTION("""COMPUTED_VALUE"""),-0.410040882073719)</f>
        <v>-0.4100408821</v>
      </c>
      <c r="E587" s="15">
        <f>IFERROR(__xludf.DUMMYFUNCTION("""COMPUTED_VALUE"""),-0.26889312100389)</f>
        <v>-0.268893121</v>
      </c>
      <c r="F587" s="15">
        <f>IFERROR(__xludf.DUMMYFUNCTION("""COMPUTED_VALUE"""),-0.483136051876073)</f>
        <v>-0.4831360519</v>
      </c>
      <c r="G587" s="15">
        <f>IFERROR(__xludf.DUMMYFUNCTION("""COMPUTED_VALUE"""),0.725356822455397)</f>
        <v>0.7253568225</v>
      </c>
      <c r="H587" s="15">
        <f t="shared" si="1"/>
        <v>58338</v>
      </c>
    </row>
    <row r="588">
      <c r="B588" s="15">
        <f>IFERROR(__xludf.DUMMYFUNCTION("""COMPUTED_VALUE"""),58.6)</f>
        <v>58.6</v>
      </c>
      <c r="C588" s="15">
        <f>IFERROR(__xludf.DUMMYFUNCTION("""COMPUTED_VALUE"""),1.677952158555E12)</f>
        <v>1677952158555</v>
      </c>
      <c r="D588" s="15">
        <f>IFERROR(__xludf.DUMMYFUNCTION("""COMPUTED_VALUE"""),-0.410040882073719)</f>
        <v>-0.4100408821</v>
      </c>
      <c r="E588" s="15">
        <f>IFERROR(__xludf.DUMMYFUNCTION("""COMPUTED_VALUE"""),-0.26889312100389)</f>
        <v>-0.268893121</v>
      </c>
      <c r="F588" s="15">
        <f>IFERROR(__xludf.DUMMYFUNCTION("""COMPUTED_VALUE"""),-0.483136051876073)</f>
        <v>-0.4831360519</v>
      </c>
      <c r="G588" s="15">
        <f>IFERROR(__xludf.DUMMYFUNCTION("""COMPUTED_VALUE"""),0.725356822455397)</f>
        <v>0.7253568225</v>
      </c>
      <c r="H588" s="15">
        <f t="shared" si="1"/>
        <v>58442</v>
      </c>
    </row>
    <row r="589">
      <c r="B589" s="15">
        <f>IFERROR(__xludf.DUMMYFUNCTION("""COMPUTED_VALUE"""),58.7)</f>
        <v>58.7</v>
      </c>
      <c r="C589" s="15">
        <f>IFERROR(__xludf.DUMMYFUNCTION("""COMPUTED_VALUE"""),1.67795215865E12)</f>
        <v>1677952158650</v>
      </c>
      <c r="D589" s="15">
        <f>IFERROR(__xludf.DUMMYFUNCTION("""COMPUTED_VALUE"""),-0.410040882073719)</f>
        <v>-0.4100408821</v>
      </c>
      <c r="E589" s="15">
        <f>IFERROR(__xludf.DUMMYFUNCTION("""COMPUTED_VALUE"""),-0.26889312100389)</f>
        <v>-0.268893121</v>
      </c>
      <c r="F589" s="15">
        <f>IFERROR(__xludf.DUMMYFUNCTION("""COMPUTED_VALUE"""),-0.483136051876073)</f>
        <v>-0.4831360519</v>
      </c>
      <c r="G589" s="15">
        <f>IFERROR(__xludf.DUMMYFUNCTION("""COMPUTED_VALUE"""),0.725356822455397)</f>
        <v>0.7253568225</v>
      </c>
      <c r="H589" s="15">
        <f t="shared" si="1"/>
        <v>58537</v>
      </c>
    </row>
    <row r="590">
      <c r="B590" s="15">
        <f>IFERROR(__xludf.DUMMYFUNCTION("""COMPUTED_VALUE"""),58.8)</f>
        <v>58.8</v>
      </c>
      <c r="C590" s="15">
        <f>IFERROR(__xludf.DUMMYFUNCTION("""COMPUTED_VALUE"""),1.677952158755E12)</f>
        <v>1677952158755</v>
      </c>
      <c r="D590" s="15">
        <f>IFERROR(__xludf.DUMMYFUNCTION("""COMPUTED_VALUE"""),-0.410040882073719)</f>
        <v>-0.4100408821</v>
      </c>
      <c r="E590" s="15">
        <f>IFERROR(__xludf.DUMMYFUNCTION("""COMPUTED_VALUE"""),-0.26889312100389)</f>
        <v>-0.268893121</v>
      </c>
      <c r="F590" s="15">
        <f>IFERROR(__xludf.DUMMYFUNCTION("""COMPUTED_VALUE"""),-0.483136051876073)</f>
        <v>-0.4831360519</v>
      </c>
      <c r="G590" s="15">
        <f>IFERROR(__xludf.DUMMYFUNCTION("""COMPUTED_VALUE"""),0.725356822455397)</f>
        <v>0.7253568225</v>
      </c>
      <c r="H590" s="15">
        <f t="shared" si="1"/>
        <v>58642</v>
      </c>
    </row>
    <row r="591">
      <c r="B591" s="15">
        <f>IFERROR(__xludf.DUMMYFUNCTION("""COMPUTED_VALUE"""),58.9)</f>
        <v>58.9</v>
      </c>
      <c r="C591" s="15">
        <f>IFERROR(__xludf.DUMMYFUNCTION("""COMPUTED_VALUE"""),1.677952158851E12)</f>
        <v>1677952158851</v>
      </c>
      <c r="D591" s="15">
        <f>IFERROR(__xludf.DUMMYFUNCTION("""COMPUTED_VALUE"""),-0.410040882073719)</f>
        <v>-0.4100408821</v>
      </c>
      <c r="E591" s="15">
        <f>IFERROR(__xludf.DUMMYFUNCTION("""COMPUTED_VALUE"""),-0.26889312100389)</f>
        <v>-0.268893121</v>
      </c>
      <c r="F591" s="15">
        <f>IFERROR(__xludf.DUMMYFUNCTION("""COMPUTED_VALUE"""),-0.483136051876073)</f>
        <v>-0.4831360519</v>
      </c>
      <c r="G591" s="15">
        <f>IFERROR(__xludf.DUMMYFUNCTION("""COMPUTED_VALUE"""),0.725356822455397)</f>
        <v>0.7253568225</v>
      </c>
      <c r="H591" s="15">
        <f t="shared" si="1"/>
        <v>58738</v>
      </c>
    </row>
    <row r="592">
      <c r="B592" s="15">
        <f>IFERROR(__xludf.DUMMYFUNCTION("""COMPUTED_VALUE"""),59.0)</f>
        <v>59</v>
      </c>
      <c r="C592" s="15">
        <f>IFERROR(__xludf.DUMMYFUNCTION("""COMPUTED_VALUE"""),1.677952158955E12)</f>
        <v>1677952158955</v>
      </c>
      <c r="D592" s="15">
        <f>IFERROR(__xludf.DUMMYFUNCTION("""COMPUTED_VALUE"""),-0.410040882073719)</f>
        <v>-0.4100408821</v>
      </c>
      <c r="E592" s="15">
        <f>IFERROR(__xludf.DUMMYFUNCTION("""COMPUTED_VALUE"""),-0.26889312100389)</f>
        <v>-0.268893121</v>
      </c>
      <c r="F592" s="15">
        <f>IFERROR(__xludf.DUMMYFUNCTION("""COMPUTED_VALUE"""),-0.483136051876073)</f>
        <v>-0.4831360519</v>
      </c>
      <c r="G592" s="15">
        <f>IFERROR(__xludf.DUMMYFUNCTION("""COMPUTED_VALUE"""),0.725356822455397)</f>
        <v>0.7253568225</v>
      </c>
      <c r="H592" s="15">
        <f t="shared" si="1"/>
        <v>58842</v>
      </c>
    </row>
    <row r="593">
      <c r="B593" s="15">
        <f>IFERROR(__xludf.DUMMYFUNCTION("""COMPUTED_VALUE"""),59.1)</f>
        <v>59.1</v>
      </c>
      <c r="C593" s="15">
        <f>IFERROR(__xludf.DUMMYFUNCTION("""COMPUTED_VALUE"""),1.677952159058E12)</f>
        <v>1677952159058</v>
      </c>
      <c r="D593" s="15">
        <f>IFERROR(__xludf.DUMMYFUNCTION("""COMPUTED_VALUE"""),-0.410040882073719)</f>
        <v>-0.4100408821</v>
      </c>
      <c r="E593" s="15">
        <f>IFERROR(__xludf.DUMMYFUNCTION("""COMPUTED_VALUE"""),-0.26889312100389)</f>
        <v>-0.268893121</v>
      </c>
      <c r="F593" s="15">
        <f>IFERROR(__xludf.DUMMYFUNCTION("""COMPUTED_VALUE"""),-0.483136051876073)</f>
        <v>-0.4831360519</v>
      </c>
      <c r="G593" s="15">
        <f>IFERROR(__xludf.DUMMYFUNCTION("""COMPUTED_VALUE"""),0.725356822455397)</f>
        <v>0.7253568225</v>
      </c>
      <c r="H593" s="15">
        <f t="shared" si="1"/>
        <v>58945</v>
      </c>
    </row>
    <row r="594">
      <c r="B594" s="15">
        <f>IFERROR(__xludf.DUMMYFUNCTION("""COMPUTED_VALUE"""),59.2)</f>
        <v>59.2</v>
      </c>
      <c r="C594" s="15">
        <f>IFERROR(__xludf.DUMMYFUNCTION("""COMPUTED_VALUE"""),1.677952159155E12)</f>
        <v>1677952159155</v>
      </c>
      <c r="D594" s="15">
        <f>IFERROR(__xludf.DUMMYFUNCTION("""COMPUTED_VALUE"""),-0.410040882073719)</f>
        <v>-0.4100408821</v>
      </c>
      <c r="E594" s="15">
        <f>IFERROR(__xludf.DUMMYFUNCTION("""COMPUTED_VALUE"""),-0.26889312100389)</f>
        <v>-0.268893121</v>
      </c>
      <c r="F594" s="15">
        <f>IFERROR(__xludf.DUMMYFUNCTION("""COMPUTED_VALUE"""),-0.483136051876073)</f>
        <v>-0.4831360519</v>
      </c>
      <c r="G594" s="15">
        <f>IFERROR(__xludf.DUMMYFUNCTION("""COMPUTED_VALUE"""),0.725356822455397)</f>
        <v>0.7253568225</v>
      </c>
      <c r="H594" s="15">
        <f t="shared" si="1"/>
        <v>59042</v>
      </c>
    </row>
    <row r="595">
      <c r="B595" s="15">
        <f>IFERROR(__xludf.DUMMYFUNCTION("""COMPUTED_VALUE"""),59.3)</f>
        <v>59.3</v>
      </c>
      <c r="C595" s="15">
        <f>IFERROR(__xludf.DUMMYFUNCTION("""COMPUTED_VALUE"""),1.677952159248E12)</f>
        <v>1677952159248</v>
      </c>
      <c r="D595" s="15">
        <f>IFERROR(__xludf.DUMMYFUNCTION("""COMPUTED_VALUE"""),-0.410040882073719)</f>
        <v>-0.4100408821</v>
      </c>
      <c r="E595" s="15">
        <f>IFERROR(__xludf.DUMMYFUNCTION("""COMPUTED_VALUE"""),-0.26889312100389)</f>
        <v>-0.268893121</v>
      </c>
      <c r="F595" s="15">
        <f>IFERROR(__xludf.DUMMYFUNCTION("""COMPUTED_VALUE"""),-0.483136051876073)</f>
        <v>-0.4831360519</v>
      </c>
      <c r="G595" s="15">
        <f>IFERROR(__xludf.DUMMYFUNCTION("""COMPUTED_VALUE"""),0.725356822455397)</f>
        <v>0.7253568225</v>
      </c>
      <c r="H595" s="15">
        <f t="shared" si="1"/>
        <v>59135</v>
      </c>
    </row>
    <row r="596">
      <c r="B596" s="15">
        <f>IFERROR(__xludf.DUMMYFUNCTION("""COMPUTED_VALUE"""),59.4)</f>
        <v>59.4</v>
      </c>
      <c r="C596" s="15">
        <f>IFERROR(__xludf.DUMMYFUNCTION("""COMPUTED_VALUE"""),1.677952159347E12)</f>
        <v>1677952159347</v>
      </c>
      <c r="D596" s="15">
        <f>IFERROR(__xludf.DUMMYFUNCTION("""COMPUTED_VALUE"""),-0.410040882073719)</f>
        <v>-0.4100408821</v>
      </c>
      <c r="E596" s="15">
        <f>IFERROR(__xludf.DUMMYFUNCTION("""COMPUTED_VALUE"""),-0.26889312100389)</f>
        <v>-0.268893121</v>
      </c>
      <c r="F596" s="15">
        <f>IFERROR(__xludf.DUMMYFUNCTION("""COMPUTED_VALUE"""),-0.483136051876073)</f>
        <v>-0.4831360519</v>
      </c>
      <c r="G596" s="15">
        <f>IFERROR(__xludf.DUMMYFUNCTION("""COMPUTED_VALUE"""),0.725356822455397)</f>
        <v>0.7253568225</v>
      </c>
      <c r="H596" s="15">
        <f t="shared" si="1"/>
        <v>59234</v>
      </c>
    </row>
    <row r="597">
      <c r="B597" s="15">
        <f>IFERROR(__xludf.DUMMYFUNCTION("""COMPUTED_VALUE"""),59.5)</f>
        <v>59.5</v>
      </c>
      <c r="C597" s="15">
        <f>IFERROR(__xludf.DUMMYFUNCTION("""COMPUTED_VALUE"""),1.67795215945E12)</f>
        <v>1677952159450</v>
      </c>
      <c r="D597" s="15">
        <f>IFERROR(__xludf.DUMMYFUNCTION("""COMPUTED_VALUE"""),-0.410040882073719)</f>
        <v>-0.4100408821</v>
      </c>
      <c r="E597" s="15">
        <f>IFERROR(__xludf.DUMMYFUNCTION("""COMPUTED_VALUE"""),-0.26889312100389)</f>
        <v>-0.268893121</v>
      </c>
      <c r="F597" s="15">
        <f>IFERROR(__xludf.DUMMYFUNCTION("""COMPUTED_VALUE"""),-0.483136051876073)</f>
        <v>-0.4831360519</v>
      </c>
      <c r="G597" s="15">
        <f>IFERROR(__xludf.DUMMYFUNCTION("""COMPUTED_VALUE"""),0.725356822455397)</f>
        <v>0.7253568225</v>
      </c>
      <c r="H597" s="15">
        <f t="shared" si="1"/>
        <v>59337</v>
      </c>
    </row>
    <row r="598">
      <c r="B598" s="15">
        <f>IFERROR(__xludf.DUMMYFUNCTION("""COMPUTED_VALUE"""),59.6)</f>
        <v>59.6</v>
      </c>
      <c r="C598" s="15">
        <f>IFERROR(__xludf.DUMMYFUNCTION("""COMPUTED_VALUE"""),1.677952159555E12)</f>
        <v>1677952159555</v>
      </c>
      <c r="D598" s="15">
        <f>IFERROR(__xludf.DUMMYFUNCTION("""COMPUTED_VALUE"""),-0.410040882073719)</f>
        <v>-0.4100408821</v>
      </c>
      <c r="E598" s="15">
        <f>IFERROR(__xludf.DUMMYFUNCTION("""COMPUTED_VALUE"""),-0.26889312100389)</f>
        <v>-0.268893121</v>
      </c>
      <c r="F598" s="15">
        <f>IFERROR(__xludf.DUMMYFUNCTION("""COMPUTED_VALUE"""),-0.483136051876073)</f>
        <v>-0.4831360519</v>
      </c>
      <c r="G598" s="15">
        <f>IFERROR(__xludf.DUMMYFUNCTION("""COMPUTED_VALUE"""),0.725356822455397)</f>
        <v>0.7253568225</v>
      </c>
      <c r="H598" s="15">
        <f t="shared" si="1"/>
        <v>59442</v>
      </c>
    </row>
    <row r="599">
      <c r="B599" s="15">
        <f>IFERROR(__xludf.DUMMYFUNCTION("""COMPUTED_VALUE"""),59.7)</f>
        <v>59.7</v>
      </c>
      <c r="C599" s="15">
        <f>IFERROR(__xludf.DUMMYFUNCTION("""COMPUTED_VALUE"""),1.677952159651E12)</f>
        <v>1677952159651</v>
      </c>
      <c r="D599" s="15">
        <f>IFERROR(__xludf.DUMMYFUNCTION("""COMPUTED_VALUE"""),-0.410040882073719)</f>
        <v>-0.4100408821</v>
      </c>
      <c r="E599" s="15">
        <f>IFERROR(__xludf.DUMMYFUNCTION("""COMPUTED_VALUE"""),-0.26889312100389)</f>
        <v>-0.268893121</v>
      </c>
      <c r="F599" s="15">
        <f>IFERROR(__xludf.DUMMYFUNCTION("""COMPUTED_VALUE"""),-0.483136051876073)</f>
        <v>-0.4831360519</v>
      </c>
      <c r="G599" s="15">
        <f>IFERROR(__xludf.DUMMYFUNCTION("""COMPUTED_VALUE"""),0.725356822455397)</f>
        <v>0.7253568225</v>
      </c>
      <c r="H599" s="15">
        <f t="shared" si="1"/>
        <v>59538</v>
      </c>
    </row>
    <row r="600">
      <c r="B600" s="15">
        <f>IFERROR(__xludf.DUMMYFUNCTION("""COMPUTED_VALUE"""),59.8)</f>
        <v>59.8</v>
      </c>
      <c r="C600" s="15">
        <f>IFERROR(__xludf.DUMMYFUNCTION("""COMPUTED_VALUE"""),1.677952159755E12)</f>
        <v>1677952159755</v>
      </c>
      <c r="D600" s="15">
        <f>IFERROR(__xludf.DUMMYFUNCTION("""COMPUTED_VALUE"""),-0.410040882073719)</f>
        <v>-0.4100408821</v>
      </c>
      <c r="E600" s="15">
        <f>IFERROR(__xludf.DUMMYFUNCTION("""COMPUTED_VALUE"""),-0.26889312100389)</f>
        <v>-0.268893121</v>
      </c>
      <c r="F600" s="15">
        <f>IFERROR(__xludf.DUMMYFUNCTION("""COMPUTED_VALUE"""),-0.483136051876073)</f>
        <v>-0.4831360519</v>
      </c>
      <c r="G600" s="15">
        <f>IFERROR(__xludf.DUMMYFUNCTION("""COMPUTED_VALUE"""),0.725356822455397)</f>
        <v>0.7253568225</v>
      </c>
      <c r="H600" s="15">
        <f t="shared" si="1"/>
        <v>59642</v>
      </c>
    </row>
    <row r="601">
      <c r="B601" s="15">
        <f>IFERROR(__xludf.DUMMYFUNCTION("""COMPUTED_VALUE"""),59.9)</f>
        <v>59.9</v>
      </c>
      <c r="C601" s="15">
        <f>IFERROR(__xludf.DUMMYFUNCTION("""COMPUTED_VALUE"""),1.677952159852E12)</f>
        <v>1677952159852</v>
      </c>
      <c r="D601" s="15">
        <f>IFERROR(__xludf.DUMMYFUNCTION("""COMPUTED_VALUE"""),-0.410040882073719)</f>
        <v>-0.4100408821</v>
      </c>
      <c r="E601" s="15">
        <f>IFERROR(__xludf.DUMMYFUNCTION("""COMPUTED_VALUE"""),-0.26889312100389)</f>
        <v>-0.268893121</v>
      </c>
      <c r="F601" s="15">
        <f>IFERROR(__xludf.DUMMYFUNCTION("""COMPUTED_VALUE"""),-0.483136051876073)</f>
        <v>-0.4831360519</v>
      </c>
      <c r="G601" s="15">
        <f>IFERROR(__xludf.DUMMYFUNCTION("""COMPUTED_VALUE"""),0.725356822455397)</f>
        <v>0.7253568225</v>
      </c>
      <c r="H601" s="15">
        <f t="shared" si="1"/>
        <v>59739</v>
      </c>
    </row>
    <row r="602">
      <c r="B602" s="15">
        <f>IFERROR(__xludf.DUMMYFUNCTION("""COMPUTED_VALUE"""),60.0)</f>
        <v>60</v>
      </c>
      <c r="C602" s="15">
        <f>IFERROR(__xludf.DUMMYFUNCTION("""COMPUTED_VALUE"""),1.677952159951E12)</f>
        <v>1677952159951</v>
      </c>
      <c r="D602" s="15">
        <f>IFERROR(__xludf.DUMMYFUNCTION("""COMPUTED_VALUE"""),-0.410040882073719)</f>
        <v>-0.4100408821</v>
      </c>
      <c r="E602" s="15">
        <f>IFERROR(__xludf.DUMMYFUNCTION("""COMPUTED_VALUE"""),-0.26889312100389)</f>
        <v>-0.268893121</v>
      </c>
      <c r="F602" s="15">
        <f>IFERROR(__xludf.DUMMYFUNCTION("""COMPUTED_VALUE"""),-0.483136051876073)</f>
        <v>-0.4831360519</v>
      </c>
      <c r="G602" s="15">
        <f>IFERROR(__xludf.DUMMYFUNCTION("""COMPUTED_VALUE"""),0.725356822455397)</f>
        <v>0.7253568225</v>
      </c>
      <c r="H602" s="15">
        <f t="shared" si="1"/>
        <v>59838</v>
      </c>
    </row>
    <row r="603">
      <c r="B603" s="15">
        <f>IFERROR(__xludf.DUMMYFUNCTION("""COMPUTED_VALUE"""),60.1)</f>
        <v>60.1</v>
      </c>
      <c r="C603" s="15">
        <f>IFERROR(__xludf.DUMMYFUNCTION("""COMPUTED_VALUE"""),1.677952160137E12)</f>
        <v>1677952160137</v>
      </c>
      <c r="D603" s="15">
        <f>IFERROR(__xludf.DUMMYFUNCTION("""COMPUTED_VALUE"""),-0.477159959975417)</f>
        <v>-0.47715996</v>
      </c>
      <c r="E603" s="15">
        <f>IFERROR(__xludf.DUMMYFUNCTION("""COMPUTED_VALUE"""),-0.276374732298289)</f>
        <v>-0.2763747323</v>
      </c>
      <c r="F603" s="15">
        <f>IFERROR(__xludf.DUMMYFUNCTION("""COMPUTED_VALUE"""),-0.448501465104389)</f>
        <v>-0.4485014651</v>
      </c>
      <c r="G603" s="15">
        <f>IFERROR(__xludf.DUMMYFUNCTION("""COMPUTED_VALUE"""),0.703407290083434)</f>
        <v>0.7034072901</v>
      </c>
      <c r="H603" s="15">
        <f t="shared" si="1"/>
        <v>60024</v>
      </c>
    </row>
    <row r="604">
      <c r="B604" s="15">
        <f>IFERROR(__xludf.DUMMYFUNCTION("""COMPUTED_VALUE"""),60.2)</f>
        <v>60.2</v>
      </c>
      <c r="C604" s="15">
        <f>IFERROR(__xludf.DUMMYFUNCTION("""COMPUTED_VALUE"""),1.677952160168E12)</f>
        <v>1677952160168</v>
      </c>
      <c r="D604" s="15">
        <f>IFERROR(__xludf.DUMMYFUNCTION("""COMPUTED_VALUE"""),-0.487170992905894)</f>
        <v>-0.4871709929</v>
      </c>
      <c r="E604" s="15">
        <f>IFERROR(__xludf.DUMMYFUNCTION("""COMPUTED_VALUE"""),-0.278874866897876)</f>
        <v>-0.2788748669</v>
      </c>
      <c r="F604" s="15">
        <f>IFERROR(__xludf.DUMMYFUNCTION("""COMPUTED_VALUE"""),-0.443337249378465)</f>
        <v>-0.4433372494</v>
      </c>
      <c r="G604" s="15">
        <f>IFERROR(__xludf.DUMMYFUNCTION("""COMPUTED_VALUE"""),0.698817083074899)</f>
        <v>0.6988170831</v>
      </c>
      <c r="H604" s="15">
        <f t="shared" si="1"/>
        <v>60055</v>
      </c>
    </row>
    <row r="605">
      <c r="B605" s="15">
        <f>IFERROR(__xludf.DUMMYFUNCTION("""COMPUTED_VALUE"""),60.3)</f>
        <v>60.3</v>
      </c>
      <c r="C605" s="15">
        <f>IFERROR(__xludf.DUMMYFUNCTION("""COMPUTED_VALUE"""),1.677952160268E12)</f>
        <v>1677952160268</v>
      </c>
      <c r="D605" s="15">
        <f>IFERROR(__xludf.DUMMYFUNCTION("""COMPUTED_VALUE"""),-0.51237703360595)</f>
        <v>-0.5123770336</v>
      </c>
      <c r="E605" s="15">
        <f>IFERROR(__xludf.DUMMYFUNCTION("""COMPUTED_VALUE"""),-0.287113818638985)</f>
        <v>-0.2871138186</v>
      </c>
      <c r="F605" s="15">
        <f>IFERROR(__xludf.DUMMYFUNCTION("""COMPUTED_VALUE"""),-0.430595151090753)</f>
        <v>-0.4305951511</v>
      </c>
      <c r="G605" s="15">
        <f>IFERROR(__xludf.DUMMYFUNCTION("""COMPUTED_VALUE"""),0.685290629176289)</f>
        <v>0.6852906292</v>
      </c>
      <c r="H605" s="15">
        <f t="shared" si="1"/>
        <v>60155</v>
      </c>
    </row>
    <row r="606">
      <c r="B606" s="15">
        <f>IFERROR(__xludf.DUMMYFUNCTION("""COMPUTED_VALUE"""),60.4)</f>
        <v>60.4</v>
      </c>
      <c r="C606" s="15">
        <f>IFERROR(__xludf.DUMMYFUNCTION("""COMPUTED_VALUE"""),1.677952160386E12)</f>
        <v>1677952160386</v>
      </c>
      <c r="D606" s="15">
        <f>IFERROR(__xludf.DUMMYFUNCTION("""COMPUTED_VALUE"""),-0.526439247650783)</f>
        <v>-0.5264392477</v>
      </c>
      <c r="E606" s="15">
        <f>IFERROR(__xludf.DUMMYFUNCTION("""COMPUTED_VALUE"""),-0.288458986578748)</f>
        <v>-0.2884589866</v>
      </c>
      <c r="F606" s="15">
        <f>IFERROR(__xludf.DUMMYFUNCTION("""COMPUTED_VALUE"""),-0.421984498371208)</f>
        <v>-0.4219844984</v>
      </c>
      <c r="G606" s="15">
        <f>IFERROR(__xludf.DUMMYFUNCTION("""COMPUTED_VALUE"""),0.679398421200134)</f>
        <v>0.6793984212</v>
      </c>
      <c r="H606" s="15">
        <f t="shared" si="1"/>
        <v>60273</v>
      </c>
    </row>
    <row r="607">
      <c r="B607" s="15">
        <f>IFERROR(__xludf.DUMMYFUNCTION("""COMPUTED_VALUE"""),60.5)</f>
        <v>60.5</v>
      </c>
      <c r="C607" s="15">
        <f>IFERROR(__xludf.DUMMYFUNCTION("""COMPUTED_VALUE"""),1.67795216044E12)</f>
        <v>1677952160440</v>
      </c>
      <c r="D607" s="15">
        <f>IFERROR(__xludf.DUMMYFUNCTION("""COMPUTED_VALUE"""),-0.526439247650783)</f>
        <v>-0.5264392477</v>
      </c>
      <c r="E607" s="15">
        <f>IFERROR(__xludf.DUMMYFUNCTION("""COMPUTED_VALUE"""),-0.288458986578748)</f>
        <v>-0.2884589866</v>
      </c>
      <c r="F607" s="15">
        <f>IFERROR(__xludf.DUMMYFUNCTION("""COMPUTED_VALUE"""),-0.421984498371208)</f>
        <v>-0.4219844984</v>
      </c>
      <c r="G607" s="15">
        <f>IFERROR(__xludf.DUMMYFUNCTION("""COMPUTED_VALUE"""),0.679398421200134)</f>
        <v>0.6793984212</v>
      </c>
      <c r="H607" s="15">
        <f t="shared" si="1"/>
        <v>60327</v>
      </c>
    </row>
    <row r="608">
      <c r="B608" s="15">
        <f>IFERROR(__xludf.DUMMYFUNCTION("""COMPUTED_VALUE"""),60.6)</f>
        <v>60.6</v>
      </c>
      <c r="C608" s="15">
        <f>IFERROR(__xludf.DUMMYFUNCTION("""COMPUTED_VALUE"""),1.677952160578E12)</f>
        <v>1677952160578</v>
      </c>
      <c r="D608" s="15">
        <f>IFERROR(__xludf.DUMMYFUNCTION("""COMPUTED_VALUE"""),-0.523108786697428)</f>
        <v>-0.5231087867</v>
      </c>
      <c r="E608" s="15">
        <f>IFERROR(__xludf.DUMMYFUNCTION("""COMPUTED_VALUE"""),-0.293786017529846)</f>
        <v>-0.2937860175</v>
      </c>
      <c r="F608" s="15">
        <f>IFERROR(__xludf.DUMMYFUNCTION("""COMPUTED_VALUE"""),-0.426106084927999)</f>
        <v>-0.4261060849</v>
      </c>
      <c r="G608" s="15">
        <f>IFERROR(__xludf.DUMMYFUNCTION("""COMPUTED_VALUE"""),0.677111938730389)</f>
        <v>0.6771119387</v>
      </c>
      <c r="H608" s="15">
        <f t="shared" si="1"/>
        <v>60465</v>
      </c>
    </row>
    <row r="609">
      <c r="B609" s="15">
        <f>IFERROR(__xludf.DUMMYFUNCTION("""COMPUTED_VALUE"""),60.7)</f>
        <v>60.7</v>
      </c>
      <c r="C609" s="15">
        <f>IFERROR(__xludf.DUMMYFUNCTION("""COMPUTED_VALUE"""),1.67795216064E12)</f>
        <v>1677952160640</v>
      </c>
      <c r="D609" s="15">
        <f>IFERROR(__xludf.DUMMYFUNCTION("""COMPUTED_VALUE"""),-0.521431442873405)</f>
        <v>-0.5214314429</v>
      </c>
      <c r="E609" s="15">
        <f>IFERROR(__xludf.DUMMYFUNCTION("""COMPUTED_VALUE"""),-0.296442757710111)</f>
        <v>-0.2964427577</v>
      </c>
      <c r="F609" s="15">
        <f>IFERROR(__xludf.DUMMYFUNCTION("""COMPUTED_VALUE"""),-0.428157037447338)</f>
        <v>-0.4281570374</v>
      </c>
      <c r="G609" s="15">
        <f>IFERROR(__xludf.DUMMYFUNCTION("""COMPUTED_VALUE"""),0.675953025785445)</f>
        <v>0.6759530258</v>
      </c>
      <c r="H609" s="15">
        <f t="shared" si="1"/>
        <v>60527</v>
      </c>
    </row>
    <row r="610">
      <c r="B610" s="15">
        <f>IFERROR(__xludf.DUMMYFUNCTION("""COMPUTED_VALUE"""),60.8)</f>
        <v>60.8</v>
      </c>
      <c r="C610" s="15">
        <f>IFERROR(__xludf.DUMMYFUNCTION("""COMPUTED_VALUE"""),1.677952160762E12)</f>
        <v>1677952160762</v>
      </c>
      <c r="D610" s="15">
        <f>IFERROR(__xludf.DUMMYFUNCTION("""COMPUTED_VALUE"""),-0.521431442873405)</f>
        <v>-0.5214314429</v>
      </c>
      <c r="E610" s="15">
        <f>IFERROR(__xludf.DUMMYFUNCTION("""COMPUTED_VALUE"""),-0.296442757710111)</f>
        <v>-0.2964427577</v>
      </c>
      <c r="F610" s="15">
        <f>IFERROR(__xludf.DUMMYFUNCTION("""COMPUTED_VALUE"""),-0.428157037447338)</f>
        <v>-0.4281570374</v>
      </c>
      <c r="G610" s="15">
        <f>IFERROR(__xludf.DUMMYFUNCTION("""COMPUTED_VALUE"""),0.675953025785445)</f>
        <v>0.6759530258</v>
      </c>
      <c r="H610" s="15">
        <f t="shared" si="1"/>
        <v>60649</v>
      </c>
    </row>
    <row r="611">
      <c r="B611" s="15">
        <f>IFERROR(__xludf.DUMMYFUNCTION("""COMPUTED_VALUE"""),60.9)</f>
        <v>60.9</v>
      </c>
      <c r="C611" s="15">
        <f>IFERROR(__xludf.DUMMYFUNCTION("""COMPUTED_VALUE"""),1.677952160831E12)</f>
        <v>1677952160831</v>
      </c>
      <c r="D611" s="15">
        <f>IFERROR(__xludf.DUMMYFUNCTION("""COMPUTED_VALUE"""),-0.521431442873405)</f>
        <v>-0.5214314429</v>
      </c>
      <c r="E611" s="15">
        <f>IFERROR(__xludf.DUMMYFUNCTION("""COMPUTED_VALUE"""),-0.296442757710111)</f>
        <v>-0.2964427577</v>
      </c>
      <c r="F611" s="15">
        <f>IFERROR(__xludf.DUMMYFUNCTION("""COMPUTED_VALUE"""),-0.428157037447338)</f>
        <v>-0.4281570374</v>
      </c>
      <c r="G611" s="15">
        <f>IFERROR(__xludf.DUMMYFUNCTION("""COMPUTED_VALUE"""),0.675953025785445)</f>
        <v>0.6759530258</v>
      </c>
      <c r="H611" s="15">
        <f t="shared" si="1"/>
        <v>60718</v>
      </c>
    </row>
    <row r="612">
      <c r="B612" s="15">
        <f>IFERROR(__xludf.DUMMYFUNCTION("""COMPUTED_VALUE"""),61.0)</f>
        <v>61</v>
      </c>
      <c r="C612" s="15">
        <f>IFERROR(__xludf.DUMMYFUNCTION("""COMPUTED_VALUE"""),1.677952160926E12)</f>
        <v>1677952160926</v>
      </c>
      <c r="D612" s="15">
        <f>IFERROR(__xludf.DUMMYFUNCTION("""COMPUTED_VALUE"""),-0.521431442873405)</f>
        <v>-0.5214314429</v>
      </c>
      <c r="E612" s="15">
        <f>IFERROR(__xludf.DUMMYFUNCTION("""COMPUTED_VALUE"""),-0.296442757710111)</f>
        <v>-0.2964427577</v>
      </c>
      <c r="F612" s="15">
        <f>IFERROR(__xludf.DUMMYFUNCTION("""COMPUTED_VALUE"""),-0.428157037447338)</f>
        <v>-0.4281570374</v>
      </c>
      <c r="G612" s="15">
        <f>IFERROR(__xludf.DUMMYFUNCTION("""COMPUTED_VALUE"""),0.675953025785445)</f>
        <v>0.6759530258</v>
      </c>
      <c r="H612" s="15">
        <f t="shared" si="1"/>
        <v>60813</v>
      </c>
    </row>
    <row r="613">
      <c r="B613" s="15">
        <f>IFERROR(__xludf.DUMMYFUNCTION("""COMPUTED_VALUE"""),61.1)</f>
        <v>61.1</v>
      </c>
      <c r="C613" s="15">
        <f>IFERROR(__xludf.DUMMYFUNCTION("""COMPUTED_VALUE"""),1.677952161024E12)</f>
        <v>1677952161024</v>
      </c>
      <c r="D613" s="15">
        <f>IFERROR(__xludf.DUMMYFUNCTION("""COMPUTED_VALUE"""),-0.521431442873405)</f>
        <v>-0.5214314429</v>
      </c>
      <c r="E613" s="15">
        <f>IFERROR(__xludf.DUMMYFUNCTION("""COMPUTED_VALUE"""),-0.296442757710111)</f>
        <v>-0.2964427577</v>
      </c>
      <c r="F613" s="15">
        <f>IFERROR(__xludf.DUMMYFUNCTION("""COMPUTED_VALUE"""),-0.428157037447338)</f>
        <v>-0.4281570374</v>
      </c>
      <c r="G613" s="15">
        <f>IFERROR(__xludf.DUMMYFUNCTION("""COMPUTED_VALUE"""),0.675953025785445)</f>
        <v>0.6759530258</v>
      </c>
      <c r="H613" s="15">
        <f t="shared" si="1"/>
        <v>60911</v>
      </c>
    </row>
    <row r="614">
      <c r="B614" s="15">
        <f>IFERROR(__xludf.DUMMYFUNCTION("""COMPUTED_VALUE"""),61.2)</f>
        <v>61.2</v>
      </c>
      <c r="C614" s="15">
        <f>IFERROR(__xludf.DUMMYFUNCTION("""COMPUTED_VALUE"""),1.677952161135E12)</f>
        <v>1677952161135</v>
      </c>
      <c r="D614" s="15">
        <f>IFERROR(__xludf.DUMMYFUNCTION("""COMPUTED_VALUE"""),-0.521431442873405)</f>
        <v>-0.5214314429</v>
      </c>
      <c r="E614" s="15">
        <f>IFERROR(__xludf.DUMMYFUNCTION("""COMPUTED_VALUE"""),-0.296442757710111)</f>
        <v>-0.2964427577</v>
      </c>
      <c r="F614" s="15">
        <f>IFERROR(__xludf.DUMMYFUNCTION("""COMPUTED_VALUE"""),-0.428157037447338)</f>
        <v>-0.4281570374</v>
      </c>
      <c r="G614" s="15">
        <f>IFERROR(__xludf.DUMMYFUNCTION("""COMPUTED_VALUE"""),0.675953025785445)</f>
        <v>0.6759530258</v>
      </c>
      <c r="H614" s="15">
        <f t="shared" si="1"/>
        <v>61022</v>
      </c>
    </row>
    <row r="615">
      <c r="B615" s="15">
        <f>IFERROR(__xludf.DUMMYFUNCTION("""COMPUTED_VALUE"""),61.3)</f>
        <v>61.3</v>
      </c>
      <c r="C615" s="15">
        <f>IFERROR(__xludf.DUMMYFUNCTION("""COMPUTED_VALUE"""),1.677952161247E12)</f>
        <v>1677952161247</v>
      </c>
      <c r="D615" s="15">
        <f>IFERROR(__xludf.DUMMYFUNCTION("""COMPUTED_VALUE"""),-0.521431442873405)</f>
        <v>-0.5214314429</v>
      </c>
      <c r="E615" s="15">
        <f>IFERROR(__xludf.DUMMYFUNCTION("""COMPUTED_VALUE"""),-0.296442757710111)</f>
        <v>-0.2964427577</v>
      </c>
      <c r="F615" s="15">
        <f>IFERROR(__xludf.DUMMYFUNCTION("""COMPUTED_VALUE"""),-0.428157037447338)</f>
        <v>-0.4281570374</v>
      </c>
      <c r="G615" s="15">
        <f>IFERROR(__xludf.DUMMYFUNCTION("""COMPUTED_VALUE"""),0.675953025785445)</f>
        <v>0.6759530258</v>
      </c>
      <c r="H615" s="15">
        <f t="shared" si="1"/>
        <v>61134</v>
      </c>
    </row>
    <row r="616">
      <c r="B616" s="15">
        <f>IFERROR(__xludf.DUMMYFUNCTION("""COMPUTED_VALUE"""),61.4)</f>
        <v>61.4</v>
      </c>
      <c r="C616" s="15">
        <f>IFERROR(__xludf.DUMMYFUNCTION("""COMPUTED_VALUE"""),1.677952161343E12)</f>
        <v>1677952161343</v>
      </c>
      <c r="D616" s="15">
        <f>IFERROR(__xludf.DUMMYFUNCTION("""COMPUTED_VALUE"""),-0.521431442873405)</f>
        <v>-0.5214314429</v>
      </c>
      <c r="E616" s="15">
        <f>IFERROR(__xludf.DUMMYFUNCTION("""COMPUTED_VALUE"""),-0.296442757710111)</f>
        <v>-0.2964427577</v>
      </c>
      <c r="F616" s="15">
        <f>IFERROR(__xludf.DUMMYFUNCTION("""COMPUTED_VALUE"""),-0.428157037447338)</f>
        <v>-0.4281570374</v>
      </c>
      <c r="G616" s="15">
        <f>IFERROR(__xludf.DUMMYFUNCTION("""COMPUTED_VALUE"""),0.675953025785445)</f>
        <v>0.6759530258</v>
      </c>
      <c r="H616" s="15">
        <f t="shared" si="1"/>
        <v>61230</v>
      </c>
    </row>
    <row r="617">
      <c r="B617" s="15">
        <f>IFERROR(__xludf.DUMMYFUNCTION("""COMPUTED_VALUE"""),61.5)</f>
        <v>61.5</v>
      </c>
      <c r="C617" s="15">
        <f>IFERROR(__xludf.DUMMYFUNCTION("""COMPUTED_VALUE"""),1.677952161443E12)</f>
        <v>1677952161443</v>
      </c>
      <c r="D617" s="15">
        <f>IFERROR(__xludf.DUMMYFUNCTION("""COMPUTED_VALUE"""),-0.521431442873405)</f>
        <v>-0.5214314429</v>
      </c>
      <c r="E617" s="15">
        <f>IFERROR(__xludf.DUMMYFUNCTION("""COMPUTED_VALUE"""),-0.296442757710111)</f>
        <v>-0.2964427577</v>
      </c>
      <c r="F617" s="15">
        <f>IFERROR(__xludf.DUMMYFUNCTION("""COMPUTED_VALUE"""),-0.428157037447338)</f>
        <v>-0.4281570374</v>
      </c>
      <c r="G617" s="15">
        <f>IFERROR(__xludf.DUMMYFUNCTION("""COMPUTED_VALUE"""),0.675953025785445)</f>
        <v>0.6759530258</v>
      </c>
      <c r="H617" s="15">
        <f t="shared" si="1"/>
        <v>61330</v>
      </c>
    </row>
    <row r="618">
      <c r="B618" s="15">
        <f>IFERROR(__xludf.DUMMYFUNCTION("""COMPUTED_VALUE"""),61.6)</f>
        <v>61.6</v>
      </c>
      <c r="C618" s="15">
        <f>IFERROR(__xludf.DUMMYFUNCTION("""COMPUTED_VALUE"""),1.677952161551E12)</f>
        <v>1677952161551</v>
      </c>
      <c r="D618" s="15">
        <f>IFERROR(__xludf.DUMMYFUNCTION("""COMPUTED_VALUE"""),-0.521431442873405)</f>
        <v>-0.5214314429</v>
      </c>
      <c r="E618" s="15">
        <f>IFERROR(__xludf.DUMMYFUNCTION("""COMPUTED_VALUE"""),-0.296442757710111)</f>
        <v>-0.2964427577</v>
      </c>
      <c r="F618" s="15">
        <f>IFERROR(__xludf.DUMMYFUNCTION("""COMPUTED_VALUE"""),-0.428157037447338)</f>
        <v>-0.4281570374</v>
      </c>
      <c r="G618" s="15">
        <f>IFERROR(__xludf.DUMMYFUNCTION("""COMPUTED_VALUE"""),0.675953025785445)</f>
        <v>0.6759530258</v>
      </c>
      <c r="H618" s="15">
        <f t="shared" si="1"/>
        <v>61438</v>
      </c>
    </row>
    <row r="619">
      <c r="B619" s="15">
        <f>IFERROR(__xludf.DUMMYFUNCTION("""COMPUTED_VALUE"""),61.7)</f>
        <v>61.7</v>
      </c>
      <c r="C619" s="15">
        <f>IFERROR(__xludf.DUMMYFUNCTION("""COMPUTED_VALUE"""),1.677952161647E12)</f>
        <v>1677952161647</v>
      </c>
      <c r="D619" s="15">
        <f>IFERROR(__xludf.DUMMYFUNCTION("""COMPUTED_VALUE"""),-0.521431442873405)</f>
        <v>-0.5214314429</v>
      </c>
      <c r="E619" s="15">
        <f>IFERROR(__xludf.DUMMYFUNCTION("""COMPUTED_VALUE"""),-0.296442757710111)</f>
        <v>-0.2964427577</v>
      </c>
      <c r="F619" s="15">
        <f>IFERROR(__xludf.DUMMYFUNCTION("""COMPUTED_VALUE"""),-0.428157037447338)</f>
        <v>-0.4281570374</v>
      </c>
      <c r="G619" s="15">
        <f>IFERROR(__xludf.DUMMYFUNCTION("""COMPUTED_VALUE"""),0.675953025785445)</f>
        <v>0.6759530258</v>
      </c>
      <c r="H619" s="15">
        <f t="shared" si="1"/>
        <v>61534</v>
      </c>
    </row>
    <row r="620">
      <c r="B620" s="15">
        <f>IFERROR(__xludf.DUMMYFUNCTION("""COMPUTED_VALUE"""),61.8)</f>
        <v>61.8</v>
      </c>
      <c r="C620" s="15">
        <f>IFERROR(__xludf.DUMMYFUNCTION("""COMPUTED_VALUE"""),1.677952161749E12)</f>
        <v>1677952161749</v>
      </c>
      <c r="D620" s="15">
        <f>IFERROR(__xludf.DUMMYFUNCTION("""COMPUTED_VALUE"""),-0.521431442873405)</f>
        <v>-0.5214314429</v>
      </c>
      <c r="E620" s="15">
        <f>IFERROR(__xludf.DUMMYFUNCTION("""COMPUTED_VALUE"""),-0.296442757710111)</f>
        <v>-0.2964427577</v>
      </c>
      <c r="F620" s="15">
        <f>IFERROR(__xludf.DUMMYFUNCTION("""COMPUTED_VALUE"""),-0.428157037447338)</f>
        <v>-0.4281570374</v>
      </c>
      <c r="G620" s="15">
        <f>IFERROR(__xludf.DUMMYFUNCTION("""COMPUTED_VALUE"""),0.675953025785445)</f>
        <v>0.6759530258</v>
      </c>
      <c r="H620" s="15">
        <f t="shared" si="1"/>
        <v>61636</v>
      </c>
    </row>
    <row r="621">
      <c r="B621" s="15">
        <f>IFERROR(__xludf.DUMMYFUNCTION("""COMPUTED_VALUE"""),61.9)</f>
        <v>61.9</v>
      </c>
      <c r="C621" s="15">
        <f>IFERROR(__xludf.DUMMYFUNCTION("""COMPUTED_VALUE"""),1.677952161847E12)</f>
        <v>1677952161847</v>
      </c>
      <c r="D621" s="15">
        <f>IFERROR(__xludf.DUMMYFUNCTION("""COMPUTED_VALUE"""),-0.521431442873405)</f>
        <v>-0.5214314429</v>
      </c>
      <c r="E621" s="15">
        <f>IFERROR(__xludf.DUMMYFUNCTION("""COMPUTED_VALUE"""),-0.296442757710111)</f>
        <v>-0.2964427577</v>
      </c>
      <c r="F621" s="15">
        <f>IFERROR(__xludf.DUMMYFUNCTION("""COMPUTED_VALUE"""),-0.428157037447338)</f>
        <v>-0.4281570374</v>
      </c>
      <c r="G621" s="15">
        <f>IFERROR(__xludf.DUMMYFUNCTION("""COMPUTED_VALUE"""),0.675953025785445)</f>
        <v>0.6759530258</v>
      </c>
      <c r="H621" s="15">
        <f t="shared" si="1"/>
        <v>61734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9.0"/>
    <col customWidth="1" min="2" max="5" width="17.75"/>
    <col customWidth="1" min="6" max="6" width="2.63"/>
    <col customWidth="1" min="7" max="10" width="14.38"/>
    <col customWidth="1" min="11" max="11" width="3.63"/>
    <col customWidth="1" min="12" max="12" width="10.63"/>
    <col customWidth="1" min="13" max="13" width="9.38"/>
    <col customWidth="1" min="14" max="14" width="8.38"/>
    <col customWidth="1" min="15" max="15" width="10.88"/>
    <col customWidth="1" min="16" max="16" width="11.5"/>
    <col customWidth="1" min="17" max="17" width="8.13"/>
    <col customWidth="1" min="18" max="18" width="16.5"/>
  </cols>
  <sheetData>
    <row r="1">
      <c r="A1" s="18"/>
      <c r="B1" s="19" t="s">
        <v>229</v>
      </c>
      <c r="F1" s="20"/>
      <c r="G1" s="19" t="s">
        <v>230</v>
      </c>
      <c r="L1" s="21" t="s">
        <v>231</v>
      </c>
      <c r="M1" s="22" t="s">
        <v>232</v>
      </c>
      <c r="N1" s="23" t="s">
        <v>233</v>
      </c>
      <c r="O1" s="23" t="s">
        <v>234</v>
      </c>
      <c r="P1" s="23" t="s">
        <v>235</v>
      </c>
      <c r="Q1" s="23" t="s">
        <v>236</v>
      </c>
      <c r="R1" s="23" t="s">
        <v>237</v>
      </c>
    </row>
    <row r="2">
      <c r="A2" s="13" t="s">
        <v>238</v>
      </c>
      <c r="B2" s="20">
        <f t="shared" ref="B2:E2" si="1">sumproduct(B3:B161&lt;&gt;B4:B162)</f>
        <v>51</v>
      </c>
      <c r="C2" s="20">
        <f t="shared" si="1"/>
        <v>51</v>
      </c>
      <c r="D2" s="20">
        <f t="shared" si="1"/>
        <v>51</v>
      </c>
      <c r="E2" s="20">
        <f t="shared" si="1"/>
        <v>51</v>
      </c>
      <c r="F2" s="20"/>
      <c r="G2" s="20">
        <f t="shared" ref="G2:J2" si="2">sumproduct(G3:G161&lt;&gt;G4:G162)</f>
        <v>51</v>
      </c>
      <c r="H2" s="20">
        <f t="shared" si="2"/>
        <v>51</v>
      </c>
      <c r="I2" s="20">
        <f t="shared" si="2"/>
        <v>51</v>
      </c>
      <c r="J2" s="20">
        <f t="shared" si="2"/>
        <v>51</v>
      </c>
      <c r="L2" s="24">
        <f t="shared" ref="L2:L5" si="3">1/(10^M2)</f>
        <v>0.000001</v>
      </c>
      <c r="M2" s="23">
        <v>6.0</v>
      </c>
      <c r="N2" s="23">
        <v>4.0</v>
      </c>
      <c r="O2" s="23">
        <v>50000.0</v>
      </c>
      <c r="P2" s="18">
        <f t="shared" ref="P2:P5" si="4">M2+N2</f>
        <v>10</v>
      </c>
      <c r="Q2" s="20">
        <f t="shared" ref="Q2:Q5" si="5">O2/P2</f>
        <v>5000</v>
      </c>
      <c r="R2" s="25">
        <f t="shared" ref="R2:R5" si="6">Q2/10/60</f>
        <v>8.333333333</v>
      </c>
    </row>
    <row r="3">
      <c r="A3" s="13" t="s">
        <v>227</v>
      </c>
      <c r="B3" s="16" t="s">
        <v>65</v>
      </c>
      <c r="C3" s="16" t="s">
        <v>66</v>
      </c>
      <c r="D3" s="16" t="s">
        <v>67</v>
      </c>
      <c r="E3" s="16" t="s">
        <v>68</v>
      </c>
      <c r="F3" s="13" t="s">
        <v>239</v>
      </c>
      <c r="G3" s="18"/>
      <c r="H3" s="18"/>
      <c r="I3" s="18"/>
      <c r="J3" s="18"/>
      <c r="L3" s="26">
        <f t="shared" si="3"/>
        <v>0</v>
      </c>
      <c r="M3" s="23">
        <v>15.0</v>
      </c>
      <c r="N3" s="23">
        <v>4.0</v>
      </c>
      <c r="O3" s="23">
        <v>50000.0</v>
      </c>
      <c r="P3" s="18">
        <f t="shared" si="4"/>
        <v>19</v>
      </c>
      <c r="Q3" s="20">
        <f t="shared" si="5"/>
        <v>2631.578947</v>
      </c>
      <c r="R3" s="25">
        <f t="shared" si="6"/>
        <v>4.385964912</v>
      </c>
    </row>
    <row r="4">
      <c r="A4" s="13" t="s">
        <v>228</v>
      </c>
      <c r="B4" s="14">
        <f>IFERROR(__xludf.DUMMYFUNCTION("transpose(split(B3,"",""))"),0.624883987936306)</f>
        <v>0.6248839879</v>
      </c>
      <c r="C4" s="14">
        <f>IFERROR(__xludf.DUMMYFUNCTION("transpose(split(C3,"",""))"),-0.0365923055998737)</f>
        <v>-0.0365923056</v>
      </c>
      <c r="D4" s="14">
        <f>IFERROR(__xludf.DUMMYFUNCTION("transpose(split(D3,"",""))"),-0.699006863382204)</f>
        <v>-0.6990068634</v>
      </c>
      <c r="E4" s="14">
        <f>IFERROR(__xludf.DUMMYFUNCTION("transpose(split(E3,"",""))"),-0.345789545440976)</f>
        <v>-0.3457895454</v>
      </c>
      <c r="F4" s="27"/>
      <c r="G4" s="28">
        <f t="array" ref="G4:G163">B4:B163-mod(B4:B163,$L$2)</f>
        <v>0.624883</v>
      </c>
      <c r="H4" s="28">
        <f t="array" ref="H4:H163">C4:C163-mod(C4:C163,$L$2)</f>
        <v>-0.036593</v>
      </c>
      <c r="I4" s="28">
        <f t="array" ref="I4:I163">D4:D163-mod(D4:D163,$L$2)</f>
        <v>-0.699007</v>
      </c>
      <c r="J4" s="28">
        <f t="array" ref="J4:J163">E4:E163-mod(E4:E163,$L$2)</f>
        <v>-0.34579</v>
      </c>
      <c r="L4" s="26">
        <f t="shared" si="3"/>
        <v>0.000001</v>
      </c>
      <c r="M4" s="23">
        <v>6.0</v>
      </c>
      <c r="N4" s="23">
        <v>4.0</v>
      </c>
      <c r="O4" s="23">
        <v>32767.0</v>
      </c>
      <c r="P4" s="18">
        <f t="shared" si="4"/>
        <v>10</v>
      </c>
      <c r="Q4" s="20">
        <f t="shared" si="5"/>
        <v>3276.7</v>
      </c>
      <c r="R4" s="25">
        <f t="shared" si="6"/>
        <v>5.461166667</v>
      </c>
    </row>
    <row r="5">
      <c r="A5" s="18"/>
      <c r="B5" s="14">
        <f>IFERROR(__xludf.DUMMYFUNCTION("""COMPUTED_VALUE"""),0.624883987936306)</f>
        <v>0.6248839879</v>
      </c>
      <c r="C5" s="14">
        <f>IFERROR(__xludf.DUMMYFUNCTION("""COMPUTED_VALUE"""),-0.0365923055998737)</f>
        <v>-0.0365923056</v>
      </c>
      <c r="D5" s="14">
        <f>IFERROR(__xludf.DUMMYFUNCTION("""COMPUTED_VALUE"""),-0.699006863382204)</f>
        <v>-0.6990068634</v>
      </c>
      <c r="E5" s="14">
        <f>IFERROR(__xludf.DUMMYFUNCTION("""COMPUTED_VALUE"""),-0.345789545440976)</f>
        <v>-0.3457895454</v>
      </c>
      <c r="F5" s="14"/>
      <c r="G5" s="28">
        <v>0.624883</v>
      </c>
      <c r="H5" s="28">
        <v>-0.036593</v>
      </c>
      <c r="I5" s="28">
        <v>-0.6990069999999999</v>
      </c>
      <c r="J5" s="28">
        <v>-0.34579</v>
      </c>
      <c r="L5" s="26">
        <f t="shared" si="3"/>
        <v>0</v>
      </c>
      <c r="M5" s="23">
        <v>15.0</v>
      </c>
      <c r="N5" s="23">
        <v>4.0</v>
      </c>
      <c r="O5" s="23">
        <v>32767.0</v>
      </c>
      <c r="P5" s="18">
        <f t="shared" si="4"/>
        <v>19</v>
      </c>
      <c r="Q5" s="20">
        <f t="shared" si="5"/>
        <v>1724.578947</v>
      </c>
      <c r="R5" s="25">
        <f t="shared" si="6"/>
        <v>2.874298246</v>
      </c>
    </row>
    <row r="6">
      <c r="A6" s="18"/>
      <c r="B6" s="14">
        <f>IFERROR(__xludf.DUMMYFUNCTION("""COMPUTED_VALUE"""),0.624883987936306)</f>
        <v>0.6248839879</v>
      </c>
      <c r="C6" s="14">
        <f>IFERROR(__xludf.DUMMYFUNCTION("""COMPUTED_VALUE"""),-0.0365923055998737)</f>
        <v>-0.0365923056</v>
      </c>
      <c r="D6" s="14">
        <f>IFERROR(__xludf.DUMMYFUNCTION("""COMPUTED_VALUE"""),-0.699006863382204)</f>
        <v>-0.6990068634</v>
      </c>
      <c r="E6" s="14">
        <f>IFERROR(__xludf.DUMMYFUNCTION("""COMPUTED_VALUE"""),-0.345789545440976)</f>
        <v>-0.3457895454</v>
      </c>
      <c r="F6" s="14"/>
      <c r="G6" s="28">
        <v>0.624883</v>
      </c>
      <c r="H6" s="28">
        <v>-0.036593</v>
      </c>
      <c r="I6" s="28">
        <v>-0.6990069999999999</v>
      </c>
      <c r="J6" s="28">
        <v>-0.34579</v>
      </c>
      <c r="L6" s="29"/>
    </row>
    <row r="7">
      <c r="A7" s="18"/>
      <c r="B7" s="14">
        <f>IFERROR(__xludf.DUMMYFUNCTION("""COMPUTED_VALUE"""),0.624883987936306)</f>
        <v>0.6248839879</v>
      </c>
      <c r="C7" s="14">
        <f>IFERROR(__xludf.DUMMYFUNCTION("""COMPUTED_VALUE"""),-0.0365923055998737)</f>
        <v>-0.0365923056</v>
      </c>
      <c r="D7" s="14">
        <f>IFERROR(__xludf.DUMMYFUNCTION("""COMPUTED_VALUE"""),-0.699006863382204)</f>
        <v>-0.6990068634</v>
      </c>
      <c r="E7" s="14">
        <f>IFERROR(__xludf.DUMMYFUNCTION("""COMPUTED_VALUE"""),-0.345789545440976)</f>
        <v>-0.3457895454</v>
      </c>
      <c r="F7" s="14"/>
      <c r="G7" s="28">
        <v>0.624883</v>
      </c>
      <c r="H7" s="28">
        <v>-0.036593</v>
      </c>
      <c r="I7" s="28">
        <v>-0.6990069999999999</v>
      </c>
      <c r="J7" s="28">
        <v>-0.34579</v>
      </c>
      <c r="L7" s="29"/>
    </row>
    <row r="8">
      <c r="A8" s="18"/>
      <c r="B8" s="14">
        <f>IFERROR(__xludf.DUMMYFUNCTION("""COMPUTED_VALUE"""),0.624883987936306)</f>
        <v>0.6248839879</v>
      </c>
      <c r="C8" s="14">
        <f>IFERROR(__xludf.DUMMYFUNCTION("""COMPUTED_VALUE"""),-0.0365923055998737)</f>
        <v>-0.0365923056</v>
      </c>
      <c r="D8" s="14">
        <f>IFERROR(__xludf.DUMMYFUNCTION("""COMPUTED_VALUE"""),-0.699006863382204)</f>
        <v>-0.6990068634</v>
      </c>
      <c r="E8" s="14">
        <f>IFERROR(__xludf.DUMMYFUNCTION("""COMPUTED_VALUE"""),-0.345789545440976)</f>
        <v>-0.3457895454</v>
      </c>
      <c r="F8" s="14"/>
      <c r="G8" s="28">
        <v>0.624883</v>
      </c>
      <c r="H8" s="28">
        <v>-0.036593</v>
      </c>
      <c r="I8" s="28">
        <v>-0.6990069999999999</v>
      </c>
      <c r="J8" s="28">
        <v>-0.34579</v>
      </c>
      <c r="L8" s="30" t="s">
        <v>234</v>
      </c>
    </row>
    <row r="9">
      <c r="A9" s="18"/>
      <c r="B9" s="14">
        <f>IFERROR(__xludf.DUMMYFUNCTION("""COMPUTED_VALUE"""),0.624883987936306)</f>
        <v>0.6248839879</v>
      </c>
      <c r="C9" s="14">
        <f>IFERROR(__xludf.DUMMYFUNCTION("""COMPUTED_VALUE"""),-0.0365923055998737)</f>
        <v>-0.0365923056</v>
      </c>
      <c r="D9" s="14">
        <f>IFERROR(__xludf.DUMMYFUNCTION("""COMPUTED_VALUE"""),-0.699006863382204)</f>
        <v>-0.6990068634</v>
      </c>
      <c r="E9" s="14">
        <f>IFERROR(__xludf.DUMMYFUNCTION("""COMPUTED_VALUE"""),-0.345789545440976)</f>
        <v>-0.3457895454</v>
      </c>
      <c r="F9" s="14"/>
      <c r="G9" s="28">
        <v>0.624883</v>
      </c>
      <c r="H9" s="28">
        <v>-0.036593</v>
      </c>
      <c r="I9" s="28">
        <v>-0.6990069999999999</v>
      </c>
      <c r="J9" s="28">
        <v>-0.34579</v>
      </c>
      <c r="L9" s="30" t="s">
        <v>240</v>
      </c>
    </row>
    <row r="10">
      <c r="A10" s="18"/>
      <c r="B10" s="14">
        <f>IFERROR(__xludf.DUMMYFUNCTION("""COMPUTED_VALUE"""),0.624883987936306)</f>
        <v>0.6248839879</v>
      </c>
      <c r="C10" s="14">
        <f>IFERROR(__xludf.DUMMYFUNCTION("""COMPUTED_VALUE"""),-0.0365923055998737)</f>
        <v>-0.0365923056</v>
      </c>
      <c r="D10" s="14">
        <f>IFERROR(__xludf.DUMMYFUNCTION("""COMPUTED_VALUE"""),-0.699006863382204)</f>
        <v>-0.6990068634</v>
      </c>
      <c r="E10" s="14">
        <f>IFERROR(__xludf.DUMMYFUNCTION("""COMPUTED_VALUE"""),-0.345789545440976)</f>
        <v>-0.3457895454</v>
      </c>
      <c r="F10" s="14"/>
      <c r="G10" s="28">
        <v>0.624883</v>
      </c>
      <c r="H10" s="28">
        <v>-0.036593</v>
      </c>
      <c r="I10" s="28">
        <v>-0.6990069999999999</v>
      </c>
      <c r="J10" s="28">
        <v>-0.34579</v>
      </c>
      <c r="L10" s="23" t="s">
        <v>241</v>
      </c>
    </row>
    <row r="11">
      <c r="A11" s="18"/>
      <c r="B11" s="14">
        <f>IFERROR(__xludf.DUMMYFUNCTION("""COMPUTED_VALUE"""),0.624883987936306)</f>
        <v>0.6248839879</v>
      </c>
      <c r="C11" s="14">
        <f>IFERROR(__xludf.DUMMYFUNCTION("""COMPUTED_VALUE"""),-0.0365923055998737)</f>
        <v>-0.0365923056</v>
      </c>
      <c r="D11" s="14">
        <f>IFERROR(__xludf.DUMMYFUNCTION("""COMPUTED_VALUE"""),-0.699006863382204)</f>
        <v>-0.6990068634</v>
      </c>
      <c r="E11" s="14">
        <f>IFERROR(__xludf.DUMMYFUNCTION("""COMPUTED_VALUE"""),-0.345789545440976)</f>
        <v>-0.3457895454</v>
      </c>
      <c r="F11" s="14"/>
      <c r="G11" s="28">
        <v>0.624883</v>
      </c>
      <c r="H11" s="28">
        <v>-0.036593</v>
      </c>
      <c r="I11" s="28">
        <v>-0.6990069999999999</v>
      </c>
      <c r="J11" s="28">
        <v>-0.34579</v>
      </c>
    </row>
    <row r="12">
      <c r="A12" s="18"/>
      <c r="B12" s="14">
        <f>IFERROR(__xludf.DUMMYFUNCTION("""COMPUTED_VALUE"""),0.624883987936306)</f>
        <v>0.6248839879</v>
      </c>
      <c r="C12" s="14">
        <f>IFERROR(__xludf.DUMMYFUNCTION("""COMPUTED_VALUE"""),-0.0365923055998737)</f>
        <v>-0.0365923056</v>
      </c>
      <c r="D12" s="14">
        <f>IFERROR(__xludf.DUMMYFUNCTION("""COMPUTED_VALUE"""),-0.699006863382204)</f>
        <v>-0.6990068634</v>
      </c>
      <c r="E12" s="14">
        <f>IFERROR(__xludf.DUMMYFUNCTION("""COMPUTED_VALUE"""),-0.345789545440976)</f>
        <v>-0.3457895454</v>
      </c>
      <c r="F12" s="14"/>
      <c r="G12" s="28">
        <v>0.624883</v>
      </c>
      <c r="H12" s="28">
        <v>-0.036593</v>
      </c>
      <c r="I12" s="28">
        <v>-0.6990069999999999</v>
      </c>
      <c r="J12" s="28">
        <v>-0.34579</v>
      </c>
      <c r="L12" s="23" t="s">
        <v>242</v>
      </c>
    </row>
    <row r="13">
      <c r="A13" s="18"/>
      <c r="B13" s="14">
        <f>IFERROR(__xludf.DUMMYFUNCTION("""COMPUTED_VALUE"""),0.624883987936306)</f>
        <v>0.6248839879</v>
      </c>
      <c r="C13" s="14">
        <f>IFERROR(__xludf.DUMMYFUNCTION("""COMPUTED_VALUE"""),-0.0365923055998737)</f>
        <v>-0.0365923056</v>
      </c>
      <c r="D13" s="14">
        <f>IFERROR(__xludf.DUMMYFUNCTION("""COMPUTED_VALUE"""),-0.699006863382204)</f>
        <v>-0.6990068634</v>
      </c>
      <c r="E13" s="14">
        <f>IFERROR(__xludf.DUMMYFUNCTION("""COMPUTED_VALUE"""),-0.345789545440976)</f>
        <v>-0.3457895454</v>
      </c>
      <c r="F13" s="14"/>
      <c r="G13" s="28">
        <v>0.624883</v>
      </c>
      <c r="H13" s="28">
        <v>-0.036593</v>
      </c>
      <c r="I13" s="28">
        <v>-0.6990069999999999</v>
      </c>
      <c r="J13" s="28">
        <v>-0.34579</v>
      </c>
      <c r="L13" s="23" t="s">
        <v>243</v>
      </c>
    </row>
    <row r="14">
      <c r="A14" s="18"/>
      <c r="B14" s="14">
        <f>IFERROR(__xludf.DUMMYFUNCTION("""COMPUTED_VALUE"""),0.624883987936306)</f>
        <v>0.6248839879</v>
      </c>
      <c r="C14" s="14">
        <f>IFERROR(__xludf.DUMMYFUNCTION("""COMPUTED_VALUE"""),-0.0365923055998737)</f>
        <v>-0.0365923056</v>
      </c>
      <c r="D14" s="14">
        <f>IFERROR(__xludf.DUMMYFUNCTION("""COMPUTED_VALUE"""),-0.699006863382204)</f>
        <v>-0.6990068634</v>
      </c>
      <c r="E14" s="14">
        <f>IFERROR(__xludf.DUMMYFUNCTION("""COMPUTED_VALUE"""),-0.345789545440976)</f>
        <v>-0.3457895454</v>
      </c>
      <c r="F14" s="14"/>
      <c r="G14" s="28">
        <v>0.624883</v>
      </c>
      <c r="H14" s="28">
        <v>-0.036593</v>
      </c>
      <c r="I14" s="28">
        <v>-0.6990069999999999</v>
      </c>
      <c r="J14" s="28">
        <v>-0.34579</v>
      </c>
      <c r="L14" s="23" t="s">
        <v>244</v>
      </c>
    </row>
    <row r="15">
      <c r="A15" s="18"/>
      <c r="B15" s="14">
        <f>IFERROR(__xludf.DUMMYFUNCTION("""COMPUTED_VALUE"""),0.624883987936306)</f>
        <v>0.6248839879</v>
      </c>
      <c r="C15" s="14">
        <f>IFERROR(__xludf.DUMMYFUNCTION("""COMPUTED_VALUE"""),-0.0365923055998737)</f>
        <v>-0.0365923056</v>
      </c>
      <c r="D15" s="14">
        <f>IFERROR(__xludf.DUMMYFUNCTION("""COMPUTED_VALUE"""),-0.699006863382204)</f>
        <v>-0.6990068634</v>
      </c>
      <c r="E15" s="14">
        <f>IFERROR(__xludf.DUMMYFUNCTION("""COMPUTED_VALUE"""),-0.345789545440976)</f>
        <v>-0.3457895454</v>
      </c>
      <c r="F15" s="14"/>
      <c r="G15" s="28">
        <v>0.624883</v>
      </c>
      <c r="H15" s="28">
        <v>-0.036593</v>
      </c>
      <c r="I15" s="28">
        <v>-0.6990069999999999</v>
      </c>
      <c r="J15" s="28">
        <v>-0.34579</v>
      </c>
      <c r="L15" s="23" t="s">
        <v>245</v>
      </c>
    </row>
    <row r="16">
      <c r="A16" s="18"/>
      <c r="B16" s="14">
        <f>IFERROR(__xludf.DUMMYFUNCTION("""COMPUTED_VALUE"""),0.624883987936306)</f>
        <v>0.6248839879</v>
      </c>
      <c r="C16" s="14">
        <f>IFERROR(__xludf.DUMMYFUNCTION("""COMPUTED_VALUE"""),-0.0365923055998737)</f>
        <v>-0.0365923056</v>
      </c>
      <c r="D16" s="14">
        <f>IFERROR(__xludf.DUMMYFUNCTION("""COMPUTED_VALUE"""),-0.699006863382204)</f>
        <v>-0.6990068634</v>
      </c>
      <c r="E16" s="14">
        <f>IFERROR(__xludf.DUMMYFUNCTION("""COMPUTED_VALUE"""),-0.345789545440976)</f>
        <v>-0.3457895454</v>
      </c>
      <c r="F16" s="14"/>
      <c r="G16" s="28">
        <v>0.624883</v>
      </c>
      <c r="H16" s="28">
        <v>-0.036593</v>
      </c>
      <c r="I16" s="28">
        <v>-0.6990069999999999</v>
      </c>
      <c r="J16" s="28">
        <v>-0.34579</v>
      </c>
      <c r="L16" s="23" t="s">
        <v>246</v>
      </c>
    </row>
    <row r="17">
      <c r="A17" s="18"/>
      <c r="B17" s="14">
        <f>IFERROR(__xludf.DUMMYFUNCTION("""COMPUTED_VALUE"""),0.624883987936306)</f>
        <v>0.6248839879</v>
      </c>
      <c r="C17" s="14">
        <f>IFERROR(__xludf.DUMMYFUNCTION("""COMPUTED_VALUE"""),-0.0365923055998737)</f>
        <v>-0.0365923056</v>
      </c>
      <c r="D17" s="14">
        <f>IFERROR(__xludf.DUMMYFUNCTION("""COMPUTED_VALUE"""),-0.699006863382204)</f>
        <v>-0.6990068634</v>
      </c>
      <c r="E17" s="14">
        <f>IFERROR(__xludf.DUMMYFUNCTION("""COMPUTED_VALUE"""),-0.345789545440976)</f>
        <v>-0.3457895454</v>
      </c>
      <c r="F17" s="14"/>
      <c r="G17" s="28">
        <v>0.624883</v>
      </c>
      <c r="H17" s="28">
        <v>-0.036593</v>
      </c>
      <c r="I17" s="28">
        <v>-0.6990069999999999</v>
      </c>
      <c r="J17" s="28">
        <v>-0.34579</v>
      </c>
      <c r="L17" s="31" t="s">
        <v>247</v>
      </c>
    </row>
    <row r="18">
      <c r="A18" s="18"/>
      <c r="B18" s="14">
        <f>IFERROR(__xludf.DUMMYFUNCTION("""COMPUTED_VALUE"""),0.624883987936306)</f>
        <v>0.6248839879</v>
      </c>
      <c r="C18" s="14">
        <f>IFERROR(__xludf.DUMMYFUNCTION("""COMPUTED_VALUE"""),-0.0365923055998737)</f>
        <v>-0.0365923056</v>
      </c>
      <c r="D18" s="14">
        <f>IFERROR(__xludf.DUMMYFUNCTION("""COMPUTED_VALUE"""),-0.699006863382204)</f>
        <v>-0.6990068634</v>
      </c>
      <c r="E18" s="14">
        <f>IFERROR(__xludf.DUMMYFUNCTION("""COMPUTED_VALUE"""),-0.345789545440976)</f>
        <v>-0.3457895454</v>
      </c>
      <c r="F18" s="14"/>
      <c r="G18" s="28">
        <v>0.624883</v>
      </c>
      <c r="H18" s="28">
        <v>-0.036593</v>
      </c>
      <c r="I18" s="28">
        <v>-0.6990069999999999</v>
      </c>
      <c r="J18" s="28">
        <v>-0.34579</v>
      </c>
    </row>
    <row r="19">
      <c r="A19" s="18"/>
      <c r="B19" s="14">
        <f>IFERROR(__xludf.DUMMYFUNCTION("""COMPUTED_VALUE"""),0.624883987936306)</f>
        <v>0.6248839879</v>
      </c>
      <c r="C19" s="14">
        <f>IFERROR(__xludf.DUMMYFUNCTION("""COMPUTED_VALUE"""),-0.0365923055998737)</f>
        <v>-0.0365923056</v>
      </c>
      <c r="D19" s="14">
        <f>IFERROR(__xludf.DUMMYFUNCTION("""COMPUTED_VALUE"""),-0.699006863382204)</f>
        <v>-0.6990068634</v>
      </c>
      <c r="E19" s="14">
        <f>IFERROR(__xludf.DUMMYFUNCTION("""COMPUTED_VALUE"""),-0.345789545440976)</f>
        <v>-0.3457895454</v>
      </c>
      <c r="F19" s="14"/>
      <c r="G19" s="28">
        <v>0.624883</v>
      </c>
      <c r="H19" s="28">
        <v>-0.036593</v>
      </c>
      <c r="I19" s="28">
        <v>-0.6990069999999999</v>
      </c>
      <c r="J19" s="28">
        <v>-0.34579</v>
      </c>
    </row>
    <row r="20">
      <c r="A20" s="18"/>
      <c r="B20" s="14">
        <f>IFERROR(__xludf.DUMMYFUNCTION("""COMPUTED_VALUE"""),0.624883987936306)</f>
        <v>0.6248839879</v>
      </c>
      <c r="C20" s="14">
        <f>IFERROR(__xludf.DUMMYFUNCTION("""COMPUTED_VALUE"""),-0.0365923055998737)</f>
        <v>-0.0365923056</v>
      </c>
      <c r="D20" s="14">
        <f>IFERROR(__xludf.DUMMYFUNCTION("""COMPUTED_VALUE"""),-0.699006863382204)</f>
        <v>-0.6990068634</v>
      </c>
      <c r="E20" s="14">
        <f>IFERROR(__xludf.DUMMYFUNCTION("""COMPUTED_VALUE"""),-0.345789545440976)</f>
        <v>-0.3457895454</v>
      </c>
      <c r="F20" s="14"/>
      <c r="G20" s="28">
        <v>0.624883</v>
      </c>
      <c r="H20" s="28">
        <v>-0.036593</v>
      </c>
      <c r="I20" s="28">
        <v>-0.6990069999999999</v>
      </c>
      <c r="J20" s="28">
        <v>-0.34579</v>
      </c>
      <c r="L20" s="23" t="s">
        <v>248</v>
      </c>
    </row>
    <row r="21">
      <c r="A21" s="18"/>
      <c r="B21" s="14">
        <f>IFERROR(__xludf.DUMMYFUNCTION("""COMPUTED_VALUE"""),0.624883987936306)</f>
        <v>0.6248839879</v>
      </c>
      <c r="C21" s="14">
        <f>IFERROR(__xludf.DUMMYFUNCTION("""COMPUTED_VALUE"""),-0.0365923055998737)</f>
        <v>-0.0365923056</v>
      </c>
      <c r="D21" s="14">
        <f>IFERROR(__xludf.DUMMYFUNCTION("""COMPUTED_VALUE"""),-0.699006863382204)</f>
        <v>-0.6990068634</v>
      </c>
      <c r="E21" s="14">
        <f>IFERROR(__xludf.DUMMYFUNCTION("""COMPUTED_VALUE"""),-0.345789545440976)</f>
        <v>-0.3457895454</v>
      </c>
      <c r="F21" s="14"/>
      <c r="G21" s="28">
        <v>0.624883</v>
      </c>
      <c r="H21" s="28">
        <v>-0.036593</v>
      </c>
      <c r="I21" s="28">
        <v>-0.6990069999999999</v>
      </c>
      <c r="J21" s="28">
        <v>-0.34579</v>
      </c>
      <c r="L21" s="23" t="s">
        <v>249</v>
      </c>
    </row>
    <row r="22">
      <c r="A22" s="18"/>
      <c r="B22" s="14">
        <f>IFERROR(__xludf.DUMMYFUNCTION("""COMPUTED_VALUE"""),0.619374784581544)</f>
        <v>0.6193747846</v>
      </c>
      <c r="C22" s="14">
        <f>IFERROR(__xludf.DUMMYFUNCTION("""COMPUTED_VALUE"""),-0.0393069737443962)</f>
        <v>-0.03930697374</v>
      </c>
      <c r="D22" s="14">
        <f>IFERROR(__xludf.DUMMYFUNCTION("""COMPUTED_VALUE"""),-0.703893081127505)</f>
        <v>-0.7038930811</v>
      </c>
      <c r="E22" s="14">
        <f>IFERROR(__xludf.DUMMYFUNCTION("""COMPUTED_VALUE"""),-0.345491488144713)</f>
        <v>-0.3454914881</v>
      </c>
      <c r="F22" s="14"/>
      <c r="G22" s="28">
        <v>0.619374</v>
      </c>
      <c r="H22" s="28">
        <v>-0.039307</v>
      </c>
      <c r="I22" s="28">
        <v>-0.703894</v>
      </c>
      <c r="J22" s="28">
        <v>-0.34549199999999997</v>
      </c>
      <c r="L22" s="23" t="s">
        <v>250</v>
      </c>
    </row>
    <row r="23">
      <c r="A23" s="18"/>
      <c r="B23" s="14">
        <f>IFERROR(__xludf.DUMMYFUNCTION("""COMPUTED_VALUE"""),0.616605834340276)</f>
        <v>0.6166058343</v>
      </c>
      <c r="C23" s="14">
        <f>IFERROR(__xludf.DUMMYFUNCTION("""COMPUTED_VALUE"""),-0.0406634090370997)</f>
        <v>-0.04066340904</v>
      </c>
      <c r="D23" s="14">
        <f>IFERROR(__xludf.DUMMYFUNCTION("""COMPUTED_VALUE"""),-0.706319926444199)</f>
        <v>-0.7063199264</v>
      </c>
      <c r="E23" s="14">
        <f>IFERROR(__xludf.DUMMYFUNCTION("""COMPUTED_VALUE"""),-0.345334466468195)</f>
        <v>-0.3453344665</v>
      </c>
      <c r="F23" s="14"/>
      <c r="G23" s="28">
        <v>0.616605</v>
      </c>
      <c r="H23" s="28">
        <v>-0.040664</v>
      </c>
      <c r="I23" s="28">
        <v>-0.70632</v>
      </c>
      <c r="J23" s="28">
        <v>-0.345335</v>
      </c>
      <c r="L23" s="29"/>
    </row>
    <row r="24">
      <c r="A24" s="18"/>
      <c r="B24" s="14">
        <f>IFERROR(__xludf.DUMMYFUNCTION("""COMPUTED_VALUE"""),0.616605834340276)</f>
        <v>0.6166058343</v>
      </c>
      <c r="C24" s="14">
        <f>IFERROR(__xludf.DUMMYFUNCTION("""COMPUTED_VALUE"""),-0.0406634090370997)</f>
        <v>-0.04066340904</v>
      </c>
      <c r="D24" s="14">
        <f>IFERROR(__xludf.DUMMYFUNCTION("""COMPUTED_VALUE"""),-0.706319926444199)</f>
        <v>-0.7063199264</v>
      </c>
      <c r="E24" s="14">
        <f>IFERROR(__xludf.DUMMYFUNCTION("""COMPUTED_VALUE"""),-0.345334466468195)</f>
        <v>-0.3453344665</v>
      </c>
      <c r="F24" s="14"/>
      <c r="G24" s="28">
        <v>0.616605</v>
      </c>
      <c r="H24" s="28">
        <v>-0.040664</v>
      </c>
      <c r="I24" s="28">
        <v>-0.70632</v>
      </c>
      <c r="J24" s="28">
        <v>-0.345335</v>
      </c>
      <c r="L24" s="29"/>
    </row>
    <row r="25">
      <c r="A25" s="18"/>
      <c r="B25" s="14">
        <f>IFERROR(__xludf.DUMMYFUNCTION("""COMPUTED_VALUE"""),0.616605834340276)</f>
        <v>0.6166058343</v>
      </c>
      <c r="C25" s="14">
        <f>IFERROR(__xludf.DUMMYFUNCTION("""COMPUTED_VALUE"""),-0.0406634090370997)</f>
        <v>-0.04066340904</v>
      </c>
      <c r="D25" s="14">
        <f>IFERROR(__xludf.DUMMYFUNCTION("""COMPUTED_VALUE"""),-0.706319926444199)</f>
        <v>-0.7063199264</v>
      </c>
      <c r="E25" s="14">
        <f>IFERROR(__xludf.DUMMYFUNCTION("""COMPUTED_VALUE"""),-0.345334466468195)</f>
        <v>-0.3453344665</v>
      </c>
      <c r="F25" s="14"/>
      <c r="G25" s="28">
        <v>0.616605</v>
      </c>
      <c r="H25" s="28">
        <v>-0.040664</v>
      </c>
      <c r="I25" s="28">
        <v>-0.70632</v>
      </c>
      <c r="J25" s="28">
        <v>-0.345335</v>
      </c>
      <c r="L25" s="29"/>
    </row>
    <row r="26">
      <c r="A26" s="18"/>
      <c r="B26" s="14">
        <f>IFERROR(__xludf.DUMMYFUNCTION("""COMPUTED_VALUE"""),0.616605834340276)</f>
        <v>0.6166058343</v>
      </c>
      <c r="C26" s="14">
        <f>IFERROR(__xludf.DUMMYFUNCTION("""COMPUTED_VALUE"""),-0.0406634090370997)</f>
        <v>-0.04066340904</v>
      </c>
      <c r="D26" s="14">
        <f>IFERROR(__xludf.DUMMYFUNCTION("""COMPUTED_VALUE"""),-0.706319926444199)</f>
        <v>-0.7063199264</v>
      </c>
      <c r="E26" s="14">
        <f>IFERROR(__xludf.DUMMYFUNCTION("""COMPUTED_VALUE"""),-0.345334466468195)</f>
        <v>-0.3453344665</v>
      </c>
      <c r="F26" s="14"/>
      <c r="G26" s="28">
        <v>0.616605</v>
      </c>
      <c r="H26" s="28">
        <v>-0.040664</v>
      </c>
      <c r="I26" s="28">
        <v>-0.70632</v>
      </c>
      <c r="J26" s="28">
        <v>-0.345335</v>
      </c>
      <c r="L26" s="29"/>
    </row>
    <row r="27">
      <c r="A27" s="18"/>
      <c r="B27" s="14">
        <f>IFERROR(__xludf.DUMMYFUNCTION("""COMPUTED_VALUE"""),0.616605834340276)</f>
        <v>0.6166058343</v>
      </c>
      <c r="C27" s="14">
        <f>IFERROR(__xludf.DUMMYFUNCTION("""COMPUTED_VALUE"""),-0.0406634090370997)</f>
        <v>-0.04066340904</v>
      </c>
      <c r="D27" s="14">
        <f>IFERROR(__xludf.DUMMYFUNCTION("""COMPUTED_VALUE"""),-0.706319926444199)</f>
        <v>-0.7063199264</v>
      </c>
      <c r="E27" s="14">
        <f>IFERROR(__xludf.DUMMYFUNCTION("""COMPUTED_VALUE"""),-0.345334466468195)</f>
        <v>-0.3453344665</v>
      </c>
      <c r="F27" s="14"/>
      <c r="G27" s="28">
        <v>0.616605</v>
      </c>
      <c r="H27" s="28">
        <v>-0.040664</v>
      </c>
      <c r="I27" s="28">
        <v>-0.70632</v>
      </c>
      <c r="J27" s="28">
        <v>-0.345335</v>
      </c>
      <c r="L27" s="29"/>
    </row>
    <row r="28">
      <c r="A28" s="18"/>
      <c r="B28" s="14">
        <f>IFERROR(__xludf.DUMMYFUNCTION("""COMPUTED_VALUE"""),0.616605834340276)</f>
        <v>0.6166058343</v>
      </c>
      <c r="C28" s="14">
        <f>IFERROR(__xludf.DUMMYFUNCTION("""COMPUTED_VALUE"""),-0.0406634090370997)</f>
        <v>-0.04066340904</v>
      </c>
      <c r="D28" s="14">
        <f>IFERROR(__xludf.DUMMYFUNCTION("""COMPUTED_VALUE"""),-0.706319926444199)</f>
        <v>-0.7063199264</v>
      </c>
      <c r="E28" s="14">
        <f>IFERROR(__xludf.DUMMYFUNCTION("""COMPUTED_VALUE"""),-0.345334466468195)</f>
        <v>-0.3453344665</v>
      </c>
      <c r="F28" s="14"/>
      <c r="G28" s="28">
        <v>0.616605</v>
      </c>
      <c r="H28" s="28">
        <v>-0.040664</v>
      </c>
      <c r="I28" s="28">
        <v>-0.70632</v>
      </c>
      <c r="J28" s="28">
        <v>-0.345335</v>
      </c>
      <c r="L28" s="29"/>
    </row>
    <row r="29">
      <c r="A29" s="18"/>
      <c r="B29" s="14">
        <f>IFERROR(__xludf.DUMMYFUNCTION("""COMPUTED_VALUE"""),0.616605834340276)</f>
        <v>0.6166058343</v>
      </c>
      <c r="C29" s="14">
        <f>IFERROR(__xludf.DUMMYFUNCTION("""COMPUTED_VALUE"""),-0.0406634090370997)</f>
        <v>-0.04066340904</v>
      </c>
      <c r="D29" s="14">
        <f>IFERROR(__xludf.DUMMYFUNCTION("""COMPUTED_VALUE"""),-0.706319926444199)</f>
        <v>-0.7063199264</v>
      </c>
      <c r="E29" s="14">
        <f>IFERROR(__xludf.DUMMYFUNCTION("""COMPUTED_VALUE"""),-0.345334466468195)</f>
        <v>-0.3453344665</v>
      </c>
      <c r="F29" s="14"/>
      <c r="G29" s="28">
        <v>0.616605</v>
      </c>
      <c r="H29" s="28">
        <v>-0.040664</v>
      </c>
      <c r="I29" s="28">
        <v>-0.70632</v>
      </c>
      <c r="J29" s="28">
        <v>-0.345335</v>
      </c>
      <c r="L29" s="29"/>
    </row>
    <row r="30">
      <c r="A30" s="18"/>
      <c r="B30" s="14">
        <f>IFERROR(__xludf.DUMMYFUNCTION("""COMPUTED_VALUE"""),0.613827375274831)</f>
        <v>0.6138273753</v>
      </c>
      <c r="C30" s="14">
        <f>IFERROR(__xludf.DUMMYFUNCTION("""COMPUTED_VALUE"""),-0.0420192172497702)</f>
        <v>-0.04201921725</v>
      </c>
      <c r="D30" s="14">
        <f>IFERROR(__xludf.DUMMYFUNCTION("""COMPUTED_VALUE"""),-0.708735879434517)</f>
        <v>-0.7087358794</v>
      </c>
      <c r="E30" s="14">
        <f>IFERROR(__xludf.DUMMYFUNCTION("""COMPUTED_VALUE"""),-0.345172119307321)</f>
        <v>-0.3451721193</v>
      </c>
      <c r="F30" s="14"/>
      <c r="G30" s="28">
        <v>0.613827</v>
      </c>
      <c r="H30" s="28">
        <v>-0.042019999999999995</v>
      </c>
      <c r="I30" s="28">
        <v>-0.7087359999999999</v>
      </c>
      <c r="J30" s="28">
        <v>-0.345173</v>
      </c>
      <c r="L30" s="29"/>
    </row>
    <row r="31">
      <c r="A31" s="18"/>
      <c r="B31" s="14">
        <f>IFERROR(__xludf.DUMMYFUNCTION("""COMPUTED_VALUE"""),0.613827375274831)</f>
        <v>0.6138273753</v>
      </c>
      <c r="C31" s="14">
        <f>IFERROR(__xludf.DUMMYFUNCTION("""COMPUTED_VALUE"""),-0.0420192172497702)</f>
        <v>-0.04201921725</v>
      </c>
      <c r="D31" s="14">
        <f>IFERROR(__xludf.DUMMYFUNCTION("""COMPUTED_VALUE"""),-0.708735879434517)</f>
        <v>-0.7087358794</v>
      </c>
      <c r="E31" s="14">
        <f>IFERROR(__xludf.DUMMYFUNCTION("""COMPUTED_VALUE"""),-0.345172119307321)</f>
        <v>-0.3451721193</v>
      </c>
      <c r="F31" s="14"/>
      <c r="G31" s="28">
        <v>0.613827</v>
      </c>
      <c r="H31" s="28">
        <v>-0.042019999999999995</v>
      </c>
      <c r="I31" s="28">
        <v>-0.7087359999999999</v>
      </c>
      <c r="J31" s="28">
        <v>-0.345173</v>
      </c>
      <c r="L31" s="29"/>
    </row>
    <row r="32">
      <c r="A32" s="18"/>
      <c r="B32" s="14">
        <f>IFERROR(__xludf.DUMMYFUNCTION("""COMPUTED_VALUE"""),0.612467158067845)</f>
        <v>0.6124671581</v>
      </c>
      <c r="C32" s="14">
        <f>IFERROR(__xludf.DUMMYFUNCTION("""COMPUTED_VALUE"""),-0.0392357012017377)</f>
        <v>-0.0392357012</v>
      </c>
      <c r="D32" s="14">
        <f>IFERROR(__xludf.DUMMYFUNCTION("""COMPUTED_VALUE"""),-0.708895423294092)</f>
        <v>-0.7088954233</v>
      </c>
      <c r="E32" s="14">
        <f>IFERROR(__xludf.DUMMYFUNCTION("""COMPUTED_VALUE"""),-0.34757994601558)</f>
        <v>-0.347579946</v>
      </c>
      <c r="F32" s="14"/>
      <c r="G32" s="28">
        <v>0.612467</v>
      </c>
      <c r="H32" s="28">
        <v>-0.039236</v>
      </c>
      <c r="I32" s="28">
        <v>-0.708896</v>
      </c>
      <c r="J32" s="28">
        <v>-0.34758</v>
      </c>
      <c r="L32" s="29"/>
    </row>
    <row r="33">
      <c r="A33" s="18"/>
      <c r="B33" s="14">
        <f>IFERROR(__xludf.DUMMYFUNCTION("""COMPUTED_VALUE"""),0.612467158067845)</f>
        <v>0.6124671581</v>
      </c>
      <c r="C33" s="14">
        <f>IFERROR(__xludf.DUMMYFUNCTION("""COMPUTED_VALUE"""),-0.0392357012017377)</f>
        <v>-0.0392357012</v>
      </c>
      <c r="D33" s="14">
        <f>IFERROR(__xludf.DUMMYFUNCTION("""COMPUTED_VALUE"""),-0.708895423294092)</f>
        <v>-0.7088954233</v>
      </c>
      <c r="E33" s="14">
        <f>IFERROR(__xludf.DUMMYFUNCTION("""COMPUTED_VALUE"""),-0.34757994601558)</f>
        <v>-0.347579946</v>
      </c>
      <c r="F33" s="14"/>
      <c r="G33" s="28">
        <v>0.612467</v>
      </c>
      <c r="H33" s="28">
        <v>-0.039236</v>
      </c>
      <c r="I33" s="28">
        <v>-0.708896</v>
      </c>
      <c r="J33" s="28">
        <v>-0.34758</v>
      </c>
      <c r="L33" s="29"/>
    </row>
    <row r="34">
      <c r="A34" s="18"/>
      <c r="B34" s="14">
        <f>IFERROR(__xludf.DUMMYFUNCTION("""COMPUTED_VALUE"""),0.612467158067845)</f>
        <v>0.6124671581</v>
      </c>
      <c r="C34" s="14">
        <f>IFERROR(__xludf.DUMMYFUNCTION("""COMPUTED_VALUE"""),-0.0392357012017377)</f>
        <v>-0.0392357012</v>
      </c>
      <c r="D34" s="14">
        <f>IFERROR(__xludf.DUMMYFUNCTION("""COMPUTED_VALUE"""),-0.708895423294092)</f>
        <v>-0.7088954233</v>
      </c>
      <c r="E34" s="14">
        <f>IFERROR(__xludf.DUMMYFUNCTION("""COMPUTED_VALUE"""),-0.34757994601558)</f>
        <v>-0.347579946</v>
      </c>
      <c r="F34" s="14"/>
      <c r="G34" s="28">
        <v>0.612467</v>
      </c>
      <c r="H34" s="28">
        <v>-0.039236</v>
      </c>
      <c r="I34" s="28">
        <v>-0.708896</v>
      </c>
      <c r="J34" s="28">
        <v>-0.34758</v>
      </c>
      <c r="L34" s="29"/>
    </row>
    <row r="35">
      <c r="A35" s="18"/>
      <c r="B35" s="14">
        <f>IFERROR(__xludf.DUMMYFUNCTION("""COMPUTED_VALUE"""),-0.611097495860186)</f>
        <v>-0.6110974959</v>
      </c>
      <c r="C35" s="14">
        <f>IFERROR(__xludf.DUMMYFUNCTION("""COMPUTED_VALUE"""),0.0364515800906921)</f>
        <v>0.03645158009</v>
      </c>
      <c r="D35" s="14">
        <f>IFERROR(__xludf.DUMMYFUNCTION("""COMPUTED_VALUE"""),0.709044035109946)</f>
        <v>0.7090440351</v>
      </c>
      <c r="E35" s="14">
        <f>IFERROR(__xludf.DUMMYFUNCTION("""COMPUTED_VALUE"""),0.349982412611414)</f>
        <v>0.3499824126</v>
      </c>
      <c r="F35" s="14"/>
      <c r="G35" s="28">
        <v>-0.6110979999999999</v>
      </c>
      <c r="H35" s="28">
        <v>0.036451</v>
      </c>
      <c r="I35" s="28">
        <v>0.709044</v>
      </c>
      <c r="J35" s="28">
        <v>0.34998199999999996</v>
      </c>
      <c r="L35" s="29"/>
    </row>
    <row r="36">
      <c r="A36" s="18"/>
      <c r="B36" s="14">
        <f>IFERROR(__xludf.DUMMYFUNCTION("""COMPUTED_VALUE"""),-0.608308381745534)</f>
        <v>-0.6083083817</v>
      </c>
      <c r="C36" s="14">
        <f>IFERROR(__xludf.DUMMYFUNCTION("""COMPUTED_VALUE"""),0.0378256731735329)</f>
        <v>0.03782567317</v>
      </c>
      <c r="D36" s="14">
        <f>IFERROR(__xludf.DUMMYFUNCTION("""COMPUTED_VALUE"""),0.711438335957315)</f>
        <v>0.711438336</v>
      </c>
      <c r="E36" s="14">
        <f>IFERROR(__xludf.DUMMYFUNCTION("""COMPUTED_VALUE"""),0.349836569382595)</f>
        <v>0.3498365694</v>
      </c>
      <c r="F36" s="14"/>
      <c r="G36" s="28">
        <v>-0.608309</v>
      </c>
      <c r="H36" s="28">
        <v>0.037825</v>
      </c>
      <c r="I36" s="28">
        <v>0.711438</v>
      </c>
      <c r="J36" s="28">
        <v>0.349836</v>
      </c>
      <c r="L36" s="29"/>
    </row>
    <row r="37">
      <c r="A37" s="18"/>
      <c r="B37" s="14">
        <f>IFERROR(__xludf.DUMMYFUNCTION("""COMPUTED_VALUE"""),-0.608308381745534)</f>
        <v>-0.6083083817</v>
      </c>
      <c r="C37" s="14">
        <f>IFERROR(__xludf.DUMMYFUNCTION("""COMPUTED_VALUE"""),0.0378256731735329)</f>
        <v>0.03782567317</v>
      </c>
      <c r="D37" s="14">
        <f>IFERROR(__xludf.DUMMYFUNCTION("""COMPUTED_VALUE"""),0.711438335957315)</f>
        <v>0.711438336</v>
      </c>
      <c r="E37" s="14">
        <f>IFERROR(__xludf.DUMMYFUNCTION("""COMPUTED_VALUE"""),0.349836569382595)</f>
        <v>0.3498365694</v>
      </c>
      <c r="F37" s="14"/>
      <c r="G37" s="28">
        <v>-0.608309</v>
      </c>
      <c r="H37" s="28">
        <v>0.037825</v>
      </c>
      <c r="I37" s="28">
        <v>0.711438</v>
      </c>
      <c r="J37" s="28">
        <v>0.349836</v>
      </c>
      <c r="L37" s="29"/>
    </row>
    <row r="38">
      <c r="A38" s="18"/>
      <c r="B38" s="14">
        <f>IFERROR(__xludf.DUMMYFUNCTION("""COMPUTED_VALUE"""),-0.606929889888412)</f>
        <v>-0.6069298899</v>
      </c>
      <c r="C38" s="14">
        <f>IFERROR(__xludf.DUMMYFUNCTION("""COMPUTED_VALUE"""),0.0350315769659614)</f>
        <v>0.03503157697</v>
      </c>
      <c r="D38" s="14">
        <f>IFERROR(__xludf.DUMMYFUNCTION("""COMPUTED_VALUE"""),0.711581391013019)</f>
        <v>0.711581391</v>
      </c>
      <c r="E38" s="14">
        <f>IFERROR(__xludf.DUMMYFUNCTION("""COMPUTED_VALUE"""),0.352222687144502)</f>
        <v>0.3522226871</v>
      </c>
      <c r="F38" s="14"/>
      <c r="G38" s="28">
        <v>-0.60693</v>
      </c>
      <c r="H38" s="28">
        <v>0.035031</v>
      </c>
      <c r="I38" s="28">
        <v>0.711581</v>
      </c>
      <c r="J38" s="28">
        <v>0.352222</v>
      </c>
      <c r="L38" s="29"/>
    </row>
    <row r="39">
      <c r="A39" s="18"/>
      <c r="B39" s="14">
        <f>IFERROR(__xludf.DUMMYFUNCTION("""COMPUTED_VALUE"""),-0.606929889888412)</f>
        <v>-0.6069298899</v>
      </c>
      <c r="C39" s="14">
        <f>IFERROR(__xludf.DUMMYFUNCTION("""COMPUTED_VALUE"""),0.0350315769659614)</f>
        <v>0.03503157697</v>
      </c>
      <c r="D39" s="14">
        <f>IFERROR(__xludf.DUMMYFUNCTION("""COMPUTED_VALUE"""),0.711581391013019)</f>
        <v>0.711581391</v>
      </c>
      <c r="E39" s="14">
        <f>IFERROR(__xludf.DUMMYFUNCTION("""COMPUTED_VALUE"""),0.352222687144502)</f>
        <v>0.3522226871</v>
      </c>
      <c r="F39" s="14"/>
      <c r="G39" s="28">
        <v>-0.60693</v>
      </c>
      <c r="H39" s="28">
        <v>0.035031</v>
      </c>
      <c r="I39" s="28">
        <v>0.711581</v>
      </c>
      <c r="J39" s="28">
        <v>0.352222</v>
      </c>
      <c r="L39" s="29"/>
    </row>
    <row r="40">
      <c r="A40" s="18"/>
      <c r="B40" s="14">
        <f>IFERROR(__xludf.DUMMYFUNCTION("""COMPUTED_VALUE"""),-0.606929889888412)</f>
        <v>-0.6069298899</v>
      </c>
      <c r="C40" s="14">
        <f>IFERROR(__xludf.DUMMYFUNCTION("""COMPUTED_VALUE"""),0.0350315769659614)</f>
        <v>0.03503157697</v>
      </c>
      <c r="D40" s="14">
        <f>IFERROR(__xludf.DUMMYFUNCTION("""COMPUTED_VALUE"""),0.711581391013019)</f>
        <v>0.711581391</v>
      </c>
      <c r="E40" s="14">
        <f>IFERROR(__xludf.DUMMYFUNCTION("""COMPUTED_VALUE"""),0.352222687144502)</f>
        <v>0.3522226871</v>
      </c>
      <c r="F40" s="14"/>
      <c r="G40" s="28">
        <v>-0.60693</v>
      </c>
      <c r="H40" s="28">
        <v>0.035031</v>
      </c>
      <c r="I40" s="28">
        <v>0.711581</v>
      </c>
      <c r="J40" s="28">
        <v>0.352222</v>
      </c>
      <c r="L40" s="29"/>
    </row>
    <row r="41">
      <c r="A41" s="18"/>
      <c r="B41" s="14">
        <f>IFERROR(__xludf.DUMMYFUNCTION("""COMPUTED_VALUE"""),-0.606929889888412)</f>
        <v>-0.6069298899</v>
      </c>
      <c r="C41" s="14">
        <f>IFERROR(__xludf.DUMMYFUNCTION("""COMPUTED_VALUE"""),0.0350315769659614)</f>
        <v>0.03503157697</v>
      </c>
      <c r="D41" s="14">
        <f>IFERROR(__xludf.DUMMYFUNCTION("""COMPUTED_VALUE"""),0.711581391013019)</f>
        <v>0.711581391</v>
      </c>
      <c r="E41" s="14">
        <f>IFERROR(__xludf.DUMMYFUNCTION("""COMPUTED_VALUE"""),0.352222687144502)</f>
        <v>0.3522226871</v>
      </c>
      <c r="F41" s="14"/>
      <c r="G41" s="28">
        <v>-0.60693</v>
      </c>
      <c r="H41" s="28">
        <v>0.035031</v>
      </c>
      <c r="I41" s="28">
        <v>0.711581</v>
      </c>
      <c r="J41" s="28">
        <v>0.352222</v>
      </c>
      <c r="L41" s="29"/>
    </row>
    <row r="42">
      <c r="A42" s="18"/>
      <c r="B42" s="14">
        <f>IFERROR(__xludf.DUMMYFUNCTION("""COMPUTED_VALUE"""),-0.602742484314225)</f>
        <v>-0.6027424843</v>
      </c>
      <c r="C42" s="14">
        <f>IFERROR(__xludf.DUMMYFUNCTION("""COMPUTED_VALUE"""),0.0336292125310912)</f>
        <v>0.03362921253</v>
      </c>
      <c r="D42" s="14">
        <f>IFERROR(__xludf.DUMMYFUNCTION("""COMPUTED_VALUE"""),0.714085936694794)</f>
        <v>0.7140859367</v>
      </c>
      <c r="E42" s="14">
        <f>IFERROR(__xludf.DUMMYFUNCTION("""COMPUTED_VALUE"""),0.354474045145723)</f>
        <v>0.3544740451</v>
      </c>
      <c r="F42" s="14"/>
      <c r="G42" s="28">
        <v>-0.6027429999999999</v>
      </c>
      <c r="H42" s="28">
        <v>0.033629</v>
      </c>
      <c r="I42" s="28">
        <v>0.714085</v>
      </c>
      <c r="J42" s="28">
        <v>0.354474</v>
      </c>
      <c r="L42" s="29"/>
    </row>
    <row r="43">
      <c r="A43" s="18"/>
      <c r="B43" s="14">
        <f>IFERROR(__xludf.DUMMYFUNCTION("""COMPUTED_VALUE"""),-0.601345824096226)</f>
        <v>-0.6013458241</v>
      </c>
      <c r="C43" s="14">
        <f>IFERROR(__xludf.DUMMYFUNCTION("""COMPUTED_VALUE"""),0.0308247516040742)</f>
        <v>0.0308247516</v>
      </c>
      <c r="D43" s="14">
        <f>IFERROR(__xludf.DUMMYFUNCTION("""COMPUTED_VALUE"""),0.714212491916299)</f>
        <v>0.7142124919</v>
      </c>
      <c r="E43" s="14">
        <f>IFERROR(__xludf.DUMMYFUNCTION("""COMPUTED_VALUE"""),0.356838269978553)</f>
        <v>0.35683827</v>
      </c>
      <c r="F43" s="14"/>
      <c r="G43" s="28">
        <v>-0.6013459999999999</v>
      </c>
      <c r="H43" s="28">
        <v>0.030823999999999997</v>
      </c>
      <c r="I43" s="28">
        <v>0.714212</v>
      </c>
      <c r="J43" s="28">
        <v>0.356838</v>
      </c>
      <c r="L43" s="29"/>
    </row>
    <row r="44">
      <c r="A44" s="18"/>
      <c r="B44" s="14">
        <f>IFERROR(__xludf.DUMMYFUNCTION("""COMPUTED_VALUE"""),-0.601345824096226)</f>
        <v>-0.6013458241</v>
      </c>
      <c r="C44" s="14">
        <f>IFERROR(__xludf.DUMMYFUNCTION("""COMPUTED_VALUE"""),0.0308247516040742)</f>
        <v>0.0308247516</v>
      </c>
      <c r="D44" s="14">
        <f>IFERROR(__xludf.DUMMYFUNCTION("""COMPUTED_VALUE"""),0.714212491916299)</f>
        <v>0.7142124919</v>
      </c>
      <c r="E44" s="14">
        <f>IFERROR(__xludf.DUMMYFUNCTION("""COMPUTED_VALUE"""),0.356838269978553)</f>
        <v>0.35683827</v>
      </c>
      <c r="F44" s="14"/>
      <c r="G44" s="28">
        <v>-0.6013459999999999</v>
      </c>
      <c r="H44" s="28">
        <v>0.030823999999999997</v>
      </c>
      <c r="I44" s="28">
        <v>0.714212</v>
      </c>
      <c r="J44" s="28">
        <v>0.356838</v>
      </c>
      <c r="L44" s="29"/>
    </row>
    <row r="45">
      <c r="A45" s="18"/>
      <c r="B45" s="14">
        <f>IFERROR(__xludf.DUMMYFUNCTION("""COMPUTED_VALUE"""),-0.601345824096226)</f>
        <v>-0.6013458241</v>
      </c>
      <c r="C45" s="14">
        <f>IFERROR(__xludf.DUMMYFUNCTION("""COMPUTED_VALUE"""),0.0308247516040742)</f>
        <v>0.0308247516</v>
      </c>
      <c r="D45" s="14">
        <f>IFERROR(__xludf.DUMMYFUNCTION("""COMPUTED_VALUE"""),0.714212491916299)</f>
        <v>0.7142124919</v>
      </c>
      <c r="E45" s="14">
        <f>IFERROR(__xludf.DUMMYFUNCTION("""COMPUTED_VALUE"""),0.356838269978553)</f>
        <v>0.35683827</v>
      </c>
      <c r="F45" s="14"/>
      <c r="G45" s="28">
        <v>-0.6013459999999999</v>
      </c>
      <c r="H45" s="28">
        <v>0.030823999999999997</v>
      </c>
      <c r="I45" s="28">
        <v>0.714212</v>
      </c>
      <c r="J45" s="28">
        <v>0.356838</v>
      </c>
      <c r="L45" s="29"/>
    </row>
    <row r="46">
      <c r="A46" s="18"/>
      <c r="B46" s="14">
        <f>IFERROR(__xludf.DUMMYFUNCTION("""COMPUTED_VALUE"""),-0.601345824096226)</f>
        <v>-0.6013458241</v>
      </c>
      <c r="C46" s="14">
        <f>IFERROR(__xludf.DUMMYFUNCTION("""COMPUTED_VALUE"""),0.0308247516040742)</f>
        <v>0.0308247516</v>
      </c>
      <c r="D46" s="14">
        <f>IFERROR(__xludf.DUMMYFUNCTION("""COMPUTED_VALUE"""),0.714212491916299)</f>
        <v>0.7142124919</v>
      </c>
      <c r="E46" s="14">
        <f>IFERROR(__xludf.DUMMYFUNCTION("""COMPUTED_VALUE"""),0.356838269978553)</f>
        <v>0.35683827</v>
      </c>
      <c r="F46" s="14"/>
      <c r="G46" s="28">
        <v>-0.6013459999999999</v>
      </c>
      <c r="H46" s="28">
        <v>0.030823999999999997</v>
      </c>
      <c r="I46" s="28">
        <v>0.714212</v>
      </c>
      <c r="J46" s="28">
        <v>0.356838</v>
      </c>
      <c r="L46" s="29"/>
    </row>
    <row r="47">
      <c r="A47" s="18"/>
      <c r="B47" s="14">
        <f>IFERROR(__xludf.DUMMYFUNCTION("""COMPUTED_VALUE"""),-0.601345824096226)</f>
        <v>-0.6013458241</v>
      </c>
      <c r="C47" s="14">
        <f>IFERROR(__xludf.DUMMYFUNCTION("""COMPUTED_VALUE"""),0.0308247516040742)</f>
        <v>0.0308247516</v>
      </c>
      <c r="D47" s="14">
        <f>IFERROR(__xludf.DUMMYFUNCTION("""COMPUTED_VALUE"""),0.714212491916299)</f>
        <v>0.7142124919</v>
      </c>
      <c r="E47" s="14">
        <f>IFERROR(__xludf.DUMMYFUNCTION("""COMPUTED_VALUE"""),0.356838269978553)</f>
        <v>0.35683827</v>
      </c>
      <c r="F47" s="14"/>
      <c r="G47" s="28">
        <v>-0.6013459999999999</v>
      </c>
      <c r="H47" s="28">
        <v>0.030823999999999997</v>
      </c>
      <c r="I47" s="28">
        <v>0.714212</v>
      </c>
      <c r="J47" s="28">
        <v>0.356838</v>
      </c>
      <c r="L47" s="29"/>
    </row>
    <row r="48">
      <c r="A48" s="18"/>
      <c r="B48" s="14">
        <f>IFERROR(__xludf.DUMMYFUNCTION("""COMPUTED_VALUE"""),-0.601345824096226)</f>
        <v>-0.6013458241</v>
      </c>
      <c r="C48" s="14">
        <f>IFERROR(__xludf.DUMMYFUNCTION("""COMPUTED_VALUE"""),0.0308247516040742)</f>
        <v>0.0308247516</v>
      </c>
      <c r="D48" s="14">
        <f>IFERROR(__xludf.DUMMYFUNCTION("""COMPUTED_VALUE"""),0.714212491916299)</f>
        <v>0.7142124919</v>
      </c>
      <c r="E48" s="14">
        <f>IFERROR(__xludf.DUMMYFUNCTION("""COMPUTED_VALUE"""),0.356838269978553)</f>
        <v>0.35683827</v>
      </c>
      <c r="F48" s="14"/>
      <c r="G48" s="28">
        <v>-0.6013459999999999</v>
      </c>
      <c r="H48" s="28">
        <v>0.030823999999999997</v>
      </c>
      <c r="I48" s="28">
        <v>0.714212</v>
      </c>
      <c r="J48" s="28">
        <v>0.356838</v>
      </c>
      <c r="L48" s="29"/>
    </row>
    <row r="49">
      <c r="A49" s="18"/>
      <c r="B49" s="14">
        <f>IFERROR(__xludf.DUMMYFUNCTION("""COMPUTED_VALUE"""),-0.601345824096226)</f>
        <v>-0.6013458241</v>
      </c>
      <c r="C49" s="14">
        <f>IFERROR(__xludf.DUMMYFUNCTION("""COMPUTED_VALUE"""),0.0308247516040742)</f>
        <v>0.0308247516</v>
      </c>
      <c r="D49" s="14">
        <f>IFERROR(__xludf.DUMMYFUNCTION("""COMPUTED_VALUE"""),0.714212491916299)</f>
        <v>0.7142124919</v>
      </c>
      <c r="E49" s="14">
        <f>IFERROR(__xludf.DUMMYFUNCTION("""COMPUTED_VALUE"""),0.356838269978553)</f>
        <v>0.35683827</v>
      </c>
      <c r="F49" s="14"/>
      <c r="G49" s="28">
        <v>-0.6013459999999999</v>
      </c>
      <c r="H49" s="28">
        <v>0.030823999999999997</v>
      </c>
      <c r="I49" s="28">
        <v>0.714212</v>
      </c>
      <c r="J49" s="28">
        <v>0.356838</v>
      </c>
      <c r="L49" s="29"/>
    </row>
    <row r="50">
      <c r="A50" s="18"/>
      <c r="B50" s="14">
        <f>IFERROR(__xludf.DUMMYFUNCTION("""COMPUTED_VALUE"""),-0.598536488743345)</f>
        <v>-0.5985364887</v>
      </c>
      <c r="C50" s="14">
        <f>IFERROR(__xludf.DUMMYFUNCTION("""COMPUTED_VALUE"""),0.0322258108921644)</f>
        <v>0.03222581089</v>
      </c>
      <c r="D50" s="14">
        <f>IFERROR(__xludf.DUMMYFUNCTION("""COMPUTED_VALUE"""),0.716568458285771)</f>
        <v>0.7165684583</v>
      </c>
      <c r="E50" s="14">
        <f>IFERROR(__xludf.DUMMYFUNCTION("""COMPUTED_VALUE"""),0.356714470333182)</f>
        <v>0.3567144703</v>
      </c>
      <c r="F50" s="14"/>
      <c r="G50" s="28">
        <v>-0.598537</v>
      </c>
      <c r="H50" s="28">
        <v>0.032225</v>
      </c>
      <c r="I50" s="28">
        <v>0.716568</v>
      </c>
      <c r="J50" s="28">
        <v>0.356714</v>
      </c>
      <c r="L50" s="29"/>
    </row>
    <row r="51">
      <c r="A51" s="18"/>
      <c r="B51" s="14">
        <f>IFERROR(__xludf.DUMMYFUNCTION("""COMPUTED_VALUE"""),-0.598536488743345)</f>
        <v>-0.5985364887</v>
      </c>
      <c r="C51" s="14">
        <f>IFERROR(__xludf.DUMMYFUNCTION("""COMPUTED_VALUE"""),0.0322258108921644)</f>
        <v>0.03222581089</v>
      </c>
      <c r="D51" s="14">
        <f>IFERROR(__xludf.DUMMYFUNCTION("""COMPUTED_VALUE"""),0.716568458285771)</f>
        <v>0.7165684583</v>
      </c>
      <c r="E51" s="14">
        <f>IFERROR(__xludf.DUMMYFUNCTION("""COMPUTED_VALUE"""),0.356714470333182)</f>
        <v>0.3567144703</v>
      </c>
      <c r="F51" s="14"/>
      <c r="G51" s="28">
        <v>-0.598537</v>
      </c>
      <c r="H51" s="28">
        <v>0.032225</v>
      </c>
      <c r="I51" s="28">
        <v>0.716568</v>
      </c>
      <c r="J51" s="28">
        <v>0.356714</v>
      </c>
      <c r="L51" s="29"/>
    </row>
    <row r="52">
      <c r="A52" s="18"/>
      <c r="B52" s="14">
        <f>IFERROR(__xludf.DUMMYFUNCTION("""COMPUTED_VALUE"""),-0.598536488743345)</f>
        <v>-0.5985364887</v>
      </c>
      <c r="C52" s="14">
        <f>IFERROR(__xludf.DUMMYFUNCTION("""COMPUTED_VALUE"""),0.0322258108921644)</f>
        <v>0.03222581089</v>
      </c>
      <c r="D52" s="14">
        <f>IFERROR(__xludf.DUMMYFUNCTION("""COMPUTED_VALUE"""),0.716568458285771)</f>
        <v>0.7165684583</v>
      </c>
      <c r="E52" s="14">
        <f>IFERROR(__xludf.DUMMYFUNCTION("""COMPUTED_VALUE"""),0.356714470333182)</f>
        <v>0.3567144703</v>
      </c>
      <c r="F52" s="14"/>
      <c r="G52" s="28">
        <v>-0.598537</v>
      </c>
      <c r="H52" s="28">
        <v>0.032225</v>
      </c>
      <c r="I52" s="28">
        <v>0.716568</v>
      </c>
      <c r="J52" s="28">
        <v>0.356714</v>
      </c>
      <c r="L52" s="29"/>
    </row>
    <row r="53">
      <c r="A53" s="18"/>
      <c r="B53" s="14">
        <f>IFERROR(__xludf.DUMMYFUNCTION("""COMPUTED_VALUE"""),-0.598536488743345)</f>
        <v>-0.5985364887</v>
      </c>
      <c r="C53" s="14">
        <f>IFERROR(__xludf.DUMMYFUNCTION("""COMPUTED_VALUE"""),0.0322258108921644)</f>
        <v>0.03222581089</v>
      </c>
      <c r="D53" s="14">
        <f>IFERROR(__xludf.DUMMYFUNCTION("""COMPUTED_VALUE"""),0.716568458285771)</f>
        <v>0.7165684583</v>
      </c>
      <c r="E53" s="14">
        <f>IFERROR(__xludf.DUMMYFUNCTION("""COMPUTED_VALUE"""),0.356714470333182)</f>
        <v>0.3567144703</v>
      </c>
      <c r="F53" s="14"/>
      <c r="G53" s="28">
        <v>-0.598537</v>
      </c>
      <c r="H53" s="28">
        <v>0.032225</v>
      </c>
      <c r="I53" s="28">
        <v>0.716568</v>
      </c>
      <c r="J53" s="28">
        <v>0.356714</v>
      </c>
      <c r="L53" s="29"/>
    </row>
    <row r="54">
      <c r="A54" s="18"/>
      <c r="B54" s="14">
        <f>IFERROR(__xludf.DUMMYFUNCTION("""COMPUTED_VALUE"""),-0.591474074492025)</f>
        <v>-0.5914740745</v>
      </c>
      <c r="C54" s="14">
        <f>IFERROR(__xludf.DUMMYFUNCTION("""COMPUTED_VALUE"""),0.0251825062102426)</f>
        <v>0.02518250621</v>
      </c>
      <c r="D54" s="14">
        <f>IFERROR(__xludf.DUMMYFUNCTION("""COMPUTED_VALUE"""),0.719243282644267)</f>
        <v>0.7192432826</v>
      </c>
      <c r="E54" s="14">
        <f>IFERROR(__xludf.DUMMYFUNCTION("""COMPUTED_VALUE"""),0.363611552286049)</f>
        <v>0.3636115523</v>
      </c>
      <c r="F54" s="14"/>
      <c r="G54" s="28">
        <v>-0.591475</v>
      </c>
      <c r="H54" s="28">
        <v>0.025182</v>
      </c>
      <c r="I54" s="28">
        <v>0.719243</v>
      </c>
      <c r="J54" s="28">
        <v>0.36361099999999996</v>
      </c>
      <c r="L54" s="29"/>
    </row>
    <row r="55">
      <c r="A55" s="18"/>
      <c r="B55" s="14">
        <f>IFERROR(__xludf.DUMMYFUNCTION("""COMPUTED_VALUE"""),-0.591474074492025)</f>
        <v>-0.5914740745</v>
      </c>
      <c r="C55" s="14">
        <f>IFERROR(__xludf.DUMMYFUNCTION("""COMPUTED_VALUE"""),0.0251825062102426)</f>
        <v>0.02518250621</v>
      </c>
      <c r="D55" s="14">
        <f>IFERROR(__xludf.DUMMYFUNCTION("""COMPUTED_VALUE"""),0.719243282644267)</f>
        <v>0.7192432826</v>
      </c>
      <c r="E55" s="14">
        <f>IFERROR(__xludf.DUMMYFUNCTION("""COMPUTED_VALUE"""),0.363611552286049)</f>
        <v>0.3636115523</v>
      </c>
      <c r="F55" s="14"/>
      <c r="G55" s="28">
        <v>-0.591475</v>
      </c>
      <c r="H55" s="28">
        <v>0.025182</v>
      </c>
      <c r="I55" s="28">
        <v>0.719243</v>
      </c>
      <c r="J55" s="28">
        <v>0.36361099999999996</v>
      </c>
      <c r="L55" s="29"/>
    </row>
    <row r="56">
      <c r="A56" s="18"/>
      <c r="B56" s="14">
        <f>IFERROR(__xludf.DUMMYFUNCTION("""COMPUTED_VALUE"""),-0.591474074492025)</f>
        <v>-0.5914740745</v>
      </c>
      <c r="C56" s="14">
        <f>IFERROR(__xludf.DUMMYFUNCTION("""COMPUTED_VALUE"""),0.0251825062102426)</f>
        <v>0.02518250621</v>
      </c>
      <c r="D56" s="14">
        <f>IFERROR(__xludf.DUMMYFUNCTION("""COMPUTED_VALUE"""),0.719243282644267)</f>
        <v>0.7192432826</v>
      </c>
      <c r="E56" s="14">
        <f>IFERROR(__xludf.DUMMYFUNCTION("""COMPUTED_VALUE"""),0.363611552286049)</f>
        <v>0.3636115523</v>
      </c>
      <c r="F56" s="14"/>
      <c r="G56" s="28">
        <v>-0.591475</v>
      </c>
      <c r="H56" s="28">
        <v>0.025182</v>
      </c>
      <c r="I56" s="28">
        <v>0.719243</v>
      </c>
      <c r="J56" s="28">
        <v>0.36361099999999996</v>
      </c>
      <c r="L56" s="29"/>
    </row>
    <row r="57">
      <c r="A57" s="18"/>
      <c r="B57" s="14">
        <f>IFERROR(__xludf.DUMMYFUNCTION("""COMPUTED_VALUE"""),-0.591474074492025)</f>
        <v>-0.5914740745</v>
      </c>
      <c r="C57" s="14">
        <f>IFERROR(__xludf.DUMMYFUNCTION("""COMPUTED_VALUE"""),0.0251825062102426)</f>
        <v>0.02518250621</v>
      </c>
      <c r="D57" s="14">
        <f>IFERROR(__xludf.DUMMYFUNCTION("""COMPUTED_VALUE"""),0.719243282644267)</f>
        <v>0.7192432826</v>
      </c>
      <c r="E57" s="14">
        <f>IFERROR(__xludf.DUMMYFUNCTION("""COMPUTED_VALUE"""),0.363611552286049)</f>
        <v>0.3636115523</v>
      </c>
      <c r="F57" s="14"/>
      <c r="G57" s="28">
        <v>-0.591475</v>
      </c>
      <c r="H57" s="28">
        <v>0.025182</v>
      </c>
      <c r="I57" s="28">
        <v>0.719243</v>
      </c>
      <c r="J57" s="28">
        <v>0.36361099999999996</v>
      </c>
      <c r="L57" s="29"/>
    </row>
    <row r="58">
      <c r="A58" s="18"/>
      <c r="B58" s="14">
        <f>IFERROR(__xludf.DUMMYFUNCTION("""COMPUTED_VALUE"""),-0.591474074492025)</f>
        <v>-0.5914740745</v>
      </c>
      <c r="C58" s="14">
        <f>IFERROR(__xludf.DUMMYFUNCTION("""COMPUTED_VALUE"""),0.0251825062102426)</f>
        <v>0.02518250621</v>
      </c>
      <c r="D58" s="14">
        <f>IFERROR(__xludf.DUMMYFUNCTION("""COMPUTED_VALUE"""),0.719243282644267)</f>
        <v>0.7192432826</v>
      </c>
      <c r="E58" s="14">
        <f>IFERROR(__xludf.DUMMYFUNCTION("""COMPUTED_VALUE"""),0.363611552286049)</f>
        <v>0.3636115523</v>
      </c>
      <c r="F58" s="14"/>
      <c r="G58" s="28">
        <v>-0.591475</v>
      </c>
      <c r="H58" s="28">
        <v>0.025182</v>
      </c>
      <c r="I58" s="28">
        <v>0.719243</v>
      </c>
      <c r="J58" s="28">
        <v>0.36361099999999996</v>
      </c>
      <c r="L58" s="29"/>
    </row>
    <row r="59">
      <c r="A59" s="18"/>
      <c r="B59" s="14">
        <f>IFERROR(__xludf.DUMMYFUNCTION("""COMPUTED_VALUE"""),-0.591474074492025)</f>
        <v>-0.5914740745</v>
      </c>
      <c r="C59" s="14">
        <f>IFERROR(__xludf.DUMMYFUNCTION("""COMPUTED_VALUE"""),0.0251825062102426)</f>
        <v>0.02518250621</v>
      </c>
      <c r="D59" s="14">
        <f>IFERROR(__xludf.DUMMYFUNCTION("""COMPUTED_VALUE"""),0.719243282644267)</f>
        <v>0.7192432826</v>
      </c>
      <c r="E59" s="14">
        <f>IFERROR(__xludf.DUMMYFUNCTION("""COMPUTED_VALUE"""),0.363611552286049)</f>
        <v>0.3636115523</v>
      </c>
      <c r="F59" s="14"/>
      <c r="G59" s="28">
        <v>-0.591475</v>
      </c>
      <c r="H59" s="28">
        <v>0.025182</v>
      </c>
      <c r="I59" s="28">
        <v>0.719243</v>
      </c>
      <c r="J59" s="28">
        <v>0.36361099999999996</v>
      </c>
      <c r="L59" s="29"/>
    </row>
    <row r="60">
      <c r="A60" s="18"/>
      <c r="B60" s="14">
        <f>IFERROR(__xludf.DUMMYFUNCTION("""COMPUTED_VALUE"""),-0.591474074492025)</f>
        <v>-0.5914740745</v>
      </c>
      <c r="C60" s="14">
        <f>IFERROR(__xludf.DUMMYFUNCTION("""COMPUTED_VALUE"""),0.0251825062102426)</f>
        <v>0.02518250621</v>
      </c>
      <c r="D60" s="14">
        <f>IFERROR(__xludf.DUMMYFUNCTION("""COMPUTED_VALUE"""),0.719243282644267)</f>
        <v>0.7192432826</v>
      </c>
      <c r="E60" s="14">
        <f>IFERROR(__xludf.DUMMYFUNCTION("""COMPUTED_VALUE"""),0.363611552286049)</f>
        <v>0.3636115523</v>
      </c>
      <c r="F60" s="14"/>
      <c r="G60" s="28">
        <v>-0.591475</v>
      </c>
      <c r="H60" s="28">
        <v>0.025182</v>
      </c>
      <c r="I60" s="28">
        <v>0.719243</v>
      </c>
      <c r="J60" s="28">
        <v>0.36361099999999996</v>
      </c>
      <c r="L60" s="29"/>
    </row>
    <row r="61">
      <c r="A61" s="18"/>
      <c r="B61" s="14">
        <f>IFERROR(__xludf.DUMMYFUNCTION("""COMPUTED_VALUE"""),-0.591474074492025)</f>
        <v>-0.5914740745</v>
      </c>
      <c r="C61" s="14">
        <f>IFERROR(__xludf.DUMMYFUNCTION("""COMPUTED_VALUE"""),0.0251825062102426)</f>
        <v>0.02518250621</v>
      </c>
      <c r="D61" s="14">
        <f>IFERROR(__xludf.DUMMYFUNCTION("""COMPUTED_VALUE"""),0.719243282644267)</f>
        <v>0.7192432826</v>
      </c>
      <c r="E61" s="14">
        <f>IFERROR(__xludf.DUMMYFUNCTION("""COMPUTED_VALUE"""),0.363611552286049)</f>
        <v>0.3636115523</v>
      </c>
      <c r="F61" s="14"/>
      <c r="G61" s="28">
        <v>-0.591475</v>
      </c>
      <c r="H61" s="28">
        <v>0.025182</v>
      </c>
      <c r="I61" s="28">
        <v>0.719243</v>
      </c>
      <c r="J61" s="28">
        <v>0.36361099999999996</v>
      </c>
      <c r="L61" s="29"/>
    </row>
    <row r="62">
      <c r="A62" s="18"/>
      <c r="B62" s="14">
        <f>IFERROR(__xludf.DUMMYFUNCTION("""COMPUTED_VALUE"""),-0.591474074492025)</f>
        <v>-0.5914740745</v>
      </c>
      <c r="C62" s="14">
        <f>IFERROR(__xludf.DUMMYFUNCTION("""COMPUTED_VALUE"""),0.0251825062102426)</f>
        <v>0.02518250621</v>
      </c>
      <c r="D62" s="14">
        <f>IFERROR(__xludf.DUMMYFUNCTION("""COMPUTED_VALUE"""),0.719243282644267)</f>
        <v>0.7192432826</v>
      </c>
      <c r="E62" s="14">
        <f>IFERROR(__xludf.DUMMYFUNCTION("""COMPUTED_VALUE"""),0.363611552286049)</f>
        <v>0.3636115523</v>
      </c>
      <c r="F62" s="14"/>
      <c r="G62" s="28">
        <v>-0.591475</v>
      </c>
      <c r="H62" s="28">
        <v>0.025182</v>
      </c>
      <c r="I62" s="28">
        <v>0.719243</v>
      </c>
      <c r="J62" s="28">
        <v>0.36361099999999996</v>
      </c>
      <c r="L62" s="29"/>
    </row>
    <row r="63">
      <c r="A63" s="18"/>
      <c r="B63" s="14">
        <f>IFERROR(__xludf.DUMMYFUNCTION("""COMPUTED_VALUE"""),-0.591474074492025)</f>
        <v>-0.5914740745</v>
      </c>
      <c r="C63" s="14">
        <f>IFERROR(__xludf.DUMMYFUNCTION("""COMPUTED_VALUE"""),0.0251825062102426)</f>
        <v>0.02518250621</v>
      </c>
      <c r="D63" s="14">
        <f>IFERROR(__xludf.DUMMYFUNCTION("""COMPUTED_VALUE"""),0.719243282644267)</f>
        <v>0.7192432826</v>
      </c>
      <c r="E63" s="14">
        <f>IFERROR(__xludf.DUMMYFUNCTION("""COMPUTED_VALUE"""),0.363611552286049)</f>
        <v>0.3636115523</v>
      </c>
      <c r="F63" s="14"/>
      <c r="G63" s="28">
        <v>-0.591475</v>
      </c>
      <c r="H63" s="28">
        <v>0.025182</v>
      </c>
      <c r="I63" s="28">
        <v>0.719243</v>
      </c>
      <c r="J63" s="28">
        <v>0.36361099999999996</v>
      </c>
      <c r="L63" s="29"/>
    </row>
    <row r="64">
      <c r="A64" s="18"/>
      <c r="B64" s="14">
        <f>IFERROR(__xludf.DUMMYFUNCTION("""COMPUTED_VALUE"""),-0.591474074492025)</f>
        <v>-0.5914740745</v>
      </c>
      <c r="C64" s="14">
        <f>IFERROR(__xludf.DUMMYFUNCTION("""COMPUTED_VALUE"""),0.0251825062102426)</f>
        <v>0.02518250621</v>
      </c>
      <c r="D64" s="14">
        <f>IFERROR(__xludf.DUMMYFUNCTION("""COMPUTED_VALUE"""),0.719243282644267)</f>
        <v>0.7192432826</v>
      </c>
      <c r="E64" s="14">
        <f>IFERROR(__xludf.DUMMYFUNCTION("""COMPUTED_VALUE"""),0.363611552286049)</f>
        <v>0.3636115523</v>
      </c>
      <c r="F64" s="14"/>
      <c r="G64" s="28">
        <v>-0.591475</v>
      </c>
      <c r="H64" s="28">
        <v>0.025182</v>
      </c>
      <c r="I64" s="28">
        <v>0.719243</v>
      </c>
      <c r="J64" s="28">
        <v>0.36361099999999996</v>
      </c>
      <c r="L64" s="29"/>
    </row>
    <row r="65">
      <c r="A65" s="18"/>
      <c r="B65" s="14">
        <f>IFERROR(__xludf.DUMMYFUNCTION("""COMPUTED_VALUE"""),-0.587213024461169)</f>
        <v>-0.5872130245</v>
      </c>
      <c r="C65" s="14">
        <f>IFERROR(__xludf.DUMMYFUNCTION("""COMPUTED_VALUE"""),0.0237764485002027)</f>
        <v>0.0237764485</v>
      </c>
      <c r="D65" s="14">
        <f>IFERROR(__xludf.DUMMYFUNCTION("""COMPUTED_VALUE"""),0.721659378145983)</f>
        <v>0.7216593781</v>
      </c>
      <c r="E65" s="14">
        <f>IFERROR(__xludf.DUMMYFUNCTION("""COMPUTED_VALUE"""),0.365818652249766)</f>
        <v>0.3658186522</v>
      </c>
      <c r="F65" s="14"/>
      <c r="G65" s="28">
        <v>-0.587214</v>
      </c>
      <c r="H65" s="28">
        <v>0.023776</v>
      </c>
      <c r="I65" s="28">
        <v>0.7216589999999999</v>
      </c>
      <c r="J65" s="28">
        <v>0.365818</v>
      </c>
      <c r="L65" s="29"/>
    </row>
    <row r="66">
      <c r="A66" s="18"/>
      <c r="B66" s="14">
        <f>IFERROR(__xludf.DUMMYFUNCTION("""COMPUTED_VALUE"""),-0.587213024461169)</f>
        <v>-0.5872130245</v>
      </c>
      <c r="C66" s="14">
        <f>IFERROR(__xludf.DUMMYFUNCTION("""COMPUTED_VALUE"""),0.0237764485002027)</f>
        <v>0.0237764485</v>
      </c>
      <c r="D66" s="14">
        <f>IFERROR(__xludf.DUMMYFUNCTION("""COMPUTED_VALUE"""),0.721659378145983)</f>
        <v>0.7216593781</v>
      </c>
      <c r="E66" s="14">
        <f>IFERROR(__xludf.DUMMYFUNCTION("""COMPUTED_VALUE"""),0.365818652249766)</f>
        <v>0.3658186522</v>
      </c>
      <c r="F66" s="14"/>
      <c r="G66" s="28">
        <v>-0.587214</v>
      </c>
      <c r="H66" s="28">
        <v>0.023776</v>
      </c>
      <c r="I66" s="28">
        <v>0.7216589999999999</v>
      </c>
      <c r="J66" s="28">
        <v>0.365818</v>
      </c>
      <c r="L66" s="29"/>
    </row>
    <row r="67">
      <c r="A67" s="18"/>
      <c r="B67" s="14">
        <f>IFERROR(__xludf.DUMMYFUNCTION("""COMPUTED_VALUE"""),-0.587213024461169)</f>
        <v>-0.5872130245</v>
      </c>
      <c r="C67" s="14">
        <f>IFERROR(__xludf.DUMMYFUNCTION("""COMPUTED_VALUE"""),0.0237764485002027)</f>
        <v>0.0237764485</v>
      </c>
      <c r="D67" s="14">
        <f>IFERROR(__xludf.DUMMYFUNCTION("""COMPUTED_VALUE"""),0.721659378145983)</f>
        <v>0.7216593781</v>
      </c>
      <c r="E67" s="14">
        <f>IFERROR(__xludf.DUMMYFUNCTION("""COMPUTED_VALUE"""),0.365818652249766)</f>
        <v>0.3658186522</v>
      </c>
      <c r="F67" s="14"/>
      <c r="G67" s="28">
        <v>-0.587214</v>
      </c>
      <c r="H67" s="28">
        <v>0.023776</v>
      </c>
      <c r="I67" s="28">
        <v>0.7216589999999999</v>
      </c>
      <c r="J67" s="28">
        <v>0.365818</v>
      </c>
      <c r="L67" s="29"/>
    </row>
    <row r="68">
      <c r="A68" s="18"/>
      <c r="B68" s="14">
        <f>IFERROR(__xludf.DUMMYFUNCTION("""COMPUTED_VALUE"""),-0.587213024461169)</f>
        <v>-0.5872130245</v>
      </c>
      <c r="C68" s="14">
        <f>IFERROR(__xludf.DUMMYFUNCTION("""COMPUTED_VALUE"""),0.0237764485002027)</f>
        <v>0.0237764485</v>
      </c>
      <c r="D68" s="14">
        <f>IFERROR(__xludf.DUMMYFUNCTION("""COMPUTED_VALUE"""),0.721659378145983)</f>
        <v>0.7216593781</v>
      </c>
      <c r="E68" s="14">
        <f>IFERROR(__xludf.DUMMYFUNCTION("""COMPUTED_VALUE"""),0.365818652249766)</f>
        <v>0.3658186522</v>
      </c>
      <c r="F68" s="14"/>
      <c r="G68" s="28">
        <v>-0.587214</v>
      </c>
      <c r="H68" s="28">
        <v>0.023776</v>
      </c>
      <c r="I68" s="28">
        <v>0.7216589999999999</v>
      </c>
      <c r="J68" s="28">
        <v>0.365818</v>
      </c>
      <c r="L68" s="29"/>
    </row>
    <row r="69">
      <c r="A69" s="18"/>
      <c r="B69" s="14">
        <f>IFERROR(__xludf.DUMMYFUNCTION("""COMPUTED_VALUE"""),-0.58293313007708)</f>
        <v>-0.5829331301</v>
      </c>
      <c r="C69" s="14">
        <f>IFERROR(__xludf.DUMMYFUNCTION("""COMPUTED_VALUE"""),0.0223877685001417)</f>
        <v>0.0223877685</v>
      </c>
      <c r="D69" s="14">
        <f>IFERROR(__xludf.DUMMYFUNCTION("""COMPUTED_VALUE"""),0.724041933266)</f>
        <v>0.7240419333</v>
      </c>
      <c r="E69" s="14">
        <f>IFERROR(__xludf.DUMMYFUNCTION("""COMPUTED_VALUE"""),0.368036727178896)</f>
        <v>0.3680367272</v>
      </c>
      <c r="F69" s="14"/>
      <c r="G69" s="28">
        <v>-0.582934</v>
      </c>
      <c r="H69" s="28">
        <v>0.022387</v>
      </c>
      <c r="I69" s="28">
        <v>0.7240409999999999</v>
      </c>
      <c r="J69" s="28">
        <v>0.368036</v>
      </c>
      <c r="L69" s="29"/>
    </row>
    <row r="70">
      <c r="A70" s="18"/>
      <c r="B70" s="14">
        <f>IFERROR(__xludf.DUMMYFUNCTION("""COMPUTED_VALUE"""),-0.58293313007708)</f>
        <v>-0.5829331301</v>
      </c>
      <c r="C70" s="14">
        <f>IFERROR(__xludf.DUMMYFUNCTION("""COMPUTED_VALUE"""),0.0223877685001417)</f>
        <v>0.0223877685</v>
      </c>
      <c r="D70" s="14">
        <f>IFERROR(__xludf.DUMMYFUNCTION("""COMPUTED_VALUE"""),0.724041933266)</f>
        <v>0.7240419333</v>
      </c>
      <c r="E70" s="14">
        <f>IFERROR(__xludf.DUMMYFUNCTION("""COMPUTED_VALUE"""),0.368036727178896)</f>
        <v>0.3680367272</v>
      </c>
      <c r="F70" s="14"/>
      <c r="G70" s="28">
        <v>-0.582934</v>
      </c>
      <c r="H70" s="28">
        <v>0.022387</v>
      </c>
      <c r="I70" s="28">
        <v>0.7240409999999999</v>
      </c>
      <c r="J70" s="28">
        <v>0.368036</v>
      </c>
      <c r="L70" s="29"/>
    </row>
    <row r="71">
      <c r="A71" s="18"/>
      <c r="B71" s="14">
        <f>IFERROR(__xludf.DUMMYFUNCTION("""COMPUTED_VALUE"""),-0.581483362212125)</f>
        <v>-0.5814833622</v>
      </c>
      <c r="C71" s="14">
        <f>IFERROR(__xludf.DUMMYFUNCTION("""COMPUTED_VALUE"""),0.0195442972461496)</f>
        <v>0.01954429725</v>
      </c>
      <c r="D71" s="14">
        <f>IFERROR(__xludf.DUMMYFUNCTION("""COMPUTED_VALUE"""),0.724124266787916)</f>
        <v>0.7241242668</v>
      </c>
      <c r="E71" s="14">
        <f>IFERROR(__xludf.DUMMYFUNCTION("""COMPUTED_VALUE"""),0.370323056485142)</f>
        <v>0.3703230565</v>
      </c>
      <c r="F71" s="14"/>
      <c r="G71" s="28">
        <v>-0.581484</v>
      </c>
      <c r="H71" s="28">
        <v>0.019544</v>
      </c>
      <c r="I71" s="28">
        <v>0.724124</v>
      </c>
      <c r="J71" s="28">
        <v>0.37032299999999996</v>
      </c>
      <c r="L71" s="29"/>
    </row>
    <row r="72">
      <c r="A72" s="18"/>
      <c r="B72" s="14">
        <f>IFERROR(__xludf.DUMMYFUNCTION("""COMPUTED_VALUE"""),-0.577176856176099)</f>
        <v>-0.5771768562</v>
      </c>
      <c r="C72" s="14">
        <f>IFERROR(__xludf.DUMMYFUNCTION("""COMPUTED_VALUE"""),0.0181456689137966)</f>
        <v>0.01814566891</v>
      </c>
      <c r="D72" s="14">
        <f>IFERROR(__xludf.DUMMYFUNCTION("""COMPUTED_VALUE"""),0.726479016521009)</f>
        <v>0.7264790165</v>
      </c>
      <c r="E72" s="14">
        <f>IFERROR(__xludf.DUMMYFUNCTION("""COMPUTED_VALUE"""),0.372512885614728)</f>
        <v>0.3725128856</v>
      </c>
      <c r="F72" s="14"/>
      <c r="G72" s="28">
        <v>-0.5771769999999999</v>
      </c>
      <c r="H72" s="28">
        <v>0.018144999999999998</v>
      </c>
      <c r="I72" s="28">
        <v>0.726479</v>
      </c>
      <c r="J72" s="28">
        <v>0.372512</v>
      </c>
      <c r="L72" s="29"/>
    </row>
    <row r="73">
      <c r="A73" s="18"/>
      <c r="B73" s="14">
        <f>IFERROR(__xludf.DUMMYFUNCTION("""COMPUTED_VALUE"""),-0.577176856176099)</f>
        <v>-0.5771768562</v>
      </c>
      <c r="C73" s="14">
        <f>IFERROR(__xludf.DUMMYFUNCTION("""COMPUTED_VALUE"""),0.0181456689137966)</f>
        <v>0.01814566891</v>
      </c>
      <c r="D73" s="14">
        <f>IFERROR(__xludf.DUMMYFUNCTION("""COMPUTED_VALUE"""),0.726479016521009)</f>
        <v>0.7264790165</v>
      </c>
      <c r="E73" s="14">
        <f>IFERROR(__xludf.DUMMYFUNCTION("""COMPUTED_VALUE"""),0.372512885614728)</f>
        <v>0.3725128856</v>
      </c>
      <c r="F73" s="14"/>
      <c r="G73" s="28">
        <v>-0.5771769999999999</v>
      </c>
      <c r="H73" s="28">
        <v>0.018144999999999998</v>
      </c>
      <c r="I73" s="28">
        <v>0.726479</v>
      </c>
      <c r="J73" s="28">
        <v>0.372512</v>
      </c>
      <c r="L73" s="29"/>
    </row>
    <row r="74">
      <c r="A74" s="18"/>
      <c r="B74" s="14">
        <f>IFERROR(__xludf.DUMMYFUNCTION("""COMPUTED_VALUE"""),-0.577176856176099)</f>
        <v>-0.5771768562</v>
      </c>
      <c r="C74" s="14">
        <f>IFERROR(__xludf.DUMMYFUNCTION("""COMPUTED_VALUE"""),0.0181456689137966)</f>
        <v>0.01814566891</v>
      </c>
      <c r="D74" s="14">
        <f>IFERROR(__xludf.DUMMYFUNCTION("""COMPUTED_VALUE"""),0.726479016521009)</f>
        <v>0.7264790165</v>
      </c>
      <c r="E74" s="14">
        <f>IFERROR(__xludf.DUMMYFUNCTION("""COMPUTED_VALUE"""),0.372512885614728)</f>
        <v>0.3725128856</v>
      </c>
      <c r="F74" s="14"/>
      <c r="G74" s="28">
        <v>-0.5771769999999999</v>
      </c>
      <c r="H74" s="28">
        <v>0.018144999999999998</v>
      </c>
      <c r="I74" s="28">
        <v>0.726479</v>
      </c>
      <c r="J74" s="28">
        <v>0.372512</v>
      </c>
      <c r="L74" s="29"/>
    </row>
    <row r="75">
      <c r="A75" s="18"/>
      <c r="B75" s="14">
        <f>IFERROR(__xludf.DUMMYFUNCTION("""COMPUTED_VALUE"""),-0.574319536776662)</f>
        <v>-0.5743195368</v>
      </c>
      <c r="C75" s="14">
        <f>IFERROR(__xludf.DUMMYFUNCTION("""COMPUTED_VALUE"""),0.0196083798770735)</f>
        <v>0.01960837988</v>
      </c>
      <c r="D75" s="14">
        <f>IFERROR(__xludf.DUMMYFUNCTION("""COMPUTED_VALUE"""),0.728739977239686)</f>
        <v>0.7287399772</v>
      </c>
      <c r="E75" s="14">
        <f>IFERROR(__xludf.DUMMYFUNCTION("""COMPUTED_VALUE"""),0.372438755620218)</f>
        <v>0.3724387556</v>
      </c>
      <c r="F75" s="14"/>
      <c r="G75" s="28">
        <v>-0.5743199999999999</v>
      </c>
      <c r="H75" s="28">
        <v>0.019608</v>
      </c>
      <c r="I75" s="28">
        <v>0.7287389999999999</v>
      </c>
      <c r="J75" s="28">
        <v>0.372438</v>
      </c>
      <c r="L75" s="29"/>
    </row>
    <row r="76">
      <c r="A76" s="18"/>
      <c r="B76" s="14">
        <f>IFERROR(__xludf.DUMMYFUNCTION("""COMPUTED_VALUE"""),-0.569986103523821)</f>
        <v>-0.5699861035</v>
      </c>
      <c r="C76" s="14">
        <f>IFERROR(__xludf.DUMMYFUNCTION("""COMPUTED_VALUE"""),0.0182177569769523)</f>
        <v>0.01821775698</v>
      </c>
      <c r="D76" s="14">
        <f>IFERROR(__xludf.DUMMYFUNCTION("""COMPUTED_VALUE"""),0.731055321194622)</f>
        <v>0.7310553212</v>
      </c>
      <c r="E76" s="14">
        <f>IFERROR(__xludf.DUMMYFUNCTION("""COMPUTED_VALUE"""),0.374622573363494)</f>
        <v>0.3746225734</v>
      </c>
      <c r="F76" s="14"/>
      <c r="G76" s="28">
        <v>-0.569987</v>
      </c>
      <c r="H76" s="28">
        <v>0.018217</v>
      </c>
      <c r="I76" s="28">
        <v>0.731055</v>
      </c>
      <c r="J76" s="28">
        <v>0.374622</v>
      </c>
      <c r="L76" s="29"/>
    </row>
    <row r="77">
      <c r="A77" s="18"/>
      <c r="B77" s="14">
        <f>IFERROR(__xludf.DUMMYFUNCTION("""COMPUTED_VALUE"""),-0.569986103523821)</f>
        <v>-0.5699861035</v>
      </c>
      <c r="C77" s="14">
        <f>IFERROR(__xludf.DUMMYFUNCTION("""COMPUTED_VALUE"""),0.0182177569769523)</f>
        <v>0.01821775698</v>
      </c>
      <c r="D77" s="14">
        <f>IFERROR(__xludf.DUMMYFUNCTION("""COMPUTED_VALUE"""),0.731055321194622)</f>
        <v>0.7310553212</v>
      </c>
      <c r="E77" s="14">
        <f>IFERROR(__xludf.DUMMYFUNCTION("""COMPUTED_VALUE"""),0.374622573363494)</f>
        <v>0.3746225734</v>
      </c>
      <c r="F77" s="14"/>
      <c r="G77" s="28">
        <v>-0.569987</v>
      </c>
      <c r="H77" s="28">
        <v>0.018217</v>
      </c>
      <c r="I77" s="28">
        <v>0.731055</v>
      </c>
      <c r="J77" s="28">
        <v>0.374622</v>
      </c>
      <c r="L77" s="29"/>
    </row>
    <row r="78">
      <c r="A78" s="18"/>
      <c r="B78" s="14">
        <f>IFERROR(__xludf.DUMMYFUNCTION("""COMPUTED_VALUE"""),-0.569986103523821)</f>
        <v>-0.5699861035</v>
      </c>
      <c r="C78" s="14">
        <f>IFERROR(__xludf.DUMMYFUNCTION("""COMPUTED_VALUE"""),0.0182177569769523)</f>
        <v>0.01821775698</v>
      </c>
      <c r="D78" s="14">
        <f>IFERROR(__xludf.DUMMYFUNCTION("""COMPUTED_VALUE"""),0.731055321194622)</f>
        <v>0.7310553212</v>
      </c>
      <c r="E78" s="14">
        <f>IFERROR(__xludf.DUMMYFUNCTION("""COMPUTED_VALUE"""),0.374622573363494)</f>
        <v>0.3746225734</v>
      </c>
      <c r="F78" s="14"/>
      <c r="G78" s="28">
        <v>-0.569987</v>
      </c>
      <c r="H78" s="28">
        <v>0.018217</v>
      </c>
      <c r="I78" s="28">
        <v>0.731055</v>
      </c>
      <c r="J78" s="28">
        <v>0.374622</v>
      </c>
      <c r="L78" s="29"/>
    </row>
    <row r="79">
      <c r="A79" s="18"/>
      <c r="B79" s="14">
        <f>IFERROR(__xludf.DUMMYFUNCTION("""COMPUTED_VALUE"""),-0.565635090558158)</f>
        <v>-0.5656350906</v>
      </c>
      <c r="C79" s="14">
        <f>IFERROR(__xludf.DUMMYFUNCTION("""COMPUTED_VALUE"""),0.0168265721983328)</f>
        <v>0.0168265722</v>
      </c>
      <c r="D79" s="14">
        <f>IFERROR(__xludf.DUMMYFUNCTION("""COMPUTED_VALUE"""),0.733348117683007)</f>
        <v>0.7333481177</v>
      </c>
      <c r="E79" s="14">
        <f>IFERROR(__xludf.DUMMYFUNCTION("""COMPUTED_VALUE"""),0.376794836864981)</f>
        <v>0.3767948369</v>
      </c>
      <c r="F79" s="14"/>
      <c r="G79" s="28">
        <v>-0.565636</v>
      </c>
      <c r="H79" s="28">
        <v>0.016826</v>
      </c>
      <c r="I79" s="28">
        <v>0.733348</v>
      </c>
      <c r="J79" s="28">
        <v>0.37679399999999996</v>
      </c>
      <c r="L79" s="29"/>
    </row>
    <row r="80">
      <c r="A80" s="18"/>
      <c r="B80" s="14">
        <f>IFERROR(__xludf.DUMMYFUNCTION("""COMPUTED_VALUE"""),-0.565635090558158)</f>
        <v>-0.5656350906</v>
      </c>
      <c r="C80" s="14">
        <f>IFERROR(__xludf.DUMMYFUNCTION("""COMPUTED_VALUE"""),0.0168265721983328)</f>
        <v>0.0168265722</v>
      </c>
      <c r="D80" s="14">
        <f>IFERROR(__xludf.DUMMYFUNCTION("""COMPUTED_VALUE"""),0.733348117683007)</f>
        <v>0.7333481177</v>
      </c>
      <c r="E80" s="14">
        <f>IFERROR(__xludf.DUMMYFUNCTION("""COMPUTED_VALUE"""),0.376794836864981)</f>
        <v>0.3767948369</v>
      </c>
      <c r="F80" s="14"/>
      <c r="G80" s="28">
        <v>-0.565636</v>
      </c>
      <c r="H80" s="28">
        <v>0.016826</v>
      </c>
      <c r="I80" s="28">
        <v>0.733348</v>
      </c>
      <c r="J80" s="28">
        <v>0.37679399999999996</v>
      </c>
      <c r="L80" s="29"/>
    </row>
    <row r="81">
      <c r="A81" s="18"/>
      <c r="B81" s="14">
        <f>IFERROR(__xludf.DUMMYFUNCTION("""COMPUTED_VALUE"""),-0.562750885325819)</f>
        <v>-0.5627508853</v>
      </c>
      <c r="C81" s="14">
        <f>IFERROR(__xludf.DUMMYFUNCTION("""COMPUTED_VALUE"""),0.0183061084721797)</f>
        <v>0.01830610847</v>
      </c>
      <c r="D81" s="14">
        <f>IFERROR(__xludf.DUMMYFUNCTION("""COMPUTED_VALUE"""),0.735563701146918)</f>
        <v>0.7355637011</v>
      </c>
      <c r="E81" s="14">
        <f>IFERROR(__xludf.DUMMYFUNCTION("""COMPUTED_VALUE"""),0.376725853921201)</f>
        <v>0.3767258539</v>
      </c>
      <c r="F81" s="14"/>
      <c r="G81" s="28">
        <v>-0.562751</v>
      </c>
      <c r="H81" s="28">
        <v>0.018306</v>
      </c>
      <c r="I81" s="28">
        <v>0.735563</v>
      </c>
      <c r="J81" s="28">
        <v>0.376725</v>
      </c>
      <c r="L81" s="29"/>
    </row>
    <row r="82">
      <c r="A82" s="18"/>
      <c r="B82" s="14">
        <f>IFERROR(__xludf.DUMMYFUNCTION("""COMPUTED_VALUE"""),-0.561267151046237)</f>
        <v>-0.561267151</v>
      </c>
      <c r="C82" s="14">
        <f>IFERROR(__xludf.DUMMYFUNCTION("""COMPUTED_VALUE"""),0.0154174229312845)</f>
        <v>0.01541742293</v>
      </c>
      <c r="D82" s="14">
        <f>IFERROR(__xludf.DUMMYFUNCTION("""COMPUTED_VALUE"""),0.735629917229109)</f>
        <v>0.7356299172</v>
      </c>
      <c r="E82" s="14">
        <f>IFERROR(__xludf.DUMMYFUNCTION("""COMPUTED_VALUE"""),0.378932860945169)</f>
        <v>0.3789328609</v>
      </c>
      <c r="F82" s="14"/>
      <c r="G82" s="28">
        <v>-0.561268</v>
      </c>
      <c r="H82" s="28">
        <v>0.015417</v>
      </c>
      <c r="I82" s="28">
        <v>0.735629</v>
      </c>
      <c r="J82" s="28">
        <v>0.378932</v>
      </c>
      <c r="L82" s="29"/>
    </row>
    <row r="83">
      <c r="A83" s="18"/>
      <c r="B83" s="14">
        <f>IFERROR(__xludf.DUMMYFUNCTION("""COMPUTED_VALUE"""),-0.561267151046237)</f>
        <v>-0.561267151</v>
      </c>
      <c r="C83" s="14">
        <f>IFERROR(__xludf.DUMMYFUNCTION("""COMPUTED_VALUE"""),0.0154174229312845)</f>
        <v>0.01541742293</v>
      </c>
      <c r="D83" s="14">
        <f>IFERROR(__xludf.DUMMYFUNCTION("""COMPUTED_VALUE"""),0.735629917229109)</f>
        <v>0.7356299172</v>
      </c>
      <c r="E83" s="14">
        <f>IFERROR(__xludf.DUMMYFUNCTION("""COMPUTED_VALUE"""),0.378932860945169)</f>
        <v>0.3789328609</v>
      </c>
      <c r="F83" s="14"/>
      <c r="G83" s="28">
        <v>-0.561268</v>
      </c>
      <c r="H83" s="28">
        <v>0.015417</v>
      </c>
      <c r="I83" s="28">
        <v>0.735629</v>
      </c>
      <c r="J83" s="28">
        <v>0.378932</v>
      </c>
      <c r="L83" s="29"/>
    </row>
    <row r="84">
      <c r="A84" s="18"/>
      <c r="B84" s="14">
        <f>IFERROR(__xludf.DUMMYFUNCTION("""COMPUTED_VALUE"""),-0.556881900734508)</f>
        <v>-0.5568819007</v>
      </c>
      <c r="C84" s="14">
        <f>IFERROR(__xludf.DUMMYFUNCTION("""COMPUTED_VALUE"""),0.01400779815463)</f>
        <v>0.01400779815</v>
      </c>
      <c r="D84" s="14">
        <f>IFERROR(__xludf.DUMMYFUNCTION("""COMPUTED_VALUE"""),0.737889028217351)</f>
        <v>0.7378890282</v>
      </c>
      <c r="E84" s="14">
        <f>IFERROR(__xludf.DUMMYFUNCTION("""COMPUTED_VALUE"""),0.381059197844156)</f>
        <v>0.3810591978</v>
      </c>
      <c r="F84" s="14"/>
      <c r="G84" s="28">
        <v>-0.556882</v>
      </c>
      <c r="H84" s="28">
        <v>0.014006999999999999</v>
      </c>
      <c r="I84" s="28">
        <v>0.737889</v>
      </c>
      <c r="J84" s="28">
        <v>0.381059</v>
      </c>
      <c r="L84" s="29"/>
    </row>
    <row r="85">
      <c r="A85" s="18"/>
      <c r="B85" s="14">
        <f>IFERROR(__xludf.DUMMYFUNCTION("""COMPUTED_VALUE"""),-0.553979930927067)</f>
        <v>-0.5539799309</v>
      </c>
      <c r="C85" s="14">
        <f>IFERROR(__xludf.DUMMYFUNCTION("""COMPUTED_VALUE"""),0.0155041022258327)</f>
        <v>0.01550410223</v>
      </c>
      <c r="D85" s="14">
        <f>IFERROR(__xludf.DUMMYFUNCTION("""COMPUTED_VALUE"""),0.74007020306135)</f>
        <v>0.7400702031</v>
      </c>
      <c r="E85" s="14">
        <f>IFERROR(__xludf.DUMMYFUNCTION("""COMPUTED_VALUE"""),0.381001251290522)</f>
        <v>0.3810012513</v>
      </c>
      <c r="F85" s="14"/>
      <c r="G85" s="28">
        <v>-0.55398</v>
      </c>
      <c r="H85" s="28">
        <v>0.015503999999999999</v>
      </c>
      <c r="I85" s="28">
        <v>0.74007</v>
      </c>
      <c r="J85" s="28">
        <v>0.381001</v>
      </c>
      <c r="L85" s="29"/>
    </row>
    <row r="86">
      <c r="A86" s="18"/>
      <c r="B86" s="14">
        <f>IFERROR(__xludf.DUMMYFUNCTION("""COMPUTED_VALUE"""),-0.552479474874409)</f>
        <v>-0.5524794749</v>
      </c>
      <c r="C86" s="14">
        <f>IFERROR(__xludf.DUMMYFUNCTION("""COMPUTED_VALUE"""),0.0125977413445149)</f>
        <v>0.01259774134</v>
      </c>
      <c r="D86" s="14">
        <f>IFERROR(__xludf.DUMMYFUNCTION("""COMPUTED_VALUE"""),0.740125380971436)</f>
        <v>0.740125381</v>
      </c>
      <c r="E86" s="14">
        <f>IFERROR(__xludf.DUMMYFUNCTION("""COMPUTED_VALUE"""),0.383173781980707)</f>
        <v>0.383173782</v>
      </c>
      <c r="F86" s="14"/>
      <c r="G86" s="28">
        <v>-0.55248</v>
      </c>
      <c r="H86" s="28">
        <v>0.012596999999999999</v>
      </c>
      <c r="I86" s="28">
        <v>0.7401249999999999</v>
      </c>
      <c r="J86" s="28">
        <v>0.383173</v>
      </c>
      <c r="L86" s="29"/>
    </row>
    <row r="87">
      <c r="A87" s="18"/>
      <c r="B87" s="14">
        <f>IFERROR(__xludf.DUMMYFUNCTION("""COMPUTED_VALUE"""),-0.552479474874409)</f>
        <v>-0.5524794749</v>
      </c>
      <c r="C87" s="14">
        <f>IFERROR(__xludf.DUMMYFUNCTION("""COMPUTED_VALUE"""),0.0125977413445149)</f>
        <v>0.01259774134</v>
      </c>
      <c r="D87" s="14">
        <f>IFERROR(__xludf.DUMMYFUNCTION("""COMPUTED_VALUE"""),0.740125380971436)</f>
        <v>0.740125381</v>
      </c>
      <c r="E87" s="14">
        <f>IFERROR(__xludf.DUMMYFUNCTION("""COMPUTED_VALUE"""),0.383173781980707)</f>
        <v>0.383173782</v>
      </c>
      <c r="F87" s="14"/>
      <c r="G87" s="28">
        <v>-0.55248</v>
      </c>
      <c r="H87" s="28">
        <v>0.012596999999999999</v>
      </c>
      <c r="I87" s="28">
        <v>0.7401249999999999</v>
      </c>
      <c r="J87" s="28">
        <v>0.383173</v>
      </c>
      <c r="L87" s="29"/>
    </row>
    <row r="88">
      <c r="A88" s="18"/>
      <c r="B88" s="14">
        <f>IFERROR(__xludf.DUMMYFUNCTION("""COMPUTED_VALUE"""),-0.552479474874409)</f>
        <v>-0.5524794749</v>
      </c>
      <c r="C88" s="14">
        <f>IFERROR(__xludf.DUMMYFUNCTION("""COMPUTED_VALUE"""),0.0125977413445149)</f>
        <v>0.01259774134</v>
      </c>
      <c r="D88" s="14">
        <f>IFERROR(__xludf.DUMMYFUNCTION("""COMPUTED_VALUE"""),0.740125380971436)</f>
        <v>0.740125381</v>
      </c>
      <c r="E88" s="14">
        <f>IFERROR(__xludf.DUMMYFUNCTION("""COMPUTED_VALUE"""),0.383173781980707)</f>
        <v>0.383173782</v>
      </c>
      <c r="F88" s="14"/>
      <c r="G88" s="28">
        <v>-0.55248</v>
      </c>
      <c r="H88" s="28">
        <v>0.012596999999999999</v>
      </c>
      <c r="I88" s="28">
        <v>0.7401249999999999</v>
      </c>
      <c r="J88" s="28">
        <v>0.383173</v>
      </c>
      <c r="L88" s="29"/>
    </row>
    <row r="89">
      <c r="A89" s="18"/>
      <c r="B89" s="14">
        <f>IFERROR(__xludf.DUMMYFUNCTION("""COMPUTED_VALUE"""),-0.552479474874409)</f>
        <v>-0.5524794749</v>
      </c>
      <c r="C89" s="14">
        <f>IFERROR(__xludf.DUMMYFUNCTION("""COMPUTED_VALUE"""),0.0125977413445149)</f>
        <v>0.01259774134</v>
      </c>
      <c r="D89" s="14">
        <f>IFERROR(__xludf.DUMMYFUNCTION("""COMPUTED_VALUE"""),0.740125380971436)</f>
        <v>0.740125381</v>
      </c>
      <c r="E89" s="14">
        <f>IFERROR(__xludf.DUMMYFUNCTION("""COMPUTED_VALUE"""),0.383173781980707)</f>
        <v>0.383173782</v>
      </c>
      <c r="F89" s="14"/>
      <c r="G89" s="28">
        <v>-0.55248</v>
      </c>
      <c r="H89" s="28">
        <v>0.012596999999999999</v>
      </c>
      <c r="I89" s="28">
        <v>0.7401249999999999</v>
      </c>
      <c r="J89" s="28">
        <v>0.383173</v>
      </c>
      <c r="L89" s="29"/>
    </row>
    <row r="90">
      <c r="A90" s="18"/>
      <c r="B90" s="14">
        <f>IFERROR(__xludf.DUMMYFUNCTION("""COMPUTED_VALUE"""),-0.548060009247115)</f>
        <v>-0.5480600092</v>
      </c>
      <c r="C90" s="14">
        <f>IFERROR(__xludf.DUMMYFUNCTION("""COMPUTED_VALUE"""),0.0111872959904095)</f>
        <v>0.01118729599</v>
      </c>
      <c r="D90" s="14">
        <f>IFERROR(__xludf.DUMMYFUNCTION("""COMPUTED_VALUE"""),0.742338906516981)</f>
        <v>0.7423389065</v>
      </c>
      <c r="E90" s="14">
        <f>IFERROR(__xludf.DUMMYFUNCTION("""COMPUTED_VALUE"""),0.385276548136071)</f>
        <v>0.3852765481</v>
      </c>
      <c r="F90" s="14"/>
      <c r="G90" s="28">
        <v>-0.548061</v>
      </c>
      <c r="H90" s="28">
        <v>0.011186999999999999</v>
      </c>
      <c r="I90" s="28">
        <v>0.7423379999999999</v>
      </c>
      <c r="J90" s="28">
        <v>0.385276</v>
      </c>
      <c r="L90" s="29"/>
    </row>
    <row r="91">
      <c r="A91" s="18"/>
      <c r="B91" s="14">
        <f>IFERROR(__xludf.DUMMYFUNCTION("""COMPUTED_VALUE"""),-0.545140632876124)</f>
        <v>-0.5451406329</v>
      </c>
      <c r="C91" s="14">
        <f>IFERROR(__xludf.DUMMYFUNCTION("""COMPUTED_VALUE"""),0.0127001832622357)</f>
        <v>0.01270018326</v>
      </c>
      <c r="D91" s="14">
        <f>IFERROR(__xludf.DUMMYFUNCTION("""COMPUTED_VALUE"""),0.744485403652881)</f>
        <v>0.7444854037</v>
      </c>
      <c r="E91" s="14">
        <f>IFERROR(__xludf.DUMMYFUNCTION("""COMPUTED_VALUE"""),0.38522964512136)</f>
        <v>0.3852296451</v>
      </c>
      <c r="F91" s="14"/>
      <c r="G91" s="28">
        <v>-0.545141</v>
      </c>
      <c r="H91" s="28">
        <v>0.0127</v>
      </c>
      <c r="I91" s="28">
        <v>0.744485</v>
      </c>
      <c r="J91" s="28">
        <v>0.385229</v>
      </c>
      <c r="L91" s="29"/>
    </row>
    <row r="92">
      <c r="A92" s="18"/>
      <c r="B92" s="14">
        <f>IFERROR(__xludf.DUMMYFUNCTION("""COMPUTED_VALUE"""),-0.545140632876124)</f>
        <v>-0.5451406329</v>
      </c>
      <c r="C92" s="14">
        <f>IFERROR(__xludf.DUMMYFUNCTION("""COMPUTED_VALUE"""),0.0127001832622357)</f>
        <v>0.01270018326</v>
      </c>
      <c r="D92" s="14">
        <f>IFERROR(__xludf.DUMMYFUNCTION("""COMPUTED_VALUE"""),0.744485403652881)</f>
        <v>0.7444854037</v>
      </c>
      <c r="E92" s="14">
        <f>IFERROR(__xludf.DUMMYFUNCTION("""COMPUTED_VALUE"""),0.38522964512136)</f>
        <v>0.3852296451</v>
      </c>
      <c r="F92" s="14"/>
      <c r="G92" s="28">
        <v>-0.545141</v>
      </c>
      <c r="H92" s="28">
        <v>0.0127</v>
      </c>
      <c r="I92" s="28">
        <v>0.744485</v>
      </c>
      <c r="J92" s="28">
        <v>0.385229</v>
      </c>
      <c r="L92" s="29"/>
    </row>
    <row r="93">
      <c r="A93" s="18"/>
      <c r="B93" s="14">
        <f>IFERROR(__xludf.DUMMYFUNCTION("""COMPUTED_VALUE"""),-0.545140632876124)</f>
        <v>-0.5451406329</v>
      </c>
      <c r="C93" s="14">
        <f>IFERROR(__xludf.DUMMYFUNCTION("""COMPUTED_VALUE"""),0.0127001832622357)</f>
        <v>0.01270018326</v>
      </c>
      <c r="D93" s="14">
        <f>IFERROR(__xludf.DUMMYFUNCTION("""COMPUTED_VALUE"""),0.744485403652881)</f>
        <v>0.7444854037</v>
      </c>
      <c r="E93" s="14">
        <f>IFERROR(__xludf.DUMMYFUNCTION("""COMPUTED_VALUE"""),0.38522964512136)</f>
        <v>0.3852296451</v>
      </c>
      <c r="F93" s="14"/>
      <c r="G93" s="28">
        <v>-0.545141</v>
      </c>
      <c r="H93" s="28">
        <v>0.0127</v>
      </c>
      <c r="I93" s="28">
        <v>0.744485</v>
      </c>
      <c r="J93" s="28">
        <v>0.385229</v>
      </c>
      <c r="L93" s="29"/>
    </row>
    <row r="94">
      <c r="A94" s="18"/>
      <c r="B94" s="14">
        <f>IFERROR(__xludf.DUMMYFUNCTION("""COMPUTED_VALUE"""),-0.543623640159346)</f>
        <v>-0.5436236402</v>
      </c>
      <c r="C94" s="14">
        <f>IFERROR(__xludf.DUMMYFUNCTION("""COMPUTED_VALUE"""),0.00977650559376796)</f>
        <v>0.009776505594</v>
      </c>
      <c r="D94" s="14">
        <f>IFERROR(__xludf.DUMMYFUNCTION("""COMPUTED_VALUE"""),0.744529536583649)</f>
        <v>0.7445295366</v>
      </c>
      <c r="E94" s="14">
        <f>IFERROR(__xludf.DUMMYFUNCTION("""COMPUTED_VALUE"""),0.387367431455991)</f>
        <v>0.3873674315</v>
      </c>
      <c r="F94" s="14"/>
      <c r="G94" s="28">
        <v>-0.543624</v>
      </c>
      <c r="H94" s="28">
        <v>0.009776</v>
      </c>
      <c r="I94" s="28">
        <v>0.744529</v>
      </c>
      <c r="J94" s="28">
        <v>0.38736699999999996</v>
      </c>
      <c r="L94" s="29"/>
    </row>
    <row r="95">
      <c r="A95" s="18"/>
      <c r="B95" s="14">
        <f>IFERROR(__xludf.DUMMYFUNCTION("""COMPUTED_VALUE"""),-0.540695695433715)</f>
        <v>-0.5406956954</v>
      </c>
      <c r="C95" s="14">
        <f>IFERROR(__xludf.DUMMYFUNCTION("""COMPUTED_VALUE"""),0.0112976146019084)</f>
        <v>0.0112976146</v>
      </c>
      <c r="D95" s="14">
        <f>IFERROR(__xludf.DUMMYFUNCTION("""COMPUTED_VALUE"""),0.746658595293065)</f>
        <v>0.7466585953</v>
      </c>
      <c r="E95" s="14">
        <f>IFERROR(__xludf.DUMMYFUNCTION("""COMPUTED_VALUE"""),0.387326052465805)</f>
        <v>0.3873260525</v>
      </c>
      <c r="F95" s="14"/>
      <c r="G95" s="28">
        <v>-0.540696</v>
      </c>
      <c r="H95" s="28">
        <v>0.011297</v>
      </c>
      <c r="I95" s="28">
        <v>0.7466579999999999</v>
      </c>
      <c r="J95" s="28">
        <v>0.387326</v>
      </c>
      <c r="L95" s="29"/>
    </row>
    <row r="96">
      <c r="A96" s="18"/>
      <c r="B96" s="14">
        <f>IFERROR(__xludf.DUMMYFUNCTION("""COMPUTED_VALUE"""),-0.540695695433715)</f>
        <v>-0.5406956954</v>
      </c>
      <c r="C96" s="14">
        <f>IFERROR(__xludf.DUMMYFUNCTION("""COMPUTED_VALUE"""),0.0112976146019084)</f>
        <v>0.0112976146</v>
      </c>
      <c r="D96" s="14">
        <f>IFERROR(__xludf.DUMMYFUNCTION("""COMPUTED_VALUE"""),0.746658595293065)</f>
        <v>0.7466585953</v>
      </c>
      <c r="E96" s="14">
        <f>IFERROR(__xludf.DUMMYFUNCTION("""COMPUTED_VALUE"""),0.387326052465805)</f>
        <v>0.3873260525</v>
      </c>
      <c r="F96" s="14"/>
      <c r="G96" s="28">
        <v>-0.540696</v>
      </c>
      <c r="H96" s="28">
        <v>0.011297</v>
      </c>
      <c r="I96" s="28">
        <v>0.7466579999999999</v>
      </c>
      <c r="J96" s="28">
        <v>0.387326</v>
      </c>
      <c r="L96" s="29"/>
    </row>
    <row r="97">
      <c r="A97" s="18"/>
      <c r="B97" s="14">
        <f>IFERROR(__xludf.DUMMYFUNCTION("""COMPUTED_VALUE"""),-0.539170504439166)</f>
        <v>-0.5391705044</v>
      </c>
      <c r="C97" s="14">
        <f>IFERROR(__xludf.DUMMYFUNCTION("""COMPUTED_VALUE"""),0.00836541366668613)</f>
        <v>0.008365413667</v>
      </c>
      <c r="D97" s="14">
        <f>IFERROR(__xludf.DUMMYFUNCTION("""COMPUTED_VALUE"""),0.746697203607253)</f>
        <v>0.7466972036</v>
      </c>
      <c r="E97" s="14">
        <f>IFERROR(__xludf.DUMMYFUNCTION("""COMPUTED_VALUE"""),0.389446367452705)</f>
        <v>0.3894463675</v>
      </c>
      <c r="F97" s="14"/>
      <c r="G97" s="28">
        <v>-0.539171</v>
      </c>
      <c r="H97" s="28">
        <v>0.008365</v>
      </c>
      <c r="I97" s="28">
        <v>0.7466969999999999</v>
      </c>
      <c r="J97" s="28">
        <v>0.38944599999999996</v>
      </c>
      <c r="L97" s="29"/>
    </row>
    <row r="98">
      <c r="A98" s="18"/>
      <c r="B98" s="14">
        <f>IFERROR(__xludf.DUMMYFUNCTION("""COMPUTED_VALUE"""),-0.539170504439166)</f>
        <v>-0.5391705044</v>
      </c>
      <c r="C98" s="14">
        <f>IFERROR(__xludf.DUMMYFUNCTION("""COMPUTED_VALUE"""),0.00836541366668613)</f>
        <v>0.008365413667</v>
      </c>
      <c r="D98" s="14">
        <f>IFERROR(__xludf.DUMMYFUNCTION("""COMPUTED_VALUE"""),0.746697203607253)</f>
        <v>0.7466972036</v>
      </c>
      <c r="E98" s="14">
        <f>IFERROR(__xludf.DUMMYFUNCTION("""COMPUTED_VALUE"""),0.389446367452705)</f>
        <v>0.3894463675</v>
      </c>
      <c r="F98" s="14"/>
      <c r="G98" s="28">
        <v>-0.539171</v>
      </c>
      <c r="H98" s="28">
        <v>0.008365</v>
      </c>
      <c r="I98" s="28">
        <v>0.7466969999999999</v>
      </c>
      <c r="J98" s="28">
        <v>0.38944599999999996</v>
      </c>
      <c r="L98" s="29"/>
    </row>
    <row r="99">
      <c r="A99" s="18"/>
      <c r="B99" s="14">
        <f>IFERROR(__xludf.DUMMYFUNCTION("""COMPUTED_VALUE"""),-0.539170504439166)</f>
        <v>-0.5391705044</v>
      </c>
      <c r="C99" s="14">
        <f>IFERROR(__xludf.DUMMYFUNCTION("""COMPUTED_VALUE"""),0.00836541366668613)</f>
        <v>0.008365413667</v>
      </c>
      <c r="D99" s="14">
        <f>IFERROR(__xludf.DUMMYFUNCTION("""COMPUTED_VALUE"""),0.746697203607253)</f>
        <v>0.7466972036</v>
      </c>
      <c r="E99" s="14">
        <f>IFERROR(__xludf.DUMMYFUNCTION("""COMPUTED_VALUE"""),0.389446367452705)</f>
        <v>0.3894463675</v>
      </c>
      <c r="F99" s="14"/>
      <c r="G99" s="28">
        <v>-0.539171</v>
      </c>
      <c r="H99" s="28">
        <v>0.008365</v>
      </c>
      <c r="I99" s="28">
        <v>0.7466969999999999</v>
      </c>
      <c r="J99" s="28">
        <v>0.38944599999999996</v>
      </c>
      <c r="L99" s="29"/>
    </row>
    <row r="100">
      <c r="A100" s="18"/>
      <c r="B100" s="14">
        <f>IFERROR(__xludf.DUMMYFUNCTION("""COMPUTED_VALUE"""),-0.536234081663599)</f>
        <v>-0.5362340817</v>
      </c>
      <c r="C100" s="14">
        <f>IFERROR(__xludf.DUMMYFUNCTION("""COMPUTED_VALUE"""),0.00989469749655948)</f>
        <v>0.009894697497</v>
      </c>
      <c r="D100" s="14">
        <f>IFERROR(__xludf.DUMMYFUNCTION("""COMPUTED_VALUE"""),0.748808758225004)</f>
        <v>0.7488087582</v>
      </c>
      <c r="E100" s="14">
        <f>IFERROR(__xludf.DUMMYFUNCTION("""COMPUTED_VALUE"""),0.38941051376327)</f>
        <v>0.3894105138</v>
      </c>
      <c r="F100" s="14"/>
      <c r="G100" s="28">
        <v>-0.536235</v>
      </c>
      <c r="H100" s="28">
        <v>0.009894</v>
      </c>
      <c r="I100" s="28">
        <v>0.7488079999999999</v>
      </c>
      <c r="J100" s="28">
        <v>0.38941</v>
      </c>
      <c r="L100" s="29"/>
    </row>
    <row r="101">
      <c r="A101" s="18"/>
      <c r="B101" s="14">
        <f>IFERROR(__xludf.DUMMYFUNCTION("""COMPUTED_VALUE"""),-0.534700739431759)</f>
        <v>-0.5347007394</v>
      </c>
      <c r="C101" s="14">
        <f>IFERROR(__xludf.DUMMYFUNCTION("""COMPUTED_VALUE"""),0.00695406373055986)</f>
        <v>0.006954063731</v>
      </c>
      <c r="D101" s="14">
        <f>IFERROR(__xludf.DUMMYFUNCTION("""COMPUTED_VALUE"""),0.748841840731841)</f>
        <v>0.7488418407</v>
      </c>
      <c r="E101" s="14">
        <f>IFERROR(__xludf.DUMMYFUNCTION("""COMPUTED_VALUE"""),0.391513292006934)</f>
        <v>0.391513292</v>
      </c>
      <c r="F101" s="14"/>
      <c r="G101" s="28">
        <v>-0.534701</v>
      </c>
      <c r="H101" s="28">
        <v>0.006954</v>
      </c>
      <c r="I101" s="28">
        <v>0.748841</v>
      </c>
      <c r="J101" s="28">
        <v>0.391513</v>
      </c>
      <c r="L101" s="29"/>
    </row>
    <row r="102">
      <c r="A102" s="18"/>
      <c r="B102" s="14">
        <f>IFERROR(__xludf.DUMMYFUNCTION("""COMPUTED_VALUE"""),-0.534700739431759)</f>
        <v>-0.5347007394</v>
      </c>
      <c r="C102" s="14">
        <f>IFERROR(__xludf.DUMMYFUNCTION("""COMPUTED_VALUE"""),0.00695406373055986)</f>
        <v>0.006954063731</v>
      </c>
      <c r="D102" s="14">
        <f>IFERROR(__xludf.DUMMYFUNCTION("""COMPUTED_VALUE"""),0.748841840731841)</f>
        <v>0.7488418407</v>
      </c>
      <c r="E102" s="14">
        <f>IFERROR(__xludf.DUMMYFUNCTION("""COMPUTED_VALUE"""),0.391513292006934)</f>
        <v>0.391513292</v>
      </c>
      <c r="F102" s="14"/>
      <c r="G102" s="28">
        <v>-0.534701</v>
      </c>
      <c r="H102" s="28">
        <v>0.006954</v>
      </c>
      <c r="I102" s="28">
        <v>0.748841</v>
      </c>
      <c r="J102" s="28">
        <v>0.391513</v>
      </c>
      <c r="L102" s="29"/>
    </row>
    <row r="103">
      <c r="A103" s="18"/>
      <c r="B103" s="14">
        <f>IFERROR(__xludf.DUMMYFUNCTION("""COMPUTED_VALUE"""),-0.534700739431759)</f>
        <v>-0.5347007394</v>
      </c>
      <c r="C103" s="14">
        <f>IFERROR(__xludf.DUMMYFUNCTION("""COMPUTED_VALUE"""),0.00695406373055986)</f>
        <v>0.006954063731</v>
      </c>
      <c r="D103" s="14">
        <f>IFERROR(__xludf.DUMMYFUNCTION("""COMPUTED_VALUE"""),0.748841840731841)</f>
        <v>0.7488418407</v>
      </c>
      <c r="E103" s="14">
        <f>IFERROR(__xludf.DUMMYFUNCTION("""COMPUTED_VALUE"""),0.391513292006934)</f>
        <v>0.391513292</v>
      </c>
      <c r="F103" s="14"/>
      <c r="G103" s="28">
        <v>-0.534701</v>
      </c>
      <c r="H103" s="28">
        <v>0.006954</v>
      </c>
      <c r="I103" s="28">
        <v>0.748841</v>
      </c>
      <c r="J103" s="28">
        <v>0.391513</v>
      </c>
      <c r="L103" s="29"/>
    </row>
    <row r="104">
      <c r="A104" s="18"/>
      <c r="B104" s="14">
        <f>IFERROR(__xludf.DUMMYFUNCTION("""COMPUTED_VALUE"""),-0.534700739431759)</f>
        <v>-0.5347007394</v>
      </c>
      <c r="C104" s="14">
        <f>IFERROR(__xludf.DUMMYFUNCTION("""COMPUTED_VALUE"""),0.00695406373055986)</f>
        <v>0.006954063731</v>
      </c>
      <c r="D104" s="14">
        <f>IFERROR(__xludf.DUMMYFUNCTION("""COMPUTED_VALUE"""),0.748841840731841)</f>
        <v>0.7488418407</v>
      </c>
      <c r="E104" s="14">
        <f>IFERROR(__xludf.DUMMYFUNCTION("""COMPUTED_VALUE"""),0.391513292006934)</f>
        <v>0.391513292</v>
      </c>
      <c r="F104" s="14"/>
      <c r="G104" s="28">
        <v>-0.534701</v>
      </c>
      <c r="H104" s="28">
        <v>0.006954</v>
      </c>
      <c r="I104" s="28">
        <v>0.748841</v>
      </c>
      <c r="J104" s="28">
        <v>0.391513</v>
      </c>
      <c r="L104" s="29"/>
    </row>
    <row r="105">
      <c r="A105" s="18"/>
      <c r="B105" s="14">
        <f>IFERROR(__xludf.DUMMYFUNCTION("""COMPUTED_VALUE"""),-0.534700739431759)</f>
        <v>-0.5347007394</v>
      </c>
      <c r="C105" s="14">
        <f>IFERROR(__xludf.DUMMYFUNCTION("""COMPUTED_VALUE"""),0.00695406373055986)</f>
        <v>0.006954063731</v>
      </c>
      <c r="D105" s="14">
        <f>IFERROR(__xludf.DUMMYFUNCTION("""COMPUTED_VALUE"""),0.748841840731841)</f>
        <v>0.7488418407</v>
      </c>
      <c r="E105" s="14">
        <f>IFERROR(__xludf.DUMMYFUNCTION("""COMPUTED_VALUE"""),0.391513292006934)</f>
        <v>0.391513292</v>
      </c>
      <c r="F105" s="14"/>
      <c r="G105" s="28">
        <v>-0.534701</v>
      </c>
      <c r="H105" s="28">
        <v>0.006954</v>
      </c>
      <c r="I105" s="28">
        <v>0.748841</v>
      </c>
      <c r="J105" s="28">
        <v>0.391513</v>
      </c>
      <c r="L105" s="29"/>
    </row>
    <row r="106">
      <c r="A106" s="18"/>
      <c r="B106" s="14">
        <f>IFERROR(__xludf.DUMMYFUNCTION("""COMPUTED_VALUE"""),-0.534700739431759)</f>
        <v>-0.5347007394</v>
      </c>
      <c r="C106" s="14">
        <f>IFERROR(__xludf.DUMMYFUNCTION("""COMPUTED_VALUE"""),0.00695406373055986)</f>
        <v>0.006954063731</v>
      </c>
      <c r="D106" s="14">
        <f>IFERROR(__xludf.DUMMYFUNCTION("""COMPUTED_VALUE"""),0.748841840731841)</f>
        <v>0.7488418407</v>
      </c>
      <c r="E106" s="14">
        <f>IFERROR(__xludf.DUMMYFUNCTION("""COMPUTED_VALUE"""),0.391513292006934)</f>
        <v>0.391513292</v>
      </c>
      <c r="F106" s="14"/>
      <c r="G106" s="28">
        <v>-0.534701</v>
      </c>
      <c r="H106" s="28">
        <v>0.006954</v>
      </c>
      <c r="I106" s="28">
        <v>0.748841</v>
      </c>
      <c r="J106" s="28">
        <v>0.391513</v>
      </c>
      <c r="L106" s="29"/>
    </row>
    <row r="107">
      <c r="A107" s="18"/>
      <c r="B107" s="14">
        <f>IFERROR(__xludf.DUMMYFUNCTION("""COMPUTED_VALUE"""),-0.534700739431759)</f>
        <v>-0.5347007394</v>
      </c>
      <c r="C107" s="14">
        <f>IFERROR(__xludf.DUMMYFUNCTION("""COMPUTED_VALUE"""),0.00695406373055986)</f>
        <v>0.006954063731</v>
      </c>
      <c r="D107" s="14">
        <f>IFERROR(__xludf.DUMMYFUNCTION("""COMPUTED_VALUE"""),0.748841840731841)</f>
        <v>0.7488418407</v>
      </c>
      <c r="E107" s="14">
        <f>IFERROR(__xludf.DUMMYFUNCTION("""COMPUTED_VALUE"""),0.391513292006934)</f>
        <v>0.391513292</v>
      </c>
      <c r="F107" s="14"/>
      <c r="G107" s="28">
        <v>-0.534701</v>
      </c>
      <c r="H107" s="28">
        <v>0.006954</v>
      </c>
      <c r="I107" s="28">
        <v>0.748841</v>
      </c>
      <c r="J107" s="28">
        <v>0.391513</v>
      </c>
      <c r="L107" s="29"/>
    </row>
    <row r="108">
      <c r="A108" s="18"/>
      <c r="B108" s="14">
        <f>IFERROR(__xludf.DUMMYFUNCTION("""COMPUTED_VALUE"""),-0.534700739431759)</f>
        <v>-0.5347007394</v>
      </c>
      <c r="C108" s="14">
        <f>IFERROR(__xludf.DUMMYFUNCTION("""COMPUTED_VALUE"""),0.00695406373055986)</f>
        <v>0.006954063731</v>
      </c>
      <c r="D108" s="14">
        <f>IFERROR(__xludf.DUMMYFUNCTION("""COMPUTED_VALUE"""),0.748841840731841)</f>
        <v>0.7488418407</v>
      </c>
      <c r="E108" s="14">
        <f>IFERROR(__xludf.DUMMYFUNCTION("""COMPUTED_VALUE"""),0.391513292006934)</f>
        <v>0.391513292</v>
      </c>
      <c r="F108" s="14"/>
      <c r="G108" s="28">
        <v>-0.534701</v>
      </c>
      <c r="H108" s="28">
        <v>0.006954</v>
      </c>
      <c r="I108" s="28">
        <v>0.748841</v>
      </c>
      <c r="J108" s="28">
        <v>0.391513</v>
      </c>
      <c r="L108" s="29"/>
    </row>
    <row r="109">
      <c r="A109" s="18"/>
      <c r="B109" s="14">
        <f>IFERROR(__xludf.DUMMYFUNCTION("""COMPUTED_VALUE"""),-0.531755929172447)</f>
        <v>-0.5317559292</v>
      </c>
      <c r="C109" s="14">
        <f>IFERROR(__xludf.DUMMYFUNCTION("""COMPUTED_VALUE"""),0.00849147521545378)</f>
        <v>0.008491475215</v>
      </c>
      <c r="D109" s="14">
        <f>IFERROR(__xludf.DUMMYFUNCTION("""COMPUTED_VALUE"""),0.750935826132613)</f>
        <v>0.7509358261</v>
      </c>
      <c r="E109" s="14">
        <f>IFERROR(__xludf.DUMMYFUNCTION("""COMPUTED_VALUE"""),0.391482964724062)</f>
        <v>0.3914829647</v>
      </c>
      <c r="F109" s="14"/>
      <c r="G109" s="28">
        <v>-0.531756</v>
      </c>
      <c r="H109" s="28">
        <v>0.008491</v>
      </c>
      <c r="I109" s="28">
        <v>0.750935</v>
      </c>
      <c r="J109" s="28">
        <v>0.391482</v>
      </c>
      <c r="L109" s="29"/>
    </row>
    <row r="110">
      <c r="A110" s="18"/>
      <c r="B110" s="14">
        <f>IFERROR(__xludf.DUMMYFUNCTION("""COMPUTED_VALUE"""),-0.531755929172447)</f>
        <v>-0.5317559292</v>
      </c>
      <c r="C110" s="14">
        <f>IFERROR(__xludf.DUMMYFUNCTION("""COMPUTED_VALUE"""),0.00849147521545378)</f>
        <v>0.008491475215</v>
      </c>
      <c r="D110" s="14">
        <f>IFERROR(__xludf.DUMMYFUNCTION("""COMPUTED_VALUE"""),0.750935826132613)</f>
        <v>0.7509358261</v>
      </c>
      <c r="E110" s="14">
        <f>IFERROR(__xludf.DUMMYFUNCTION("""COMPUTED_VALUE"""),0.391482964724062)</f>
        <v>0.3914829647</v>
      </c>
      <c r="F110" s="14"/>
      <c r="G110" s="28">
        <v>-0.531756</v>
      </c>
      <c r="H110" s="28">
        <v>0.008491</v>
      </c>
      <c r="I110" s="28">
        <v>0.750935</v>
      </c>
      <c r="J110" s="28">
        <v>0.391482</v>
      </c>
      <c r="L110" s="29"/>
    </row>
    <row r="111">
      <c r="A111" s="18"/>
      <c r="B111" s="14">
        <f>IFERROR(__xludf.DUMMYFUNCTION("""COMPUTED_VALUE"""),-0.531755929172447)</f>
        <v>-0.5317559292</v>
      </c>
      <c r="C111" s="14">
        <f>IFERROR(__xludf.DUMMYFUNCTION("""COMPUTED_VALUE"""),0.00849147521545378)</f>
        <v>0.008491475215</v>
      </c>
      <c r="D111" s="14">
        <f>IFERROR(__xludf.DUMMYFUNCTION("""COMPUTED_VALUE"""),0.750935826132613)</f>
        <v>0.7509358261</v>
      </c>
      <c r="E111" s="14">
        <f>IFERROR(__xludf.DUMMYFUNCTION("""COMPUTED_VALUE"""),0.391482964724062)</f>
        <v>0.3914829647</v>
      </c>
      <c r="F111" s="14"/>
      <c r="G111" s="28">
        <v>-0.531756</v>
      </c>
      <c r="H111" s="28">
        <v>0.008491</v>
      </c>
      <c r="I111" s="28">
        <v>0.750935</v>
      </c>
      <c r="J111" s="28">
        <v>0.391482</v>
      </c>
      <c r="L111" s="29"/>
    </row>
    <row r="112">
      <c r="A112" s="18"/>
      <c r="B112" s="14">
        <f>IFERROR(__xludf.DUMMYFUNCTION("""COMPUTED_VALUE"""),-0.531755929172447)</f>
        <v>-0.5317559292</v>
      </c>
      <c r="C112" s="14">
        <f>IFERROR(__xludf.DUMMYFUNCTION("""COMPUTED_VALUE"""),0.00849147521545378)</f>
        <v>0.008491475215</v>
      </c>
      <c r="D112" s="14">
        <f>IFERROR(__xludf.DUMMYFUNCTION("""COMPUTED_VALUE"""),0.750935826132613)</f>
        <v>0.7509358261</v>
      </c>
      <c r="E112" s="14">
        <f>IFERROR(__xludf.DUMMYFUNCTION("""COMPUTED_VALUE"""),0.391482964724062)</f>
        <v>0.3914829647</v>
      </c>
      <c r="F112" s="14"/>
      <c r="G112" s="28">
        <v>-0.531756</v>
      </c>
      <c r="H112" s="28">
        <v>0.008491</v>
      </c>
      <c r="I112" s="28">
        <v>0.750935</v>
      </c>
      <c r="J112" s="28">
        <v>0.391482</v>
      </c>
      <c r="L112" s="29"/>
    </row>
    <row r="113">
      <c r="A113" s="18"/>
      <c r="B113" s="14">
        <f>IFERROR(__xludf.DUMMYFUNCTION("""COMPUTED_VALUE"""),-0.531755929172447)</f>
        <v>-0.5317559292</v>
      </c>
      <c r="C113" s="14">
        <f>IFERROR(__xludf.DUMMYFUNCTION("""COMPUTED_VALUE"""),0.00849147521545378)</f>
        <v>0.008491475215</v>
      </c>
      <c r="D113" s="14">
        <f>IFERROR(__xludf.DUMMYFUNCTION("""COMPUTED_VALUE"""),0.750935826132613)</f>
        <v>0.7509358261</v>
      </c>
      <c r="E113" s="14">
        <f>IFERROR(__xludf.DUMMYFUNCTION("""COMPUTED_VALUE"""),0.391482964724062)</f>
        <v>0.3914829647</v>
      </c>
      <c r="F113" s="14"/>
      <c r="G113" s="28">
        <v>-0.531756</v>
      </c>
      <c r="H113" s="28">
        <v>0.008491</v>
      </c>
      <c r="I113" s="28">
        <v>0.750935</v>
      </c>
      <c r="J113" s="28">
        <v>0.391482</v>
      </c>
      <c r="L113" s="29"/>
    </row>
    <row r="114">
      <c r="A114" s="18"/>
      <c r="B114" s="14">
        <f>IFERROR(__xludf.DUMMYFUNCTION("""COMPUTED_VALUE"""),-0.527261637974098)</f>
        <v>-0.527261638</v>
      </c>
      <c r="C114" s="14">
        <f>IFERROR(__xludf.DUMMYFUNCTION("""COMPUTED_VALUE"""),0.00707159043299327)</f>
        <v>0.007071590433</v>
      </c>
      <c r="D114" s="14">
        <f>IFERROR(__xludf.DUMMYFUNCTION("""COMPUTED_VALUE"""),0.75305180766805)</f>
        <v>0.7530518077</v>
      </c>
      <c r="E114" s="14">
        <f>IFERROR(__xludf.DUMMYFUNCTION("""COMPUTED_VALUE"""),0.393520180800807)</f>
        <v>0.3935201808</v>
      </c>
      <c r="F114" s="14"/>
      <c r="G114" s="28">
        <v>-0.527262</v>
      </c>
      <c r="H114" s="28">
        <v>0.007071</v>
      </c>
      <c r="I114" s="28">
        <v>0.7530509999999999</v>
      </c>
      <c r="J114" s="28">
        <v>0.39352</v>
      </c>
      <c r="L114" s="29"/>
    </row>
    <row r="115">
      <c r="A115" s="18"/>
      <c r="B115" s="14">
        <f>IFERROR(__xludf.DUMMYFUNCTION("""COMPUTED_VALUE"""),-0.527261637974098)</f>
        <v>-0.527261638</v>
      </c>
      <c r="C115" s="14">
        <f>IFERROR(__xludf.DUMMYFUNCTION("""COMPUTED_VALUE"""),0.00707159043299327)</f>
        <v>0.007071590433</v>
      </c>
      <c r="D115" s="14">
        <f>IFERROR(__xludf.DUMMYFUNCTION("""COMPUTED_VALUE"""),0.75305180766805)</f>
        <v>0.7530518077</v>
      </c>
      <c r="E115" s="14">
        <f>IFERROR(__xludf.DUMMYFUNCTION("""COMPUTED_VALUE"""),0.393520180800807)</f>
        <v>0.3935201808</v>
      </c>
      <c r="F115" s="14"/>
      <c r="G115" s="28">
        <v>-0.527262</v>
      </c>
      <c r="H115" s="28">
        <v>0.007071</v>
      </c>
      <c r="I115" s="28">
        <v>0.7530509999999999</v>
      </c>
      <c r="J115" s="28">
        <v>0.39352</v>
      </c>
      <c r="L115" s="29"/>
    </row>
    <row r="116">
      <c r="A116" s="18"/>
      <c r="B116" s="14">
        <f>IFERROR(__xludf.DUMMYFUNCTION("""COMPUTED_VALUE"""),-0.527261637974098)</f>
        <v>-0.527261638</v>
      </c>
      <c r="C116" s="14">
        <f>IFERROR(__xludf.DUMMYFUNCTION("""COMPUTED_VALUE"""),0.00707159043299327)</f>
        <v>0.007071590433</v>
      </c>
      <c r="D116" s="14">
        <f>IFERROR(__xludf.DUMMYFUNCTION("""COMPUTED_VALUE"""),0.75305180766805)</f>
        <v>0.7530518077</v>
      </c>
      <c r="E116" s="14">
        <f>IFERROR(__xludf.DUMMYFUNCTION("""COMPUTED_VALUE"""),0.393520180800807)</f>
        <v>0.3935201808</v>
      </c>
      <c r="F116" s="14"/>
      <c r="G116" s="28">
        <v>-0.527262</v>
      </c>
      <c r="H116" s="28">
        <v>0.007071</v>
      </c>
      <c r="I116" s="28">
        <v>0.7530509999999999</v>
      </c>
      <c r="J116" s="28">
        <v>0.39352</v>
      </c>
      <c r="L116" s="29"/>
    </row>
    <row r="117">
      <c r="A117" s="18"/>
      <c r="B117" s="14">
        <f>IFERROR(__xludf.DUMMYFUNCTION("""COMPUTED_VALUE"""),-0.527261637974098)</f>
        <v>-0.527261638</v>
      </c>
      <c r="C117" s="14">
        <f>IFERROR(__xludf.DUMMYFUNCTION("""COMPUTED_VALUE"""),0.00707159043299327)</f>
        <v>0.007071590433</v>
      </c>
      <c r="D117" s="14">
        <f>IFERROR(__xludf.DUMMYFUNCTION("""COMPUTED_VALUE"""),0.75305180766805)</f>
        <v>0.7530518077</v>
      </c>
      <c r="E117" s="14">
        <f>IFERROR(__xludf.DUMMYFUNCTION("""COMPUTED_VALUE"""),0.393520180800807)</f>
        <v>0.3935201808</v>
      </c>
      <c r="F117" s="14"/>
      <c r="G117" s="28">
        <v>-0.527262</v>
      </c>
      <c r="H117" s="28">
        <v>0.007071</v>
      </c>
      <c r="I117" s="28">
        <v>0.7530509999999999</v>
      </c>
      <c r="J117" s="28">
        <v>0.39352</v>
      </c>
      <c r="L117" s="29"/>
    </row>
    <row r="118">
      <c r="A118" s="18"/>
      <c r="B118" s="14">
        <f>IFERROR(__xludf.DUMMYFUNCTION("""COMPUTED_VALUE"""),-0.527261637974098)</f>
        <v>-0.527261638</v>
      </c>
      <c r="C118" s="14">
        <f>IFERROR(__xludf.DUMMYFUNCTION("""COMPUTED_VALUE"""),0.00707159043299327)</f>
        <v>0.007071590433</v>
      </c>
      <c r="D118" s="14">
        <f>IFERROR(__xludf.DUMMYFUNCTION("""COMPUTED_VALUE"""),0.75305180766805)</f>
        <v>0.7530518077</v>
      </c>
      <c r="E118" s="14">
        <f>IFERROR(__xludf.DUMMYFUNCTION("""COMPUTED_VALUE"""),0.393520180800807)</f>
        <v>0.3935201808</v>
      </c>
      <c r="F118" s="14"/>
      <c r="G118" s="28">
        <v>-0.527262</v>
      </c>
      <c r="H118" s="28">
        <v>0.007071</v>
      </c>
      <c r="I118" s="28">
        <v>0.7530509999999999</v>
      </c>
      <c r="J118" s="28">
        <v>0.39352</v>
      </c>
      <c r="L118" s="29"/>
    </row>
    <row r="119">
      <c r="A119" s="18"/>
      <c r="B119" s="14">
        <f>IFERROR(__xludf.DUMMYFUNCTION("""COMPUTED_VALUE"""),-0.527261637974098)</f>
        <v>-0.527261638</v>
      </c>
      <c r="C119" s="14">
        <f>IFERROR(__xludf.DUMMYFUNCTION("""COMPUTED_VALUE"""),0.00707159043299327)</f>
        <v>0.007071590433</v>
      </c>
      <c r="D119" s="14">
        <f>IFERROR(__xludf.DUMMYFUNCTION("""COMPUTED_VALUE"""),0.75305180766805)</f>
        <v>0.7530518077</v>
      </c>
      <c r="E119" s="14">
        <f>IFERROR(__xludf.DUMMYFUNCTION("""COMPUTED_VALUE"""),0.393520180800807)</f>
        <v>0.3935201808</v>
      </c>
      <c r="F119" s="14"/>
      <c r="G119" s="28">
        <v>-0.527262</v>
      </c>
      <c r="H119" s="28">
        <v>0.007071</v>
      </c>
      <c r="I119" s="28">
        <v>0.7530509999999999</v>
      </c>
      <c r="J119" s="28">
        <v>0.39352</v>
      </c>
      <c r="L119" s="29"/>
    </row>
    <row r="120">
      <c r="A120" s="18"/>
      <c r="B120" s="14">
        <f>IFERROR(__xludf.DUMMYFUNCTION("""COMPUTED_VALUE"""),-0.525712226342588)</f>
        <v>-0.5257122263</v>
      </c>
      <c r="C120" s="14">
        <f>IFERROR(__xludf.DUMMYFUNCTION("""COMPUTED_VALUE"""),0.00411431606201737)</f>
        <v>0.004114316062</v>
      </c>
      <c r="D120" s="14">
        <f>IFERROR(__xludf.DUMMYFUNCTION("""COMPUTED_VALUE"""),0.753073771171664)</f>
        <v>0.7530737712</v>
      </c>
      <c r="E120" s="14">
        <f>IFERROR(__xludf.DUMMYFUNCTION("""COMPUTED_VALUE"""),0.395587692744034)</f>
        <v>0.3955876927</v>
      </c>
      <c r="F120" s="14"/>
      <c r="G120" s="28">
        <v>-0.525713</v>
      </c>
      <c r="H120" s="28">
        <v>0.004114</v>
      </c>
      <c r="I120" s="28">
        <v>0.753073</v>
      </c>
      <c r="J120" s="28">
        <v>0.39558699999999997</v>
      </c>
      <c r="L120" s="29"/>
    </row>
    <row r="121">
      <c r="A121" s="18"/>
      <c r="B121" s="14">
        <f>IFERROR(__xludf.DUMMYFUNCTION("""COMPUTED_VALUE"""),-0.525712226342588)</f>
        <v>-0.5257122263</v>
      </c>
      <c r="C121" s="14">
        <f>IFERROR(__xludf.DUMMYFUNCTION("""COMPUTED_VALUE"""),0.00411431606201737)</f>
        <v>0.004114316062</v>
      </c>
      <c r="D121" s="14">
        <f>IFERROR(__xludf.DUMMYFUNCTION("""COMPUTED_VALUE"""),0.753073771171664)</f>
        <v>0.7530737712</v>
      </c>
      <c r="E121" s="14">
        <f>IFERROR(__xludf.DUMMYFUNCTION("""COMPUTED_VALUE"""),0.395587692744034)</f>
        <v>0.3955876927</v>
      </c>
      <c r="F121" s="14"/>
      <c r="G121" s="28">
        <v>-0.525713</v>
      </c>
      <c r="H121" s="28">
        <v>0.004114</v>
      </c>
      <c r="I121" s="28">
        <v>0.753073</v>
      </c>
      <c r="J121" s="28">
        <v>0.39558699999999997</v>
      </c>
      <c r="L121" s="29"/>
    </row>
    <row r="122">
      <c r="A122" s="18"/>
      <c r="B122" s="14">
        <f>IFERROR(__xludf.DUMMYFUNCTION("""COMPUTED_VALUE"""),-0.521193319282101)</f>
        <v>-0.5211933193</v>
      </c>
      <c r="C122" s="14">
        <f>IFERROR(__xludf.DUMMYFUNCTION("""COMPUTED_VALUE"""),0.00271852964283869)</f>
        <v>0.002718529643</v>
      </c>
      <c r="D122" s="14">
        <f>IFERROR(__xludf.DUMMYFUNCTION("""COMPUTED_VALUE"""),0.755136659974422)</f>
        <v>0.75513666</v>
      </c>
      <c r="E122" s="14">
        <f>IFERROR(__xludf.DUMMYFUNCTION("""COMPUTED_VALUE"""),0.397641494684545)</f>
        <v>0.3976414947</v>
      </c>
      <c r="F122" s="14"/>
      <c r="G122" s="28">
        <v>-0.5211939999999999</v>
      </c>
      <c r="H122" s="28">
        <v>0.002718</v>
      </c>
      <c r="I122" s="28">
        <v>0.7551359999999999</v>
      </c>
      <c r="J122" s="28">
        <v>0.39764099999999997</v>
      </c>
      <c r="L122" s="29"/>
    </row>
    <row r="123">
      <c r="A123" s="18"/>
      <c r="B123" s="14">
        <f>IFERROR(__xludf.DUMMYFUNCTION("""COMPUTED_VALUE"""),-0.519627770121382)</f>
        <v>-0.5196277701</v>
      </c>
      <c r="C123" s="14">
        <f>IFERROR(__xludf.DUMMYFUNCTION("""COMPUTED_VALUE"""),-2.4689833792323E-4)</f>
        <v>-0.0002468983379</v>
      </c>
      <c r="D123" s="14">
        <f>IFERROR(__xludf.DUMMYFUNCTION("""COMPUTED_VALUE"""),0.755141513017233)</f>
        <v>0.755141513</v>
      </c>
      <c r="E123" s="14">
        <f>IFERROR(__xludf.DUMMYFUNCTION("""COMPUTED_VALUE"""),0.399685144680076)</f>
        <v>0.3996851447</v>
      </c>
      <c r="F123" s="14"/>
      <c r="G123" s="28">
        <v>-0.519628</v>
      </c>
      <c r="H123" s="28">
        <v>-2.47E-4</v>
      </c>
      <c r="I123" s="28">
        <v>0.755141</v>
      </c>
      <c r="J123" s="28">
        <v>0.39968499999999996</v>
      </c>
      <c r="L123" s="29"/>
    </row>
    <row r="124">
      <c r="A124" s="18"/>
      <c r="B124" s="14">
        <f>IFERROR(__xludf.DUMMYFUNCTION("""COMPUTED_VALUE"""),-0.516658337393085)</f>
        <v>-0.5166583374</v>
      </c>
      <c r="C124" s="14">
        <f>IFERROR(__xludf.DUMMYFUNCTION("""COMPUTED_VALUE"""),0.00132265937780811)</f>
        <v>0.001322659378</v>
      </c>
      <c r="D124" s="14">
        <f>IFERROR(__xludf.DUMMYFUNCTION("""COMPUTED_VALUE"""),0.757176258585469)</f>
        <v>0.7571762586</v>
      </c>
      <c r="E124" s="14">
        <f>IFERROR(__xludf.DUMMYFUNCTION("""COMPUTED_VALUE"""),0.399683032425562)</f>
        <v>0.3996830324</v>
      </c>
      <c r="F124" s="14"/>
      <c r="G124" s="28">
        <v>-0.516659</v>
      </c>
      <c r="H124" s="28">
        <v>0.001322</v>
      </c>
      <c r="I124" s="28">
        <v>0.757176</v>
      </c>
      <c r="J124" s="28">
        <v>0.39968299999999995</v>
      </c>
      <c r="K124" s="32" t="s">
        <v>251</v>
      </c>
      <c r="L124" s="30" t="s">
        <v>252</v>
      </c>
    </row>
    <row r="125">
      <c r="A125" s="18"/>
      <c r="B125" s="14">
        <f>IFERROR(__xludf.DUMMYFUNCTION("""COMPUTED_VALUE"""),-0.516658337393085)</f>
        <v>-0.5166583374</v>
      </c>
      <c r="C125" s="14">
        <f>IFERROR(__xludf.DUMMYFUNCTION("""COMPUTED_VALUE"""),0.00132265937780811)</f>
        <v>0.001322659378</v>
      </c>
      <c r="D125" s="14">
        <f>IFERROR(__xludf.DUMMYFUNCTION("""COMPUTED_VALUE"""),0.757176258585469)</f>
        <v>0.7571762586</v>
      </c>
      <c r="E125" s="14">
        <f>IFERROR(__xludf.DUMMYFUNCTION("""COMPUTED_VALUE"""),0.399683032425562)</f>
        <v>0.3996830324</v>
      </c>
      <c r="F125" s="14"/>
      <c r="G125" s="28">
        <v>-0.516659</v>
      </c>
      <c r="H125" s="28">
        <v>0.001322</v>
      </c>
      <c r="I125" s="28">
        <v>0.757176</v>
      </c>
      <c r="J125" s="28">
        <v>0.39968299999999995</v>
      </c>
      <c r="L125" s="29"/>
    </row>
    <row r="126">
      <c r="A126" s="18"/>
      <c r="B126" s="14">
        <f>IFERROR(__xludf.DUMMYFUNCTION("""COMPUTED_VALUE"""),-0.516658337393085)</f>
        <v>-0.5166583374</v>
      </c>
      <c r="C126" s="14">
        <f>IFERROR(__xludf.DUMMYFUNCTION("""COMPUTED_VALUE"""),0.00132265937780811)</f>
        <v>0.001322659378</v>
      </c>
      <c r="D126" s="14">
        <f>IFERROR(__xludf.DUMMYFUNCTION("""COMPUTED_VALUE"""),0.757176258585469)</f>
        <v>0.7571762586</v>
      </c>
      <c r="E126" s="14">
        <f>IFERROR(__xludf.DUMMYFUNCTION("""COMPUTED_VALUE"""),0.399683032425562)</f>
        <v>0.3996830324</v>
      </c>
      <c r="F126" s="14"/>
      <c r="G126" s="28">
        <v>-0.516659</v>
      </c>
      <c r="H126" s="28">
        <v>0.001322</v>
      </c>
      <c r="I126" s="28">
        <v>0.757176</v>
      </c>
      <c r="J126" s="28">
        <v>0.39968299999999995</v>
      </c>
      <c r="L126" s="29"/>
    </row>
    <row r="127">
      <c r="A127" s="18"/>
      <c r="B127" s="14">
        <f>IFERROR(__xludf.DUMMYFUNCTION("""COMPUTED_VALUE"""),-0.513680937154563)</f>
        <v>-0.5136809372</v>
      </c>
      <c r="C127" s="14">
        <f>IFERROR(__xludf.DUMMYFUNCTION("""COMPUTED_VALUE"""),0.00289219669649688)</f>
        <v>0.002892196696</v>
      </c>
      <c r="D127" s="14">
        <f>IFERROR(__xludf.DUMMYFUNCTION("""COMPUTED_VALUE"""),0.759199327559821)</f>
        <v>0.7591993276</v>
      </c>
      <c r="E127" s="14">
        <f>IFERROR(__xludf.DUMMYFUNCTION("""COMPUTED_VALUE"""),0.399674756564624)</f>
        <v>0.3996747566</v>
      </c>
      <c r="F127" s="14"/>
      <c r="G127" s="28">
        <v>-0.5136809999999999</v>
      </c>
      <c r="H127" s="28">
        <v>0.002892</v>
      </c>
      <c r="I127" s="28">
        <v>0.759199</v>
      </c>
      <c r="J127" s="28">
        <v>0.399674</v>
      </c>
      <c r="L127" s="29"/>
    </row>
    <row r="128">
      <c r="A128" s="18"/>
      <c r="B128" s="14">
        <f>IFERROR(__xludf.DUMMYFUNCTION("""COMPUTED_VALUE"""),-0.513680937154563)</f>
        <v>-0.5136809372</v>
      </c>
      <c r="C128" s="14">
        <f>IFERROR(__xludf.DUMMYFUNCTION("""COMPUTED_VALUE"""),0.00289219669649688)</f>
        <v>0.002892196696</v>
      </c>
      <c r="D128" s="14">
        <f>IFERROR(__xludf.DUMMYFUNCTION("""COMPUTED_VALUE"""),0.759199327559821)</f>
        <v>0.7591993276</v>
      </c>
      <c r="E128" s="14">
        <f>IFERROR(__xludf.DUMMYFUNCTION("""COMPUTED_VALUE"""),0.399674756564624)</f>
        <v>0.3996747566</v>
      </c>
      <c r="F128" s="14"/>
      <c r="G128" s="28">
        <v>-0.5136809999999999</v>
      </c>
      <c r="H128" s="28">
        <v>0.002892</v>
      </c>
      <c r="I128" s="28">
        <v>0.759199</v>
      </c>
      <c r="J128" s="28">
        <v>0.399674</v>
      </c>
      <c r="L128" s="29"/>
    </row>
    <row r="129">
      <c r="A129" s="18"/>
      <c r="B129" s="14">
        <f>IFERROR(__xludf.DUMMYFUNCTION("""COMPUTED_VALUE"""),-0.510695615321009)</f>
        <v>-0.5106956153</v>
      </c>
      <c r="C129" s="14">
        <f>IFERROR(__xludf.DUMMYFUNCTION("""COMPUTED_VALUE"""),0.00446168941393742)</f>
        <v>0.004461689414</v>
      </c>
      <c r="D129" s="14">
        <f>IFERROR(__xludf.DUMMYFUNCTION("""COMPUTED_VALUE"""),0.761210688742067)</f>
        <v>0.7612106887</v>
      </c>
      <c r="E129" s="14">
        <f>IFERROR(__xludf.DUMMYFUNCTION("""COMPUTED_VALUE"""),0.399660317224885)</f>
        <v>0.3996603172</v>
      </c>
      <c r="F129" s="14"/>
      <c r="G129" s="28">
        <v>-0.5106959999999999</v>
      </c>
      <c r="H129" s="28">
        <v>0.004461</v>
      </c>
      <c r="I129" s="28">
        <v>0.7612099999999999</v>
      </c>
      <c r="J129" s="28">
        <v>0.39965999999999996</v>
      </c>
      <c r="L129" s="29"/>
    </row>
    <row r="130">
      <c r="A130" s="18"/>
      <c r="B130" s="14">
        <f>IFERROR(__xludf.DUMMYFUNCTION("""COMPUTED_VALUE"""),-0.510695615321009)</f>
        <v>-0.5106956153</v>
      </c>
      <c r="C130" s="14">
        <f>IFERROR(__xludf.DUMMYFUNCTION("""COMPUTED_VALUE"""),0.00446168941393742)</f>
        <v>0.004461689414</v>
      </c>
      <c r="D130" s="14">
        <f>IFERROR(__xludf.DUMMYFUNCTION("""COMPUTED_VALUE"""),0.761210688742067)</f>
        <v>0.7612106887</v>
      </c>
      <c r="E130" s="14">
        <f>IFERROR(__xludf.DUMMYFUNCTION("""COMPUTED_VALUE"""),0.399660317224885)</f>
        <v>0.3996603172</v>
      </c>
      <c r="F130" s="14"/>
      <c r="G130" s="28">
        <v>-0.5106959999999999</v>
      </c>
      <c r="H130" s="28">
        <v>0.004461</v>
      </c>
      <c r="I130" s="28">
        <v>0.7612099999999999</v>
      </c>
      <c r="J130" s="28">
        <v>0.39965999999999996</v>
      </c>
      <c r="L130" s="29"/>
    </row>
    <row r="131">
      <c r="A131" s="18"/>
      <c r="B131" s="14">
        <f>IFERROR(__xludf.DUMMYFUNCTION("""COMPUTED_VALUE"""),-0.507702417929775)</f>
        <v>-0.5077024179</v>
      </c>
      <c r="C131" s="14">
        <f>IFERROR(__xludf.DUMMYFUNCTION("""COMPUTED_VALUE"""),0.00603111332661194)</f>
        <v>0.006031113327</v>
      </c>
      <c r="D131" s="14">
        <f>IFERROR(__xludf.DUMMYFUNCTION("""COMPUTED_VALUE"""),0.763210311114528)</f>
        <v>0.7632103111</v>
      </c>
      <c r="E131" s="14">
        <f>IFERROR(__xludf.DUMMYFUNCTION("""COMPUTED_VALUE"""),0.399639714629019)</f>
        <v>0.3996397146</v>
      </c>
      <c r="F131" s="14"/>
      <c r="G131" s="28">
        <v>-0.507703</v>
      </c>
      <c r="H131" s="28">
        <v>0.006031</v>
      </c>
      <c r="I131" s="28">
        <v>0.7632099999999999</v>
      </c>
      <c r="J131" s="28">
        <v>0.39963899999999997</v>
      </c>
      <c r="L131" s="29"/>
    </row>
    <row r="132">
      <c r="A132" s="18"/>
      <c r="B132" s="14">
        <f>IFERROR(__xludf.DUMMYFUNCTION("""COMPUTED_VALUE"""),-0.507702417929775)</f>
        <v>-0.5077024179</v>
      </c>
      <c r="C132" s="14">
        <f>IFERROR(__xludf.DUMMYFUNCTION("""COMPUTED_VALUE"""),0.00603111332661194)</f>
        <v>0.006031113327</v>
      </c>
      <c r="D132" s="14">
        <f>IFERROR(__xludf.DUMMYFUNCTION("""COMPUTED_VALUE"""),0.763210311114528)</f>
        <v>0.7632103111</v>
      </c>
      <c r="E132" s="14">
        <f>IFERROR(__xludf.DUMMYFUNCTION("""COMPUTED_VALUE"""),0.399639714629019)</f>
        <v>0.3996397146</v>
      </c>
      <c r="F132" s="14"/>
      <c r="G132" s="28">
        <v>-0.507703</v>
      </c>
      <c r="H132" s="28">
        <v>0.006031</v>
      </c>
      <c r="I132" s="28">
        <v>0.7632099999999999</v>
      </c>
      <c r="J132" s="28">
        <v>0.39963899999999997</v>
      </c>
      <c r="L132" s="29"/>
    </row>
    <row r="133">
      <c r="A133" s="18"/>
      <c r="B133" s="14">
        <f>IFERROR(__xludf.DUMMYFUNCTION("""COMPUTED_VALUE"""),-0.507702417929775)</f>
        <v>-0.5077024179</v>
      </c>
      <c r="C133" s="14">
        <f>IFERROR(__xludf.DUMMYFUNCTION("""COMPUTED_VALUE"""),0.00603111332661194)</f>
        <v>0.006031113327</v>
      </c>
      <c r="D133" s="14">
        <f>IFERROR(__xludf.DUMMYFUNCTION("""COMPUTED_VALUE"""),0.763210311114528)</f>
        <v>0.7632103111</v>
      </c>
      <c r="E133" s="14">
        <f>IFERROR(__xludf.DUMMYFUNCTION("""COMPUTED_VALUE"""),0.399639714629019)</f>
        <v>0.3996397146</v>
      </c>
      <c r="F133" s="14"/>
      <c r="G133" s="28">
        <v>-0.507703</v>
      </c>
      <c r="H133" s="28">
        <v>0.006031</v>
      </c>
      <c r="I133" s="28">
        <v>0.7632099999999999</v>
      </c>
      <c r="J133" s="28">
        <v>0.39963899999999997</v>
      </c>
      <c r="L133" s="29"/>
    </row>
    <row r="134">
      <c r="A134" s="18"/>
      <c r="B134" s="14">
        <f>IFERROR(__xludf.DUMMYFUNCTION("""COMPUTED_VALUE"""),-0.507702417929775)</f>
        <v>-0.5077024179</v>
      </c>
      <c r="C134" s="14">
        <f>IFERROR(__xludf.DUMMYFUNCTION("""COMPUTED_VALUE"""),0.00603111332661194)</f>
        <v>0.006031113327</v>
      </c>
      <c r="D134" s="14">
        <f>IFERROR(__xludf.DUMMYFUNCTION("""COMPUTED_VALUE"""),0.763210311114528)</f>
        <v>0.7632103111</v>
      </c>
      <c r="E134" s="14">
        <f>IFERROR(__xludf.DUMMYFUNCTION("""COMPUTED_VALUE"""),0.399639714629019)</f>
        <v>0.3996397146</v>
      </c>
      <c r="F134" s="14"/>
      <c r="G134" s="28">
        <v>-0.507703</v>
      </c>
      <c r="H134" s="28">
        <v>0.006031</v>
      </c>
      <c r="I134" s="28">
        <v>0.7632099999999999</v>
      </c>
      <c r="J134" s="28">
        <v>0.39963899999999997</v>
      </c>
      <c r="L134" s="29"/>
    </row>
    <row r="135">
      <c r="A135" s="18"/>
      <c r="B135" s="14">
        <f>IFERROR(__xludf.DUMMYFUNCTION("""COMPUTED_VALUE"""),-0.504701391139666)</f>
        <v>-0.5047013911</v>
      </c>
      <c r="C135" s="14">
        <f>IFERROR(__xludf.DUMMYFUNCTION("""COMPUTED_VALUE"""),0.00760044423206366)</f>
        <v>0.007600444232</v>
      </c>
      <c r="D135" s="14">
        <f>IFERROR(__xludf.DUMMYFUNCTION("""COMPUTED_VALUE"""),0.765198163840558)</f>
        <v>0.7651981638</v>
      </c>
      <c r="E135" s="14">
        <f>IFERROR(__xludf.DUMMYFUNCTION("""COMPUTED_VALUE"""),0.399612949094743)</f>
        <v>0.3996129491</v>
      </c>
      <c r="F135" s="14"/>
      <c r="G135" s="28">
        <v>-0.504702</v>
      </c>
      <c r="H135" s="28">
        <v>0.0076</v>
      </c>
      <c r="I135" s="28">
        <v>0.7651979999999999</v>
      </c>
      <c r="J135" s="28">
        <v>0.39961199999999997</v>
      </c>
      <c r="L135" s="29"/>
    </row>
    <row r="136">
      <c r="A136" s="18"/>
      <c r="B136" s="14">
        <f>IFERROR(__xludf.DUMMYFUNCTION("""COMPUTED_VALUE"""),-0.504701391139666)</f>
        <v>-0.5047013911</v>
      </c>
      <c r="C136" s="14">
        <f>IFERROR(__xludf.DUMMYFUNCTION("""COMPUTED_VALUE"""),0.00760044423206366)</f>
        <v>0.007600444232</v>
      </c>
      <c r="D136" s="14">
        <f>IFERROR(__xludf.DUMMYFUNCTION("""COMPUTED_VALUE"""),0.765198163840558)</f>
        <v>0.7651981638</v>
      </c>
      <c r="E136" s="14">
        <f>IFERROR(__xludf.DUMMYFUNCTION("""COMPUTED_VALUE"""),0.399612949094743)</f>
        <v>0.3996129491</v>
      </c>
      <c r="F136" s="14"/>
      <c r="G136" s="28">
        <v>-0.504702</v>
      </c>
      <c r="H136" s="28">
        <v>0.0076</v>
      </c>
      <c r="I136" s="28">
        <v>0.7651979999999999</v>
      </c>
      <c r="J136" s="28">
        <v>0.39961199999999997</v>
      </c>
      <c r="L136" s="29"/>
    </row>
    <row r="137">
      <c r="A137" s="18"/>
      <c r="B137" s="14">
        <f>IFERROR(__xludf.DUMMYFUNCTION("""COMPUTED_VALUE"""),-0.501692581230224)</f>
        <v>-0.5016925812</v>
      </c>
      <c r="C137" s="14">
        <f>IFERROR(__xludf.DUMMYFUNCTION("""COMPUTED_VALUE"""),0.0091696579292701)</f>
        <v>0.009169657929</v>
      </c>
      <c r="D137" s="14">
        <f>IFERROR(__xludf.DUMMYFUNCTION("""COMPUTED_VALUE"""),0.767174216265009)</f>
        <v>0.7671742163</v>
      </c>
      <c r="E137" s="14">
        <f>IFERROR(__xludf.DUMMYFUNCTION("""COMPUTED_VALUE"""),0.399580021034814)</f>
        <v>0.399580021</v>
      </c>
      <c r="F137" s="14"/>
      <c r="G137" s="28">
        <v>-0.501693</v>
      </c>
      <c r="H137" s="28">
        <v>0.009169</v>
      </c>
      <c r="I137" s="28">
        <v>0.7671739999999999</v>
      </c>
      <c r="J137" s="28">
        <v>0.39958</v>
      </c>
      <c r="L137" s="29"/>
    </row>
    <row r="138">
      <c r="A138" s="18"/>
      <c r="B138" s="14">
        <f>IFERROR(__xludf.DUMMYFUNCTION("""COMPUTED_VALUE"""),-0.498676034601016)</f>
        <v>-0.4986760346</v>
      </c>
      <c r="C138" s="14">
        <f>IFERROR(__xludf.DUMMYFUNCTION("""COMPUTED_VALUE"""),0.0107387302190162)</f>
        <v>0.01073873022</v>
      </c>
      <c r="D138" s="14">
        <f>IFERROR(__xludf.DUMMYFUNCTION("""COMPUTED_VALUE"""),0.769138437914711)</f>
        <v>0.7691384379</v>
      </c>
      <c r="E138" s="14">
        <f>IFERROR(__xludf.DUMMYFUNCTION("""COMPUTED_VALUE"""),0.399540930957024)</f>
        <v>0.399540931</v>
      </c>
      <c r="F138" s="14"/>
      <c r="G138" s="28">
        <v>-0.498677</v>
      </c>
      <c r="H138" s="28">
        <v>0.010738</v>
      </c>
      <c r="I138" s="28">
        <v>0.769138</v>
      </c>
      <c r="J138" s="28">
        <v>0.39954</v>
      </c>
      <c r="L138" s="29"/>
    </row>
    <row r="139">
      <c r="A139" s="18"/>
      <c r="B139" s="14">
        <f>IFERROR(__xludf.DUMMYFUNCTION("""COMPUTED_VALUE"""),-0.498676034601016)</f>
        <v>-0.4986760346</v>
      </c>
      <c r="C139" s="14">
        <f>IFERROR(__xludf.DUMMYFUNCTION("""COMPUTED_VALUE"""),0.0107387302190162)</f>
        <v>0.01073873022</v>
      </c>
      <c r="D139" s="14">
        <f>IFERROR(__xludf.DUMMYFUNCTION("""COMPUTED_VALUE"""),0.769138437914711)</f>
        <v>0.7691384379</v>
      </c>
      <c r="E139" s="14">
        <f>IFERROR(__xludf.DUMMYFUNCTION("""COMPUTED_VALUE"""),0.399540930957024)</f>
        <v>0.399540931</v>
      </c>
      <c r="F139" s="14"/>
      <c r="G139" s="28">
        <v>-0.498677</v>
      </c>
      <c r="H139" s="28">
        <v>0.010738</v>
      </c>
      <c r="I139" s="28">
        <v>0.769138</v>
      </c>
      <c r="J139" s="28">
        <v>0.39954</v>
      </c>
      <c r="L139" s="29"/>
    </row>
    <row r="140">
      <c r="A140" s="18"/>
      <c r="B140" s="14">
        <f>IFERROR(__xludf.DUMMYFUNCTION("""COMPUTED_VALUE"""),-0.498676034601016)</f>
        <v>-0.4986760346</v>
      </c>
      <c r="C140" s="14">
        <f>IFERROR(__xludf.DUMMYFUNCTION("""COMPUTED_VALUE"""),0.0107387302190162)</f>
        <v>0.01073873022</v>
      </c>
      <c r="D140" s="14">
        <f>IFERROR(__xludf.DUMMYFUNCTION("""COMPUTED_VALUE"""),0.769138437914711)</f>
        <v>0.7691384379</v>
      </c>
      <c r="E140" s="14">
        <f>IFERROR(__xludf.DUMMYFUNCTION("""COMPUTED_VALUE"""),0.399540930957024)</f>
        <v>0.399540931</v>
      </c>
      <c r="F140" s="14"/>
      <c r="G140" s="28">
        <v>-0.498677</v>
      </c>
      <c r="H140" s="28">
        <v>0.010738</v>
      </c>
      <c r="I140" s="28">
        <v>0.769138</v>
      </c>
      <c r="J140" s="28">
        <v>0.39954</v>
      </c>
      <c r="L140" s="29"/>
    </row>
    <row r="141">
      <c r="A141" s="18"/>
      <c r="B141" s="14">
        <f>IFERROR(__xludf.DUMMYFUNCTION("""COMPUTED_VALUE"""),-0.495651797770922)</f>
        <v>-0.4956517978</v>
      </c>
      <c r="C141" s="14">
        <f>IFERROR(__xludf.DUMMYFUNCTION("""COMPUTED_VALUE"""),0.0123076369042679)</f>
        <v>0.0123076369</v>
      </c>
      <c r="D141" s="14">
        <f>IFERROR(__xludf.DUMMYFUNCTION("""COMPUTED_VALUE"""),0.771090798498937)</f>
        <v>0.7710907985</v>
      </c>
      <c r="E141" s="14">
        <f>IFERROR(__xludf.DUMMYFUNCTION("""COMPUTED_VALUE"""),0.39949567946419)</f>
        <v>0.3994956795</v>
      </c>
      <c r="F141" s="14"/>
      <c r="G141" s="28">
        <v>-0.495652</v>
      </c>
      <c r="H141" s="28">
        <v>0.012307</v>
      </c>
      <c r="I141" s="28">
        <v>0.7710899999999999</v>
      </c>
      <c r="J141" s="28">
        <v>0.399495</v>
      </c>
      <c r="L141" s="29"/>
    </row>
    <row r="142">
      <c r="A142" s="18"/>
      <c r="B142" s="14">
        <f>IFERROR(__xludf.DUMMYFUNCTION("""COMPUTED_VALUE"""),-0.492619917377412)</f>
        <v>-0.4926199174</v>
      </c>
      <c r="C142" s="14">
        <f>IFERROR(__xludf.DUMMYFUNCTION("""COMPUTED_VALUE"""),0.0138763537905445)</f>
        <v>0.01387635379</v>
      </c>
      <c r="D142" s="14">
        <f>IFERROR(__xludf.DUMMYFUNCTION("""COMPUTED_VALUE"""),0.773031267909874)</f>
        <v>0.7730312679</v>
      </c>
      <c r="E142" s="14">
        <f>IFERROR(__xludf.DUMMYFUNCTION("""COMPUTED_VALUE"""),0.399444267254146)</f>
        <v>0.3994442673</v>
      </c>
      <c r="F142" s="14"/>
      <c r="G142" s="28">
        <v>-0.49262</v>
      </c>
      <c r="H142" s="28">
        <v>0.013876</v>
      </c>
      <c r="I142" s="28">
        <v>0.7730309999999999</v>
      </c>
      <c r="J142" s="28">
        <v>0.39944399999999997</v>
      </c>
      <c r="L142" s="29"/>
    </row>
    <row r="143">
      <c r="A143" s="18"/>
      <c r="B143" s="14">
        <f>IFERROR(__xludf.DUMMYFUNCTION("""COMPUTED_VALUE"""),-0.492619917377412)</f>
        <v>-0.4926199174</v>
      </c>
      <c r="C143" s="14">
        <f>IFERROR(__xludf.DUMMYFUNCTION("""COMPUTED_VALUE"""),0.0138763537905445)</f>
        <v>0.01387635379</v>
      </c>
      <c r="D143" s="14">
        <f>IFERROR(__xludf.DUMMYFUNCTION("""COMPUTED_VALUE"""),0.773031267909874)</f>
        <v>0.7730312679</v>
      </c>
      <c r="E143" s="14">
        <f>IFERROR(__xludf.DUMMYFUNCTION("""COMPUTED_VALUE"""),0.399444267254146)</f>
        <v>0.3994442673</v>
      </c>
      <c r="F143" s="14"/>
      <c r="G143" s="28">
        <v>-0.49262</v>
      </c>
      <c r="H143" s="28">
        <v>0.013876</v>
      </c>
      <c r="I143" s="28">
        <v>0.7730309999999999</v>
      </c>
      <c r="J143" s="28">
        <v>0.39944399999999997</v>
      </c>
      <c r="L143" s="29"/>
    </row>
    <row r="144">
      <c r="A144" s="18"/>
      <c r="B144" s="14">
        <f>IFERROR(__xludf.DUMMYFUNCTION("""COMPUTED_VALUE"""),-0.489580440175828)</f>
        <v>-0.4895804402</v>
      </c>
      <c r="C144" s="14">
        <f>IFERROR(__xludf.DUMMYFUNCTION("""COMPUTED_VALUE"""),0.0154448566862925)</f>
        <v>0.01544485669</v>
      </c>
      <c r="D144" s="14">
        <f>IFERROR(__xludf.DUMMYFUNCTION("""COMPUTED_VALUE"""),0.774959816223085)</f>
        <v>0.7749598162</v>
      </c>
      <c r="E144" s="14">
        <f>IFERROR(__xludf.DUMMYFUNCTION("""COMPUTED_VALUE"""),0.399386695119733)</f>
        <v>0.3993866951</v>
      </c>
      <c r="F144" s="14"/>
      <c r="G144" s="28">
        <v>-0.489581</v>
      </c>
      <c r="H144" s="28">
        <v>0.015444</v>
      </c>
      <c r="I144" s="28">
        <v>0.774959</v>
      </c>
      <c r="J144" s="28">
        <v>0.39938599999999996</v>
      </c>
      <c r="L144" s="29"/>
    </row>
    <row r="145">
      <c r="A145" s="18"/>
      <c r="B145" s="14">
        <f>IFERROR(__xludf.DUMMYFUNCTION("""COMPUTED_VALUE"""),-0.486533413038666)</f>
        <v>-0.486533413</v>
      </c>
      <c r="C145" s="14">
        <f>IFERROR(__xludf.DUMMYFUNCTION("""COMPUTED_VALUE"""),0.0170131214032585)</f>
        <v>0.0170131214</v>
      </c>
      <c r="D145" s="14">
        <f>IFERROR(__xludf.DUMMYFUNCTION("""COMPUTED_VALUE"""),0.776876413697972)</f>
        <v>0.7768764137</v>
      </c>
      <c r="E145" s="14">
        <f>IFERROR(__xludf.DUMMYFUNCTION("""COMPUTED_VALUE"""),0.399322963948782)</f>
        <v>0.3993229639</v>
      </c>
      <c r="F145" s="14"/>
      <c r="G145" s="28">
        <v>-0.48653399999999997</v>
      </c>
      <c r="H145" s="28">
        <v>0.017013</v>
      </c>
      <c r="I145" s="28">
        <v>0.776876</v>
      </c>
      <c r="J145" s="28">
        <v>0.39932199999999995</v>
      </c>
      <c r="L145" s="29"/>
    </row>
    <row r="146">
      <c r="A146" s="18"/>
      <c r="B146" s="14">
        <f>IFERROR(__xludf.DUMMYFUNCTION("""COMPUTED_VALUE"""),-0.486533413038666)</f>
        <v>-0.486533413</v>
      </c>
      <c r="C146" s="14">
        <f>IFERROR(__xludf.DUMMYFUNCTION("""COMPUTED_VALUE"""),0.0170131214032585)</f>
        <v>0.0170131214</v>
      </c>
      <c r="D146" s="14">
        <f>IFERROR(__xludf.DUMMYFUNCTION("""COMPUTED_VALUE"""),0.776876413697972)</f>
        <v>0.7768764137</v>
      </c>
      <c r="E146" s="14">
        <f>IFERROR(__xludf.DUMMYFUNCTION("""COMPUTED_VALUE"""),0.399322963948782)</f>
        <v>0.3993229639</v>
      </c>
      <c r="F146" s="14"/>
      <c r="G146" s="28">
        <v>-0.48653399999999997</v>
      </c>
      <c r="H146" s="28">
        <v>0.017013</v>
      </c>
      <c r="I146" s="28">
        <v>0.776876</v>
      </c>
      <c r="J146" s="28">
        <v>0.39932199999999995</v>
      </c>
      <c r="L146" s="29"/>
    </row>
    <row r="147">
      <c r="A147" s="18"/>
      <c r="B147" s="14">
        <f>IFERROR(__xludf.DUMMYFUNCTION("""COMPUTED_VALUE"""),-0.483478882954853)</f>
        <v>-0.483478883</v>
      </c>
      <c r="C147" s="14">
        <f>IFERROR(__xludf.DUMMYFUNCTION("""COMPUTED_VALUE"""),0.0185811237568618)</f>
        <v>0.01858112376</v>
      </c>
      <c r="D147" s="14">
        <f>IFERROR(__xludf.DUMMYFUNCTION("""COMPUTED_VALUE"""),0.778781030778231)</f>
        <v>0.7787810308</v>
      </c>
      <c r="E147" s="14">
        <f>IFERROR(__xludf.DUMMYFUNCTION("""COMPUTED_VALUE"""),0.399253074724109)</f>
        <v>0.3992530747</v>
      </c>
      <c r="F147" s="14"/>
      <c r="G147" s="28">
        <v>-0.483479</v>
      </c>
      <c r="H147" s="28">
        <v>0.018581</v>
      </c>
      <c r="I147" s="28">
        <v>0.778781</v>
      </c>
      <c r="J147" s="28">
        <v>0.39925299999999997</v>
      </c>
      <c r="L147" s="29"/>
    </row>
    <row r="148">
      <c r="A148" s="18"/>
      <c r="B148" s="14">
        <f>IFERROR(__xludf.DUMMYFUNCTION("""COMPUTED_VALUE"""),-0.483478882954853)</f>
        <v>-0.483478883</v>
      </c>
      <c r="C148" s="14">
        <f>IFERROR(__xludf.DUMMYFUNCTION("""COMPUTED_VALUE"""),0.0185811237568618)</f>
        <v>0.01858112376</v>
      </c>
      <c r="D148" s="14">
        <f>IFERROR(__xludf.DUMMYFUNCTION("""COMPUTED_VALUE"""),0.778781030778231)</f>
        <v>0.7787810308</v>
      </c>
      <c r="E148" s="14">
        <f>IFERROR(__xludf.DUMMYFUNCTION("""COMPUTED_VALUE"""),0.399253074724109)</f>
        <v>0.3992530747</v>
      </c>
      <c r="F148" s="14"/>
      <c r="G148" s="28">
        <v>-0.483479</v>
      </c>
      <c r="H148" s="28">
        <v>0.018581</v>
      </c>
      <c r="I148" s="28">
        <v>0.778781</v>
      </c>
      <c r="J148" s="28">
        <v>0.39925299999999997</v>
      </c>
      <c r="L148" s="29"/>
    </row>
    <row r="149">
      <c r="A149" s="18"/>
      <c r="B149" s="14">
        <f>IFERROR(__xludf.DUMMYFUNCTION("""COMPUTED_VALUE"""),-0.483478882954853)</f>
        <v>-0.483478883</v>
      </c>
      <c r="C149" s="14">
        <f>IFERROR(__xludf.DUMMYFUNCTION("""COMPUTED_VALUE"""),0.0185811237568618)</f>
        <v>0.01858112376</v>
      </c>
      <c r="D149" s="14">
        <f>IFERROR(__xludf.DUMMYFUNCTION("""COMPUTED_VALUE"""),0.778781030778231)</f>
        <v>0.7787810308</v>
      </c>
      <c r="E149" s="14">
        <f>IFERROR(__xludf.DUMMYFUNCTION("""COMPUTED_VALUE"""),0.399253074724109)</f>
        <v>0.3992530747</v>
      </c>
      <c r="F149" s="14"/>
      <c r="G149" s="28">
        <v>-0.483479</v>
      </c>
      <c r="H149" s="28">
        <v>0.018581</v>
      </c>
      <c r="I149" s="28">
        <v>0.778781</v>
      </c>
      <c r="J149" s="28">
        <v>0.39925299999999997</v>
      </c>
      <c r="L149" s="29"/>
    </row>
    <row r="150">
      <c r="A150" s="18"/>
      <c r="B150" s="14">
        <f>IFERROR(__xludf.DUMMYFUNCTION("""COMPUTED_VALUE"""),-0.480416897029016)</f>
        <v>-0.480416897</v>
      </c>
      <c r="C150" s="14">
        <f>IFERROR(__xludf.DUMMYFUNCTION("""COMPUTED_VALUE"""),0.0201488395665679)</f>
        <v>0.02014883957</v>
      </c>
      <c r="D150" s="14">
        <f>IFERROR(__xludf.DUMMYFUNCTION("""COMPUTED_VALUE"""),0.780673638092313)</f>
        <v>0.7806736381</v>
      </c>
      <c r="E150" s="14">
        <f>IFERROR(__xludf.DUMMYFUNCTION("""COMPUTED_VALUE"""),0.39917702852349)</f>
        <v>0.3991770285</v>
      </c>
      <c r="F150" s="14"/>
      <c r="G150" s="28">
        <v>-0.480417</v>
      </c>
      <c r="H150" s="28">
        <v>0.020148</v>
      </c>
      <c r="I150" s="28">
        <v>0.780673</v>
      </c>
      <c r="J150" s="28">
        <v>0.399177</v>
      </c>
      <c r="L150" s="29"/>
    </row>
    <row r="151">
      <c r="A151" s="18"/>
      <c r="B151" s="14">
        <f>IFERROR(__xludf.DUMMYFUNCTION("""COMPUTED_VALUE"""),-0.477347502480765)</f>
        <v>-0.4773475025</v>
      </c>
      <c r="C151" s="14">
        <f>IFERROR(__xludf.DUMMYFUNCTION("""COMPUTED_VALUE"""),0.0217162446562611)</f>
        <v>0.02171624466</v>
      </c>
      <c r="D151" s="14">
        <f>IFERROR(__xludf.DUMMYFUNCTION("""COMPUTED_VALUE"""),0.782554206453874)</f>
        <v>0.7825542065</v>
      </c>
      <c r="E151" s="14">
        <f>IFERROR(__xludf.DUMMYFUNCTION("""COMPUTED_VALUE"""),0.399094826519653)</f>
        <v>0.3990948265</v>
      </c>
      <c r="F151" s="14"/>
      <c r="G151" s="28">
        <v>-0.477348</v>
      </c>
      <c r="H151" s="28">
        <v>0.021716</v>
      </c>
      <c r="I151" s="28">
        <v>0.782554</v>
      </c>
      <c r="J151" s="28">
        <v>0.399094</v>
      </c>
      <c r="L151" s="29"/>
    </row>
    <row r="152">
      <c r="A152" s="18"/>
      <c r="B152" s="14">
        <f>IFERROR(__xludf.DUMMYFUNCTION("""COMPUTED_VALUE"""),-0.477347502480765)</f>
        <v>-0.4773475025</v>
      </c>
      <c r="C152" s="14">
        <f>IFERROR(__xludf.DUMMYFUNCTION("""COMPUTED_VALUE"""),0.0217162446562611)</f>
        <v>0.02171624466</v>
      </c>
      <c r="D152" s="14">
        <f>IFERROR(__xludf.DUMMYFUNCTION("""COMPUTED_VALUE"""),0.782554206453874)</f>
        <v>0.7825542065</v>
      </c>
      <c r="E152" s="14">
        <f>IFERROR(__xludf.DUMMYFUNCTION("""COMPUTED_VALUE"""),0.399094826519653)</f>
        <v>0.3990948265</v>
      </c>
      <c r="F152" s="14"/>
      <c r="G152" s="28">
        <v>-0.477348</v>
      </c>
      <c r="H152" s="28">
        <v>0.021716</v>
      </c>
      <c r="I152" s="28">
        <v>0.782554</v>
      </c>
      <c r="J152" s="28">
        <v>0.399094</v>
      </c>
      <c r="L152" s="29"/>
    </row>
    <row r="153">
      <c r="A153" s="18"/>
      <c r="B153" s="14">
        <f>IFERROR(__xludf.DUMMYFUNCTION("""COMPUTED_VALUE"""),-0.471186676965971)</f>
        <v>-0.471186677</v>
      </c>
      <c r="C153" s="14">
        <f>IFERROR(__xludf.DUMMYFUNCTION("""COMPUTED_VALUE"""),0.0248500259954771)</f>
        <v>0.024850026</v>
      </c>
      <c r="D153" s="14">
        <f>IFERROR(__xludf.DUMMYFUNCTION("""COMPUTED_VALUE"""),0.786279110502779)</f>
        <v>0.7862791105</v>
      </c>
      <c r="E153" s="14">
        <f>IFERROR(__xludf.DUMMYFUNCTION("""COMPUTED_VALUE"""),0.39891196026786)</f>
        <v>0.3989119603</v>
      </c>
      <c r="F153" s="14"/>
      <c r="G153" s="28">
        <v>-0.47118699999999997</v>
      </c>
      <c r="H153" s="28">
        <v>0.02485</v>
      </c>
      <c r="I153" s="28">
        <v>0.786279</v>
      </c>
      <c r="J153" s="28">
        <v>0.39891099999999996</v>
      </c>
      <c r="L153" s="29"/>
    </row>
    <row r="154">
      <c r="A154" s="18"/>
      <c r="B154" s="14">
        <f>IFERROR(__xludf.DUMMYFUNCTION("""COMPUTED_VALUE"""),-0.471186676965971)</f>
        <v>-0.471186677</v>
      </c>
      <c r="C154" s="14">
        <f>IFERROR(__xludf.DUMMYFUNCTION("""COMPUTED_VALUE"""),0.0248500259954771)</f>
        <v>0.024850026</v>
      </c>
      <c r="D154" s="14">
        <f>IFERROR(__xludf.DUMMYFUNCTION("""COMPUTED_VALUE"""),0.786279110502779)</f>
        <v>0.7862791105</v>
      </c>
      <c r="E154" s="14">
        <f>IFERROR(__xludf.DUMMYFUNCTION("""COMPUTED_VALUE"""),0.39891196026786)</f>
        <v>0.3989119603</v>
      </c>
      <c r="F154" s="14"/>
      <c r="G154" s="28">
        <v>-0.47118699999999997</v>
      </c>
      <c r="H154" s="28">
        <v>0.02485</v>
      </c>
      <c r="I154" s="28">
        <v>0.786279</v>
      </c>
      <c r="J154" s="28">
        <v>0.39891099999999996</v>
      </c>
      <c r="L154" s="29"/>
    </row>
    <row r="155">
      <c r="A155" s="18"/>
      <c r="B155" s="14">
        <f>IFERROR(__xludf.DUMMYFUNCTION("""COMPUTED_VALUE"""),-0.471186676965971)</f>
        <v>-0.471186677</v>
      </c>
      <c r="C155" s="14">
        <f>IFERROR(__xludf.DUMMYFUNCTION("""COMPUTED_VALUE"""),0.0248500259954771)</f>
        <v>0.024850026</v>
      </c>
      <c r="D155" s="14">
        <f>IFERROR(__xludf.DUMMYFUNCTION("""COMPUTED_VALUE"""),0.786279110502779)</f>
        <v>0.7862791105</v>
      </c>
      <c r="E155" s="14">
        <f>IFERROR(__xludf.DUMMYFUNCTION("""COMPUTED_VALUE"""),0.39891196026786)</f>
        <v>0.3989119603</v>
      </c>
      <c r="F155" s="14"/>
      <c r="G155" s="28">
        <v>-0.47118699999999997</v>
      </c>
      <c r="H155" s="28">
        <v>0.02485</v>
      </c>
      <c r="I155" s="28">
        <v>0.786279</v>
      </c>
      <c r="J155" s="28">
        <v>0.39891099999999996</v>
      </c>
      <c r="L155" s="29"/>
    </row>
    <row r="156">
      <c r="A156" s="18"/>
      <c r="B156" s="14">
        <f>IFERROR(__xludf.DUMMYFUNCTION("""COMPUTED_VALUE"""),-0.471186676965971)</f>
        <v>-0.471186677</v>
      </c>
      <c r="C156" s="14">
        <f>IFERROR(__xludf.DUMMYFUNCTION("""COMPUTED_VALUE"""),0.0248500259954771)</f>
        <v>0.024850026</v>
      </c>
      <c r="D156" s="14">
        <f>IFERROR(__xludf.DUMMYFUNCTION("""COMPUTED_VALUE"""),0.786279110502779)</f>
        <v>0.7862791105</v>
      </c>
      <c r="E156" s="14">
        <f>IFERROR(__xludf.DUMMYFUNCTION("""COMPUTED_VALUE"""),0.39891196026786)</f>
        <v>0.3989119603</v>
      </c>
      <c r="F156" s="14"/>
      <c r="G156" s="28">
        <v>-0.47118699999999997</v>
      </c>
      <c r="H156" s="28">
        <v>0.02485</v>
      </c>
      <c r="I156" s="28">
        <v>0.786279</v>
      </c>
      <c r="J156" s="28">
        <v>0.39891099999999996</v>
      </c>
      <c r="L156" s="29"/>
    </row>
    <row r="157">
      <c r="A157" s="18"/>
      <c r="B157" s="14">
        <f>IFERROR(__xludf.DUMMYFUNCTION("""COMPUTED_VALUE"""),-0.471186676965971)</f>
        <v>-0.471186677</v>
      </c>
      <c r="C157" s="14">
        <f>IFERROR(__xludf.DUMMYFUNCTION("""COMPUTED_VALUE"""),0.0248500259954771)</f>
        <v>0.024850026</v>
      </c>
      <c r="D157" s="14">
        <f>IFERROR(__xludf.DUMMYFUNCTION("""COMPUTED_VALUE"""),0.786279110502779)</f>
        <v>0.7862791105</v>
      </c>
      <c r="E157" s="14">
        <f>IFERROR(__xludf.DUMMYFUNCTION("""COMPUTED_VALUE"""),0.39891196026786)</f>
        <v>0.3989119603</v>
      </c>
      <c r="F157" s="14"/>
      <c r="G157" s="28">
        <v>-0.47118699999999997</v>
      </c>
      <c r="H157" s="28">
        <v>0.02485</v>
      </c>
      <c r="I157" s="28">
        <v>0.786279</v>
      </c>
      <c r="J157" s="28">
        <v>0.39891099999999996</v>
      </c>
      <c r="L157" s="29"/>
    </row>
    <row r="158">
      <c r="A158" s="18"/>
      <c r="B158" s="14">
        <f>IFERROR(__xludf.DUMMYFUNCTION("""COMPUTED_VALUE"""),-0.471186676965971)</f>
        <v>-0.471186677</v>
      </c>
      <c r="C158" s="14">
        <f>IFERROR(__xludf.DUMMYFUNCTION("""COMPUTED_VALUE"""),0.0248500259954771)</f>
        <v>0.024850026</v>
      </c>
      <c r="D158" s="14">
        <f>IFERROR(__xludf.DUMMYFUNCTION("""COMPUTED_VALUE"""),0.786279110502779)</f>
        <v>0.7862791105</v>
      </c>
      <c r="E158" s="14">
        <f>IFERROR(__xludf.DUMMYFUNCTION("""COMPUTED_VALUE"""),0.39891196026786)</f>
        <v>0.3989119603</v>
      </c>
      <c r="F158" s="14"/>
      <c r="G158" s="28">
        <v>-0.47118699999999997</v>
      </c>
      <c r="H158" s="28">
        <v>0.02485</v>
      </c>
      <c r="I158" s="28">
        <v>0.786279</v>
      </c>
      <c r="J158" s="28">
        <v>0.39891099999999996</v>
      </c>
      <c r="L158" s="29"/>
    </row>
    <row r="159">
      <c r="A159" s="18"/>
      <c r="B159" s="14">
        <f>IFERROR(__xludf.DUMMYFUNCTION("""COMPUTED_VALUE"""),-0.471186676965971)</f>
        <v>-0.471186677</v>
      </c>
      <c r="C159" s="14">
        <f>IFERROR(__xludf.DUMMYFUNCTION("""COMPUTED_VALUE"""),0.0248500259954771)</f>
        <v>0.024850026</v>
      </c>
      <c r="D159" s="14">
        <f>IFERROR(__xludf.DUMMYFUNCTION("""COMPUTED_VALUE"""),0.786279110502779)</f>
        <v>0.7862791105</v>
      </c>
      <c r="E159" s="14">
        <f>IFERROR(__xludf.DUMMYFUNCTION("""COMPUTED_VALUE"""),0.39891196026786)</f>
        <v>0.3989119603</v>
      </c>
      <c r="F159" s="14"/>
      <c r="G159" s="28">
        <v>-0.47118699999999997</v>
      </c>
      <c r="H159" s="28">
        <v>0.02485</v>
      </c>
      <c r="I159" s="28">
        <v>0.786279</v>
      </c>
      <c r="J159" s="28">
        <v>0.39891099999999996</v>
      </c>
      <c r="L159" s="29"/>
    </row>
    <row r="160">
      <c r="A160" s="18"/>
      <c r="B160" s="14">
        <f>IFERROR(__xludf.DUMMYFUNCTION("""COMPUTED_VALUE"""),-0.471186676965971)</f>
        <v>-0.471186677</v>
      </c>
      <c r="C160" s="14">
        <f>IFERROR(__xludf.DUMMYFUNCTION("""COMPUTED_VALUE"""),0.0248500259954771)</f>
        <v>0.024850026</v>
      </c>
      <c r="D160" s="14">
        <f>IFERROR(__xludf.DUMMYFUNCTION("""COMPUTED_VALUE"""),0.786279110502779)</f>
        <v>0.7862791105</v>
      </c>
      <c r="E160" s="14">
        <f>IFERROR(__xludf.DUMMYFUNCTION("""COMPUTED_VALUE"""),0.39891196026786)</f>
        <v>0.3989119603</v>
      </c>
      <c r="F160" s="14"/>
      <c r="G160" s="28">
        <v>-0.47118699999999997</v>
      </c>
      <c r="H160" s="28">
        <v>0.02485</v>
      </c>
      <c r="I160" s="28">
        <v>0.786279</v>
      </c>
      <c r="J160" s="28">
        <v>0.39891099999999996</v>
      </c>
      <c r="L160" s="29"/>
    </row>
    <row r="161">
      <c r="A161" s="18"/>
      <c r="B161" s="14">
        <f>IFERROR(__xludf.DUMMYFUNCTION("""COMPUTED_VALUE"""),-0.471186676965971)</f>
        <v>-0.471186677</v>
      </c>
      <c r="C161" s="14">
        <f>IFERROR(__xludf.DUMMYFUNCTION("""COMPUTED_VALUE"""),0.0248500259954771)</f>
        <v>0.024850026</v>
      </c>
      <c r="D161" s="14">
        <f>IFERROR(__xludf.DUMMYFUNCTION("""COMPUTED_VALUE"""),0.786279110502779)</f>
        <v>0.7862791105</v>
      </c>
      <c r="E161" s="14">
        <f>IFERROR(__xludf.DUMMYFUNCTION("""COMPUTED_VALUE"""),0.39891196026786)</f>
        <v>0.3989119603</v>
      </c>
      <c r="F161" s="14"/>
      <c r="G161" s="28">
        <v>-0.47118699999999997</v>
      </c>
      <c r="H161" s="28">
        <v>0.02485</v>
      </c>
      <c r="I161" s="28">
        <v>0.786279</v>
      </c>
      <c r="J161" s="28">
        <v>0.39891099999999996</v>
      </c>
      <c r="L161" s="29"/>
    </row>
    <row r="162">
      <c r="A162" s="18"/>
      <c r="B162" s="14">
        <f>IFERROR(__xludf.DUMMYFUNCTION("""COMPUTED_VALUE"""),-0.471186676965971)</f>
        <v>-0.471186677</v>
      </c>
      <c r="C162" s="14">
        <f>IFERROR(__xludf.DUMMYFUNCTION("""COMPUTED_VALUE"""),0.0248500259954771)</f>
        <v>0.024850026</v>
      </c>
      <c r="D162" s="14">
        <f>IFERROR(__xludf.DUMMYFUNCTION("""COMPUTED_VALUE"""),0.786279110502779)</f>
        <v>0.7862791105</v>
      </c>
      <c r="E162" s="14">
        <f>IFERROR(__xludf.DUMMYFUNCTION("""COMPUTED_VALUE"""),0.39891196026786)</f>
        <v>0.3989119603</v>
      </c>
      <c r="F162" s="14"/>
      <c r="G162" s="28">
        <v>-0.47118699999999997</v>
      </c>
      <c r="H162" s="28">
        <v>0.02485</v>
      </c>
      <c r="I162" s="28">
        <v>0.786279</v>
      </c>
      <c r="J162" s="28">
        <v>0.39891099999999996</v>
      </c>
      <c r="L162" s="29"/>
    </row>
    <row r="163">
      <c r="A163" s="18"/>
      <c r="B163" s="14">
        <f>IFERROR(__xludf.DUMMYFUNCTION("""COMPUTED_VALUE"""),-0.471186676965971)</f>
        <v>-0.471186677</v>
      </c>
      <c r="C163" s="14">
        <f>IFERROR(__xludf.DUMMYFUNCTION("""COMPUTED_VALUE"""),0.0248500259954771)</f>
        <v>0.024850026</v>
      </c>
      <c r="D163" s="14">
        <f>IFERROR(__xludf.DUMMYFUNCTION("""COMPUTED_VALUE"""),0.786279110502779)</f>
        <v>0.7862791105</v>
      </c>
      <c r="E163" s="14">
        <f>IFERROR(__xludf.DUMMYFUNCTION("""COMPUTED_VALUE"""),0.39891196026786)</f>
        <v>0.3989119603</v>
      </c>
      <c r="F163" s="14"/>
      <c r="G163" s="28">
        <v>-0.47118699999999997</v>
      </c>
      <c r="H163" s="28">
        <v>0.02485</v>
      </c>
      <c r="I163" s="28">
        <v>0.786279</v>
      </c>
      <c r="J163" s="28">
        <v>0.39891099999999996</v>
      </c>
      <c r="L163" s="29"/>
    </row>
    <row r="164">
      <c r="A164" s="18"/>
      <c r="B164" s="14"/>
      <c r="C164" s="14"/>
      <c r="D164" s="14"/>
      <c r="E164" s="14"/>
      <c r="F164" s="18"/>
      <c r="G164" s="18"/>
      <c r="H164" s="18"/>
      <c r="I164" s="18"/>
      <c r="J164" s="18"/>
      <c r="L164" s="29"/>
    </row>
  </sheetData>
  <mergeCells count="2">
    <mergeCell ref="B1:E1"/>
    <mergeCell ref="G1:J1"/>
  </mergeCells>
  <conditionalFormatting sqref="B5:J163">
    <cfRule type="expression" dxfId="0" priority="1">
      <formula>B5&lt;&gt;B4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7.25"/>
  </cols>
  <sheetData>
    <row r="1">
      <c r="A1" s="33" t="s">
        <v>253</v>
      </c>
      <c r="B1" s="33"/>
      <c r="C1" s="33"/>
      <c r="D1" s="34"/>
      <c r="E1" s="33"/>
      <c r="F1" s="33"/>
      <c r="G1" s="33"/>
      <c r="H1" s="33"/>
      <c r="I1" s="33"/>
      <c r="J1" s="33"/>
    </row>
    <row r="2">
      <c r="A2" s="33" t="s">
        <v>254</v>
      </c>
      <c r="B2" s="35">
        <v>1048576.0</v>
      </c>
      <c r="C2" s="36"/>
      <c r="D2" s="36"/>
      <c r="E2" s="33"/>
      <c r="F2" s="33"/>
      <c r="G2" s="33"/>
      <c r="H2" s="33"/>
      <c r="I2" s="33"/>
      <c r="J2" s="33"/>
    </row>
    <row r="3">
      <c r="A3" s="33" t="s">
        <v>255</v>
      </c>
      <c r="B3" s="35">
        <v>16384.0</v>
      </c>
      <c r="C3" s="33"/>
      <c r="D3" s="33"/>
      <c r="E3" s="33"/>
      <c r="F3" s="33"/>
      <c r="G3" s="33"/>
      <c r="H3" s="33"/>
      <c r="I3" s="33"/>
      <c r="J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</row>
    <row r="6">
      <c r="A6" s="37" t="s">
        <v>256</v>
      </c>
      <c r="B6" s="38"/>
      <c r="C6" s="39" t="s">
        <v>257</v>
      </c>
      <c r="D6" s="33"/>
      <c r="E6" s="33"/>
      <c r="F6" s="40" t="s">
        <v>258</v>
      </c>
      <c r="G6" s="41" t="s">
        <v>259</v>
      </c>
      <c r="H6" s="33"/>
      <c r="I6" s="33"/>
      <c r="J6" s="33"/>
    </row>
    <row r="7">
      <c r="A7" s="42"/>
      <c r="B7" s="43"/>
      <c r="D7" s="33"/>
      <c r="E7" s="33"/>
      <c r="F7" s="44" t="s">
        <v>260</v>
      </c>
      <c r="G7" s="45">
        <v>32767.0</v>
      </c>
      <c r="H7" s="33"/>
      <c r="I7" s="33"/>
      <c r="J7" s="33"/>
    </row>
    <row r="8">
      <c r="A8" s="46" t="s">
        <v>261</v>
      </c>
      <c r="B8" s="43"/>
      <c r="C8" s="47">
        <f>G13/(G14*G8)</f>
        <v>249.6609524</v>
      </c>
      <c r="E8" s="33"/>
      <c r="F8" s="42" t="s">
        <v>262</v>
      </c>
      <c r="G8" s="48">
        <v>7.0</v>
      </c>
      <c r="H8" s="33"/>
      <c r="I8" s="33"/>
      <c r="J8" s="33"/>
    </row>
    <row r="9">
      <c r="A9" s="42" t="s">
        <v>263</v>
      </c>
      <c r="B9" s="43" t="s">
        <v>264</v>
      </c>
      <c r="C9" s="47"/>
      <c r="E9" s="33"/>
      <c r="F9" s="44" t="s">
        <v>265</v>
      </c>
      <c r="G9" s="49">
        <v>60.0</v>
      </c>
      <c r="H9" s="33"/>
      <c r="I9" s="33"/>
      <c r="J9" s="33"/>
    </row>
    <row r="10">
      <c r="A10" s="42"/>
      <c r="B10" s="43"/>
      <c r="C10" s="47"/>
      <c r="E10" s="33"/>
      <c r="F10" s="44" t="s">
        <v>266</v>
      </c>
      <c r="G10" s="50">
        <v>60.0</v>
      </c>
      <c r="H10" s="33"/>
      <c r="I10" s="33"/>
      <c r="J10" s="33"/>
    </row>
    <row r="11">
      <c r="A11" s="51" t="s">
        <v>267</v>
      </c>
      <c r="B11" s="43"/>
      <c r="C11" s="52">
        <f>G13/(G14)</f>
        <v>1747.626667</v>
      </c>
      <c r="F11" s="44" t="s">
        <v>268</v>
      </c>
      <c r="G11" s="50">
        <f>G7/10/14</f>
        <v>234.05</v>
      </c>
      <c r="H11" s="33"/>
      <c r="I11" s="53"/>
      <c r="J11" s="33"/>
    </row>
    <row r="12">
      <c r="A12" s="42" t="s">
        <v>263</v>
      </c>
      <c r="B12" s="43"/>
      <c r="C12" s="47"/>
      <c r="F12" s="42" t="s">
        <v>269</v>
      </c>
      <c r="G12" s="48">
        <v>10.0</v>
      </c>
      <c r="H12" s="33"/>
      <c r="I12" s="33"/>
      <c r="J12" s="33"/>
    </row>
    <row r="13">
      <c r="A13" s="42"/>
      <c r="B13" s="43"/>
      <c r="C13" s="47"/>
      <c r="F13" s="46" t="s">
        <v>270</v>
      </c>
      <c r="G13" s="54">
        <v>1048576.0</v>
      </c>
      <c r="H13" s="33"/>
      <c r="I13" s="33"/>
      <c r="J13" s="33"/>
    </row>
    <row r="14">
      <c r="A14" s="46" t="s">
        <v>271</v>
      </c>
      <c r="B14" s="43"/>
      <c r="C14" s="47"/>
      <c r="F14" s="55" t="s">
        <v>272</v>
      </c>
      <c r="G14" s="56">
        <f>G12*G10</f>
        <v>600</v>
      </c>
      <c r="J14" s="33"/>
    </row>
    <row r="15">
      <c r="A15" s="46" t="s">
        <v>273</v>
      </c>
      <c r="B15" s="43"/>
      <c r="C15" s="47"/>
      <c r="I15" s="33"/>
      <c r="J15" s="33"/>
    </row>
    <row r="16">
      <c r="A16" s="42"/>
      <c r="B16" s="43"/>
      <c r="C16" s="47"/>
      <c r="G16" s="33"/>
      <c r="H16" s="33"/>
      <c r="I16" s="33"/>
      <c r="J16" s="33"/>
    </row>
    <row r="17">
      <c r="A17" s="42"/>
      <c r="B17" s="43"/>
      <c r="C17" s="47"/>
      <c r="G17" s="33"/>
      <c r="H17" s="33"/>
      <c r="I17" s="33"/>
      <c r="J17" s="33"/>
    </row>
    <row r="18">
      <c r="A18" s="42"/>
      <c r="B18" s="43"/>
      <c r="C18" s="47"/>
      <c r="G18" s="33"/>
      <c r="H18" s="33"/>
      <c r="I18" s="33"/>
      <c r="J18" s="33"/>
    </row>
    <row r="19">
      <c r="A19" s="57"/>
      <c r="B19" s="58"/>
      <c r="C19" s="47"/>
      <c r="G19" s="33"/>
      <c r="H19" s="33"/>
      <c r="I19" s="33"/>
      <c r="J19" s="33"/>
    </row>
    <row r="20">
      <c r="C20" s="59"/>
      <c r="E20" s="33"/>
      <c r="G20" s="33"/>
      <c r="H20" s="33"/>
      <c r="I20" s="33"/>
      <c r="J20" s="33"/>
    </row>
    <row r="21">
      <c r="C21" s="59"/>
      <c r="D21" s="33"/>
      <c r="E21" s="33"/>
      <c r="F21" s="33"/>
      <c r="G21" s="33"/>
      <c r="H21" s="33"/>
      <c r="I21" s="33"/>
      <c r="J21" s="33"/>
    </row>
    <row r="22">
      <c r="C22" s="59"/>
      <c r="D22" s="33"/>
      <c r="E22" s="33"/>
      <c r="F22" s="33"/>
      <c r="G22" s="33"/>
      <c r="H22" s="33"/>
      <c r="I22" s="33"/>
      <c r="J22" s="33"/>
    </row>
    <row r="23">
      <c r="C23" s="59"/>
      <c r="D23" s="33"/>
      <c r="E23" s="33"/>
      <c r="F23" s="33"/>
      <c r="G23" s="33"/>
      <c r="H23" s="33"/>
      <c r="I23" s="33"/>
      <c r="J23" s="33"/>
    </row>
    <row r="24">
      <c r="C24" s="59"/>
      <c r="D24" s="33"/>
      <c r="E24" s="33"/>
      <c r="F24" s="33"/>
      <c r="G24" s="33"/>
      <c r="H24" s="33"/>
      <c r="I24" s="33"/>
      <c r="J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>
      <c r="A26" s="33"/>
      <c r="B26" s="33"/>
      <c r="C26" s="33"/>
      <c r="D26" s="33"/>
      <c r="E26" s="33"/>
      <c r="F26" s="33"/>
      <c r="G26" s="33"/>
      <c r="H26" s="60"/>
      <c r="I26" s="33"/>
      <c r="J26" s="33"/>
    </row>
  </sheetData>
  <mergeCells count="1">
    <mergeCell ref="C6:C7"/>
  </mergeCells>
  <drawing r:id="rId2"/>
  <legacyDrawing r:id="rId3"/>
</worksheet>
</file>