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History" sheetId="2" r:id="rId5"/>
    <sheet state="visible" name="expandir cellArray" sheetId="3" r:id="rId6"/>
    <sheet state="visible" name="Limite de precisao" sheetId="4" r:id="rId7"/>
    <sheet state="visible" name="Sheets limit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Coordenadas de orientação em quatérnio (a + bi + cj + dk).
O Jmol expressa o componente real por último (bi + cj + dk + a), então a quarta coluna é da componente real.
	-Rodrigo Consoli</t>
      </text>
    </comment>
    <comment authorId="0" ref="H1">
      <text>
        <t xml:space="preserve">Unix Epoch partindo do início de cada tarefa.
https://www.epochconverter.com/
	-Rodrigo Consoli</t>
      </text>
    </comment>
    <comment authorId="0" ref="I1">
      <text>
        <t xml:space="preserve">Duração da tarefa
	-Rodrigo Consoli</t>
      </text>
    </comment>
    <comment authorId="0" ref="F1">
      <text>
        <t xml:space="preserve">Razão entre pixels da tela e unidades de distância entre os vértices (no Jmol é em Angstroms)
	-Rodrigo Consoli</t>
      </text>
    </comment>
    <comment authorId="0" ref="E1">
      <text>
        <t xml:space="preserve">Identificador da tarefa realizada.
	-Rodrigo Consoli</t>
      </text>
    </comment>
    <comment authorId="0" ref="C1">
      <text>
        <t xml:space="preserve">Nome da pessoa
	-Rodrigo Consoli</t>
      </text>
    </comment>
    <comment authorId="0" ref="B1">
      <text>
        <t xml:space="preserve">Email da pessoa
	-Rodrigo Consoli</t>
      </text>
    </comment>
    <comment authorId="0" ref="A1">
      <text>
        <t xml:space="preserve">Data do recebimento dos dados pela planilha
	-Rodrigo Consoli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Caracteres fixos: {,} {0.} {-}
	-Rodrigo Consoli</t>
      </text>
    </comment>
    <comment authorId="0" ref="P1">
      <text>
        <t xml:space="preserve">soma 4 caracteres "fixos": {-0.} e {,}
	-Rodrigo Consoli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Quantidade de subjects é altamente variável. Quantidade de tasks é mais previsível/estável.
	-Rodrigo Consoli</t>
      </text>
    </comment>
  </commentList>
</comments>
</file>

<file path=xl/sharedStrings.xml><?xml version="1.0" encoding="utf-8"?>
<sst xmlns="http://schemas.openxmlformats.org/spreadsheetml/2006/main" count="586" uniqueCount="432">
  <si>
    <t>timestamp</t>
  </si>
  <si>
    <t>email</t>
  </si>
  <si>
    <t>fname</t>
  </si>
  <si>
    <t>sessionID</t>
  </si>
  <si>
    <t>task_id</t>
  </si>
  <si>
    <t>pxAngstRatio</t>
  </si>
  <si>
    <t>epochStart</t>
  </si>
  <si>
    <t>epochArr</t>
  </si>
  <si>
    <t>duration</t>
  </si>
  <si>
    <t>fQi</t>
  </si>
  <si>
    <t>fQj</t>
  </si>
  <si>
    <t>fQk</t>
  </si>
  <si>
    <t>fQr</t>
  </si>
  <si>
    <t>sessionID test</t>
  </si>
  <si>
    <t>1680369443236-u0n2g</t>
  </si>
  <si>
    <t>bastao_c</t>
  </si>
  <si>
    <t>27.110934800342118,27.110934800342104</t>
  </si>
  <si>
    <t>1680369453309</t>
  </si>
  <si>
    <t>11,103,215,295,406,501,611,705,798,907,1003,1098,1205,1301,1400,1507,1601,1696,1809,1908,1995,2105,2200,2309,2402,2497,2593,2708,2799,2895,3010,3102,3201,3290,3400,3499,3605,3701,3799,3893,4004,4100,4211,4302,4401,4510,4604,4704,4793,4902,4997,5091,5202,5295,5404,5498,5593,5706,5801,5892,6003,6096,6208,6302,6397,6507,6602,6696,6831,6900,6996,7106,7203,7297,7409,7503,7600,7694,7804,7899,7993,8104,8200,8311,8406,8505,8594,8706,8799,8893,9002,9099,9194,9303,9400,9508,9603,9697,9793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</si>
  <si>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</t>
  </si>
  <si>
    <t>0.624884,0.624884,0.624884,0.624884,0.624884,0.624884,0.624884,0.624884,0.624884,0.624884,-0.388695,0.408087,0.525221,0.508595,0.513103,0.744059,0.744059,0.744059,0.802523,0.917114,0.913756,0.913756,0.913756,0.757071,0.651823,0.651823,0.651823,-0.154832,-0.213001,-0.213001,-0.319698,-0.616999,-0.615564,-0.480235,-0.406451,-0.369811,-0.369845,-0.358263,-0.360019,-0.380927,-0.529485,-0.568014,-0.574645,-0.472642,-0.364906,-0.34359,-0.340746,-0.384271,-0.412077,-0.402619,-0.402619,-0.402619,-0.402619,-0.402619,-0.402619,-0.402619,-0.417381,-0.429626,-0.47012,-0.472813,-0.478177,-0.479763,-0.479763,-0.479763,-0.479763,-0.479763,-0.479763,-0.479763,-0.489856,-0.493528,-0.493528,-0.493528,-0.493528,-0.493528,-0.493528,-0.493528,-0.493528,-0.493528,-0.493528,-0.493528,-0.493528,-0.493528,-0.493528,-0.493528,-0.493528,-0.493528,-0.493528,-0.493528,-0.493528,-0.493528,-0.493528,-0.493528,-0.493528,-0.493528,-0.493528,-0.493528,-0.493528,-0.493528,-0.493528</t>
  </si>
  <si>
    <t>-0.036592,-0.036592,-0.036592,-0.036592,-0.036592,-0.036592,-0.036592,-0.036592,-0.036592,-0.036592,-0.023092,0.139971,0.195773,0.178669,0.177429,0.228048,0.228048,0.228048,0.255163,0.298021,0.297735,0.297735,0.297735,0.055074,0.022296,0.022296,0.022296,-0.289279,-0.320532,-0.320532,-0.322436,-0.252825,-0.246477,-0.254252,-0.332206,-0.446202,-0.453335,-0.33784,-0.13225,-0.02416,0.021358,-0.011918,-0.20225,-0.350699,-0.329729,-0.260086,-0.257966,-0.246179,-0.206188,-0.250335,-0.250335,-0.250335,-0.250335,-0.250335,-0.250335,-0.250335,-0.265136,-0.265542,-0.277654,-0.279537,-0.283288,-0.292349,-0.292349,-0.292349,-0.292349,-0.292349,-0.292349,-0.292349,-0.283591,-0.27826,-0.27826,-0.27826,-0.27826,-0.27826,-0.27826,-0.27826,-0.27826,-0.27826,-0.27826,-0.27826,-0.27826,-0.27826,-0.27826,-0.27826,-0.27826,-0.27826,-0.27826,-0.27826,-0.27826,-0.27826,-0.27826,-0.27826,-0.27826,-0.27826,-0.27826,-0.27826,-0.27826,-0.27826,-0.27826</t>
  </si>
  <si>
    <t>-0.699007,-0.699007,-0.699007,-0.699007,-0.699007,-0.699007,-0.699007,-0.699007,-0.699007,-0.699007,0.802853,0.783252,0.715481,0.731206,0.729893,0.553671,0.553671,0.553671,0.470579,-0.242287,-0.251907,-0.251907,-0.251907,-0.431446,-0.477383,-0.477383,-0.477383,-0.452738,-0.431176,-0.431176,-0.383137,-0.18432,-0.180393,-0.250484,-0.313207,-0.360232,-0.361382,-0.347466,-0.285354,-0.244035,-0.205506,-0.221831,-0.340758,-0.46809,-0.535285,-0.539308,-0.540325,-0.518121,-0.495978,-0.510672,-0.510672,-0.510672,-0.510672,-0.510672,-0.510672,-0.510672,-0.506165,-0.49968,-0.479885,-0.478791,-0.476581,-0.478103,-0.478103,-0.478103,-0.478103,-0.478103,-0.478103,-0.478103,-0.469346,-0.465485,-0.465485,-0.465485,-0.465485,-0.465485,-0.465485,-0.465485,-0.465485,-0.465485,-0.465485,-0.465485,-0.465485,-0.465485,-0.465485,-0.465485,-0.465485,-0.465485,-0.465485,-0.465485,-0.465485,-0.465485,-0.465485,-0.465485,-0.465485,-0.465485,-0.465485,-0.465485,-0.465485,-0.465485,-0.465485</t>
  </si>
  <si>
    <t>-0.34579,-0.34579,-0.34579,-0.34579,-0.34579,-0.34579,-0.34579,-0.34579,-0.34579,-0.34579,0.451453,0.447649,0.417018,0.418027,0.415332,0.29634,0.29634,0.29634,0.263447,-0.106688,-0.11378,-0.11378,-0.11378,0.487508,0.588842,0.588842,0.588842,0.82908,0.816074,0.816074,0.804385,0.722093,0.72649,0.801242,0.791415,0.731011,0.72602,0.797984,0.878333,0.891492,0.822774,0.79247,0.716074,0.659174,0.686726,0.723498,0.724841,0.723382,0.735992,0.717249,0.717249,0.717249,0.717249,0.717249,0.717249,0.717249,0.706607,0.703725,0.686736,0.684884,0.68115,0.675112,0.675112,0.675112,0.675112,0.675112,0.675112,0.675112,0.677739,0.679946,0.679946,0.679946,0.679946,0.679946,0.679946,0.679946,0.679946,0.679946,0.679946,0.679946,0.679946,0.679946,0.679946,0.679946,0.679946,0.679946,0.679946,0.679946,0.679946,0.679946,0.679946,0.679946,0.679946,0.679946,0.679946,0.679946,0.679946,0.679946,0.679946</t>
  </si>
  <si>
    <t>bastao_g</t>
  </si>
  <si>
    <t>27.11093480034211,27.110934800342125</t>
  </si>
  <si>
    <t>1680369465819</t>
  </si>
  <si>
    <t>1,110,204,296,390,502,599,708,807,895,1004,1102,1199,1305,1397,1492,1600,1694,1803,1897,2006,2109,2199,2303,2398,2508,2601,2695,2810,2901,2999,3109,3206,3300,3410,3509,3600,3694,3804,3900,3992,4102,4229,4292,4402,4498,4593,4705,4799,4893,5001,5095,5205,5300,5395,5504,5600,5694,5805,5901</t>
  </si>
  <si>
    <t>0,0.1,0.2,0.3,0.4,0.5,0.6,0.7,0.8,0.9,1,1.1,1.2,1.3,1.4,1.5,1.6,1.7,1.8,1.9,2,2.1,2.2,2.3,2.4,2.5,2.6,2.7,2.8,2.9,3,3.1,3.2,3.3,3.4,3.5,3.6,3.7,3.8,3.9,4,4.1,4.2,4.3,4.4,4.5,4.6,4.7,4.8,4.9,5,5.1,5.2,5.3,5.4,5.5,5.6,5.7,5.8,5.9</t>
  </si>
  <si>
    <t>0.624884,0.624884,0.624884,0.624884,0.624884,0.624884,-0.545865,-0.313096,-0.037243,-0.037243,-0.037243,-0.031783,0.421159,0.577391,0.577391,0.807046,0.88461,0.88461,0.88461,0.860443,0.860443,0.849987,0.424958,0.372628,0.372628,-0.402813,-0.449029,-0.449029,-0.53967,-0.595814,-0.581684,0.563221,0.584618,0.648511,0.70269,-0.663508,-0.545029,-0.456016,-0.483573,-0.520591,-0.53257,-0.534248,-0.527485,-0.527485,-0.527485,-0.529188,-0.529005,-0.528041,-0.520063,-0.520063,-0.513985,-0.513985,-0.513985,-0.513985,-0.513985,-0.513985,-0.513985,-0.513985,-0.513985,-0.513985</t>
  </si>
  <si>
    <t>-0.036592,-0.036592,-0.036592,-0.036592,-0.036592,-0.036592,-0.01214,-0.171264,-0.140145,-0.140145,-0.140145,-0.140765,-0.122248,-0.043755,-0.043755,0.09975,0.183337,0.183337,0.183337,0.277059,0.277059,0.276606,0.150086,0.164208,0.164208,0.046321,0.019878,0.019878,-0.047054,-0.123716,-0.167742,0.26896,0.298844,0.260289,0.174243,-0.090613,-0.073544,-0.245321,-0.337805,-0.317801,-0.299621,-0.297005,-0.307441,-0.307441,-0.307441,-0.304839,-0.29363,-0.289315,-0.284255,-0.284255,-0.287894,-0.287894,-0.287894,-0.287894,-0.287894,-0.287894,-0.287894,-0.287894,-0.287894,-0.287894</t>
  </si>
  <si>
    <t>-0.699007,-0.699007,-0.699007,-0.699007,-0.699007,-0.699007,0.734912,0.761748,0.774408,0.774408,0.774408,0.773992,0.647221,0.544846,0.544846,0.300252,0.121515,0.121515,0.121515,-0.086233,-0.086233,-0.096108,-0.247601,-0.267957,-0.267957,-0.447806,-0.449757,-0.449757,-0.454507,-0.46814,-0.497819,0.544839,0.53584,0.467284,0.370979,-0.329018,-0.363936,-0.469629,-0.474458,-0.442976,-0.4285,-0.426406,-0.434745,-0.434745,-0.434745,-0.43267,-0.428746,-0.427804,-0.431183,-0.431183,-0.436367,-0.436367,-0.436367,-0.436367,-0.436367,-0.436367,-0.436367,-0.436367,-0.436367,-0.436367</t>
  </si>
  <si>
    <t>-0.34579,-0.34579,-0.34579,-0.34579,-0.34579,-0.34579,0.40223,0.540721,0.615844,0.615844,0.615844,0.616531,0.623526,0.606505,0.606505,0.498573,0.411202,0.411202,0.411202,0.418855,0.418855,0.437921,0.857659,0.873145,0.873145,0.79691,0.771814,0.771814,0.707082,0.640738,0.621033,-0.559994,-0.530839,-0.541599,-0.581584,0.665803,0.751721,0.715063,0.653402,0.657084,0.665571,0.666742,0.661995,0.661995,0.661995,0.663197,0.670904,0.674131,0.680305,0.680305,0.680089,0.680089,0.680089,0.680089,0.680089,0.680089,0.680089,0.680089,0.680089,0.680089</t>
  </si>
  <si>
    <t>1680369596504-9qgvj</t>
  </si>
  <si>
    <t>27.110934800342115,27.110934800342115</t>
  </si>
  <si>
    <t>1680369599714</t>
  </si>
  <si>
    <t>10,117,197,292,402,531,606,700,795,908,1002,1098,1203,1297,1392,1507,1597,1694,1807,1901,1995,2107,2209,2297,2398,2507,2597,2704,2799,2907,3002,3096,3203,3300,3393,3508,3603,3698,3807,3896,3992,4102,4197,4294,4410,4499,4594,4705,4800,4897,5003,5098,5208,5301,5396,5506,5601</t>
  </si>
  <si>
    <t>0,0.1,0.2,0.3,0.4,0.5,0.6,0.7,0.8,0.9,1,1.1,1.2,1.3,1.4,1.5,1.6,1.7,1.8,1.9,2,2.1,2.2,2.3,2.4,2.5,2.6,2.7,2.8,2.9,3,3.1,3.2,3.3,3.4,3.5,3.6,3.7,3.8,3.9,4,4.1,4.2,4.3,4.4,4.5,4.6,4.7,4.8,4.9,5,5.1,5.2,5.3,5.4,5.5,5.6</t>
  </si>
  <si>
    <t>0.624884,0.624884,0.624884,0.624884,0.624884,-0.426977,-0.332221,-0.332221,-0.332221,0.283137,0.286214,0.301283,0.66229,0.66229,0.66229,0.322837,0.185774,0.185774,-0.331483,0.485568,0.485568,0.485568,0.424636,0.403447,0.572586,0.705616,-0.676803,-0.633219,-0.643395,-0.659411,-0.604626,-0.606357,-0.608079,-0.583135,0.514327,0.501687,0.501758,0.52336,0.545447,0.547446,-0.553625,-0.565343,-0.565343,-0.531642,-0.537151,-0.542527,-0.534671,-0.534671,-0.534671,-0.534671,-0.534671,-0.534671,-0.534671,-0.534671,-0.534671,-0.534671,-0.534671</t>
  </si>
  <si>
    <t>-0.036592,-0.036592,-0.036592,-0.036592,-0.036592,-0.25361,-0.369906,-0.369906,-0.369906,-0.000522,-0.002691,0.018833,0.363315,0.363315,0.363315,0.52553,0.594948,0.594948,0.351148,-0.144321,-0.144321,-0.144321,0.360828,0.536927,0.432983,0.205175,-0.137053,-0.106872,-0.167897,-0.191411,-0.215307,-0.212844,-0.210378,-0.244588,0.312359,0.334988,0.339419,0.325669,0.291521,0.289171,-0.262274,-0.216249,-0.216249,-0.269945,-0.258201,-0.246372,-0.256264,-0.256264,-0.256264,-0.256264,-0.256264,-0.256264,-0.256264,-0.256264,-0.256264,-0.256264,-0.256264</t>
  </si>
  <si>
    <t>-0.699007,-0.699007,-0.699007,-0.699007,-0.699007,0.662705,0.603657,0.603657,0.603657,0.552185,0.552178,0.544103,0.290194,0.290194,0.290194,-0.020154,-0.140191,-0.140191,-0.529488,0.627207,0.627207,0.627207,0.759375,0.711328,0.592279,0.381164,-0.351578,-0.355094,-0.38754,-0.391498,-0.441981,-0.439603,-0.437218,-0.469972,0.539787,0.553134,0.553771,0.535028,0.510202,0.508056,-0.495016,-0.469936,-0.469936,-0.510816,-0.50343,-0.495931,-0.504392,-0.504392,-0.504392,-0.504392,-0.504392,-0.504392,-0.504392,-0.504392,-0.504392,-0.504392,-0.504392</t>
  </si>
  <si>
    <t>-0.34579,-0.34579,-0.34579,-0.34579,-0.34579,0.560531,0.623215,0.623215,0.623215,0.784172,0.783054,0.782832,0.587505,0.587505,0.587505,0.786885,0.769332,0.769332,0.697465,-0.591614,-0.591614,-0.591614,-0.335912,-0.207249,-0.365892,-0.561002,0.632097,0.679353,0.638488,0.612592,0.626676,0.627517,0.628348,0.615838,-0.588667,-0.574575,-0.57129,-0.577736,-0.597661,-0.598801,0.616175,0.642483,0.642483,0.619317,0.625587,0.631678,0.62773,0.62773,0.62773,0.62773,0.62773,0.62773,0.62773,0.62773,0.62773,0.62773,0.62773</t>
  </si>
  <si>
    <t>local data</t>
  </si>
  <si>
    <t>1680463934504</t>
  </si>
  <si>
    <t>1680463938037</t>
  </si>
  <si>
    <t>8,112,206,300,393,508,598,693,806,896,991,1105,1195,1306,1402,1506,1593,1705,1807,1895,2005,2107,2193,2305,2400,2500,2609,2706,2796,2895,3002,3098,3209,3302,3419,3496,3608,3698,3796,3906,4000,4098,4206,4309,4395,4503,4600,4698,4805,4901,4999,5106,5199,5298,5408,5500,5594,5708,5798,5893,6003,6098,6193,6303,6397,6507,6600,6697,6808,6904,6997,7108,7212,7295,7409,7500,7594,7706,7802,7895,8006,8099,8195,8304,8400,8510,8602,8695,8843,8901,8995,9105,9200,9296,9406,9500,9596,9706,9799,9912,10002,10097,10205,10298,10406,10500,10593,10701,10798,10908,11001,11098,11208,11299,11395,11506,11601,11696,11807,11901,11995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</si>
  <si>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</t>
  </si>
  <si>
    <t>0.624884,0.624884,0.624884,0.624884,0.624884,-0.292079,-0.078096,-0.078096,0.263417,0.488402,0.488402,0.696142,0.696142,0.696142,0.696142,0.649973,-0.395939,-0.395939,0.29191,0.010205,0.010205,-0.217092,0.47528,0.47528,0.47528,-0.473788,-0.494109,-0.637924,-0.625657,0.548634,0.543892,0.539454,0.541058,0.541058,0.541362,-0.513852,-0.500942,-0.514107,-0.484947,-0.403881,-0.381095,-0.377083,-0.376897,-0.380905,-0.396672,-0.399501,-0.402323,-0.421874,-0.434887,-0.434887,-0.462186,-0.542212,-0.52249,-0.446633,-0.401008,-0.415263,-0.420968,-0.444825,-0.459326,-0.459326,-0.464259,-0.466642,-0.464927,-0.478055,-0.478055,-0.478055,-0.478055,-0.479756,-0.479756,-0.479756,-0.479756,-0.479756,-0.481451,-0.487568,-0.487568,-0.487568,-0.485893,-0.485893,-0.485893,-0.485893,-0.485893,-0.487568,-0.487568,-0.487568,-0.487568,-0.487568,-0.487568,-0.487568,-0.479292,-0.479292,-0.480973,-0.480973,-0.480973,-0.480973,-0.480973,-0.480973,-0.480973,-0.480973,-0.480973,-0.486507,-0.486507,-0.486507,-0.486507,-0.486507,-0.486507,-0.486507,-0.486507,-0.486507,-0.486507,-0.486507,-0.486507,-0.486507,-0.486507,-0.486507,-0.486507,-0.486507,-0.486507,-0.486507,-0.486507,-0.486507,-0.486507</t>
  </si>
  <si>
    <t>-0.036592,-0.036592,-0.036592,-0.036592,-0.036592,-0.242974,-0.344795,-0.344795,-0.060423,0.21902,0.21902,0.675913,0.675913,0.675913,0.675913,0.558068,-0.065451,-0.065451,-0.006118,-0.330078,-0.330078,-0.40418,0.529832,0.529832,0.529832,-0.339448,-0.236093,-0.217914,-0.322374,0.465322,0.471985,0.468784,0.466554,0.466554,0.456572,-0.420937,-0.408308,-0.316516,-0.296941,-0.28468,-0.25527,-0.289291,-0.309389,-0.31591,-0.341701,-0.34348,-0.345253,-0.32611,-0.310597,-0.310597,-0.295843,-0.237684,-0.311727,-0.40332,-0.384715,-0.342159,-0.321958,-0.321856,-0.323511,-0.323511,-0.303571,-0.293494,-0.296285,-0.312121,-0.312121,-0.312121,-0.312121,-0.309382,-0.309382,-0.309382,-0.309382,-0.309382,-0.306639,-0.302811,-0.302811,-0.302811,-0.305556,-0.305556,-0.305556,-0.305556,-0.305556,-0.302811,-0.302811,-0.302811,-0.302811,-0.302811,-0.302811,-0.302811,-0.297777,-0.297777,-0.295005,-0.295005,-0.295005,-0.295005,-0.295005,-0.295005,-0.295005,-0.295005,-0.295005,-0.298351,-0.298351,-0.298351,-0.298351,-0.298351,-0.298351,-0.298351,-0.298351,-0.298351,-0.298351,-0.298351,-0.298351,-0.298351,-0.298351,-0.298351,-0.298351,-0.298351,-0.298351,-0.298351,-0.298351,-0.298351,-0.298351</t>
  </si>
  <si>
    <t>-0.699007,-0.699007,-0.699007,-0.699007,-0.699007,0.718365,0.664408,0.664408,0.610719,0.460906,0.460906,-0.241614,-0.241614,-0.241614,-0.241614,-0.484658,0.703013,0.703013,-0.720293,-0.642514,-0.642514,-0.545591,0.359844,0.359844,0.359844,-0.308182,-0.25352,-0.176122,-0.262626,0.399275,0.40571,0.409405,0.407283,0.407283,0.404568,-0.419606,-0.427624,-0.38811,-0.399105,-0.441509,-0.446063,-0.45508,-0.458898,-0.457908,-0.453672,-0.452327,-0.450975,-0.435302,-0.424025,-0.424025,-0.403809,-0.337021,-0.382298,-0.462799,-0.493914,-0.479005,-0.47175,-0.457397,-0.448756,-0.448756,-0.440251,-0.435951,-0.43778,-0.434261,-0.434261,-0.434261,-0.434261,-0.43238,-0.43238,-0.43238,-0.43238,-0.43238,-0.430493,-0.425512,-0.425512,-0.425512,-0.427424,-0.427424,-0.427424,-0.427424,-0.427424,-0.425512,-0.425512,-0.425512,-0.425512,-0.425512,-0.425512,-0.425512,-0.42905,-0.42905,-0.427165,-0.427165,-0.427165,-0.427165,-0.427165,-0.427165,-0.427165,-0.427165,-0.427165,-0.424835,-0.424835,-0.424835,-0.424835,-0.424835,-0.424835,-0.424835,-0.424835,-0.424835,-0.424835,-0.424835,-0.424835,-0.424835,-0.424835,-0.424835,-0.424835,-0.424835,-0.424835,-0.424835,-0.424835,-0.424835,-0.424835</t>
  </si>
  <si>
    <t>-0.34579,-0.34579,-0.34579,-0.34579,-0.34579,0.582756,0.658468,0.658468,0.7443,0.707855,0.707855,-0.012318,-0.012318,-0.012318,-0.012318,0.176639,-0.58713,-0.58713,0.629229,0.691463,0.691463,0.701313,-0.60324,-0.60324,-0.60324,0.75188,0.797398,0.71732,0.660042,-0.56838,-0.562859,-0.567113,-0.56895,-0.56895,-0.578613,0.618627,0.632044,0.696334,0.719283,0.748937,0.768525,0.753008,0.742724,0.738535,0.721161,0.719598,0.718024,0.725388,0.731167,0.731167,0.731983,0.732072,0.69547,0.650898,0.668757,0.693569,0.704685,0.699519,0.694967,0.694967,0.706036,0.711374,0.710216,0.696751,0.696751,0.696751,0.696751,0.697971,0.697971,0.697971,0.697971,0.697971,0.699181,0.699658,0.699658,0.699658,0.698464,0.698464,0.698464,0.698464,0.698464,0.699658,0.699658,0.699658,0.699658,0.699658,0.699658,0.699658,0.705354,0.705354,0.706518,0.706518,0.706518,0.706518,0.706518,0.706518,0.706518,0.706518,0.706518,0.702718,0.702718,0.702718,0.702718,0.702718,0.702718,0.702718,0.702718,0.702718,0.702718,0.702718,0.702718,0.702718,0.702718,0.702718,0.702718,0.702718,0.702718,0.702718,0.702718,0.702718,0.702718</t>
  </si>
  <si>
    <t>1680463987484</t>
  </si>
  <si>
    <t>27.110934800341468,27.110934800342118</t>
  </si>
  <si>
    <t>1680463991706</t>
  </si>
  <si>
    <t>9,108,202,297,442,511,600,709,806,899,1009,1096,1201,1294,1404,1502,1594,1702,1803,1890,2001,2106,2193,2300,2396,2492,2602,2696,2807,2902,2997,3105,3204,3297,3409,3504,3599,3697,3793,3901,3996,4091,4203,4298,4407,4502,4604,4708,4804,4897,4995,5105,5204,5294,5404,5506,5594,5695,5802,5895,6006,6106,6195,6305,6405,6495,6602,6696,6797,6901,6996,7106,7201,7296,7406,7500,7596,7706,7801,7896,8005,8099,8239,8306,8401,8508,8606,8697,8808,8902,8996,9092,9202,9295,9406,9501,9596,9706,9802,9896,10006,10098,10194,10301,10395,10506,10602,10696,10807,10901,10997,11107,11200,11310,11405,11499,11611,11703,11796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</si>
  <si>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</t>
  </si>
  <si>
    <t>0.624884,0.624884,0.624884,0.624884,-0.500106,-0.290485,-0.290485,-0.290485,-0.024804,0.219368,0.219368,0.282393,0.549053,0.549053,0.551538,0.111401,0.019283,0.019283,-0.241945,0.541018,0.541018,0.55595,0.778274,0.793699,0.793699,0.86741,0.974095,0.972877,0.972877,0.965545,0.933035,0.933035,0.810474,0.735418,0.735418,0.497472,0.269878,0.269878,0.016302,-0.211958,-0.211958,-0.211958,-0.513827,-0.628475,-0.628475,-0.628475,0.682226,0.531343,0.531343,0.531343,0.517252,0.446581,0.34983,0.245401,0.372197,0.582867,-0.549534,-0.39048,-0.369418,-0.369418,-0.365457,-0.373681,-0.44072,-0.575463,-0.511466,-0.436894,-0.397078,-0.392538,-0.432964,-0.459241,-0.459241,-0.517729,-0.540585,-0.548644,-0.575114,-0.594565,-0.591799,-0.517614,-0.47936,-0.467836,-0.475926,-0.477813,-0.502456,-0.559254,-0.584578,-0.562671,-0.522759,-0.493061,-0.488573,-0.488573,-0.492401,-0.492401,-0.492401,-0.492401,-0.492401,-0.492401,-0.492401,-0.492401,-0.492401,-0.492401,-0.492401,-0.492401,-0.492401,-0.492401,-0.492401,-0.492401,-0.492401,-0.492401,-0.492401,-0.492401,-0.492401,-0.492401,-0.492401,-0.492401,-0.492401,-0.492401,-0.492401,-0.492401,-0.492401</t>
  </si>
  <si>
    <t>-0.036592,-0.036592,-0.036592,-0.036592,-0.129994,-0.37959,-0.37959,-0.37959,-0.212926,0.007343,0.007343,0.092859,0.491968,0.491968,0.496632,0.621309,0.593545,0.593545,0.511153,-0.286837,-0.286837,-0.283034,0.025477,0.047738,0.047738,0.069493,0.049871,0.051965,0.051965,0.048001,0.047289,0.047289,-0.120895,-0.232693,-0.232693,-0.311252,-0.389766,-0.389766,-0.265752,0.020713,0.020713,0.020713,0.078402,0.063259,0.063259,0.063259,0.207248,0.378087,0.378087,0.378087,0.366427,0.327115,0.332429,0.560753,0.60704,0.437415,-0.302932,-0.331972,-0.337021,-0.337021,-0.235872,-0.116209,0.037134,-0.07393,-0.24483,-0.358621,-0.409567,-0.409987,-0.325513,-0.275406,-0.275406,-0.262098,-0.260997,-0.265798,-0.176951,-0.134302,-0.224818,-0.315032,-0.330054,-0.32935,-0.290986,-0.288329,-0.269761,-0.257834,-0.251705,-0.322752,-0.33046,-0.30718,-0.275506,-0.275506,-0.270252,-0.270252,-0.270252,-0.270252,-0.270252,-0.270252,-0.270252,-0.270252,-0.270252,-0.270252,-0.270252,-0.270252,-0.270252,-0.270252,-0.270252,-0.270252,-0.270252,-0.270252,-0.270252,-0.270252,-0.270252,-0.270252,-0.270252,-0.270252,-0.270252,-0.270252,-0.270252,-0.270252,-0.270252</t>
  </si>
  <si>
    <t>-0.699007,-0.699007,-0.699007,-0.699007,0.703416,0.605965,0.605965,0.605965,0.62747,0.58642,0.58642,0.558806,0.318491,0.318491,0.314169,-0.190768,-0.264806,-0.264806,-0.447614,0.614104,0.614104,0.612149,0.618971,0.602098,0.602098,0.491236,0.211253,0.218502,0.218502,-0.255698,-0.356632,-0.356632,-0.449902,-0.375991,-0.375991,-0.33233,-0.235577,-0.235577,-0.18455,-0.121722,-0.121722,-0.121722,-0.119413,-0.125844,-0.125844,-0.125844,0.381327,0.574219,0.574219,0.574219,0.585018,0.63504,0.691685,0.688874,0.563531,0.316314,-0.26442,-0.35994,-0.372525,-0.372525,-0.350338,-0.310677,-0.240621,-0.290635,-0.411915,-0.490301,-0.523068,-0.526237,-0.489545,-0.462027,-0.462027,-0.423505,-0.409094,-0.405991,-0.347345,-0.312885,-0.367789,-0.457493,-0.48802,-0.495664,-0.481438,-0.479565,-0.459078,-0.418359,-0.399012,-0.446081,-0.479258,-0.494693,-0.48932,-0.48932,-0.485468,-0.485468,-0.485468,-0.485468,-0.485468,-0.485468,-0.485468,-0.485468,-0.485468,-0.485468,-0.485468,-0.485468,-0.485468,-0.485468,-0.485468,-0.485468,-0.485468,-0.485468,-0.485468,-0.485468,-0.485468,-0.485468,-0.485468,-0.485468,-0.485468,-0.485468,-0.485468,-0.485468,-0.485468</t>
  </si>
  <si>
    <t>-0.34579,-0.34579,-0.34579,-0.34579,0.48806,0.635874,0.635874,0.635874,0.748551,0.779702,0.779702,0.774188,0.595879,0.595879,0.591997,0.751779,0.759744,0.759744,0.692695,-0.497897,-0.497897,-0.485886,-0.102551,-0.072399,-0.072399,-0.038179,-0.063433,-0.055375,-0.055375,0.006157,0.004809,0.004809,0.355112,0.513464,0.513464,0.738377,0.848382,0.848382,0.946072,0.969448,0.969448,0.969448,0.845917,0.764971,0.764971,0.764971,-0.588392,-0.494973,-0.494973,-0.494973,-0.505901,-0.538782,-0.537292,-0.388313,-0.418813,-0.607354,0.732343,0.779592,0.781775,0.781775,0.829499,0.86622,0.863996,0.76086,0.713293,0.663415,0.633233,0.633166,0.683322,0.706951,0.706951,0.695633,0.687234,0.680818,0.719224,0.728394,0.681147,0.650792,0.650473,0.653433,0.676047,0.677184,0.681186,0.667632,0.660078,0.616639,0.62276,0.646382,0.667801,0.667801,0.669944,0.669944,0.669944,0.669944,0.669944,0.669944,0.669944,0.669944,0.669944,0.669944,0.669944,0.669944,0.669944,0.669944,0.669944,0.669944,0.669944,0.669944,0.669944,0.669944,0.669944,0.669944,0.669944,0.669944,0.669944,0.669944,0.669944,0.669944,0.669944</t>
  </si>
  <si>
    <t>1680737434599</t>
  </si>
  <si>
    <t>27.110934800342108,27.110934800342108</t>
  </si>
  <si>
    <t>1680737437115</t>
  </si>
  <si>
    <t>139,681,684,685,686,691,696,702,707,809,950,1097,1230,1298,1396,1497,1606,1698,1800,1899,2001,2107,2201,2301,2406,2501,2600,2706,2801,2906,3006,3107,3198,3298,3397,3499,3599,3712</t>
  </si>
  <si>
    <t>0,0.1,0.2,0.3,0.4,0.5,0.6,0.7,0.8,0.9,1,1.1,1.2,1.3,1.4,1.5,1.6,1.7,1.8,1.9,2,2.1,2.2,2.3,2.4,2.5,2.6,2.7,2.8,2.9,3,3.1,3.2,3.3,3.4,3.5,3.6,3.7</t>
  </si>
  <si>
    <t>0.624884,0.624884,0.624884,0.624884,0.624884,0.624884,0.624884,0.624884,0.624884,0.624884,0.624884,0.624884,-0.271294,0.116281,0.132268,0.132268,0.715513,0.718647,0.718647,0.815744,0.815744,0.728966,0.392247,0.392247,-0.001425,-0.336625,-0.336625,-0.425673,0.576915,0.543658,-0.343182,-0.346565,-0.352921,-0.352921,-0.352921,-0.352921,-0.352921,-0.352921</t>
  </si>
  <si>
    <t>-0.036592,-0.036592,-0.036592,-0.036592,-0.036592,-0.036592,-0.036592,-0.036592,-0.036592,-0.036592,-0.036592,-0.036592,-0.28378,-0.43175,-0.421613,-0.421613,-0.091067,-0.072117,-0.072117,0.252083,0.252083,0.18224,0.088078,0.088078,-0.052459,-0.379431,-0.379431,-0.427738,0.457755,0.50394,-0.408425,-0.347474,-0.326717,-0.326717,-0.326717,-0.326717,-0.326717,-0.326717</t>
  </si>
  <si>
    <t>-0.699007,-0.699007,-0.699007,-0.699007,-0.699007,-0.699007,-0.699007,-0.699007,-0.699007,-0.699007,-0.699007,-0.699007,0.683427,0.527294,0.52148,0.52148,0.025206,0.005162,0.005162,-0.341617,-0.341617,-0.379517,-0.507796,-0.507796,-0.548838,-0.467553,-0.467553,-0.415307,0.28955,0.345076,-0.514802,-0.509795,-0.504202,-0.504202,-0.504202,-0.504202,-0.504202,-0.504202</t>
  </si>
  <si>
    <t>-0.34579,-0.34579,-0.34579,-0.34579,-0.34579,-0.34579,-0.34579,-0.34579,-0.34579,-0.34579,-0.34579,-0.34579,0.615464,0.722518,0.729936,0.729936,0.69218,0.691607,0.691607,0.392827,0.392827,0.539782,0.761924,0.761924,0.83428,0.723954,0.723954,0.680707,-0.611384,-0.575676,0.671114,0.706586,0.717275,0.717275,0.717275,0.717275,0.717275,0.717275</t>
  </si>
  <si>
    <t>reuniao 11/04</t>
  </si>
  <si>
    <t>1681242345973</t>
  </si>
  <si>
    <t>bolaBastao_c</t>
  </si>
  <si>
    <t>27.11093480034213,27.110934800342125</t>
  </si>
  <si>
    <t>1681242352225</t>
  </si>
  <si>
    <t>8,110,203,296,404,496,606,699,806,907,995,1102,1197,1305,1407,1496,1602,1697,1798,1907,1994,2104,2197,2299,2400,2507,2601,2700,2806,2897,3006,3098,3207,3299,3393,3498,3599,3702,3795,3906,3999,4108,4200,4296,4403,4498,4609,4700,4800,4910,4998,5109,5201,5299,5410,5501,5598,5710,5801,5905,5999,6109,6200,6301,6411,6499,6611,6702,6794,6904,6998,7105,7199,7292,7410,7496,7605,7699,7806,7898,7993,8104,8198,8291,8399,8509,8603,8707,8806,8927,9015,9088,9198,9294,9400,9494,9604,9696,9803,9897,10007,10101,10195,10304,10397,10507,10601,10696,10805,10898,11007,11099,11193,11302,11395,11505,11599,11707,11801,11909,12003,12096,12206,12300,12392,12502,12595,12702,12797,12892,13000,13095,13203,13296,13404,13497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</si>
  <si>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</t>
  </si>
  <si>
    <t>0.624884,0.624884,0.624884,0.624884,0.624884,0.624884,0.624884,0.624884,-0.582499,-0.469428,-0.360785,-0.350749,-0.350749,-0.350749,0.004769,0.388969,0.404344,0.404344,0.483574,0.841694,0.877675,0.877675,0.877675,0.895398,0.818952,0.817625,0.817625,0.813994,0.63372,0.63372,0.63372,0.63372,0.63372,0.63372,0.63372,0.620818,0.237725,0.0861,0.0861,0.0861,0.00631,-0.393775,-0.402037,-0.402037,-0.402037,-0.427368,-0.533918,-0.577569,-0.594166,-0.589306,-0.60272,-0.738507,-0.747891,-0.71088,-0.618288,-0.563421,-0.5276,-0.49934,-0.489519,-0.492468,-0.489627,-0.455366,-0.427881,-0.368148,-0.394903,-0.450774,-0.488785,-0.506385,-0.503598,-0.483166,-0.471621,-0.45582,-0.453813,-0.451799,-0.449778,-0.441625,-0.441625,-0.441625,-0.443674,-0.443674,-0.443674,-0.445716,-0.44775,-0.44775,-0.44775,-0.44775,-0.44775,-0.451799,-0.453813,-0.458499,-0.470476,-0.473134,-0.475099,-0.482888,-0.485974,-0.4802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,-0.47826</t>
  </si>
  <si>
    <t>-0.036592,-0.036592,-0.036592,-0.036592,-0.036592,-0.036592,-0.036592,-0.036592,-0.143468,-0.236846,-0.287634,-0.292232,-0.292232,-0.292232,-0.175605,0.156301,0.180119,0.180119,0.214967,0.366626,0.386777,0.386777,0.386777,0.41052,0.423755,0.417542,0.417542,0.337729,0.079808,0.079808,0.079808,0.079808,0.079808,0.079808,0.079808,0.079657,-0.08334,-0.195562,-0.195562,-0.195562,-0.224453,-0.401381,-0.406471,-0.406471,-0.406471,-0.376393,-0.248713,-0.180297,-0.09093,0.118525,0.200268,0.1591,0.07795,-0.057776,-0.154095,-0.180339,-0.186545,-0.186282,-0.142063,-0.107272,-0.105413,-0.119868,-0.147575,-0.261567,-0.283653,-0.267652,-0.221374,-0.177405,-0.175605,-0.218048,-0.234384,-0.255963,-0.258643,-0.261319,-0.263991,-0.274637,-0.274637,-0.274637,-0.271982,-0.271982,-0.271982,-0.269322,-0.266659,-0.266659,-0.266659,-0.266659,-0.266659,-0.261319,-0.258643,-0.257964,-0.258587,-0.260559,-0.257902,-0.247239,-0.237266,-0.245327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,-0.248006</t>
  </si>
  <si>
    <t>-0.699007,-0.699007,-0.699007,-0.699007,-0.699007,-0.699007,-0.699007,-0.699007,0.6407,0.621756,0.607292,0.605283,0.605283,0.605283,0.614753,0.495581,0.483119,0.483119,0.457463,0.212407,0.143325,0.143325,0.143325,0.039128,-0.386529,-0.39635,-0.39635,-0.443313,-0.54874,-0.54874,-0.54874,-0.54874,-0.54874,-0.54874,-0.54874,-0.557095,-0.635905,-0.613316,-0.613316,-0.613316,-0.597247,-0.434407,-0.429649,-0.429649,-0.429649,-0.407137,-0.291642,-0.232177,-0.166226,-0.011832,0.044352,-0.041895,-0.136927,-0.2901,-0.41404,-0.460497,-0.48333,-0.498652,-0.487954,-0.473135,-0.473552,-0.492751,-0.512735,-0.563114,-0.55207,-0.517663,-0.483304,-0.458172,-0.458866,-0.484364,-0.495613,-0.510182,-0.511968,-0.513746,-0.515516,-0.522518,-0.522518,-0.522518,-0.520779,-0.520779,-0.520779,-0.519033,-0.517279,-0.517279,-0.517279,-0.517279,-0.517279,-0.513746,-0.511968,-0.509173,-0.502482,-0.501463,-0.499601,-0.492077,-0.487321,-0.493012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,-0.494894</t>
  </si>
  <si>
    <t>-0.34579,-0.34579,-0.34579,-0.34579,-0.34579,-0.34579,-0.34579,-0.34579,0.479182,0.580483,0.646759,0.65208,0.65208,0.65208,0.768907,0.760705,0.75542,0.75542,0.714613,0.334694,0.244025,0.244025,0.244025,0.167941,-0.018581,-0.007385,-0.007385,0.163788,0.539364,0.539364,0.539364,0.539364,0.539364,0.539364,0.539364,0.545789,0.729498,0.760385,0.760385,0.760385,0.769985,0.703651,0.698963,0.698963,0.698963,0.71409,0.75367,0.761578,0.781708,0.799081,0.771138,0.653865,0.644852,0.638086,0.650035,0.661798,0.673225,0.683597,0.708583,0.722573,0.724501,0.731758,0.72955,0.692064,0.677356,0.676158,0.691737,0.708646,0.71063,0.695987,0.690656,0.682953,0.681943,0.680922,0.679891,0.67566,0.67566,0.67566,0.676733,0.676733,0.676733,0.677796,0.678849,0.678849,0.678849,0.678849,0.678849,0.680922,0.681943,0.681158,0.677714,0.675862,0.67688,0.680847,0.685603,0.682761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,0.681792</t>
  </si>
  <si>
    <t>poligonFill</t>
  </si>
  <si>
    <t>27.110934800342115,27.11093480034212</t>
  </si>
  <si>
    <t>1681242366730</t>
  </si>
  <si>
    <t>0,110,203,297,406,498,593,702,794,893,1001,1106,1199,1313,1404,1493,1602,1694,1826,1895,2004,2098,2194,2303,2393,2502,2594,2702,2796,2906,2999,3109,3206,3298,3408,3500,3614,3702,3806,3892,4040,4112,4198,4293,4405,4496,4590,4699,4796,4904,4999,5093,5202,5296,5407,5499,5607,5706,5798,5906,5999,6096,6201,6295,6408,6498,6606,6700,6823,6909,6997,7107,7196,7306,7440,7490,7600,7691,7800,7898,8000,8095,8209,8298,8409,8498,8591,8699,8798,8909,8997,9107,9201,9293,9403,9496,9605,9701,9810,9902,9994,10103,10195,10304,10399,10493,10601,10693,10802,10896,11004,11101,11192,11302,11394,11506,11597,11704,11797,11906,11998,12106,12202,12294,12407,12496,12605,12699,12808,12900,12994,13102,13198,13292,13401,13494,13606,13698,13806,13898,14007,14100,14193,14301,14395,14503,14596,14705,14800,14908,15002,15093,15202,15293,15403,15497,15606,15700,15808,15900,15994,16103,16195,16303,16398,16507,16602,16694,16803,16897,17008,17099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</si>
  <si>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</t>
  </si>
  <si>
    <t>0.624884,0.624884,0.624884,0.624884,0.624884,0.624884,0.624884,0.633154,0.615069,-0.530555,-0.404282,-0.404282,-0.404282,-0.26688,-0.096362,0.036604,0.036604,0.036604,0.239172,0.325734,0.333193,0.333193,0.39662,0.545828,0.545828,0.545828,0.545828,0.545828,0.463946,-0.065569,-0.076105,-0.076105,-0.334764,0.645922,0.650581,0.650581,0.682497,0.620273,0.620273,0.620273,0.951696,0.974927,0.974927,0.974927,0.942199,0.929044,0.929044,0.897971,0.788859,0.715913,0.715913,0.715913,0.715913,0.745156,0.679757,0.679757,0.679757,0.403177,0.271476,0.271476,0.266414,-0.239939,-0.274195,-0.274195,-0.458737,-0.726851,-0.73594,-0.73594,-0.734609,-0.722785,-0.631559,-0.48506,-0.462142,-0.462142,-0.491398,-0.510293,0.565823,0.578992,0.498228,-0.435841,-0.435841,-0.435841,0.421914,0.330122,0.403135,0.498602,-0.500305,-0.45193,-0.420255,-0.408124,-0.408124,-0.408124,-0.408124,-0.408124,-0.371583,-0.356861,-0.363157,-0.384767,-0.395045,-0.397851,-0.422674,-0.422674,-0.428222,-0.428222,-0.428222,-0.426238,-0.426238,-0.425019,-0.425769,-0.427213,-0.432633,-0.446429,-0.452239,-0.446429,-0.444479,-0.444479,-0.438586,-0.439326,-0.439326,-0.439326,-0.444722,-0.452766,-0.452766,-0.452766,-0.459777,-0.459777,-0.45785,-0.45785,-0.45785,-0.459777,-0.463611,-0.468218,-0.476594,-0.476594,-0.476594,-0.4793,-0.4793,-0.4793,-0.4793,-0.4793,-0.4793,-0.4793,-0.4793,-0.4793,-0.4793,-0.4793,-0.4793,-0.477428,-0.473661,-0.473661,-0.473661,-0.473661,-0.473661,-0.473661,-0.473661,-0.473661,-0.473661,-0.473661,-0.473661,-0.473661,-0.473661,-0.473661,-0.473661,-0.473661,-0.473661,-0.473661,-0.473661,-0.473661,-0.473661,-0.473661,-0.473661,-0.473661</t>
  </si>
  <si>
    <t>-0.036592,-0.036592,-0.036592,-0.036592,-0.036592,-0.036592,-0.036592,0.054958,0.182283,-0.275874,-0.35912,-0.35912,-0.35912,-0.416888,-0.411694,-0.322583,-0.322583,-0.322583,-0.131047,0.058895,0.091309,0.091309,0.162679,0.4723,0.4723,0.4723,0.4723,0.4723,0.494121,0.502116,0.500236,0.500236,0.513556,-0.365966,-0.362393,-0.362393,-0.157028,0.041105,0.041105,0.041105,0.176102,0.186125,0.186125,0.186125,0.208458,0.211146,0.211146,0.196586,0.159335,0.16246,0.16246,0.16246,0.16246,0.072508,-0.02316,-0.02316,-0.02316,-0.085915,-0.118677,-0.118677,-0.117075,-0.116497,-0.132075,-0.132075,-0.077872,0.047737,0.050918,0.050918,0.045778,-0.046075,-0.150728,-0.221094,-0.228446,-0.228446,-0.260788,-0.293421,0.341687,0.35321,0.347684,-0.290987,-0.290987,-0.290987,0.305467,0.409075,0.485226,0.38434,-0.307324,-0.239979,-0.213694,-0.188252,-0.188252,-0.188252,-0.188252,-0.188252,-0.239923,-0.259708,-0.268858,-0.263305,-0.249307,-0.251346,-0.252221,-0.252221,-0.25619,-0.25619,-0.25619,-0.258956,-0.258956,-0.266446,-0.271181,-0.28065,-0.284648,-0.265621,-0.257404,-0.265621,-0.268351,-0.268351,-0.276519,-0.281198,-0.281198,-0.281198,-0.285143,-0.291028,-0.291028,-0.291028,-0.275662,-0.275662,-0.27836,-0.27836,-0.27836,-0.275662,-0.270255,-0.269459,-0.2632,-0.2632,-0.2632,-0.265071,-0.265071,-0.265071,-0.265071,-0.265071,-0.265071,-0.265071,-0.265071,-0.265071,-0.265071,-0.265071,-0.265071,-0.267771,-0.27316,-0.27316,-0.27316,-0.27316,-0.27316,-0.27316,-0.27316,-0.27316,-0.27316,-0.27316,-0.27316,-0.27316,-0.27316,-0.27316,-0.27316,-0.27316,-0.27316,-0.27316,-0.27316,-0.27316,-0.27316,-0.27316,-0.27316,-0.27316</t>
  </si>
  <si>
    <t>-0.699007,-0.699007,-0.699007,-0.699007,-0.699007,-0.699007,-0.699007,-0.655945,-0.588255,0.548801,0.497586,0.497586,0.497586,0.439072,0.383457,0.351255,0.351255,0.351255,0.281115,0.216831,0.205186,0.205186,0.178001,0.02675,0.02675,0.02675,0.02675,0.02675,-0.043705,-0.409363,-0.415001,-0.415001,-0.506484,0.601105,0.60142,0.60142,0.710491,0.777351,0.777351,0.777351,0.227991,0.102122,0.102122,0.102122,-0.206627,-0.251171,-0.251171,-0.311863,-0.4433,-0.522785,-0.522785,-0.522785,-0.522785,-0.438202,-0.396708,-0.396708,-0.396708,-0.444902,-0.440281,-0.440281,-0.440874,-0.399079,-0.394198,-0.394198,-0.326115,-0.171735,-0.166571,-0.166571,-0.172346,-0.270161,-0.403969,-0.521612,-0.536385,-0.536385,-0.5276,-0.523438,0.493135,0.484948,0.550263,-0.586009,-0.586009,-0.586009,0.596114,0.650694,0.585091,0.503958,-0.484052,-0.494815,-0.503716,-0.502949,-0.502949,-0.502949,-0.502949,-0.502949,-0.530518,-0.54053,-0.538853,-0.527275,-0.519619,-0.518636,-0.506313,-0.506313,-0.504316,-0.504316,-0.504316,-0.505994,-0.505994,-0.508327,-0.508953,-0.510114,-0.507894,-0.495811,-0.490517,-0.495811,-0.49756,-0.49756,-0.502762,-0.503401,-0.503401,-0.503401,-0.501177,-0.497783,-0.497783,-0.497783,-0.489937,-0.489937,-0.491739,-0.491739,-0.491739,-0.489937,-0.486311,-0.483411,-0.476832,-0.476832,-0.476832,-0.475794,-0.475794,-0.475794,-0.475794,-0.475794,-0.475794,-0.475794,-0.475794,-0.475794,-0.475794,-0.475794,-0.475794,-0.477673,-0.481408,-0.481408,-0.481408,-0.481408,-0.481408,-0.481408,-0.481408,-0.481408,-0.481408,-0.481408,-0.481408,-0.481408,-0.481408,-0.481408,-0.481408,-0.481408,-0.481408,-0.481408,-0.481408,-0.481408,-0.481408,-0.481408,-0.481408,-0.481408</t>
  </si>
  <si>
    <t>-0.34579,-0.34579,-0.34579,-0.34579,-0.34579,-0.34579,-0.34579,-0.407225,-0.49236,0.584142,0.678231,0.678231,0.678231,0.749797,0.821086,0.878191,0.878191,0.878191,0.920107,0.918375,0.91572,0.91572,0.885745,0.691584,0.691584,0.691584,0.691584,0.691584,0.733954,0.758948,0.756139,0.756139,0.606356,-0.295849,-0.289328,-0.289328,-0.068864,0.096425,0.096425,0.096425,0.106219,0.066681,0.066681,0.066681,0.161593,0.170902,0.170902,0.240297,0.394713,0.433326,0.433326,0.433326,0.433326,0.497458,0.616455,0.616455,0.616455,0.795065,0.847567,0.847567,0.849086,0.877265,0.867169,0.867169,0.822889,0.663262,0.654258,0.654258,0.654638,0.634407,0.644378,0.66615,0.668228,0.668228,0.641994,0.616051,-0.565608,-0.55212,-0.572796,0.618031,0.618031,0.618031,-0.611004,-0.547972,-0.509614,-0.59136,0.648799,0.702373,0.723872,0.738267,0.738267,0.738267,0.738267,0.738267,0.723128,0.71626,0.710964,0.710356,0.715389,0.713832,0.708081,0.708081,0.704739,0.704739,0.704739,0.703728,0.703728,0.699978,0.697244,0.691743,0.688366,0.69593,0.699011,0.69593,0.694881,0.694881,0.691672,0.688845,0.688845,0.688845,0.685373,0.680087,0.680087,0.680087,0.687442,0.687442,0.686354,0.686354,0.686354,0.687442,0.689586,0.688824,0.690084,0.690084,0.690084,0.688207,0.688207,0.688207,0.688207,0.688207,0.688207,0.688207,0.688207,0.688207,0.688207,0.688207,0.688207,0.687161,0.685037,0.685037,0.685037,0.685037,0.685037,0.685037,0.685037,0.685037,0.685037,0.685037,0.685037,0.685037,0.685037,0.685037,0.685037,0.685037,0.685037,0.685037,0.685037,0.685037,0.685037,0.685037,0.685037,0.685037</t>
  </si>
  <si>
    <t>mrt</t>
  </si>
  <si>
    <t>19.20802320802986,19.20802320802985</t>
  </si>
  <si>
    <t>1681242385434</t>
  </si>
  <si>
    <t>0,104,197,292,401,495,603,695,806,901,995,1127,1195,1326,1434,1547,1660,1767,1838,1889,1990,2069,2177,2270,2378,2548,2596,2737,2784,2908,2996,3096,3202,3341,3407,3496,3698,3788,3838,3920,3991,4092,4207,4288,4372,4479,4572,4699,4838,4888,4979,5086,5197,5290,5400,5492,5656,5694,5810,5899,6008,6102,6210,6302,6398,6505,6600,6693,6801,6895,7004,7099,7193,7302,7396,7517,7620,7707,7853,7896,8024,8098,8223,8284,8395,8489,8600,8695,8802,8894,8988,9097,9193,9300,9395,9502,9608,9700,9795,9901,9997,10107,10200,10310,10403,10514,10663,10715,10792,10944,11043,11156,11205,11277,11385,11478,11587,11697,11790,11899,11991,12101,12194,12301,12394,12504,12595,12703,12799,12907,13003,13174,13205,13298,13406,13515,13593,13703,13805,13905,13999,14092,14198,14305,14400,14494,14601,14694,14802,14896,15037,15148,15198,15319,15438,15558,15608,15703,15790,15874,15983,16129,16200,16319,16418,16499,16598,16683,16818,16934,17000,17076,17193,17329,17371,17605,17623,17682,17810,17871,17980,18087,18196,18365,18398,18493,18601,18696,18806,18945,18993,19103,19193,19303,19397,19507,19599,19693,19802,19896,20006,20100,20193,20300,20394,20503,20596,20707,20800,20910,21003,21095,21205,21298,21407,21500,21593,21701,21795,21904,21997,22107,22200,22293,22401,22494,22603,22696,22806,22898,23008,23100,23194,23303,23397,23505,23599,23707,23872,23893,24000,24093,24202,24296,24411,24509,24605,24700,24795,24904,24998,25091,25200,25292,25401,25495,25604,25697,25807,25902,25994,26103,26197,26307,26400,26494,26602,26696,26805,26899,27010,27102,27197,27306,27399,27493,27602,27694,27804,27898,28007,28100,28194,28303,28398,28509,28602,28695,28805,28899,28993,29101,29196,29305,29399,29493,29603,29697,29807,29902,29995,30104,30198,30309,30404,30497,30605,30699,30808,30899,31008,31102,31195,31306,31400,31495,31603,31695,31804,31898,31992,32103,32195,32305,32398,32508,32612,32735,32793,32899,33005,33138,33193,33300,33394,33489,33612,33706,33799,33894,34004,34098,34192,34302,34395,34505,34597,34692,34801,35024,35034,35096,35206,35343,35407,35498,35605,35699,35805,35899,35993,36101,36193,36302,36396,36506,36598,36692,36802,36896,37004,37097,37206,37299,37406,37501,37595,37704,37798,37907,38001,38094,38201,38294,38404,38496,38606,38701,38796,38905,38998,39109,39202,39294,39403,39498,39606,39699,39793,39903,39997,40106,40201,40294,40402,40496,40605,40699,40808,40902,40996,41104,41197,41305,41399,41493,41603,41696,41806,41900,41995,42105,42199,42294,42403,42498,42607,42699,42808,42903,42997,43107,43202,43296,43405,43499,43595,43704,43799,43908,44003,44098,44207,44299,44398,44502,44594,44703,44796,44905,44998,45107,45219,45308,45402,45496,45605,45699,45806,45901,45995,46091,46200,46294,46403,46496,46605,46700,46799,46906,47001,47095,47205,47298,47406,47502,47596,47706,47802,47896,48007,48103,48197,48306,48402,48510,48603,48697,48804,48901,49006,49101,49194,49302,49396,49508,49601,49695,49805,49898,50007,50103,50196,50307,50401,50508,50601,50695,50804,50897,50990,51098,51207,51301,51394,51501,51609,51703,51796,51905,51999,52108,52203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</si>
  <si>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</t>
  </si>
  <si>
    <t>0,0,0,0,0,0,0,0,0,0,0.051028,0.129215,0.175773,0.290221,0.364364,0.488381,0.531572,0.506194,0.484709,0.469293,0.452092,0.452092,0.452092,0.452092,0.452092,0.475329,0.478553,0.480964,0.487418,0.481919,0.401439,0.401439,0.401439,0.422994,0.401238,0.39339,0.385429,0.328435,0.299762,0.26155,0.209656,0.154693,0.126729,0.153983,0.164083,0.164083,0.164083,0.185311,0.247725,0.264451,0.273075,0.273075,0.271652,0.271286,0.270541,0.270163,0.276505,0.276123,0.278887,0.278104,0.277705,0.277705,0.277705,0.277705,0.281216,0.281609,0.281609,0.281609,0.281609,0.281609,0.281609,0.281609,0.281609,0.281609,0.281609,0.281998,0.282382,0.286279,0.291266,0.291266,0.297737,0.29804,0.30029,0.294076,0.294076,0.289659,0.289388,0.289388,0.289388,0.289388,0.289388,0.289388,0.289388,0.289388,0.289388,0.289388,0.289388,0.289388,0.289388,0.289388,0.289388,0.289388,0.289388,0.289388,0.289388,0.275857,0.240123,0.220539,0.20635,0.197485,0.201294,0.204464,0.206207,0.206207,0.206207,0.206207,0.206207,0.206207,0.206207,0.206207,0.206207,0.206207,0.206207,0.206207,0.206207,0.206207,0.206207,0.206207,0.206207,0.206207,0.206207,0.276298,0.276298,0.276298,0.276298,0.277342,0.277342,0.277342,0.288261,0.288261,0.288261,0.288261,0.288261,0.288261,0.288261,0.288261,0.288261,0.288261,0.288261,0.288261,0.289462,0.287231,0.285656,0.28005,0.256199,0.23224,0.220724,0.206368,0.191293,0.191293,0.190605,0.20557,0.225375,0.239176,0.251479,0.255624,0.263102,0.263901,0.294656,0.299921,0.298232,0.296019,0.294636,0.29125,0.290748,0.294636,0.295101,0.295101,0.300502,0.30094,0.301374,0.301374,0.301374,0.298194,0.298194,0.298194,0.298194,0.29458,0.29458,0.295439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0.295862,0.296694,0.296694,0.297103,0.297103,0.297103,0.297103,0.29628,0.295439,0.295012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0.29458,0.295439,0.300735,0.304769,0.305163,0.305163,0.303561,0.303561,0.303561,0.303561,0.302731,0.30231,0.30231,0.30231,0.295501,0.295924,0.295924,0.295924,0.295924,0.295924,0.295924,0.295924,0.299549,0.299549,0.300783,0.300783,0.300783,0.300783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0.295915,0.291437,0.291437,0.291437,0.291437,0.291437,0.291437,0.291437,0.291437,0.291437,0.291437,0.291437,0.291437,0.291437,0.291868,0.291868,0.291868,0.292296,0.292296,0.292296,0.295925,0.295925,0.299129,0.299129,0.299129,0.299129,0.299129,0.299129,0.299129,0.299129,0.299129,0.299129,0.306358,0.306358,0.306358,0.306358,0.306358,0.306358,0.303163,0.303163,0.303163,0.303163,0.303163,0.303163,0.303163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,0.302746</t>
  </si>
  <si>
    <t>0,0,0,0,0,0,0,0,0,0,0.003923,0.019594,0.023477,0.031056,0.034691,0.062151,0.225991,0.388614,0.489817,0.526091,0.536447,0.536447,0.536447,0.536447,0.536447,0.575041,0.596917,0.637698,0.649638,0.588852,0.270315,0.270315,0.270315,0.119229,0.010978,-0.011862,0.019931,0.029375,-0.03489,-0.095937,-0.074557,0.063094,0.229876,0.339928,0.367307,0.367307,0.367307,0.370765,0.310589,0.290632,0.276974,0.276974,0.291344,0.294925,0.302074,0.305641,0.313522,0.317067,0.324523,0.331569,0.335085,0.335085,0.335085,0.335085,0.335483,0.331971,0.331971,0.331971,0.331971,0.331971,0.331971,0.331971,0.331971,0.331971,0.331971,0.328455,0.324934,0.321792,0.308016,0.308016,0.276355,0.272778,0.24401,0.228997,0.228997,0.239638,0.243265,0.243265,0.243265,0.243265,0.243265,0.243265,0.243265,0.243265,0.243265,0.243265,0.243265,0.243265,0.243265,0.243265,0.243265,0.243265,0.243265,0.243265,0.243265,0.274891,0.339646,0.351536,0.349571,0.308094,0.278972,0.253264,0.238486,0.238486,0.238486,0.238486,0.238486,0.238486,0.238486,0.238486,0.238486,0.238486,0.238486,0.238486,0.238486,0.238486,0.238486,0.238486,0.238486,0.238486,0.238486,0.242298,0.242298,0.242298,0.242298,0.231377,0.231377,0.231377,0.232386,0.232386,0.232386,0.232386,0.232386,0.232386,0.232386,0.232386,0.232386,0.232386,0.232386,0.232386,0.258059,0.279596,0.293869,0.339738,0.382354,0.399497,0.404515,0.405379,0.409565,0.409565,0.412997,0.372745,0.321547,0.279545,0.24421,0.211245,0.178485,0.171077,0.19669,0.215677,0.230153,0.248168,0.258931,0.283903,0.287454,0.258931,0.255347,0.255347,0.241434,0.237836,0.234234,0.234234,0.234234,0.230199,0.230199,0.230199,0.230199,0.229767,0.229767,0.222527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0.218901,0.21164,0.21164,0.208005,0.208005,0.208005,0.208005,0.215272,0.222527,0.226148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0.229767,0.222527,0.208415,0.205178,0.201546,0.201546,0.216056,0.216056,0.216056,0.216056,0.223292,0.226904,0.226904,0.226904,0.222437,0.218812,0.218812,0.218812,0.218812,0.218812,0.218812,0.218812,0.219232,0.219232,0.20835,0.20835,0.20835,0.20835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0.218826,0.225645,0.225645,0.225645,0.225645,0.225645,0.225645,0.225645,0.225645,0.225645,0.225645,0.225645,0.225645,0.225645,0.222019,0.222019,0.222019,0.218389,0.218389,0.218389,0.218812,0.218812,0.222853,0.222853,0.222853,0.222853,0.222853,0.222853,0.222853,0.222853,0.222853,0.222853,0.223692,0.223692,0.223692,0.223692,0.223692,0.223692,0.219658,0.219658,0.219658,0.219658,0.219658,0.219658,0.219658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,0.223274</t>
  </si>
  <si>
    <t>0,0,0,0,0,0,0,0,0,0,-0.00017,-0.000677,-0.000398,0.000896,0.002353,-0.006755,-0.099001,-0.205992,-0.267212,-0.293443,-0.312694,-0.312694,-0.312694,-0.312694,-0.312694,-0.2986,-0.300223,-0.304607,-0.297657,-0.29167,-0.242057,-0.242057,-0.242057,-0.17092,-0.12637,-0.116947,-0.13067,-0.140911,-0.121217,-0.100934,-0.102584,-0.126509,-0.150747,-0.152278,-0.151067,-0.151067,-0.151067,-0.142371,-0.105622,-0.094922,-0.088443,-0.088443,-0.092721,-0.093787,-0.095915,-0.096977,-0.096664,-0.097749,-0.098669,-0.100856,-0.101948,-0.101948,-0.101948,-0.101948,-0.100631,-0.099526,-0.099526,-0.099526,-0.099526,-0.099526,-0.099526,-0.099526,-0.099526,-0.099526,-0.099526,-0.098419,-0.097311,-0.094911,-0.089166,-0.089166,-0.077511,-0.076341,-0.066942,-0.064145,-0.064145,-0.06849,-0.069627,-0.069627,-0.069627,-0.069627,-0.069627,-0.069627,-0.069627,-0.069627,-0.069627,-0.069627,-0.069627,-0.069627,-0.069627,-0.069627,-0.069627,-0.069627,-0.069627,-0.069627,-0.069627,-0.082684,-0.111995,-0.122315,-0.127822,-0.124378,-0.118113,-0.112536,-0.10931,-0.10931,-0.10931,-0.10931,-0.10931,-0.10931,-0.10931,-0.10931,-0.10931,-0.10931,-0.10931,-0.10931,-0.10931,-0.10931,-0.10931,-0.10931,-0.10931,-0.10931,-0.10931,-0.090288,-0.090288,-0.090288,-0.090288,-0.087027,-0.087027,-0.087027,-0.084295,-0.084295,-0.084295,-0.084295,-0.084295,-0.084295,-0.084295,-0.084295,-0.084295,-0.084295,-0.084295,-0.084295,-0.091258,-0.098053,-0.102552,-0.116995,-0.137791,-0.152959,-0.159474,-0.166701,-0.174676,-0.174676,-0.175426,-0.163139,-0.146574,-0.133336,-0.121758,-0.112796,-0.102761,-0.100692,-0.10086,-0.105121,-0.109819,-0.115653,-0.119133,-0.127186,-0.128329,-0.119133,-0.117975,-0.117975,-0.112321,-0.11114,-0.109958,-0.109958,-0.109958,-0.109678,-0.109678,-0.109678,-0.109678,-0.110581,-0.110581,-0.108264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-0.107103,-0.104776,-0.104776,-0.10361,-0.10361,-0.10361,-0.10361,-0.105941,-0.108264,-0.109424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-0.110581,-0.108264,-0.102778,-0.100792,-0.099594,-0.099594,-0.104375,-0.104375,-0.104375,-0.104375,-0.106756,-0.107944,-0.107944,-0.107944,-0.108535,-0.107374,-0.107374,-0.107374,-0.107374,-0.107374,-0.107374,-0.107374,-0.106513,-0.106513,-0.102977,-0.102977,-0.102977,-0.102977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-0.107331,-0.110524,-0.110524,-0.110524,-0.110524,-0.110524,-0.110524,-0.110524,-0.110524,-0.110524,-0.110524,-0.110524,-0.110524,-0.110524,-0.109379,-0.109379,-0.109379,-0.108232,-0.108232,-0.108232,-0.107374,-0.107374,-0.107689,-0.107689,-0.107689,-0.107689,-0.107689,-0.107689,-0.107689,-0.107689,-0.107689,-0.107689,-0.105935,-0.105935,-0.105935,-0.105935,-0.105935,-0.105935,-0.105623,-0.105623,-0.105623,-0.105623,-0.105623,-0.105623,-0.105623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,-0.106813</t>
  </si>
  <si>
    <t>1,1,1,1,1,1,1,1,1,1,0.998689,0.991423,0.984151,0.956455,0.930607,0.870388,0.810283,0.741831,0.673598,0.645665,0.64036,0.64036,0.64036,0.64036,0.64036,0.595171,0.569686,0.518873,0.501791,0.5796,0.840943,0.840943,0.840943,0.881843,0.907148,0.911826,0.913221,0.933494,0.945638,0.955092,0.969516,0.977796,0.953086,0.915177,0.902962,0.902962,0.902962,0.898846,0.911598,0.914652,0.917002,0.917002,0.912539,0.911387,0.909043,0.90785,0.903274,0.902036,0.898427,0.895851,0.894542,0.894542,0.894542,0.894542,0.893444,0.894755,0.894755,0.894755,0.894755,0.894755,0.894755,0.894755,0.894755,0.894755,0.894755,0.896051,0.897334,0.897489,0.901299,0.901299,0.910479,0.911557,0.919676,0.925724,0.925724,0.924111,0.923162,0.923162,0.923162,0.923162,0.923162,0.923162,0.923162,0.923162,0.923162,0.923162,0.923162,0.923162,0.923162,0.923162,0.923162,0.923162,0.923162,0.923162,0.923162,0.917334,0.902463,0.901568,0.90492,0.922284,0.931507,0.938822,0.942685,0.942685,0.942685,0.942685,0.942685,0.942685,0.942685,0.942685,0.942685,0.942685,0.942685,0.942685,0.942685,0.942685,0.942685,0.942685,0.942685,0.942685,0.942685,0.925634,0.925634,0.925634,0.925634,0.928425,0.928425,0.928425,0.925093,0.925093,0.925093,0.925093,0.925093,0.925093,0.925093,0.925093,0.925093,0.925093,0.925093,0.925093,0.917218,0.910884,0.90638,0.890203,0.87703,0.873539,0.87305,0.874809,0.87473,0.87473,0.873114,0.890049,0.907926,0.920256,0.928598,0.936648,0.942529,0.943902,0.929687,0.923299,0.919797,0.915101,0.912114,0.904653,0.903531,0.912114,0.913124,0.913124,0.915856,0.916797,0.917724,0.917724,0.917724,0.919815,0.919815,0.919815,0.919815,0.920979,0.920979,0.922755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0.923622,0.925312,0.925312,0.926136,0.926136,0.926136,0.926136,0.924474,0.922755,0.921874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0.920979,0.922755,0.924964,0.924586,0.925384,0.925384,0.922104,0.922104,0.922104,0.922104,0.920379,0.919495,0.919495,0.919495,0.922725,0.923591,0.923591,0.923591,0.923591,0.923591,0.923591,0.923591,0.922422,0.922422,0.924941,0.924941,0.924941,0.924941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0.923596,0.923002,0.923002,0.923002,0.923002,0.923002,0.923002,0.923002,0.923002,0.923002,0.923002,0.923002,0.923002,0.923002,0.923881,0.923881,0.923881,0.924746,0.924746,0.924746,0.923591,0.923591,0.921554,0.921554,0.921554,0.921554,0.921554,0.921554,0.921554,0.921554,0.921554,0.921554,0.919176,0.919176,0.919176,0.919176,0.919176,0.919176,0.921242,0.921242,0.921242,0.921242,0.921242,0.921242,0.921242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,0.920372</t>
  </si>
  <si>
    <t>eneyse</t>
  </si>
  <si>
    <t>1682699553789</t>
  </si>
  <si>
    <t>27.110934800342125,27.110934800342097</t>
  </si>
  <si>
    <t>1682705188030</t>
  </si>
  <si>
    <t>159,801,802,803,803,816,831,836,847,863,990,1087,1196,1306,1402,1497,1606,1699,1806,1901,1997,2107,2200,2297,2405,2500,2593,2702,2792,2904,3000,3094,3203,3301,3402,3508,3597,3706,3800,3895,4006,4100,4202,4302,4396,4499,4595,4696,4811,4911,4997,5126,5210,5295,5421,5518,5598,5720,5867,5901,5997,6104,6194,6297,6379,6501,6599,6709,6804,6890,7007,7095,7186,7305,7404,7487,7604,7704,7786,7904,7984,8086,8208,8304,8389,8515,8604,8689,8804,8904,8989,9085,9192,9294,9397,9496,9606,9695,9795,9899,9993,10095,10193,10297,10403,10510,10600,10701,10802,10900,11004,11105,11201,11305,11404,11501,11596,11704,11801,11895,12000,12098,12208,12304,12399,12648,12654,12696,12810,12898,12998,13098,13204,13297,13398,13504,13599,13702,13803,13904,14007,14117,14213,14326,14420,14513,14607,14686,14812,14908,14987,15104,15204,15288,15404,15504,15587,15705,15794,15889,16014,16077,16177,16295,16393,16490,16600,16694,16804,16899,17007,17102,17195,17305,17394,17494,17604,17700,17794,17904,17999,18095,18204,18294,18409,18502,18592,18695,18801,18896,19001,19100,19209,19304,19397,19501,19601,19697,19806,19902,19997,20111,20202,20297,20408,20504,20599,20710,20805,20899,21008,21118,21198,21323,21404,21497,21622,21704,21795,21921,22004,22095,22222,22315,22408,22485,22580,22692,22788,22890,22993,23097,23199,23302,23397,23504,23596,23703,23810,23899,24012,24095,24196,24296,24412,24496,24612,24704,24797,24908,25002,25096,25205,25299,25407,25501,25595,25704,25799,25895,26006,26100,26196,26306,26400,26495,26605,26700,26796,26906,26999,27094,27204,27297,27406,27501,27597,27705,27800,27926,28007,28095,28221,28318,28396,28520,28607,28696,28786,28911,28989,29088,29188,29301,29394,29497,29596,29697,29805,29901,30004,30097,30199,30311,30406,30500,30599,30702,30799,30903,30999,31112,31197,31297,31399,31502,31612,31711,31812,31899,32009,32104,32197,32311,32401,32497,32592,32702,32797,32892,33001,33096,33207,33301,33396,33506,33601,33695,33806,33900,34009,34103,34215,34308,34401,34525,34618,34699,34826,34919,34999,35094,35206,35300,35396,35506,35600,35696,35806,35901,35995,36119,36197,36292,36416,36510,36587,36712,36806,36899,36978,37090,37303,37321,37377,37480,37590,37700,37794,37891,37999,38095,38205,38311,38405,38500,38592,38700,38794,38903,38996,39105,39200,39301,39405,39502,39600,39710,39796,39896,39994,40095,40200,40302,40398,40499,40605,40701,40811,40906,41001,41102,41206,41302,41396,41506,41601,41694,41804,41898,42025,42119,42197,42324,42419,42497,42622,42706,42797,42890,43011,43081,43186,43314,43405,43490,43596,43706,43799,43908,44003,44098,44205,44297,44391,44511,44599,44688,44816,44896,44994,45106,45194,45319,45405,45495,45586,45713,45808,45887,46018,46108,46186,46313,46407,46489,46609,46690,46785,46911,47007,47099,47176,47301,47396,47508,47602,47697,47775,47902,47998,48110,48204,48298,48376,48503,48598,48707,48801,48894,48989,49099,49192,49319,49397,49490,49616,49696,49789,49915,49995,50090,50218,50295,50389,50514,50607,50716,50811,50907,50986,51112,51206,51285,51381,51507,51586,51682,51800,51898,52007,52095,52223,52306,52397,52490,52607,52695,52789,52914,53010,53114,53206,53303,53398,53506,53603,53697,53805,53899,53994,54119,54197,54293,54387,54497,54589,54715,54809,54890,55014,55109,55187,55314,55408,55487,55576,55695,55798,55907,56002,56089,56206,56295,56390,56507,56597,56692,56818,56897,56992,57117,57195,57287,57406,57509,57584,57707,57808,57889,57996,58082,58200,58295,58389,58499,58594,58703,58797,58906,59000,59095,59199,59297,59406,59495,59609,59703,59796,59907,60001,60097,60206,60299,60392,60503,60598,60693,60803,60899,60995,61106,61200,61306,61404,61499,61609,61695,61798,61907,62000,62109,62207,62303,62396,62505,62599,62692,62802,62897,63023,63086,63195,63322,63417,63496,63623,63718,63798,63887,63986,64095,64222,64311,64396,64490,64607,64695,64822,64904,64995,65089,65207,65295,65419,65505,65607,65690,65815,65909,65989,66114,66178,66288,66415,66509,66588,66714,66807,66886,67007,67095,67184,67275,67406,67505,67575,67695,67791,67904,67999,68091,68207,68296,68390,68514,68608,68687,68783,68892,68987,69090,69193,69302,69397,69499,69598,69698,69798,69900,70007,70103,70199,70307,70403,70511,70604,70737,70796,70893,70999,71107,71204,71295,71407,71494,71607,71699,71809,71904,71990,72090,72202,72296,72405,72500,72594,72703,72797,72908,73003,73104,73206,73300,73394,73504,73598,73708,73803,73914,74008,74119,74212,74307,74419,74531,74610,74691,74815,74877,74987,75115,75194,75288,75414,75508,75586,75712,75808,75886,76013,76108,76186,76281,76405,76499,76577,76702,76798,76908,77002,77097,77175,77301,77395,77504,77599,77695,77806,77899,77994,78105,78199,78294,78415,78497,78590,78707,78796,78887,79007,79098,79190,79318,79395,79483,79584,79696,79823,79907,79995,80090,80214,80295,80421,80507,80599,80725,80807,80898,81024,81107,81196,81292,81421,81496,81591,81716,81799,81891,82013,82108,82184,82308,82399,82497,82607,82702,82797,82907,83002,83099,83207,83302,83397,83508,83602,83695,83819,83895,83990,84104,84207,84293,84413,84508,84586,84710,84804,84900,84974,85104,85196,85274,85393,85495,85605,85700,85792,85904,85999,86094,86205,86299,86393,86504,86599,86709,86789,86899,86994,87119,87196,87290,87405,87495,87587,87711,87806,87886,88010,88105,88185,88310,88404,88500,88608,88702,88797,88905,89001,89095,89175,89301,89394,89503,89596,89691,89816,89894,89989,90115,90195,90288,90414,90508,90587,90711,90806,90885,91009,91103,91192,91275,91400,91495,91605,91699,91779,91924,91975,92082,92183,92287,92389,92497,92598,92698,92810,92905,93055,93097,93196,93299,93411,93499,93600,93710,93804,93899,94010,94105,94200,94311,94406,94499,94595,94704,94798,94894,95005,95098,95208,95305,95401,95493,95604,95698,95793,95903,95991,96108,96191,96296,96408,96503,96597,96706,96833,96928,97007,97101,97228,97306,97401,97525,97604,97700,97791,97918,97996,98086,98217,98300,98386,98519,98606,98684,98811,98904,98996,99107,99201,99295,99404,99498,99592,99713,99798,99894,100003,100098,100194,100305,100400,100493,100618,100698,100790,100928,100996,101089,101199,101295,101422,101516,101595,101722,101815,101894,102020,102113,102208,102288,102381,102508,102586,102680,102806,102886,103010,103105,103183,103294,103405,103498,103608,103703,103798,103907,104002,104096,104206,104301,104394,104505,104601,104697,104807,104902,104997,105107,105202,105295,105405,105498,105590,105716,105794,105888,106016,106094,106188,106315,106409,106488,106615,106694,106821,106914,107007,107087,107181,107307,107386,107511,107606,107686,107780,107906,107984,108110,108204,108299,108409,108505,108598,108677,108802,108896,108988,109097,109192,109318,109396,109491,109615,109696,109791,109910,109998,110092,110217,110295,110389,110500,110596,110691,110803,110897,110988,111102,111196,111291,111402,111494,111606,111701,111795,111905,111999,112095,112205,112300,112396,112506,112600,112695,112806,112900,112993,113102,113197,113307,113402,113498,113593,113701,113797,113909,114004,114099,114194,114306,114401,114495,114606,114700,114795,114906,114996,115109,115197,115299,115425,115519,115615,115708,115819,115914,116007,116086,116213,116308,116386,116513,116606,116687,116782,116909,116988,117113,117177,117288,117416,117493,117621,117715,117808,117885,118011,118105,118183,118276,118399,118485,118578,118706,118784,118910,119005,119085,119211,119305,119384,119512,119606,119938,119968,119999,120015,120110,120204,120295,120377,120473,120585,120676,120801,120893,120988,121098,121227,121318,121397,121521,121614,121695,121789,121916,121993,122088,122210,122305,122384,122507,122602,122694,122804,122898,122993,123104,123199,123293,123410,123494,123589,123709,123794,123889,124010,124093,124216,124310,124406,124484,124608,124703,124797,124907,125001,125097,125206,125298,125393,125519,125597,125677,125786,125883,125990,126085,126195,126291,126400,126499,126598,126702,126796,126905,126998,127109,127203,127298,127394,127503,127596,127705,127797,127907,128001,128093,128205,128299,128395,128505,128599,128709,128805,128899,128995,129106,129201,129296,129403,129498,129592,129702,129795,129905,129998,130093,130205,130299,130393,130503,130599,130726,130821,130910,131026,131120,131211,131299,131387,131512,131598,131687,131781,131908,131988,132114,132207,132287,132414,132507,132586,132713,132808,132888,132983,133094,133188,133315,133394,133485,133617,133694,133790,133916,133994,134120,134215,134309,134386,134513,134608,134688,134782,134908,134987,135082,135198,135287,135411,135504,135599,135703,135802,135896,136004,136097,136191,136316,136394,136488,136612,136707,136785,136911,137005,137084,137211,137305,137384,137479,137605,137698,137808,137901,137994,138104,138198,138292,138417,138495,138591,138717,138793,138887,139010,139093,139194,139305,139399,139525,139604,139695,139815,139905,139996,140093,140219,140296,140390,140517,140595,140721,140818,140896,141016,141080,141196,141290,141416,141495,141589,141714,141794,141888,142013,142107,142185,142311,142404,142498,142609,142703,142796,142905,143000,143095,143206,143300,143396,143507,143602,143696,143807,143902,143997,144106,144194,144294,144404,144499,144593,144712,144795,144890,145016,145096,145189,145313,145407,145486,145607,145707,145784,145905,146005,146099,146176,146287,146381,146490,146583,146695,146806,146900,146995,147106,147203,147299,147406,147503,147608,147702,147794,147906,147999,148095,148204,148300,148395,148505,148601,148695,148805,148897,149007,149092,149196,149306,149399,149508,149601,149695,149805,149908,149993,150094,150195,150295,150402,150511,150606,150701,150811,150905,151001,151111,151222,151315,151394,151520,151614,151708,151787,151914,152008,152086,152210,152303,152397,152507,152601,152696,152805,152900,152994,153104,153199,153293,153418,153495,153590,153715,153794,153890,154016,154078,154188,154314,154398,154487,154612,154707,154785,154912,155007,155086,155211,155295,155391,155508,155595,155695,155807,155896,155984,156107,156195,156294,156405,156495,156593,156704,156795,156920,157012,157096,157222,157312,157396,157491,157613,157694,157789,157916,157994,158089,158215,158295,158421,158514,158594,158690,158817,158895,158991,159085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</si>
  <si>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,136.4,136.5,136.6,136.7,136.8,136.9,137,137.1,137.2,137.3,137.4,137.5,137.6,137.7,137.8,137.9,138,138.1,138.2,138.3,138.4,138.5,138.6,138.7,138.8,138.9,139,139.1,139.2,139.3,139.4,139.5,139.6,139.7,139.8,139.9,140,140.1,140.2,140.3,140.4,140.5,140.6,140.7,140.8,140.9,141,141.1,141.2,141.3,141.4,141.5,141.6,141.7,141.8,141.9,142,142.1,142.2,142.3,142.4,142.5,142.6,142.7,142.8,142.9,143,143.1,143.2,143.3,143.4,143.5,143.6,143.7,143.8,143.9,144,144.1,144.2,144.3,144.4,144.5,144.6,144.7,144.8,144.9,145,145.1,145.2,145.3,145.4,145.5,145.6,145.7,145.8,145.9,146,146.1,146.2,146.3,146.4,146.5,146.6,146.7,146.8,146.9,147,147.1,147.2,147.3,147.4,147.5,147.6,147.7,147.8,147.9,148,148.1,148.2,148.3,148.4,148.5,148.6,148.7,148.8,148.9,149,149.1,149.2,149.3,149.4,149.5,149.6,149.7,149.8,149.9,150,150.1,150.2,150.3,150.4,150.5,150.6,150.7,150.8,150.9,151,151.1,151.2,151.3,151.4,151.5,151.6,151.7,151.8,151.9,152,152.1,152.2,152.3,152.4,152.5,152.6,152.7,152.8,152.9,153,153.1,153.2,153.3,153.4,153.5,153.6,153.7,153.8,153.9,154,154.1,154.2,154.3,154.4,154.5,154.6,154.7,154.8,154.9,155,155.1,155.2,155.3,155.4,155.5,155.6,155.7,155.8,155.9,156,156.1,156.2,156.3,156.4,156.5,156.6,156.7,156.8,156.9,157,157.1,157.2,157.3,157.4,157.5,157.6,157.7,157.8,157.9,158,158.1,158.2,158.3,158.4,158.5,158.6,158.7,158.8,158.9,159,159.1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</si>
  <si>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0.616628,-0.587856,-0.57215,-0.532529,-0.47661,-0.4507,-0.418,-0.402732,-0.393869,-0.352827,-0.303168,-0.246753,0.11987,0.11987,0.11987,0.128078,0.196644,0.19663,0.191018,0.17433,0.168606,0.165507,0.170601,0.194114,0.271437,0.293,0.293,0.293,0.293,0.293,0.293,0.293,0.293,0.293,0.293,0.293,0.293,0.293,0.293,0.293,0.293,0.293,0.293,0.293,0.293,0.293,0.293,0.293,0.293,0.285831,0.298403,0.322006,0.379607,0.439603,0.448596,0.466214,0.60196,0.777397,0.925036,0.950496,0.944397,0.929203,0.926066,0.939939,0.945054,0.951116,0.953915,0.953915,0.953915,0.953915,0.953915,0.953915,0.953915,0.953915,0.953915,0.953915,0.953915,0.953915,0.953915,0.953915,0.953915,0.953915,0.953915,0.9695,0.9695,0.975391,0.976687,0.967052,0.945375,0.912015,0.880605,0.843709,0.813616,-0.776444,-0.74665,-0.736164,-0.736164,-0.736164,-0.736164,-0.736164,-0.736164,-0.736164,-0.736164,-0.736164,-0.736164,-0.736164,-0.736164,-0.736164,-0.736164,-0.736164,-0.736164,-0.736164,-0.736164,-0.736164,-0.736164,-0.736164,-0.736164,-0.736164,-0.736164,-0.736164,-0.699225,-0.663133,-0.645694,-0.645694,-0.645694,-0.645694,-0.645694,-0.642943,-0.646001,-0.646055,-0.646055,-0.646055,-0.649117,-0.655077,-0.655093,-0.660991,-0.666801,-0.666729,-0.669519,-0.672409,-0.675138,-0.683516,-0.683411,-0.683411,-0.686241,-0.688947,-0.694431,-0.705233,-0.713267,-0.715821,-0.72103,-0.72103,-0.72635,-0.72635,-0.731464,-0.734083,-0.736522,-0.736522,-0.739116,-0.74427,-0.74683,-0.756954,-0.756954,-0.756954,-0.756954,-0.756954,-0.756954,-0.756954,-0.756954,-0.756954,-0.759456,-0.761946,-0.76457,-0.76457,-0.76457,-0.76457,-0.76457,-0.76457,-0.76457,-0.76457,-0.76457,-0.76457,-0.76457,-0.76457,-0.76457,-0.76457,-0.763923,-0.75516,-0.749023,-0.745165,-0.739385,-0.738161,-0.73239,-0.727193,-0.724219,-0.715283,-0.70492,-0.700896,-0.692574,-0.684938,-0.672574,-0.672666,-0.672077,-0.668722,-0.668722,-0.669254,-0.664138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-0.659962,-0.644088,-0.611418,-0.58756,-0.569858,-0.563469,-0.553821,-0.550588,-0.544096,-0.544096,-0.544096,-0.544096,-0.540837,-0.540837,-0.540837,-0.542808,-0.556174,-0.560553,-0.561051,-0.563077,-0.563864,-0.561381,-0.557395,-0.560025,-0.561614,-0.567688,-0.564296,-0.559148,-0.557363,-0.557363,-0.557363,-0.557363,-0.556457,-0.551686,-0.55075,-0.547815,-0.543919,-0.542958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-0.548435,-0.548435,-0.550141,-0.555169,-0.556807,-0.556807,-0.556807,-0.558433,-0.55301,-0.55301,-0.547552,-0.547552,-0.547552,-0.547552,-0.547552,-0.547552,-0.547552,-0.547552,-0.547552,-0.547552,-0.547552,-0.54317,-0.539844,-0.534253,-0.534253,-0.524672,-0.517865,-0.504637,-0.476817,-0.451006,-0.451006,-0.43603,-0.429437,-0.427052,-0.426646,-0.42311,-0.42311,-0.42311,-0.42311,-0.42311,-0.42311,-0.42311,-0.42311,-0.42311,-0.42311,-0.42311,-0.42311,-0.42311,-0.42311,-0.42311,-0.42311,-0.42311,-0.42311,-0.42311,-0.42311,-0.424429,-0.424429,-0.424429,-0.428848,-0.434549,-0.445128,-0.451294,-0.454366,-0.454366,-0.454366,-0.454366,-0.454366,-0.454366,-0.454366,-0.454366,-0.454366,-0.457432,-0.457432,-0.457971,-0.458949,-0.456377,-0.458451,-0.457468,-0.457773,-0.459377,-0.460962,-0.461189,-0.462738,-0.465782,-0.464551,-0.464551,-0.464551,-0.464551,-0.464439,-0.464439,-0.464439,-0.464273,-0.464273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-0.462744,-0.462744,-0.462744,-0.462744,-0.462744,-0.462744,-0.462744,-0.462744,-0.462744,-0.462744,-0.462744,-0.468488,-0.476869,-0.485186,-0.489316,-0.493432,-0.493432,-0.493432,-0.493432,-0.493432,-0.493432,-0.493432,-0.493432,-0.493432,-0.493432,-0.493432,-0.493432,-0.493432,-0.493432,-0.493432,-0.493432,-0.493432,-0.499124,-0.501958,-0.501958,-0.501958,-0.495387,-0.491292,-0.484341,-0.480203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-0.467468,-0.461737,-0.461737,-0.461737,-0.461737,-0.455978,-0.445908,-0.435781,-0.429934,-0.415314,-0.39753,-0.391552,-0.38254,-0.373475,-0.373475,-0.373475,-0.370442,-0.364392,-0.36745,-0.36745,-0.365875,-0.367395,-0.368909,-0.36719,-0.364054,-0.362413,-0.362413,-0.357613,-0.357613,-0.354446,-0.351274,-0.352789,-0.349607,-0.34642,-0.344746,-0.344746,-0.344746,-0.341544,-0.341544,-0.341544,-0.341544,-0.341544,-0.341544,-0.341544,-0.341544,-0.341544,-0.341544,-0.341544,-0.341544,-0.341544,-0.341544,-0.341544,-0.341544,-0.341544,-0.341544,-0.335125,-0.333436,-0.333436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-0.326791,-0.326791,-0.320287,-0.313764,-0.307221,-0.292527,-0.281067,-0.271145,-0.271145,-0.271145,-0.272747,-0.274338,-0.279243,-0.28256,-0.287449,-0.295633,-0.305346,-0.318321,-0.327934,-0.344071,-0.356831,-0.364817,-0.364817,-0.369526,-0.369526,-0.369526,-0.372402,-0.375256,-0.375256,-0.378086,-0.378086,-0.378086,-0.378086,-0.378086,-0.384169,-0.384169,-0.384169,-0.384169,-0.384169,-0.384169,-0.387442,-0.393484,-0.39675,-0.40001,-0.403264,-0.403264,-0.403264,-0.403264,-0.403264,-0.403264,-0.403264,-0.406512,-0.409754,-0.412989,-0.414347,-0.417579,-0.427234,-0.427234,-0.427234,-0.427234,-0.427234,-0.427234,-0.427234,-0.43044,-0.43044,-0.43044,-0.438169,-0.438169,-0.438169,-0.441357,-0.441357,-0.441357,-0.441357,-0.441357,-0.441357,-0.441357,-0.441357,-0.441357,-0.441357,-0.441357,-0.441357,-0.441357,-0.447713,-0.450881,-0.457195,-0.457195,-0.457195,-0.457195,-0.457195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-0.471533,-0.477741,-0.485216,-0.495718,-0.516483,-0.525522,-0.53746,-0.549265,-0.5964,-0.603351,-0.603351,-0.595221,-0.589756,-0.584254,-0.578716,-0.578716,-0.573142,-0.573142,-0.573142,-0.573142,-0.573142,-0.573142,-0.573142,-0.573142,-0.573142,-0.573142,-0.573142,-0.573142,-0.573142,-0.573142,-0.573142,-0.573142,-0.573142,-0.567533,-0.566285,-0.566285,-0.565028,-0.565028,-0.565028,-0.565028,-0.562488,-0.561206,-0.556116,-0.556116,-0.556116,-0.55343,-0.55343,-0.55343,-0.55343,-0.54796,-0.54796,-0.54796,-0.546582,-0.546582,-0.546582,-0.546582,-0.546582,-0.546582,-0.546582,-0.545196,-0.545196,-0.543802,-0.536839,-0.521542,-0.511786,-0.509015,-0.499524,-0.498313,-0.498313,-0.498313,-0.498313,-0.498313,-0.498313,-0.498313,-0.498313,-0.498313,-0.498313,-0.498313,-0.501165,-0.50401,-0.50401,-0.502198,-0.502198,-0.502198,-0.502198,-0.502198,-0.500688,-0.497645,-0.496111,-0.494571,-0.491466,-0.489903,-0.488332,-0.488332,-0.486753,-0.486753,-0.486753,-0.486753,-0.486753,-0.486753,-0.486753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-0.483995,-0.483995,-0.483995,-0.483995,-0.483995,-0.483995,-0.486753,-0.487494,-0.486574,-0.485297,-0.485297,-0.485297,-0.485297,-0.485297,-0.486574,-0.486574,-0.48502,-0.48502,-0.48502,-0.48502,-0.48502,-0.481892,-0.481892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-0.477513,-0.477847,-0.478144,-0.4753,-0.4753,-0.4753,-0.4753,-0.4753,-0.4753,-0.4753,-0.4753,-0.4753,-0.4753,-0.4753,-0.4753,-0.4753,-0.482554,-0.482554,-0.482554,-0.482554,-0.482554,-0.482554,-0.482554,-0.482554,-0.482554,-0.482554,-0.485388,-0.485388,-0.485388,-0.488214,-0.488214,-0.491033,-0.491033,-0.491033,-0.491033,-0.491033,-0.491033,-0.491033,-0.491033,-0.493844,-0.492307,-0.494799,-0.494799,-0.494799,-0.491691,-0.488552,-0.488552,-0.486971,-0.486971,-0.486971,-0.486971,-0.486971,-0.484214,-0.484214,-0.484214,-0.484214,-0.484214,-0.484214,-0.484214,-0.484214,-0.484214,-0.484214,-0.484214,-0.484214,-0.484214,-0.484214,-0.484214,-0.484214,-0.484214,-0.484214,-0.478175,-0.478175,-0.478175,-0.478175,-0.478175,-0.478175,-0.478175,-0.478175,-0.478175,-0.478175,-0.478175,-0.478175,-0.478175,-0.478175,-0.478175,-0.478175,-0.478175,-0.483804,-0.489403,-0.489403,-0.489403,-0.489403,-0.489403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-0.483482,-0.480688,-0.480688,-0.480688,-0.480688,-0.480688,-0.480688,-0.475079,-0.475079,-0.475079,-0.475079,-0.475079,-0.476667,-0.471019,-0.465342,-0.465342,-0.465342,-0.465342,-0.465342,-0.465342,-0.465342,-0.465342,-0.465342,-0.465342,-0.465342,-0.465342,-0.448139,-0.448139,-0.448139,-0.448139,-0.448139,-0.448139,-0.448139,-0.448139,-0.449776,-0.457168,-0.460048,-0.465785,-0.474338,-0.475589,-0.475589,-0.475589,-0.476826,-0.476826,-0.475236,-0.475236,-0.475236,-0.475236,-0.475236,-0.475236,-0.475236,-0.475236,-0.475236,-0.475236,-0.478043,-0.478043,-0.478043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</si>
  <si>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-0.026927,-0.007388,-0.035239,-0.087717,-0.163123,-0.186327,-0.200203,-0.219228,-0.230027,-0.245858,-0.226357,-0.201365,-0.075318,-0.075318,-0.075318,-0.078162,-0.026685,-0.021241,0.005935,0.03304,0.049351,0.06843,0.084925,0.120865,0.203117,0.248005,0.248005,0.248005,0.248005,0.248005,0.248005,0.248005,0.248005,0.248005,0.248005,0.248005,0.248005,0.248005,0.248005,0.248005,0.248005,0.248005,0.248005,0.248005,0.248005,0.248005,0.248005,0.248005,0.248005,0.234835,0.151909,0.102133,0.025264,-0.065125,-0.075895,-0.042368,-0.117259,-0.241205,-0.26478,-0.226402,-0.216369,-0.198017,-0.191197,-0.173629,-0.170944,-0.169924,-0.170103,-0.170103,-0.170103,-0.170103,-0.170103,-0.170103,-0.170103,-0.170103,-0.170103,-0.170103,-0.170103,-0.170103,-0.170103,-0.170103,-0.170103,-0.170103,-0.170103,-0.157161,-0.157161,-0.149946,-0.131614,-0.114538,-0.093482,-0.069563,-0.053094,-0.034751,-0.028358,0.019055,0.010605,0.009553,0.009553,0.009553,0.009553,0.009553,0.009553,0.009553,0.009553,0.009553,0.009553,0.009553,0.009553,0.009553,0.009553,0.009553,0.009553,0.009553,0.009553,0.009553,0.009553,0.009553,0.009553,0.009553,0.009553,0.009553,-0.007386,-0.02973,-0.039319,-0.039319,-0.039319,-0.039319,-0.039319,-0.048422,-0.051355,-0.054345,-0.054345,-0.054345,-0.060263,-0.06317,-0.066126,-0.069047,-0.077847,-0.083666,-0.089524,-0.089589,-0.095429,-0.101422,-0.104258,-0.104258,-0.104368,-0.1073,-0.110322,-0.116373,-0.119525,-0.122366,-0.125365,-0.125365,-0.125684,-0.125684,-0.128632,-0.128796,-0.13157,-0.13157,-0.131742,-0.132078,-0.132243,-0.132884,-0.132884,-0.132884,-0.132884,-0.132884,-0.132884,-0.132884,-0.132884,-0.132884,-0.133039,-0.133192,-0.130858,-0.130858,-0.130858,-0.130858,-0.130858,-0.130858,-0.130858,-0.130858,-0.130858,-0.130858,-0.130858,-0.130858,-0.130858,-0.130858,-0.140739,-0.154871,-0.164248,-0.173928,-0.178219,-0.185765,-0.202844,-0.214847,-0.227288,-0.240904,-0.248689,-0.252913,-0.253031,-0.250615,-0.235319,-0.192115,-0.168797,-0.156524,-0.156524,-0.15372,-0.149876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-0.140396,-0.128785,-0.1024,-0.092764,-0.080832,-0.080019,-0.07879,-0.078378,-0.077551,-0.077551,-0.077551,-0.077551,-0.077135,-0.077135,-0.077135,-0.08735,-0.108942,-0.122679,-0.139007,-0.145852,-0.158966,-0.171445,-0.190083,-0.206883,-0.213733,-0.228123,-0.252836,-0.270596,-0.276483,-0.276483,-0.276483,-0.276483,-0.279421,-0.284362,-0.287294,-0.286352,-0.288351,-0.291292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-0.348389,-0.348389,-0.352247,-0.36374,-0.367554,-0.367554,-0.367554,-0.371348,-0.369166,-0.369166,-0.366961,-0.366961,-0.366961,-0.366961,-0.366961,-0.366961,-0.366961,-0.366961,-0.366961,-0.366961,-0.366961,-0.361985,-0.354213,-0.351991,-0.351991,-0.351436,-0.351965,-0.359737,-0.361196,-0.356511,-0.356511,-0.342517,-0.325156,-0.30589,-0.298411,-0.289588,-0.289588,-0.289588,-0.289588,-0.289588,-0.289588,-0.289588,-0.289588,-0.289588,-0.289588,-0.289588,-0.289588,-0.289588,-0.289588,-0.289588,-0.289588,-0.289588,-0.289588,-0.289588,-0.289588,-0.286484,-0.286484,-0.286484,-0.284683,-0.279763,-0.280484,-0.28301,-0.284267,-0.284267,-0.284267,-0.284267,-0.284267,-0.284267,-0.284267,-0.284267,-0.284267,-0.285519,-0.285519,-0.292889,-0.307553,-0.31357,-0.325148,-0.335365,-0.342563,-0.346815,-0.351063,-0.358202,-0.362422,-0.370844,-0.380736,-0.380736,-0.380736,-0.380736,-0.373688,-0.373688,-0.373688,-0.366632,-0.366632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-0.362415,-0.362415,-0.362415,-0.362415,-0.362415,-0.362415,-0.362415,-0.362415,-0.362415,-0.362415,-0.362415,-0.36509,-0.361979,-0.358831,-0.357248,-0.355654,-0.355654,-0.355654,-0.355654,-0.355654,-0.355654,-0.355654,-0.355654,-0.355654,-0.355654,-0.355654,-0.355654,-0.355654,-0.355654,-0.355654,-0.355654,-0.355654,-0.358151,-0.359392,-0.359392,-0.359392,-0.366603,-0.368152,-0.36841,-0.369939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-0.367508,-0.364814,-0.364814,-0.364814,-0.364814,-0.362097,-0.360878,-0.35959,-0.356757,-0.356861,-0.34802,-0.34503,-0.340505,-0.335932,-0.335932,-0.335932,-0.334398,-0.315984,-0.309817,-0.309817,-0.305206,-0.302105,-0.298999,-0.286623,-0.285118,-0.280473,-0.280473,-0.274295,-0.274295,-0.272783,-0.271268,-0.268091,-0.266576,-0.265058,-0.260343,-0.260343,-0.260343,-0.258822,-0.258822,-0.258822,-0.258822,-0.258822,-0.258822,-0.258822,-0.258822,-0.258822,-0.258822,-0.258822,-0.258822,-0.258822,-0.258822,-0.258822,-0.258822,-0.258822,-0.258822,-0.255767,-0.251017,-0.251017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-0.239954,-0.239954,-0.236884,-0.2338,-0.230701,-0.22773,-0.226279,-0.221503,-0.221503,-0.221503,-0.21818,-0.214861,-0.213126,-0.214706,-0.212966,-0.212789,-0.209283,-0.207276,-0.203732,-0.203148,-0.201045,-0.200702,-0.200702,-0.19889,-0.19889,-0.19889,-0.192366,-0.18583,-0.18583,-0.179283,-0.179283,-0.179283,-0.179283,-0.179283,-0.174126,-0.174126,-0.174126,-0.174126,-0.174126,-0.174126,-0.17552,-0.170359,-0.171735,-0.173109,-0.17448,-0.17448,-0.17448,-0.17448,-0.17448,-0.17448,-0.17448,-0.175848,-0.177213,-0.178576,-0.175343,-0.176696,-0.180741,-0.180741,-0.180741,-0.180741,-0.180741,-0.180741,-0.180741,-0.182083,-0.182083,-0.182083,-0.181557,-0.181557,-0.181557,-0.182884,-0.182884,-0.182884,-0.182884,-0.182884,-0.182884,-0.182884,-0.182884,-0.182884,-0.182884,-0.182884,-0.182884,-0.182884,-0.185531,-0.186849,-0.189479,-0.189479,-0.189479,-0.189479,-0.189479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-0.19917,-0.201771,-0.201254,-0.202006,-0.20343,-0.207114,-0.211981,-0.216795,-0.263269,-0.26954,-0.26954,-0.265948,-0.263533,-0.261101,-0.258654,-0.258654,-0.25619,-0.25619,-0.25619,-0.25619,-0.25619,-0.25619,-0.25619,-0.25619,-0.25619,-0.25619,-0.25619,-0.25619,-0.25619,-0.25619,-0.25619,-0.25619,-0.25619,-0.253711,-0.256522,-0.256522,-0.259329,-0.259329,-0.259329,-0.259329,-0.264932,-0.267728,-0.285696,-0.285696,-0.285696,-0.291205,-0.291205,-0.291205,-0.291205,-0.295334,-0.295334,-0.295334,-0.298081,-0.298081,-0.298081,-0.298081,-0.298081,-0.298081,-0.298081,-0.300824,-0.300824,-0.303562,-0.31033,-0.31273,-0.311037,-0.30954,-0.293608,-0.282105,-0.282105,-0.282105,-0.282105,-0.282105,-0.282105,-0.282105,-0.282105,-0.282105,-0.282105,-0.282105,-0.283588,-0.285066,-0.285066,-0.302159,-0.302159,-0.302159,-0.302159,-0.302159,-0.304959,-0.310546,-0.313332,-0.316114,-0.321662,-0.324428,-0.32719,-0.32719,-0.329947,-0.329947,-0.329947,-0.329947,-0.329947,-0.329947,-0.329947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-0.328362,-0.328362,-0.328362,-0.328362,-0.328362,-0.328362,-0.329947,-0.315723,-0.30417,-0.299798,-0.299798,-0.299798,-0.299798,-0.299798,-0.30417,-0.30417,-0.306986,-0.306986,-0.306986,-0.306986,-0.306986,-0.312604,-0.312604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-0.313824,-0.306629,-0.299411,-0.297845,-0.297845,-0.297845,-0.297845,-0.297845,-0.297845,-0.297845,-0.297845,-0.297845,-0.297845,-0.297845,-0.297845,-0.297845,-0.298108,-0.298108,-0.298108,-0.298108,-0.298108,-0.298108,-0.298108,-0.298108,-0.298108,-0.298108,-0.299658,-0.299658,-0.299658,-0.301203,-0.301203,-0.302744,-0.302744,-0.302744,-0.302744,-0.302744,-0.302744,-0.302744,-0.302744,-0.30428,-0.307084,-0.315753,-0.315753,-0.315753,-0.321298,-0.326824,-0.326824,-0.32958,-0.32958,-0.32958,-0.32958,-0.32958,-0.327993,-0.327993,-0.327993,-0.327993,-0.327993,-0.327993,-0.327993,-0.327993,-0.327993,-0.327993,-0.327993,-0.327993,-0.327993,-0.327993,-0.327993,-0.327993,-0.327993,-0.327993,-0.306119,-0.306119,-0.306119,-0.306119,-0.306119,-0.306119,-0.306119,-0.306119,-0.306119,-0.306119,-0.306119,-0.306119,-0.306119,-0.306119,-0.306119,-0.306119,-0.306119,-0.309263,-0.312389,-0.312389,-0.312389,-0.312389,-0.312389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-0.316395,-0.314815,-0.314815,-0.314815,-0.314815,-0.314815,-0.314815,-0.31164,-0.31164,-0.31164,-0.31164,-0.31164,-0.308826,-0.305646,-0.302448,-0.302448,-0.302448,-0.302448,-0.302448,-0.302448,-0.302448,-0.302448,-0.302448,-0.302448,-0.302448,-0.302448,-0.292742,-0.292742,-0.292742,-0.292742,-0.292742,-0.292742,-0.292742,-0.292742,-0.289838,-0.290183,-0.29179,-0.294989,-0.299753,-0.30417,-0.30417,-0.30417,-0.308577,-0.308577,-0.311391,-0.311391,-0.311391,-0.311391,-0.311391,-0.311391,-0.311391,-0.311391,-0.311391,-0.311391,-0.312982,-0.312982,-0.312982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</si>
  <si>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0.701965,0.70953,0.708693,0.708362,0.696537,0.693316,0.694947,0.689182,0.685653,0.683976,0.697164,0.71035,0.708072,0.708072,0.708072,0.706972,0.691624,0.690946,0.687974,0.685926,0.683932,0.681061,0.677841,0.669307,0.641852,0.623908,0.623908,0.623908,0.623908,0.623908,0.623908,0.623908,0.623908,0.623908,0.623908,0.623908,0.623908,0.623908,0.623908,0.623908,0.623908,0.623908,0.623908,0.623908,0.623908,0.623908,0.623908,0.623908,0.623908,0.629413,0.659077,0.67196,0.682417,0.686158,0.68505,0.668495,0.619925,0.491384,0.196664,-0.014893,-0.055196,-0.122193,-0.144051,-0.17805,-0.177715,-0.169889,-0.163743,-0.163743,-0.163743,-0.163743,-0.163743,-0.163743,-0.163743,-0.163743,-0.163743,-0.163743,-0.163743,-0.163743,-0.163743,-0.163743,-0.163743,-0.163743,-0.163743,-0.164107,-0.164107,-0.156667,-0.150233,-0.143237,-0.128313,-0.10819,-0.095448,-0.078474,-0.076918,0.07209,0.066906,0.067064,0.067064,0.067064,0.067064,0.067064,0.067064,0.067064,0.067064,0.067064,0.067064,0.067064,0.067064,0.067064,0.067064,0.067064,0.067064,0.067064,0.067064,0.067064,0.067064,0.067064,0.067064,0.067064,0.067064,0.067064,0.053049,0.033439,0.024928,0.024928,0.024928,0.024928,0.024928,0.0172,0.014865,0.012328,0.012328,0.012328,0.007455,0.005367,0.002795,0.00073,-0.006503,-0.01174,-0.016647,-0.016296,-0.021213,-0.025378,-0.028062,-0.028062,-0.027652,-0.029937,-0.03182,-0.035547,-0.036943,-0.039285,-0.041133,-0.041133,-0.040147,-0.040147,-0.042021,-0.041516,-0.043892,-0.043892,-0.043375,-0.042339,-0.04182,-0.039738,-0.039738,-0.039738,-0.039738,-0.039738,-0.039738,-0.039738,-0.039738,-0.039738,-0.039216,-0.038693,-0.035177,-0.035177,-0.035177,-0.035177,-0.035177,-0.035177,-0.035177,-0.035177,-0.035177,-0.035177,-0.035177,-0.035177,-0.035177,-0.035177,-0.047182,-0.066869,-0.079956,-0.092346,-0.099539,-0.108243,-0.129219,-0.14433,-0.158579,-0.177329,-0.191367,-0.197883,-0.203629,-0.206595,-0.201739,-0.165507,-0.145886,-0.136644,-0.136644,-0.134017,-0.132569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-0.125842,-0.121365,-0.109588,-0.107993,-0.103183,-0.103815,-0.10475,-0.105059,-0.105671,-0.105671,-0.105671,-0.105671,-0.105975,-0.105975,-0.105975,-0.11201,-0.123132,-0.131006,-0.141554,-0.145434,-0.153699,-0.162536,-0.175717,-0.185165,-0.188744,-0.194999,-0.211861,-0.225096,-0.229481,-0.229481,-0.229481,-0.229481,-0.231668,-0.237138,-0.239303,-0.240429,-0.24369,-0.245824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-0.271852,-0.271852,-0.272623,-0.274905,-0.275642,-0.275642,-0.275642,-0.276381,-0.279289,-0.279289,-0.28218,-0.28218,-0.28218,-0.28218,-0.28218,-0.28218,-0.28218,-0.28218,-0.28218,-0.28218,-0.28218,-0.282912,-0.281482,-0.284255,-0.284255,-0.290456,-0.295265,-0.307511,-0.326546,-0.341441,-0.341441,-0.346193,-0.344557,-0.339913,-0.33776,-0.33672,-0.33672,-0.33672,-0.33672,-0.33672,-0.33672,-0.33672,-0.33672,-0.33672,-0.33672,-0.33672,-0.33672,-0.33672,-0.33672,-0.33672,-0.33672,-0.33672,-0.33672,-0.33672,-0.33672,-0.335055,-0.335055,-0.335055,-0.332271,-0.327784,-0.322781,-0.320568,-0.319454,-0.319454,-0.319454,-0.319454,-0.319454,-0.319454,-0.319454,-0.319454,-0.319454,-0.318336,-0.318336,-0.320783,-0.325614,-0.329209,-0.332066,-0.336141,-0.338427,-0.338886,-0.339323,-0.341551,-0.341962,-0.342729,-0.346711,-0.346711,-0.346711,-0.346711,-0.344566,-0.344566,-0.344566,-0.342362,-0.342362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-0.341973,-0.341973,-0.341973,-0.341973,-0.341973,-0.341973,-0.341973,-0.341973,-0.341973,-0.341973,-0.341973,-0.339116,-0.332582,-0.325996,-0.322676,-0.319347,-0.319347,-0.319347,-0.319347,-0.319347,-0.319347,-0.319347,-0.319347,-0.319347,-0.319347,-0.319347,-0.319347,-0.319347,-0.319347,-0.319347,-0.319347,-0.319347,-0.316544,-0.315135,-0.315135,-0.315135,-0.322458,-0.325838,-0.330635,-0.333978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-0.341586,-0.344462,-0.344462,-0.344462,-0.344462,-0.347317,-0.353323,-0.359299,-0.362112,-0.371059,-0.379364,-0.382085,-0.386123,-0.390108,-0.390108,-0.390108,-0.391424,-0.390844,-0.387971,-0.387971,-0.387726,-0.386286,-0.384841,-0.382804,-0.383927,-0.383599,-0.383599,-0.384376,-0.384376,-0.38545,-0.386518,-0.385136,-0.386186,-0.38723,-0.386904,-0.386904,-0.386904,-0.387924,-0.387924,-0.387924,-0.387924,-0.387924,-0.387924,-0.387924,-0.387924,-0.387924,-0.387924,-0.387924,-0.387924,-0.387924,-0.387924,-0.387924,-0.387924,-0.387924,-0.387924,-0.389944,-0.389627,-0.389627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-0.389926,-0.389926,-0.391799,-0.393647,-0.395471,-0.400262,-0.404089,-0.406726,-0.406726,-0.406726,-0.405685,-0.40461,-0.402683,-0.401843,-0.399884,-0.397054,-0.393024,-0.388134,-0.383943,-0.378095,-0.372911,-0.369903,-0.369903,-0.367677,-0.367677,-0.367677,-0.364763,-0.361827,-0.361827,-0.358869,-0.358869,-0.358869,-0.358869,-0.358869,-0.355194,-0.355194,-0.355194,-0.355194,-0.355194,-0.355194,-0.354508,-0.350775,-0.350103,-0.349426,-0.348743,-0.348743,-0.348743,-0.348743,-0.348743,-0.348743,-0.348743,-0.348055,-0.347362,-0.346664,-0.345039,-0.344348,-0.342242,-0.342242,-0.342242,-0.342242,-0.342242,-0.342242,-0.342242,-0.34153,-0.34153,-0.34153,-0.338397,-0.338397,-0.338397,-0.337681,-0.337681,-0.337681,-0.337681,-0.337681,-0.337681,-0.337681,-0.337681,-0.337681,-0.337681,-0.337681,-0.337681,-0.337681,-0.336234,-0.335503,-0.334025,-0.334025,-0.334025,-0.334025,-0.334025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-0.331996,-0.330422,-0.32696,-0.322659,-0.313883,-0.311465,-0.308173,-0.304806,-0.304094,-0.303333,-0.303333,-0.306487,-0.308566,-0.310626,-0.312668,-0.312668,-0.314689,-0.314689,-0.314689,-0.314689,-0.314689,-0.314689,-0.314689,-0.314689,-0.314689,-0.314689,-0.314689,-0.314689,-0.314689,-0.314689,-0.314689,-0.314689,-0.314689,-0.316692,-0.318918,-0.318918,-0.321139,-0.321139,-0.321139,-0.321139,-0.325567,-0.327773,-0.33985,-0.33985,-0.33985,-0.344208,-0.344208,-0.344208,-0.344208,-0.349695,-0.349695,-0.349695,-0.351844,-0.351844,-0.351844,-0.351844,-0.351844,-0.351844,-0.351844,-0.353988,-0.353988,-0.356126,-0.363719,-0.374868,-0.380572,-0.38179,-0.381815,-0.378187,-0.378187,-0.378187,-0.378187,-0.378187,-0.378187,-0.378187,-0.378187,-0.378187,-0.378187,-0.378187,-0.377076,-0.375959,-0.375959,-0.383532,-0.383532,-0.383532,-0.383532,-0.383532,-0.385501,-0.389422,-0.391373,-0.393318,-0.39719,-0.399117,-0.401038,-0.401038,-0.402952,-0.402952,-0.402952,-0.402952,-0.402952,-0.402952,-0.402952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-0.404245,-0.404245,-0.404245,-0.404245,-0.404245,-0.404245,-0.402952,-0.397825,-0.394566,-0.393844,-0.393844,-0.393844,-0.393844,-0.393844,-0.394566,-0.394566,-0.396474,-0.396474,-0.396474,-0.396474,-0.396474,-0.400271,-0.400271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-0.403396,-0.40084,-0.398254,-0.399426,-0.399426,-0.399426,-0.399426,-0.399426,-0.399426,-0.399426,-0.399426,-0.399426,-0.399426,-0.399426,-0.399426,-0.399426,-0.395228,-0.395228,-0.395228,-0.395228,-0.395228,-0.395228,-0.395228,-0.395228,-0.395228,-0.395228,-0.394054,-0.394054,-0.394054,-0.392874,-0.392874,-0.391688,-0.391688,-0.391688,-0.391688,-0.391688,-0.391688,-0.391688,-0.391688,-0.390496,-0.392433,-0.393863,-0.393863,-0.393863,-0.397737,-0.401587,-0.401587,-0.403502,-0.403502,-0.403502,-0.403502,-0.403502,-0.404793,-0.404793,-0.404793,-0.404793,-0.404793,-0.404793,-0.404793,-0.404793,-0.404793,-0.404793,-0.404793,-0.404793,-0.404793,-0.404793,-0.404793,-0.404793,-0.404793,-0.404793,-0.40157,-0.40157,-0.40157,-0.40157,-0.40157,-0.40157,-0.40157,-0.40157,-0.40157,-0.40157,-0.40157,-0.40157,-0.40157,-0.40157,-0.40157,-0.40157,-0.40157,-0.399153,-0.396712,-0.396712,-0.396712,-0.396712,-0.396712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-0.401778,-0.403017,-0.403017,-0.403017,-0.403017,-0.403017,-0.403017,-0.405477,-0.405477,-0.405477,-0.405477,-0.405477,-0.403609,-0.406022,-0.40841,-0.40841,-0.40841,-0.40841,-0.40841,-0.40841,-0.40841,-0.40841,-0.40841,-0.40841,-0.40841,-0.40841,-0.415422,-0.415422,-0.415422,-0.415422,-0.415422,-0.415422,-0.415422,-0.415422,-0.413682,-0.409623,-0.40848,-0.406176,-0.402673,-0.403352,-0.403352,-0.403352,-0.404019,-0.404019,-0.405888,-0.405888,-0.405888,-0.405888,-0.405888,-0.405888,-0.405888,-0.405888,-0.405888,-0.405888,-0.404662,-0.404662,-0.404662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</si>
  <si>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0.355373,0.388507,0.411286,0.454909,0.51095,0.530533,0.549767,0.561048,0.567304,0.589275,0.608945,0.627669,0.691804,0.691804,0.691804,0.691143,0.694461,0.695327,0.700121,0.705707,0.708077,0.709986,0.710081,0.706922,0.687816,0.680722,0.680722,0.680722,0.680722,0.680722,0.680722,0.680722,0.680722,0.680722,0.680722,0.680722,0.680722,0.680722,0.680722,0.680722,0.680722,0.680722,0.680722,0.680722,0.680722,0.680722,0.680722,0.680722,0.680722,0.683368,0.673422,0.659053,0.624153,0.57593,0.568954,0.577896,0.489476,0.309864,0.188477,0.212313,0.241355,0.287124,0.291709,0.233806,0.214637,0.194015,0.185199,0.185199,0.185199,0.185199,0.185199,0.185199,0.185199,0.185199,0.185199,0.185199,0.185199,0.185199,0.185199,0.185199,0.185199,0.185199,0.185199,0.091861,0.091861,0.039803,-0.078678,-0.176565,-0.284714,-0.389466,-0.461092,-0.529896,-0.575594,0.625759,0.661759,0.673405,0.673405,0.673405,0.673405,0.673405,0.673405,0.673405,0.673405,0.673405,0.673405,0.673405,0.673405,0.673405,0.673405,0.673405,0.673405,0.673405,0.673405,0.673405,0.673405,0.673405,0.673405,0.673405,0.673405,0.673405,0.712893,0.747163,0.762176,0.762176,0.762176,0.762176,0.762176,0.764188,0.761462,0.761254,0.761254,0.761254,0.758261,0.752897,0.752643,0.74721,0.74113,0.740496,0.737192,0.734557,0.731185,0.722409,0.722005,0.722005,0.719316,0.7162,0.710339,0.698455,0.689637,0.686355,0.680226,0.680226,0.674542,0.674542,0.668317,0.66544,0.662041,0.662041,0.659144,0.653318,0.65039,0.63858,0.63858,0.63858,0.63858,0.63858,0.63858,0.63858,0.63858,0.63858,0.635602,0.632615,0.630136,0.630136,0.630136,0.630136,0.630136,0.630136,0.630136,0.630136,0.630136,0.630136,0.630136,0.630136,0.630136,0.630136,0.628003,0.633465,0.636863,0.637142,0.641592,0.639448,0.636994,0.635768,0.631427,0.631577,0.636097,0.636885,0.64409,0.652205,0.67199,0.69514,0.706072,0.71389,0.71389,0.714499,0.720336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0.727257,0.744201,0.776963,0.796558,0.811222,0.815672,0.822254,0.824422,0.828721,0.828721,0.828721,0.828721,0.830852,0.830852,0.830852,0.827758,0.814642,0.808435,0.803655,0.800325,0.795716,0.793121,0.788861,0.780567,0.776713,0.766593,0.756809,0.750642,0.748493,0.748493,0.748493,0.748493,0.747402,0.74736,0.746238,0.748395,0.749414,0.748275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0.709888,0.709888,0.706359,0.695635,0.69202,0.69202,0.69202,0.688379,0.692744,0.692744,0.697066,0.697066,0.697066,0.697066,0.697066,0.697066,0.697066,0.697066,0.697066,0.697066,0.697066,0.702776,0.709837,0.714055,0.714055,0.718921,0.721634,0.722058,0.731813,0.74358,0.74358,0.756776,0.768855,0.780075,0.784119,0.78977,0.78977,0.78977,0.78977,0.78977,0.78977,0.78977,0.78977,0.78977,0.78977,0.78977,0.78977,0.78977,0.78977,0.78977,0.78977,0.78977,0.78977,0.78977,0.78977,0.790901,0.790901,0.790901,0.790342,0.790858,0.786767,0.783246,0.781468,0.781468,0.781468,0.781468,0.781468,0.781468,0.781468,0.781468,0.781468,0.779678,0.779678,0.775614,0.767302,0.764863,0.757518,0.751839,0.74737,0.74421,0.741033,0.736437,0.733202,0.726676,0.720433,0.720433,0.720433,0.720433,0.725209,0.725209,0.725209,0.729945,0.729945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0.733197,0.733197,0.733197,0.733197,0.733197,0.733197,0.733197,0.733197,0.733197,0.733197,0.733197,0.72954,0.728667,0.72771,0.727202,0.726672,0.726672,0.726672,0.726672,0.726672,0.726672,0.726672,0.726672,0.726672,0.726672,0.726672,0.726672,0.726672,0.726672,0.726672,0.726672,0.726672,0.722775,0.720809,0.720809,0.720809,0.718481,0.718976,0.721366,0.72181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0.727826,0.731475,0.731475,0.731475,0.731475,0.735079,0.738983,0.742762,0.746161,0.749986,0.759563,0.762661,0.767221,0.771675,0.771675,0.771675,0.773135,0.783973,0.78643,0.78643,0.789084,0.790276,0.791456,0.797797,0.799233,0.801775,0.801775,0.805686,0.805686,0.807084,0.80847,0.809529,0.810908,0.812275,0.814664,0.814664,0.814664,0.816011,0.816011,0.816011,0.816011,0.816011,0.816011,0.816011,0.816011,0.816011,0.816011,0.816011,0.816011,0.816011,0.816011,0.816011,0.816011,0.816011,0.816011,0.818669,0.820976,0.820976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0.826793,0.826793,0.829335,0.831824,0.834263,0.838067,0.840542,0.843795,0.843795,0.843795,0.844646,0.845496,0.845249,0.844146,0.843867,0.842419,0.841723,0.839679,0.838773,0.835099,0.832581,0.830541,0.830541,0.829884,0.829884,0.829884,0.83142,0.832906,0.832906,0.834339,0.834339,0.834339,0.834339,0.834339,0.834225,0.834225,0.834225,0.834225,0.834225,0.834225,0.83271,0.832529,0.830978,0.829413,0.827836,0.827836,0.827836,0.827836,0.827836,0.827836,0.827836,0.826246,0.824643,0.823028,0.823723,0.822089,0.817113,0.817113,0.817113,0.817113,0.817113,0.817113,0.817113,0.815429,0.815429,0.815429,0.812732,0.812732,0.812732,0.811005,0.811005,0.811005,0.811005,0.811005,0.811005,0.811005,0.811005,0.811005,0.811005,0.811005,0.811005,0.811005,0.807514,0.805749,0.802183,0.802183,0.802183,0.802183,0.802183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0.792317,0.78859,0.785594,0.780608,0.770285,0.764147,0.755798,0.747262,0.694639,0.686517,0.686517,0.693577,0.69823,0.702841,0.707408,0.707408,0.711931,0.711931,0.711931,0.711931,0.711931,0.711931,0.711931,0.711931,0.711931,0.711931,0.711931,0.711931,0.711931,0.711931,0.711931,0.711931,0.711931,0.71641,0.715409,0.715409,0.714396,0.714396,0.714396,0.714396,0.712337,0.711291,0.702577,0.702577,0.702577,0.700311,0.700311,0.700311,0.700311,0.700165,0.700165,0.700165,0.699,0.699,0.699,0.699,0.699,0.699,0.699,0.697824,0.697824,0.696637,0.695132,0.699763,0.704625,0.706629,0.72006,0.727376,0.727376,0.727376,0.727376,0.727376,0.727376,0.727376,0.727376,0.727376,0.727376,0.727376,0.725414,0.72344,0.72344,0.713723,0.713723,0.713723,0.713723,0.713723,0.712531,0.710114,0.708889,0.707653,0.705148,0.70388,0.7026,0.7026,0.70131,0.70131,0.70131,0.70131,0.70131,0.70131,0.70131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0.703216,0.703216,0.703216,0.703216,0.703216,0.703216,0.70131,0.710214,0.717666,0.72076,0.72076,0.72076,0.72076,0.72076,0.717666,0.717666,0.716466,0.716466,0.716466,0.716466,0.716466,0.714033,0.714033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0.71468,0.719005,0.723274,0.725146,0.725146,0.725146,0.725146,0.725146,0.725146,0.725146,0.725146,0.725146,0.725146,0.725146,0.725146,0.725146,0.722543,0.722543,0.722543,0.722543,0.722543,0.722543,0.722543,0.722543,0.722543,0.722543,0.720642,0.720642,0.720642,0.718731,0.718731,0.716808,0.716808,0.716808,0.716808,0.716808,0.716808,0.716808,0.716808,0.714874,0.713674,0.707351,0.707351,0.707351,0.70485,0.702304,0.702304,0.701016,0.701016,0.701016,0.701016,0.701016,0.702922,0.702922,0.702922,0.702922,0.702922,0.702922,0.702922,0.702922,0.702922,0.702922,0.702922,0.702922,0.702922,0.702922,0.702922,0.702922,0.702922,0.702922,0.718597,0.718597,0.718597,0.718597,0.718597,0.718597,0.718597,0.718597,0.718597,0.718597,0.718597,0.718597,0.718597,0.718597,0.718597,0.718597,0.718597,0.714819,0.710997,0.710997,0.710997,0.710997,0.710997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0.710432,0.712325,0.712325,0.712325,0.712325,0.712325,0.712325,0.716079,0.716079,0.716079,0.716079,0.716079,0.717297,0.721019,0.724696,0.724696,0.724696,0.724696,0.724696,0.724696,0.724696,0.724696,0.724696,0.724696,0.724696,0.724696,0.735458,0.735458,0.735458,0.735458,0.735458,0.735458,0.735458,0.735458,0.736589,0.734166,0.732365,0.72873,0.723192,0.720141,0.720141,0.720141,0.717067,0.717067,0.71585,0.71585,0.71585,0.71585,0.71585,0.71585,0.71585,0.71585,0.71585,0.71585,0.713978,0.713978,0.713978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</t>
  </si>
  <si>
    <t>13.092058078903449,-19.751618968223273</t>
  </si>
  <si>
    <t>1682705349098</t>
  </si>
  <si>
    <t>0,703,712,718,719,727,732,744,790,891,1002,1095,1200,1298,1394,1494,1594,1706,1800,1899,2006,2099,2196,2299,2401,2500,2606,2699,2811,2974,3003,3118,3202,3316,3419,3506,3631,3711,3804,3897,4007,4103,4197,4277,4403,4496,4607,4700,4795,4919,4998,5094,5223,5300,5394,5522,5602,5691,5783,5900,5994,6121,6199,6293,6410,6498,6587,6717,6799,6894,7019,7100,7187,7311,7398,7492,7621,7697,7792,7919,7995,8091,8190,8296,8391,8500,8594,8700,8794,8894,9004,9101,9199,9304,9395,9495,9604,9696,9808,9901,9995,10242,10252,10300,10402,10500,10610,10705,10803,10895,10995,11106,11194,11304,11407,11495,11601,11695,11796,11902,12002,12102,12200,12301,12404,12501,12611,12705,12804,12899,12995,13095,13225,13312,13396,13524,13603,13695,13804,13901,13992,14091,14195,14309,14404,14493,14600,14702,14804,14902,15001,15094,15201,15309,15406,15501,15601,15694,15803,15896,15995,16101,16204,16299,16395,16495,16603,16699,16796,16902,17003,17104,17200,17300,17401,17502,17605,17701,17803,17897,18007,18100,18212,18297,18399,18508,18604,18739,18801,18905,18991,19102,19201,19295,19404,19502,19594,19694,19804,19894,20000,20095,20205,20295,20407,20497,20602,20701,20804,20903,21007,21099,21196,21299,21396,21499,21603,21701,21812,21906,22001,22099,22207,22302,22396,22507,22601,22706,22795,22901,22994,23110,23204,23300,23402,23495,23600,23717,23808,23902,24034,24107,24197,24324,24411,24503,24619,24719,24837,24893,24986,25083,25190,25316,25411,25489,25618,25710,25790,25917,25996,26090,26215,26311,26396,26485,26596,26690,26815,26910,26989,27083,27178,27288,27415,27508,27587,27712,27795,27918,28013,28099,28187,28315,28409,28489,28585,28694,28787,28901,28991,29092,29196,29296,29396,29510,29604,29703,29800,29895,30001,30110,30204,30298,30402,30495,30595,30709,30804,30911,31006,31100,31196,31304,31400,31496,31607,31703,31799,31897,32003,32097,32208,32301,32395,32503,32599,32694,32804,32899,32994,33105,33200,33296,33404,33500,33627,33708,33801,33927,34006,34101,34228,34290,34401,34526,34619,34697,34819,34913,34996,35091,35186,35286,35390,35515,35596,35718,35783,35890,35996,36093,36204,36300,36395,36505,36599,36702,36806,36896,37009,37105,37199,37294,37404,37500,37595,37705,37797,37906,38001,38097,38208,38303,38397,38493,38603,38699,38795,38903,38996,39106,39190,39300,39407,39497,39596,39697,39803,39897,40008,40102,40198,40309,40404,40499,40610,40703,40831,40910,41005,41130,41207,41306,41396,41507,41602,41696,41807,41900,41994,42119,42197,42291,42416,42509,42587,42714,42809,42888,43015,43109,43189,43283,43408,43488,43615,43710,43787,43880,43976,44086,44213,44308,44401,44478,44605,44700,44810,44904,45000,45080,45205,45300,45378,45505,45599,45678,45805,45898,45977,46097,46200,46310,46397,46497,46608,46703,46798,46908,47003,47097,47208,47302,47396,47491,47600,47695,47817,47910,47988,48084,48210,48289,48414,48498,48588,48712,48805,48899,49010,49098,49187,49308,49398,49498,49608,49702,49797,49906,50001,50100,50191,50284,50393,50490,50584,50694,50805,50890,50994,51097,51197,51310,51404,51499,51607,51702,51809,51904,51999,52094,52205,52301,52397,52507,52602,52697,52807,52902,52996,53106,53200,53292,53397,53497,53594,53698,53798,53895,53998,54098,54210,54303,54398,54509,54601,54699,54808,54902,55012,55106,55196,55312,55407,55518,55611,55706,55831,55910,56004,56097,56206,56302,56397,56510,56603,56698,56807,56901,56995,57120,57200,57296,57391,57502,57598,57709,57803,57899,58021,58101,58195,58322,58399,58494,58616,58699,58788,58919,58998,59092,59217,59311,59389,59516,59598,59689,59816,59877,60000,60111,60204,60299,60379,60505,60583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</si>
  <si>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</t>
  </si>
  <si>
    <t>0,0,0,0,0,0,0,0,0.624884,0.624884,0.624884,0.624884,0.624884,0.624884,0.624884,0.624884,0.624884,0.624884,0.624884,0.624884,0.624884,0.624884,0.624884,0.624884,0.624884,0.624884,0.624884,0.624884,0.624884,-0.558359,-0.545446,-0.44425,-0.387545,-0.322827,-0.300608,-0.285677,-0.285677,-0.285677,-0.285677,-0.285677,-0.285677,-0.285677,-0.285677,-0.285677,-0.285677,-0.285677,-0.285677,-0.285677,-0.285677,-0.285677,-0.285677,-0.285677,-0.428031,-0.611713,0.738593,0.817701,0.844803,0.874876,0.886641,0.866857,0.858793,0.858793,0.858793,0.858793,0.858793,0.862308,0.867633,0.903423,0.925969,0.925969,0.925969,0.925969,0.925969,0.925969,0.925969,0.925969,0.925969,0.925969,0.925969,0.925969,0.925969,0.925969,0.925969,0.925297,0.917177,0.875408,0.857161,0.841134,0.838172,0.824809,0.768119,0.710163,0.702375,0.702375,0.702375,0.702375,0.702375,0.702375,0.702375,0.702375,0.702375,-0.599713,-0.585728,-0.542429,-0.497182,-0.484323,-0.484323,-0.484323,-0.438127,-0.450207,-0.606528,0.629859,0.66153,0.717977,0.729951,0.723426,0.723426,0.723426,0.726457,0.739398,0.733542,0.695889,0.654706,-0.563372,-0.463836,-0.437728,-0.437728,-0.437728,-0.437728,-0.437728,-0.437728,-0.437728,-0.437728,-0.437728,-0.437728,-0.437728,-0.437728,-0.436912,-0.400669,-0.37806,-0.357273,-0.311997,-0.29484,-0.362094,0.651478,0.721465,0.757469,0.786067,0.805219,0.8217,0.829065,0.835886,0.835886,0.85157,0.862412,0.867354,0.868933,0.877117,0.88154,0.88154,0.897249,0.92784,0.942989,0.942989,0.942989,0.942989,0.942989,0.942989,0.942989,0.942989,0.942989,0.960939,0.987724,0.984063,0.956701,0.935028,0.90098,0.872085,0.868247,0.868247,0.868247,0.868247,0.868247,0.868247,0.868247,0.868247,0.868247,0.888587,0.890912,0.890982,0.886829,0.879976,0.865937,0.85126,0.814397,0.784064,0.764849,0.751506,0.728345,0.723577,-0.716341,-0.704061,-0.694041,-0.686414,-0.676096,-0.67349,-0.665611,-0.652275,-0.652275,-0.652275,-0.652275,-0.652275,-0.652275,-0.652275,-0.652275,-0.652275,-0.652275,-0.652275,-0.652275,-0.652275,-0.652275,-0.652275,-0.652275,-0.652275,-0.652275,-0.652275,-0.652275,-0.652414,-0.655171,-0.649832,-0.648169,-0.64911,-0.644751,-0.643961,-0.638876,-0.638291,-0.631224,-0.626301,-0.62714,-0.62714,-0.62714,-0.625473,-0.622109,-0.622109,-0.622109,-0.616729,0.607932,0.598787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0.593441,0.589203,0.584951,0.580676,0.576384,0.572074,0.569747,0.567411,0.559989,0.559221,-0.562785,-0.570128,-0.570128,-0.570128,-0.570128,-0.562745,-0.555284,-0.547745,-0.545216,-0.542677,-0.542677,-0.540131,-0.537576,-0.535013,-0.535013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-0.533588,-0.534674,-0.533175,-0.533175,-0.533175,-0.533175,-0.533667,-0.534143,-0.532112,-0.532112,-0.53256,-0.53256,-0.53256,-0.53256,-0.53256,-0.53256,-0.53256,-0.53256,-0.53256,-0.53256,-0.53256,-0.53256,-0.53256,-0.53256,-0.53256,-0.53256,-0.53256,-0.53256,-0.53256,-0.53256,-0.53256,-0.53256,-0.53256,-0.53256,-0.53256,-0.53256,-0.530516,-0.526405,-0.524728,-0.524728,-0.524728,-0.524728,-0.524728,-0.524728,-0.524728,-0.524728,-0.524728,-0.524728,-0.524728,-0.524728,-0.524728,-0.524728,-0.526801,-0.526801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-0.528866,-0.528866,-0.528866,-0.526801,-0.52434,-0.519791,-0.519791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</t>
  </si>
  <si>
    <t>0,0,0,0,0,0,0,0,-0.036592,-0.036592,-0.036592,-0.036592,-0.036592,-0.036592,-0.036592,-0.036592,-0.036592,-0.036592,-0.036592,-0.036592,-0.036592,-0.036592,-0.036592,-0.036592,-0.036592,-0.036592,-0.036592,-0.036592,-0.036592,-0.045954,-0.061056,-0.151975,-0.192817,-0.228038,-0.237766,-0.244163,-0.244163,-0.244163,-0.244163,-0.244163,-0.244163,-0.244163,-0.244163,-0.244163,-0.244163,-0.244163,-0.244163,-0.244163,-0.244163,-0.244163,-0.244163,-0.244163,-0.329033,-0.339475,0.281246,0.19017,0.162948,0.139465,0.109454,0.044668,0.03767,0.03767,0.03767,0.03767,0.03767,0.035782,0.037366,0.0428,0.045418,0.045418,0.045418,0.045418,0.045418,0.045418,0.045418,0.045418,0.045418,0.045418,0.045418,0.045418,0.045418,0.045418,0.045418,0.047393,0.044568,0.026696,0.019584,0.0103,0.009729,0.005724,-0.000891,-0.017382,-0.018485,-0.018485,-0.018485,-0.018485,-0.018485,-0.018485,-0.018485,-0.018485,-0.018485,-0.011741,-0.013845,-0.008611,0.00851,0.020311,0.020311,0.020311,0.063907,0.223087,0.5104,-0.510058,-0.48798,-0.434045,-0.401503,-0.363698,-0.363698,-0.363698,-0.362499,-0.335683,-0.278394,-0.230284,-0.207208,0.187021,0.183852,0.192888,0.192888,0.192888,0.192888,0.192888,0.192888,0.192888,0.192888,0.192888,0.192888,0.192888,0.192888,0.178678,0.069466,0.01581,-0.033876,-0.128952,-0.162863,-0.108234,-0.043279,-0.055899,-0.049114,-0.025513,0.001292,0.041986,0.064463,0.080429,0.080429,0.041525,0.007021,-0.015468,-0.027692,-0.061593,-0.097409,-0.097409,-0.093675,-0.078195,-0.065912,-0.065912,-0.065912,-0.065912,-0.065912,-0.065912,-0.065912,-0.065912,-0.065912,-0.060458,-0.036684,-0.017837,-0.000336,0.002575,0.001133,-0.003326,-0.00535,-0.00535,-0.00535,-0.00535,-0.00535,-0.00535,-0.00535,-0.00535,-0.00535,0.046949,0.065974,0.086472,0.103886,0.116439,0.124933,0.122533,0.109277,0.096656,0.085701,0.078338,0.06597,0.063484,-0.059748,-0.053502,-0.04849,-0.044723,-0.039691,-0.038432,-0.03465,-0.028336,-0.028336,-0.028336,-0.028336,-0.028336,-0.028336,-0.028336,-0.028336,-0.028336,-0.028336,-0.028336,-0.028336,-0.028336,-0.028336,-0.028336,-0.028336,-0.028336,-0.028336,-0.028336,-0.028336,-0.034994,-0.042892,-0.060091,-0.075987,-0.086679,-0.094462,-0.10777,-0.122081,-0.128743,-0.145475,-0.152998,-0.157155,-0.157155,-0.157155,-0.159646,-0.16462,-0.16462,-0.16462,-0.182887,0.210125,0.241117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0.252262,0.252625,0.25297,0.253317,0.253656,0.253987,0.25199,0.249988,0.239575,0.230773,-0.221519,-0.207411,-0.207411,-0.207411,-0.207411,-0.201585,-0.195731,-0.18985,-0.187884,-0.185915,-0.185915,-0.183942,-0.181968,-0.17999,-0.17999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-0.187137,-0.196226,-0.203292,-0.203292,-0.203292,-0.203292,-0.207822,-0.212345,-0.214838,-0.214838,-0.21936,-0.21936,-0.21936,-0.21936,-0.21936,-0.21936,-0.21936,-0.21936,-0.21936,-0.21936,-0.21936,-0.21936,-0.21936,-0.21936,-0.21936,-0.21936,-0.21936,-0.21936,-0.21936,-0.21936,-0.21936,-0.21936,-0.21936,-0.21936,-0.21936,-0.21936,-0.221837,-0.226781,-0.233766,-0.233766,-0.233766,-0.233766,-0.233766,-0.233766,-0.233766,-0.233766,-0.233766,-0.233766,-0.233766,-0.233766,-0.233766,-0.233766,-0.231311,-0.231311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-0.228852,-0.228852,-0.228852,-0.231311,-0.22924,-0.229638,-0.229638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</t>
  </si>
  <si>
    <t>0,0,0,0,0,0,0,0,-0.699007,-0.699007,-0.699007,-0.699007,-0.699007,-0.699007,-0.699007,-0.699007,-0.699007,-0.699007,-0.699007,-0.699007,-0.699007,-0.699007,-0.699007,-0.699007,-0.699007,-0.699007,-0.699007,-0.699007,-0.699007,0.712394,0.713294,0.716415,0.713417,0.708838,0.707005,0.705513,0.705513,0.705513,0.705513,0.705513,0.705513,0.705513,0.705513,0.705513,0.705513,0.705513,0.705513,0.705513,0.705513,0.705513,0.705513,0.705513,0.6507,0.595103,-0.564919,-0.538933,-0.509438,-0.462515,-0.439154,-0.443359,-0.450955,-0.450955,-0.450955,-0.450955,-0.450955,-0.444196,-0.437119,-0.379653,-0.335165,-0.335165,-0.335165,-0.335165,-0.335165,-0.335165,-0.335165,-0.335165,-0.335165,-0.335165,-0.335165,-0.335165,-0.335165,-0.335165,-0.335165,-0.338618,-0.353824,-0.41306,-0.434202,-0.448002,-0.451338,-0.464533,-0.521103,-0.561199,-0.566625,-0.566625,-0.566625,-0.566625,-0.566625,-0.566625,-0.566625,-0.566625,-0.566625,0.653925,0.663336,0.685933,0.702292,0.703952,0.703952,0.703952,0.706462,0.636408,0.36792,-0.369509,-0.397867,-0.452659,-0.487574,-0.537212,-0.537212,-0.537212,-0.535787,-0.55076,-0.604739,-0.671406,-0.719025,0.794808,0.852598,0.862034,0.862034,0.862034,0.862034,0.862034,0.862034,0.862034,0.862034,0.862034,0.862034,0.862034,0.862034,0.866675,0.905583,0.920171,0.929831,0.940294,0.941101,0.924045,-0.746039,-0.678591,-0.641895,-0.613181,-0.591884,-0.567982,-0.552918,-0.537847,-0.537847,-0.522494,-0.503907,-0.490135,-0.482809,-0.449128,-0.409233,-0.409233,-0.387053,-0.342632,-0.316638,-0.316638,-0.316638,-0.316638,-0.316638,-0.316638,-0.316638,-0.316638,-0.316638,-0.266292,-0.137218,-0.054588,0.005318,0.0166,0.01676,0.009723,0.006287,0.006287,0.006287,0.006287,0.006287,0.006287,0.006287,0.006287,0.006287,0.098707,0.132752,0.170074,0.20425,0.232005,0.261458,0.274956,0.296382,0.308313,0.311536,0.313469,0.316303,0.316811,-0.317537,-0.318649,-0.31945,-0.319999,-0.320662,-0.320815,-0.321246,-0.321864,-0.321864,-0.321864,-0.321864,-0.321864,-0.321864,-0.321864,-0.321864,-0.321864,-0.321864,-0.321864,-0.321864,-0.321864,-0.321864,-0.321864,-0.321864,-0.321864,-0.321864,-0.321864,-0.321864,-0.326853,-0.331713,-0.346938,-0.359189,-0.366171,-0.373793,-0.3831,-0.395243,-0.399746,-0.414164,-0.421572,-0.423424,-0.423424,-0.423424,-0.425884,-0.430783,-0.430783,-0.430783,-0.443985,0.463218,0.483398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0.491802,0.495116,0.498423,0.501706,0.504973,0.508225,0.509218,0.510204,0.511863,0.509325,-0.503632,-0.493323,-0.493323,-0.493323,-0.493323,-0.495732,-0.498072,-0.500344,-0.501085,-0.501819,-0.501819,-0.502546,-0.503264,-0.503975,-0.503975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-0.5074,-0.510079,-0.513479,-0.513479,-0.513479,-0.513479,-0.514766,-0.516038,-0.518131,-0.518131,-0.519369,-0.519369,-0.519369,-0.519369,-0.519369,-0.519369,-0.519369,-0.519369,-0.519369,-0.519369,-0.519369,-0.519369,-0.519369,-0.519369,-0.519369,-0.519369,-0.519369,-0.519369,-0.519369,-0.519369,-0.519369,-0.519369,-0.519369,-0.519369,-0.519369,-0.519369,-0.521457,-0.525607,-0.52884,-0.52884,-0.52884,-0.52884,-0.52884,-0.52884,-0.52884,-0.52884,-0.52884,-0.52884,-0.52884,-0.52884,-0.52884,-0.52884,-0.526776,-0.526776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-0.524703,-0.524703,-0.524703,-0.526776,-0.52768,-0.530621,-0.530621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</t>
  </si>
  <si>
    <t>1,1,1,1,1,1,1,1,-0.34579,-0.34579,-0.34579,-0.34579,-0.34579,-0.34579,-0.34579,-0.34579,-0.34579,-0.34579,-0.34579,-0.34579,-0.34579,-0.34579,-0.34579,-0.34579,-0.34579,-0.34579,-0.34579,-0.34579,-0.34579,0.422633,0.435859,0.516038,0.55106,0.584235,0.594345,0.600854,0.600854,0.600854,0.600854,0.600854,0.600854,0.600854,0.600854,0.600854,0.600854,0.600854,0.600854,0.600854,0.600854,0.600854,0.600854,0.600854,0.533963,0.395496,-0.237164,-0.068935,-0.015126,0.034951,0.095032,0.2236,0.240198,0.240198,0.240198,0.240198,0.240198,0.240486,0.233973,0.194572,0.16788,0.16788,0.16788,0.16788,0.16788,0.16788,0.16788,0.16788,0.16788,0.16788,0.16788,0.16788,0.16788,0.16788,0.16788,0.164063,0.177785,0.24966,0.276333,0.302791,0.306049,0.322283,0.37208,0.424761,0.430423,0.430423,0.430423,0.430423,0.430423,0.430423,0.430423,0.430423,0.430423,-0.461074,-0.465528,-0.484966,-0.509435,-0.519106,-0.519106,-0.519106,-0.552152,-0.585262,-0.486056,0.454513,0.407375,0.302015,0.261225,0.236183,0.236183,0.236183,0.231919,0.193056,0.13676,0.109183,0.106905,-0.126154,-0.155339,-0.167586,-0.167586,-0.167586,-0.167586,-0.167586,-0.167586,-0.167586,-0.167586,-0.167586,-0.167586,-0.167586,-0.167586,-0.161419,-0.120655,-0.100526,-0.081373,-0.043313,-0.029549,-0.05757,0.130878,0.126006,0.108626,0.073873,0.035971,-0.021042,-0.0527,-0.074465,-0.074465,-0.010248,0.047685,0.085001,0.10528,0.158609,0.214304,0.214304,0.190682,0.12491,0.078534,0.078534,0.078534,0.078534,0.078534,0.078534,0.078534,0.078534,0.078534,0.045046,-0.06502,-0.168293,-0.291023,-0.354175,-0.433535,-0.489247,-0.496064,-0.496064,-0.496064,-0.496064,-0.496064,-0.496064,-0.496064,-0.496064,-0.496064,-0.445495,-0.429303,-0.412005,-0.401277,-0.397816,-0.407657,-0.429815,-0.4868,-0.529947,-0.557321,-0.575186,-0.604247,-0.609949,0.618431,0.632376,0.643357,0.651488,0.66219,0.66484,0.672728,0.685666,0.685666,0.685666,0.685666,0.685666,0.685666,0.685666,0.685666,0.685666,0.685666,0.685666,0.685666,0.685666,0.685666,0.685666,0.685666,0.685666,0.685666,0.685666,0.685666,0.682861,0.677405,0.673603,0.667148,0.661106,0.660039,0.653402,0.648626,0.645146,0.639422,0.637664,0.634594,0.634594,0.634594,0.633972,0.632698,0.632698,0.632698,0.623759,-0.609669,-0.591306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-0.585083,-0.586414,-0.587719,-0.589013,-0.59029,-0.591548,-0.59379,-0.596023,-0.605815,-0.612049,0.616893,0.623352,0.623352,0.623352,0.623352,0.630025,0.636611,0.643108,0.645254,0.64739,0.64739,0.649517,0.651633,0.653739,0.653739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0.650238,0.644545,0.640887,0.640887,0.640887,0.640887,0.637985,0.635064,0.634225,0.634225,0.631282,0.631282,0.631282,0.631282,0.631282,0.631282,0.631282,0.631282,0.631282,0.631282,0.631282,0.631282,0.631282,0.631282,0.631282,0.631282,0.631282,0.631282,0.631282,0.631282,0.631282,0.631282,0.631282,0.631282,0.631282,0.631282,0.630416,0.628654,0.624773,0.624773,0.624773,0.624773,0.624773,0.624773,0.624773,0.624773,0.624773,0.624773,0.624773,0.624773,0.624773,0.624773,0.625686,0.625686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0.62659,0.62659,0.62659,0.625686,0.62775,0.628908,0.628908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</t>
  </si>
  <si>
    <t>19.208023208029857,19.208023208029854</t>
  </si>
  <si>
    <t>1682705411054</t>
  </si>
  <si>
    <t>1,107,171,281,391,484,593,702,798,907,999,1095,1205,1295,1409,1503,1598,1692,1799,1895,1994,2102,2197,2308,2404,2497,2608,2703,2796,2974,3027,3122,3219,3312,3391,3523,3582,3710,3774,3894,4006,4091,4191,4307,4466,4500,4604,4714,4807,4920,5022,5123,5170,5398,5417,5474,5593,5692,5772,5898,5993,6274,6344,6413,6499,6567,6632,6701,6807,6899,6979,7084,7191,7296,7370,7479,7573,7713,7810,7904,8014,8104,8205,8317,8409,8497,8575,8688,8783,8875,8976,9079,9190,9300,9395,9495,9600,9698,9804,10090,10133,10168,10235,10308,10420,10496,10637,10737,10792,10891,11031,11122,11197,11328,11397,11476,11599,11690,11801,11895,11989,12115,12193,12290,12483,12568,12667,12749,12827,12877,12975,13072,13194,13274,13368,13493,13639,13690,13783,13903,13998,14124,14241,14295,14442,14533,14611,14715,14773,14865,14962,15177,15219,15303,15374,15485,15600,15692,15813,15900,15998,16124,16209,16303,16392,16506,16580,16693,16782,16876,16994,17081,17175,17293,17424,17502,17598,17692,17786,18083,18121,18163,18206,18309,18391,18510,18603,18688,18794,18925,19008,19094,19215,19276,19387,19481,19591,19698,19793,19893,19997,20104,20201,20310,20404,20500,20765,20848,20906,20959,21021,21117,21221,21309,21408,21499,21607,21698,21809,21924,21980,22081,22190,22283,22392,22486,22596,22704,22814,22907,23033,23110,23207,23293,23391,23501,23594,23711,23810,23905,24016,24094,24351,24362,24394,24488,24598,24693,24795,24898,24999,25102,25200,25354,25402,25519,25630,25716,25819,25892,26024,26100,26175,26291,26409,26491,26601,26693,26788,26882,27016,27135,27237,27339,27421,27509,27578,27680,27768,27878,27971,28072,28192,28294,28394,28494,28599,28704,28802,28894,28994,29117,29213,29303,29509,29564,29617,29711,29792,29886,30026,30129,30183,30293,30411,30494,30592,30710,30829,30901,30981,31093,31202,31297,31391,31486,31594,31692,31795,31894,32006,32102,32211,32306,32401,32510,32606,32701,32793,32893,33037,33111,33216,33294,33394,33517,33624,33691,33832,33884,34007,34119,34176,34343,34408,34493,34580,34706,34784,34964,34994,35094,35231,35317,35412,35516,35607,35662,35775,35871,35981,36075,36184,36295,36390,36500,36595,36705,36798,36894,37004,37100,37194,37294,37394,37494,37601,37696,37807,37901,38013,38107,38203,38299,38410,38504,38599,38694,38805,38901,38997,39272,39277,39302,39429,39535,39606,39691,39816,39918,40010,40111,40175,40298,40385,40481,40587,40696,40824,40903,40997,41123,41201,41297,41423,41503,41596,41724,41803,41897,42022,42101,42195,42321,42400,42496,42621,42703,42794,42911,43036,43117,43189,43316,43440,43486,43611,43695,43782,43887,43973,44085,44210,44304,44382,44507,44601,44696,44807,44903,44982,45108,45201,45295,45406,45501,45594,45703,45798,45890,46016,46093,46188,46313,46391,46515,46607,46702,46781,46907,47001,47081,47206,47300,47395,47506,47602,47695,47806,47901,47995,48105,48199,48292,48406,48498,48590,48700,48795,48890,49000,49094,49189,49300,49395,49522,49600,49695,49822,49900,49996,50122,50184,50294,50420,50515,50593,50719,50812,50905,50984,51110,51204,51282,51378,51504,51581,51706,51800,51894,52005,52095,52183,52301,52395,52480,52602,52695,52792,52903,52996,53112,53202,53298,53425,53502,53579,53691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</si>
  <si>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</t>
  </si>
  <si>
    <t>0,0,0,0,0,0,0,0,0,0,0,0,0,0,0,0,0,0,0,0,0,0,0,0,0,0,0,0,0,0.050931,0.078219,0.16704,0.239156,0.287779,0.335556,0.375,0.375,0.375,0.375,0.381864,0.388858,0.392004,0.391627,0.391627,0.415796,0.42958,0.443257,0.459942,0.479771,0.51473,0.544172,0.55984,0.565082,0.567681,0.567681,0.563398,0.563398,0.563398,0.563398,0.563398,0.563398,0.518366,0.494525,0.448101,0.417524,0.419358,0.427666,0.44135,0.45489,0.465163,0.47554,0.46176,0.420362,0.401752,0.398543,0.398543,0.398543,0.440011,0.528504,0.53897,0.471568,0.423934,0.381325,0.319498,0.307059,0.314095,0.314194,0.310895,0.309232,0.309232,0.309232,0.309232,0.309232,0.309232,0.309232,0.309232,0.309232,0.309232,0.309232,0.220883,0.192397,0.188446,0.180508,0.176522,0.158837,0.155616,0.141076,0.128533,0.128533,0.128533,0.1367,0.159743,0.180232,0.239527,0.258832,0.258832,0.258832,0.258832,0.265361,0.265361,0.265361,0.265361,0.265361,0.268619,0.272374,0.290892,0.302685,0.315735,0.326825,0.328222,0.32646,0.32646,0.32646,0.32646,0.32646,0.32646,0.320365,0.31558,0.314082,0.310943,0.310962,0.30761,0.304238,0.302545,0.304094,0.298941,0.30039,0.293399,0.289876,0.289876,0.289876,0.215492,0.159262,0.102216,0.039394,-0.018298,-0.068942,-0.159095,-0.258019,-0.334217,-0.411595,-0.45997,-0.509194,-0.559573,-0.613214,-0.638631,-0.638631,-0.638631,-0.638631,-0.638631,-0.638631,-0.638631,-0.638631,-0.638631,-0.638631,-0.638631,-0.638631,-0.638631,-0.638631,0.768206,0.774786,0.77321,0.772696,0.767853,0.759256,0.748573,0.735671,0.723244,0.723244,0.777183,0.818182,0.845341,0.860971,0.861836,0.861836,0.861836,0.861836,0.861836,0.861836,0.861836,0.861836,0.861836,0.861836,0.861836,0.861836,0.861836,0.795981,0.741069,0.697305,0.675172,0.62798,-0.556938,-0.508643,-0.489769,-0.481509,-0.478971,-0.477677,-0.470106,-0.464517,-0.442421,-0.440174,-0.440174,-0.440174,-0.440174,-0.440174,-0.440174,-0.440174,-0.440174,-0.440174,-0.440174,-0.440174,-0.440174,-0.440174,-0.440174,-0.440174,-0.440174,-0.440174,-0.440174,-0.440174,-0.440174,-0.440174,-0.440174,-0.456967,-0.456967,-0.456967,-0.456967,-0.456967,-0.456967,-0.455566,-0.453512,-0.452464,-0.452464,-0.452464,-0.44058,-0.430505,-0.428957,-0.426366,-0.425292,-0.422838,-0.419946,-0.412226,-0.401689,-0.396445,-0.393657,-0.385498,-0.378739,-0.366171,-0.356284,-0.356284,-0.356284,-0.35475,-0.351871,-0.34271,-0.334686,-0.321615,-0.306444,-0.296572,-0.28116,-0.272604,-0.272604,-0.272604,-0.272604,-0.272604,-0.272604,-0.272604,-0.272604,-0.272604,-0.272604,-0.272604,-0.272604,-0.272604,-0.272604,-0.272604,-0.272604,-0.188577,-0.167559,-0.146444,-0.119953,-0.102543,-0.093255,-0.091974,-0.087448,-0.086796,-0.083516,-0.076293,-0.071017,-0.069707,-0.058463,-0.047326,-0.040003,-0.037321,-0.037321,-0.037321,-0.037321,-0.037321,-0.037321,-0.037321,-0.037321,-0.037321,-0.037321,-0.037321,-0.037321,-0.037321,-0.037321,-0.037321,-0.037321,-0.037321,-0.037321,-0.037321,-0.040905,-0.046922,-0.052088,-0.04924,-0.051464,-0.052971,-0.048595,-0.044192,-0.041981,-0.039024,-0.038283,-0.036057,-0.033082,-0.030845,-0.026358,-0.024859,-0.024109,-0.023359,-0.023359,-0.023359,-0.030235,-0.030235,-0.030235,0.030789,0.065076,0.087892,0.11202,0.141153,0.156929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0.195903,0.195903,0.199677,0.207215,0.222253,0.229751,0.237236,0.251008,0.262149,0.262709,0.266416,0.273819,0.285446,0.293346,0.297024,0.297024,0.297024,0.297024,0.297024,0.297024,0.297024,0.297024,0.297024,0.297024,0.297024,0.297024,0.297024,0.297024,0.297024,0.297024,0.297024,0.297024,0.297024,0.297024,0.297024,0.297024,0.304895,0.30856,0.312221,0.31849,0.319449,0.317789,0.316659,0.315508,0.315508,0.313149,0.311941,0.31133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</t>
  </si>
  <si>
    <t>0,0,0,0,0,0,0,0,0,0,0,0,0,0,0,0,0,0,0,0,0,0,0,0,0,0,0,0,0,-0.109661,-0.13292,-0.174532,-0.195869,-0.213071,-0.233366,-0.24249,-0.24249,-0.24249,-0.24249,-0.238672,-0.238346,-0.231182,-0.224191,-0.224191,-0.219204,-0.218281,-0.217303,-0.212605,-0.207543,-0.190654,-0.163992,-0.138841,-0.131471,-0.127763,-0.127763,-0.122034,-0.122034,-0.122034,-0.122034,-0.122034,-0.122034,-0.129859,-0.150593,-0.25751,-0.393209,-0.425182,-0.444408,-0.469695,-0.488476,-0.506588,-0.51871,-0.547756,-0.598371,-0.629284,-0.631093,-0.631093,-0.631093,-0.601087,-0.399887,-0.104795,0.100378,0.140519,0.135387,0.089399,0.021826,-0.101323,-0.117883,-0.127817,-0.132776,-0.132776,-0.132776,-0.132776,-0.132776,-0.132776,-0.132776,-0.132776,-0.132776,-0.132776,-0.132776,0.102386,0.165105,0.171592,0.184535,0.190989,0.197859,0.195843,0.204666,0.210222,0.210222,0.210222,0.19736,0.189332,0.170694,0.10866,0.097996,0.097996,0.097996,0.097996,0.101766,0.101766,0.101766,0.101766,0.101766,0.103648,0.097133,0.064474,0.01968,-0.053406,-0.126294,-0.137823,-0.142704,-0.142704,-0.142704,-0.142704,-0.142704,-0.142704,-0.121146,-0.111147,-0.099534,-0.076259,-0.059611,-0.052951,-0.046289,-0.042956,-0.029564,-0.019586,-0.006158,0.007113,0.013748,0.013748,0.013748,-0.000452,-0.034352,-0.059438,-0.073922,-0.089823,-0.084475,-0.059294,-0.029714,0.001112,0.022216,0.062689,0.101637,0.131492,0.178394,0.207339,0.207339,0.207339,0.207339,0.207339,0.207339,0.207339,0.207339,0.207339,0.207339,0.207339,0.207339,0.207339,0.207339,-0.40625,-0.447182,-0.460948,-0.464319,-0.472022,-0.478796,-0.477716,-0.475794,-0.469973,-0.469973,-0.475791,-0.463748,-0.452891,-0.447834,-0.447459,-0.447459,-0.447459,-0.447459,-0.447459,-0.447459,-0.447459,-0.447459,-0.447459,-0.447459,-0.447459,-0.447459,-0.447459,-0.496798,-0.494428,-0.501107,-0.508244,-0.517965,0.556649,0.594579,0.618216,0.715975,0.816639,0.858408,0.873367,0.876203,0.867233,0.864784,0.864784,0.864784,0.864784,0.864784,0.864784,0.864784,0.864784,0.864784,0.864784,0.864784,0.864784,0.864784,0.864784,0.864784,0.864784,0.864784,0.864784,0.864784,0.864784,0.864784,0.864784,0.83532,0.83532,0.83532,0.83532,0.83532,0.83532,0.834327,0.837066,0.838396,0.838396,0.838396,0.842583,0.846776,0.849036,0.862468,0.866521,0.870985,0.873027,0.87772,0.886961,0.890478,0.892559,0.892233,0.886687,0.875542,0.873058,0.873058,0.873058,0.866504,0.807905,0.747596,0.723459,0.699905,0.684193,0.674065,0.671569,0.671931,0.671931,0.671931,0.671931,0.671931,0.671931,0.671931,0.671931,0.671931,0.671931,0.671931,0.671931,0.671931,0.671931,0.671931,0.671931,0.606055,0.599364,0.592183,0.588986,0.583182,0.585139,0.578925,0.556896,0.553714,0.537678,0.518819,0.509606,0.502984,0.480861,0.422477,0.383679,0.36939,0.36939,0.36939,0.36939,0.36939,0.36939,0.36939,0.36939,0.36939,0.36939,0.36939,0.36939,0.36939,0.36939,0.36939,0.36939,0.36939,0.36939,0.36939,0.368715,0.341436,0.329144,0.314569,0.306536,0.294804,0.272671,0.250387,0.239192,0.224214,0.220461,0.209181,0.194096,0.182751,0.159986,0.152377,0.148569,0.144759,0.144759,0.144759,0.13944,0.13944,0.13944,0.151241,0.15762,0.161763,0.158217,0.147639,0.146396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0.121549,0.121549,0.122138,0.123312,0.125636,0.126786,0.127929,0.137674,0.13937,0.135661,0.136218,0.137325,0.135264,0.132659,0.133191,0.133191,0.133191,0.133191,0.133191,0.133191,0.133191,0.133191,0.133191,0.133191,0.133191,0.133191,0.133191,0.133191,0.133191,0.133191,0.133191,0.133191,0.133191,0.133191,0.133191,0.133191,0.130567,0.131088,0.131607,0.139931,0.158657,0.169529,0.176764,0.183989,0.183989,0.198403,0.205592,0.209182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</t>
  </si>
  <si>
    <t>0,0,0,0,0,0,0,0,0,0,0,0,0,0,0,0,0,0,0,0,0,0,0,0,0,0,0,0,0,-0.002078,-0.003968,-0.012925,-0.021964,-0.027056,-0.031224,-0.037219,-0.037219,-0.037219,-0.037219,-0.040581,-0.042454,-0.046429,-0.049506,-0.049506,-0.05709,-0.060527,-0.063948,-0.069955,-0.07679,-0.093165,-0.11475,-0.133569,-0.139073,-0.141793,-0.141793,-0.145757,-0.145757,-0.145757,-0.145757,-0.145757,-0.145757,-0.138831,-0.124636,-0.05632,0.026112,0.040877,0.045697,0.05035,0.051432,0.054455,0.053758,0.08261,0.146141,0.176675,0.180731,0.180731,0.180731,0.123931,-0.079213,-0.298435,-0.428425,-0.461967,-0.475953,-0.482894,-0.468512,-0.429671,-0.423876,-0.420469,-0.41874,-0.41874,-0.41874,-0.41874,-0.41874,-0.41874,-0.41874,-0.41874,-0.41874,-0.41874,-0.41874,-0.488711,-0.502376,-0.503871,-0.506769,-0.508171,-0.513108,-0.513881,-0.517785,-0.521002,-0.521002,-0.521002,-0.518919,-0.513022,-0.506935,-0.486431,-0.480346,-0.480346,-0.480346,-0.480346,-0.479562,-0.479562,-0.479562,-0.479562,-0.479562,-0.479159,-0.477034,-0.465973,-0.452442,-0.428598,-0.40247,-0.39808,-0.396243,-0.396243,-0.396243,-0.396243,-0.396243,-0.396243,-0.404317,-0.408063,-0.412198,-0.420266,-0.425684,-0.428113,-0.430516,-0.431707,-0.435565,-0.439118,-0.442749,-0.447413,-0.449703,-0.449703,-0.449703,-0.457638,-0.455686,-0.453116,-0.450298,-0.445447,-0.440235,-0.427376,-0.409778,-0.390158,-0.370448,-0.344186,-0.31668,-0.292577,-0.253338,-0.227536,-0.227536,-0.227536,-0.227536,-0.227536,-0.227536,-0.227536,-0.227536,-0.227536,-0.227536,-0.227536,-0.227536,-0.227536,-0.227536,0.021862,-0.038011,-0.062329,-0.068399,-0.087228,-0.109708,-0.123958,-0.140021,-0.150141,-0.150141,-0.079027,0.005395,0.066306,0.094612,0.09637,0.09637,0.09637,0.09637,0.09637,0.09637,0.09637,0.09637,0.09637,0.09637,0.09637,0.09637,0.09637,-0.340612,-0.429854,-0.462917,-0.468622,-0.479429,0.445237,0.39313,0.358796,0.222153,0.049583,-0.03596,-0.093433,-0.120739,-0.222508,-0.234508,-0.234508,-0.234508,-0.234508,-0.234508,-0.234508,-0.234508,-0.234508,-0.234508,-0.234508,-0.234508,-0.234508,-0.234508,-0.234508,-0.234508,-0.234508,-0.234508,-0.234508,-0.234508,-0.234508,-0.234508,-0.234508,-0.301511,-0.301511,-0.301511,-0.301511,-0.301511,-0.301511,-0.30658,-0.303587,-0.302076,-0.302076,-0.302076,-0.309709,-0.310123,-0.305152,-0.264818,-0.251239,-0.235843,-0.228881,-0.209541,-0.162339,-0.139485,-0.125481,-0.105039,-0.103051,-0.09783,-0.079445,-0.079445,-0.079445,-0.086391,-0.164426,-0.225561,-0.243092,-0.254544,-0.256349,-0.256917,-0.247128,-0.240331,-0.240331,-0.240331,-0.240331,-0.240331,-0.240331,-0.240331,-0.240331,-0.240331,-0.240331,-0.240331,-0.240331,-0.240331,-0.240331,-0.240331,-0.240331,-0.219725,-0.208367,-0.196794,-0.179784,-0.16955,-0.162668,-0.163396,-0.165862,-0.166204,-0.167876,-0.16771,-0.166584,-0.167137,-0.165009,-0.168541,-0.170427,-0.171035,-0.171035,-0.171035,-0.171035,-0.171035,-0.171035,-0.171035,-0.171035,-0.171035,-0.171035,-0.171035,-0.171035,-0.171035,-0.171035,-0.171035,-0.171035,-0.171035,-0.171035,-0.171035,-0.172484,-0.177804,-0.180949,-0.181745,-0.18336,-0.185127,-0.186324,-0.187417,-0.187925,-0.188561,-0.188713,-0.18915,-0.189694,-0.19007,-0.190744,-0.190945,-0.191041,-0.191134,-0.191134,-0.191134,-0.192326,-0.192326,-0.192326,-0.183191,-0.177732,-0.173969,-0.1694,-0.163028,-0.160089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-0.15036,-0.15036,-0.149882,-0.148918,-0.146963,-0.145972,-0.144971,-0.144759,-0.143127,-0.142096,-0.141562,-0.140488,-0.137813,-0.13561,-0.135088,-0.135088,-0.135088,-0.135088,-0.135088,-0.135088,-0.135088,-0.135088,-0.135088,-0.135088,-0.135088,-0.135088,-0.135088,-0.135088,-0.135088,-0.135088,-0.135088,-0.135088,-0.135088,-0.135088,-0.135088,-0.135088,-0.132885,-0.132371,-0.131855,-0.133323,-0.138971,-0.142725,-0.145217,-0.147699,-0.147699,-0.152637,-0.155091,-0.156315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</t>
  </si>
  <si>
    <t>1,1,1,1,1,1,1,1,1,1,1,1,1,1,1,1,1,1,1,1,1,1,1,1,1,1,1,1,1,0.992661,0.988027,0.970293,0.950767,0.933302,0.912123,0.893973,0.893973,0.893973,0.893973,0.891946,0.88892,0.889231,0.891019,0.891019,0.880797,0.874158,0.867302,0.859278,0.849028,0.830677,0.814749,0.805892,0.802531,0.800818,0.800818,0.804018,0.804018,0.804018,0.804018,0.804018,0.804018,0.833762,0.846896,0.854238,0.818766,0.801054,0.785822,0.76293,0.742846,0.723896,0.708457,0.692761,0.666251,0.641392,0.640485,0.640485,0.640485,0.655535,0.744647,0.780683,0.764199,0.766238,0.780852,0.810396,0.828091,0.840512,0.841258,0.842741,0.843447,0.843447,0.843447,0.843447,0.843447,0.843447,0.843447,0.843447,0.843447,0.843447,0.843447,0.837788,0.826645,0.825323,0.822526,0.821051,0.819965,0.820582,0.818602,0.817217,0.817217,0.817217,0.820418,0.821854,0.825468,0.83319,0.832268,0.832268,0.832268,0.832268,0.830209,0.830209,0.830209,0.830209,0.830209,0.829161,0.829949,0.833123,0.838625,0.844845,0.845727,0.845463,0.846198,0.846198,0.846198,0.846198,0.846198,0.846198,0.848067,0.849436,0.849434,0.849044,0.847669,0.848111,0.8485,0.848676,0.846721,0.84701,0.844808,0.844801,0.844719,0.844719,0.844719,0.86263,0.875104,0.883575,0.888941,0.890603,0.891237,0.887988,0.874429,0.857948,0.832385,0.816109,0.793792,0.76419,0.726611,0.705257,0.705257,0.705257,0.705257,0.705257,0.705257,0.705257,0.705257,0.705257,0.705257,0.705257,0.705257,0.705257,0.705257,-0.49431,-0.445298,-0.431032,-0.427399,-0.424251,-0.426907,-0.442788,-0.461305,-0.48322,-0.48322,-0.404183,-0.339834,-0.275484,-0.221861,-0.218478,-0.218478,-0.218478,-0.218478,-0.218478,-0.218478,-0.218478,-0.218478,-0.218478,-0.218478,-0.218478,-0.218478,-0.218478,0.059917,0.146913,0.219922,0.257342,0.327873,-0.426294,-0.482915,-0.4992,-0.454067,-0.318166,-0.183486,-0.086603,-0.043753,0.051579,0.058319,0.058319,0.058319,0.058319,0.058319,0.058319,0.058319,0.058319,0.058319,0.058319,0.058319,0.058319,0.058319,0.058319,0.058319,0.058319,0.058319,0.058319,0.058319,0.058319,0.058319,0.058319,-0.050124,-0.050124,-0.050124,-0.050124,-0.050124,-0.050124,-0.048642,-0.038508,-0.033439,-0.033439,-0.033439,0.004818,0.0382,0.0449,0.065056,0.071745,0.083492,0.095301,0.125578,0.159973,0.174424,0.18063,0.210426,0.244384,0.299624,0.323296,0.323296,0.323296,0.340383,0.443216,0.522277,0.55272,0.584725,0.610129,0.62584,0.639431,0.64532,0.64532,0.64532,0.64532,0.64532,0.64532,0.64532,0.64532,0.64532,0.64532,0.64532,0.64532,0.64532,0.64532,0.64532,0.64532,0.740849,0.7545,0.767558,0.778707,0.787804,0.788958,0.793529,0.809141,0.811322,0.822037,0.834793,0.841135,0.845111,0.859143,0.889307,0.906722,0.912636,0.912636,0.912636,0.912636,0.912636,0.912636,0.912636,0.912636,0.912636,0.912636,0.912636,0.912636,0.912636,0.912636,0.912636,0.912636,0.912636,0.912636,0.912636,0.912483,0.92174,0.925315,0.930371,0.932613,0.935955,0.942641,0.948804,0.951687,0.955327,0.9562,0.958731,0.961898,0.964118,0.968156,0.969383,0.969974,0.97055,0.97055,0.97055,0.970903,0.970903,0.970903,0.970886,0.969192,0.967389,0.966293,0.965246,0.96349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0.961374,0.961374,0.960597,0.958999,0.955626,0.953851,0.952017,0.947146,0.944123,0.944663,0.943624,0.941503,0.93874,0.936995,0.935836,0.935836,0.935836,0.935836,0.935836,0.935836,0.935836,0.935836,0.935836,0.935836,0.935836,0.935836,0.935836,0.935836,0.935836,0.935836,0.935836,0.935836,0.935836,0.935836,0.935836,0.935836,0.933988,0.932783,0.931564,0.928013,0.923833,0.9219,0.92054,0.919123,0.919123,0.91612,0.914533,0.913719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</t>
  </si>
  <si>
    <t>1682707034307</t>
  </si>
  <si>
    <t>27.11093480034208,27.110934800342097</t>
  </si>
  <si>
    <t>1682707339429</t>
  </si>
  <si>
    <t>165,685,688,690,692,705,720,727,783,890,1000,1109,1202,1311,1405,1498,1606,1699,1797,1901,2000,2100,2197,2300,2398,2539,2632,2709,2834,2917,3010,3098,3222,3315,3408,3486,3578,3703,3796,3920,3983,4090,4199,4292,4388,4511,4592,4694,4793,4903,4997,5106,5210,5311,5410,5494,5602,5709,5807,5897,5991,6099,6192,6301,6395,6502,6601,6703,6800,6907,7001,7094,7204,7296,7405,7498,7607,7701,7796,7904,7997,8107,8201,8293,8402,8496,8605,8697,8796,8899,9009,9101,9226,9320,9396,9521,9613,9707,9831,9909,10003,10096,10219,10297,10399,10507,10608,10686,10809,10903,10998,11133,11199,11286,11383,11503,11599,11713,11799,11887,12011,12104,12186,12307,12402,12494,12618,12710,12789,12888,13008,13092,13209,13307,13392,13509,13601,13694,13788,13897,13990,14116,14209,14301,14432,14505,14598,14720,14800,14893,14988,15104,15188,15281,15406,15501,15691,15738,15804,15877,16000,16094,16192,16296,16389,16506,16605,16687,16810,16903,16996,17120,17182,17291,17385,17482,17586,17700,17800,17902,18002,18101,18200,18300,18401,18495,18604,18699,18806,18900,19008,19100,19194,19308,19408,19507,19591,19693,19793,19901,20010,20103,20196,20304,20396,20506,20600,20706,20803,20894,21002,21097,21208,21299,21401,21501,21595,21703,21796,21906,21999,22108,22217,22298,22416,22515,22599,22745,22815,22899,22998,23113,23206,23311,23411,23497,23595,23679,23812,23895,24011,24096,24196,24315,24398,24487,24609,24697,24797,24921,24999,25092,25210,25308,25387,25512,25605,25689,25811,25897,25991,26113,26208,26301,26378,26503,26596,26689,26799,26893,27009,27105,27188,27307,27401,27501,27609,27698,27796,27919,28012,28090,28216,28309,28387,28480,28605,28698,28792,28901,28994,29117,29211,29287,29412,29505,29599,29707,29802,29895,29988,30097,30191,30318,30408,30501,30610,30704,30798,30906,30999,31092,31185,31310,31388,31480,31604,31697,31807,31901,31994,32119,32196,32289,32414,32507,32600,32709,32801,32894,33019,33097,33192,33316,33409,33487,33611,33703,33796,33889,33997,34090,34215,34308,34402,34509,34602,34694,34788,34897,34990,35115,35209,35286,35411,35504,35597,35707,35800,35893,35986,36111,36188,36313,36406,36498,36607,36700,36787,36917,37009,37087,37180,37297,37396,37513,37596,37692,37812,37897,37986,38112,38196,38296,38408,38501,38594,38686,38800,38887,38988,39088,39257,39303,39390,39504,39603,39705,39804,39903,40004,40096,40217,40299,40406,40505,40627,40705,40790,40894,41001,41113,41206,41301,41401,41501,41599,41701,41795,41898,41998,42097,42198,42297,42398,42507,42603,42697,42795,42895,42995,43097,43197,43305,43413,43506,43599,43724,43833,43944,44018,44110,44205,44293,44409,44498,44586,44680,44789,44889,44989,45095,45193,45296,45394,45510,45599,45699,45810,45903,45998,46099,46203,46299,46401,46502,46605,46814,46831,46898,47013,47113,47197,47320,47414,47497,47597,47720,47793,47897,47996,48098,48199,48298,48398,48498,48599,48699,48799,48911,49012,49115,49217,49316,49398,49506,49594,49724,49802,49905,50018,50111,50204,50295,50410,50509,50593,50710,50809,50893,51010,51111,51192,51313,51406,51498,51577,51701,51797,51887,52011,52088,52182,52305,52400,52507,52601,52695,52818,52896,52988,53114,53208,53287,53411,53504,53593,53690,53798,53893,54018,54110,54187,54311,54404,54499,54608,54700,54794,54887,54996,55090,55212,55307,55399,55507,55600,55693,55818,55896,55990,56113,56198,56301,56408,56500,56578,56687,56780,56889,56987,57090,57199,57309,57440,57495,57603,57696,57822,57901,58007,58100,58194,58302,58417,58496,58597,58705,58798,58907,59001,59094,59204,59297,59406,59497,59603,59703,59795,59903,59996,60107,60200,60308,60401,60496,60616,60698,60806,60899,61007,61100,61193,61303,61396,61505,61598,61723,61816,61909,62017,62110,62203,62296,62420,62499,62589,62706,62806,62889,63006,63106,63189,63306,63402,63495,63622,63698,63791,63914,64007,64100,64207,64300,64394,64519,64598,64690,64813,64906,64999,65107,65199,65292,65384,65508,65601,65678,65802,65896,65989,66097,66190,66315,66408,66500,66609,66702,66786,66908,66997,67091,67216,67305,67387,67508,67607,67689,67808,67885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</si>
  <si>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</si>
  <si>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-0.602731,-0.598515,-0.59709,-0.584199,-0.57989,-0.575399,-0.570829,-0.567738,-0.567738,-0.566179,-0.563036,-0.561451,-0.556645,-0.555026,-0.555026,-0.555026,-0.551762,-0.548464,-0.545132,-0.545132,-0.546276,-0.546276,-0.54459,-0.542895,-0.541192,-0.540573,-0.538846,-0.538846,-0.538846,-0.538846,-0.538846,-0.538846,-0.538846,-0.538846,-0.538846,-0.538846,-0.538846,-0.538846,-0.538846,-0.538846,-0.538846,-0.538846,-0.538846,-0.538846,-0.538846,-0.538846,-0.537111,-0.537111,-0.537111,-0.537111,-0.537111,-0.537111,-0.537111,-0.537111,-0.537111,-0.537111,-0.537111,-0.537111,-0.537111,-0.537111,-0.535367,-0.535367,-0.532562,-0.522347,-0.504546,-0.504546,-0.504546,-0.490101,-0.490101,-0.485398,-0.479554,-0.465978,-0.463017,-0.454091,-0.448105,-0.442091,-0.434232,-0.431203,-0.428166,-0.428166,-0.425123,-0.422073,-0.419017,-0.419017,-0.419017,-0.419017,-0.419017,-0.415955,-0.391227,-0.378717,-0.359276,-0.346562,-0.338327,-0.338327,-0.338327,-0.338327,-0.338327,-0.338327,-0.338327,-0.338327,-0.338327,-0.338327,-0.335604,-0.337882,-0.336485,-0.336485,-0.336485,-0.335078,-0.335463,-0.334374,-0.33793,-0.336749,-0.341991,-0.341991,-0.362647,-0.36757,-0.369224,-0.367618,-0.367618,-0.367618,-0.367618,-0.367618,-0.367618,-0.367618,-0.367618,-0.367618,-0.367618,-0.367618,-0.367618,-0.367618,-0.367618,-0.367618,-0.367618,-0.364398,-0.354707,-0.338446,-0.325343,-0.31059,-0.280626,-0.236737,-0.220725,-0.216291,-0.211789,-0.212614,-0.210617,-0.210617,-0.214769,-0.216147,-0.216147,-0.216147,-0.222881,-0.237677,-0.249079,-0.261867,-0.268474,-0.276498,-0.279782,-0.283062,-0.283062,-0.283062,-0.283062,-0.283062,-0.283062,-0.283062,-0.283062,-0.283062,-0.283062,-0.283062,-0.283062,-0.283062,-0.283062,-0.283062,-0.28162,-0.28162,-0.28162,-0.28162,-0.28162,-0.28162,-0.28162,-0.28162,-0.272875,-0.244719,-0.138431,-0.020747,0.081588,0.238072,0.270485,0.310727,0.422632,0.434585,0.434585,0.428102,0.354616,0.326233,0.292659,0.287904,0.291119,0.295627,0.305621,0.314269,0.324138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0.325528,0.338723,0.378243,0.405595,0.463276,0.495633,0.545841,0.618191,0.675204,0.692601,0.715879,0.751704,0.77774,0.786067,0.789962,0.792659,0.80533,0.82171,0.835354,0.847056,0.852506,0.85717,0.85717,0.844629,0.253316,-0.00935,-0.02545,-0.043489,-0.061336,-0.061336,-0.061336,-0.061336,-0.061336,-0.061336,-0.061336,-0.061336,-0.061336,-0.061336,-0.061336,-0.073488,-0.1397,-0.202564,-0.332328,-0.41622,-0.433027,-0.433027,-0.433027,-0.433027,-0.433027,-0.433027,-0.317072,0.442355,0.442355,0.442355,0.442355,0.442355,0.442355,0.442355,0.442355,0.442355,0.684071,0.968199,0.984688,0.987117,0.987117,0.982605,0.978065,0.97276,0.971028,0.971028,0.971028,0.971028,0.971028,0.971028,0.971028,0.971028,0.971028,0.971028,0.971028,0.862644,0.845597,0.813394,0.753408,-0.653676,-0.641506,-0.66078,0.806967,0.844141,0.93485,0.965654,0.968451,0.968549,0.931856,0.914595,0.903879,0.900389,0.89884,0.89884,0.89884,0.89884,0.89884,0.89884,0.887065,0.779244,-0.663412,-0.625317,-0.606743,-0.602096,-0.602096,-0.617636,-0.617636,-0.62055,-0.604994,-0.604994,-0.60409,-0.608137,-0.613775,-0.606713,-0.602987,-0.596376,-0.585697,-0.572202,-0.551973,-0.538264,-0.528639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-0.523217,-0.520494,-0.515024,-0.513848,-0.513848,-0.541001,-0.541001,-0.541001,-0.541001,-0.528343,-0.484841,-0.484841,-0.484841,-0.484841,-0.484841,-0.485399,-0.490784,-0.489973,-0.489973,-0.489973,-0.489973,-0.489973,-0.489973,-0.489973,-0.489973,-0.494016,-0.492406,-0.496395,-0.496395,-0.496395,-0.496395,-0.496395,-0.496395,-0.496395,-0.496395,-0.496395,-0.497089,-0.495458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,-0.492173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</si>
  <si>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-0.036592,0.026742,0.025348,0.022542,0.01136,0.010018,0.001515,-0.006989,-0.012657,-0.012657,-0.015491,-0.021159,-0.023992,-0.032489,-0.035321,-0.035321,-0.035321,-0.040982,-0.046641,-0.052296,-0.052296,-0.056797,-0.056797,-0.059615,-0.062431,-0.065247,-0.072573,-0.075377,-0.075377,-0.075377,-0.075377,-0.075377,-0.075377,-0.075377,-0.075377,-0.075377,-0.075377,-0.075377,-0.075377,-0.075377,-0.075377,-0.075377,-0.075377,-0.075377,-0.075377,-0.075377,-0.075377,-0.07818,-0.07818,-0.07818,-0.07818,-0.07818,-0.07818,-0.07818,-0.07818,-0.07818,-0.07818,-0.07818,-0.07818,-0.07818,-0.07818,-0.080981,-0.080981,-0.079233,-0.076773,-0.073633,-0.073633,-0.073633,-0.064708,-0.064708,-0.065827,-0.062233,-0.05794,-0.05613,-0.050696,-0.047069,-0.043439,-0.042813,-0.040989,-0.039165,-0.039165,-0.037339,-0.035514,-0.033687,-0.033687,-0.033687,-0.033687,-0.033687,-0.03186,-0.01723,-0.009908,-0.007017,0.000356,0.000858,0.000858,0.000858,0.000858,0.000858,0.000858,0.000858,0.000858,0.000858,0.000858,0.010965,0.022442,0.027479,0.027479,0.027479,0.032514,0.040777,0.054062,0.060532,0.073764,0.083483,0.083483,0.13857,0.148224,0.159489,0.164312,0.164312,0.164312,0.164312,0.164312,0.164312,0.164312,0.164312,0.164312,0.164312,0.164312,0.164312,0.164312,0.164312,0.164312,0.164312,0.165916,0.170711,0.17865,0.184951,0.187915,0.201862,0.221559,0.240649,0.258637,0.276512,0.288095,0.292877,0.292877,0.303023,0.306396,0.306396,0.306396,0.303635,0.301429,0.30056,0.302951,0.300108,0.300536,0.299102,0.297664,0.297664,0.297664,0.297664,0.297664,0.297664,0.297664,0.297664,0.297664,0.297664,0.297664,0.297664,0.297664,0.297664,0.297664,0.294384,0.294384,0.294384,0.294384,0.294384,0.294384,0.294384,0.294384,0.274609,0.247146,0.112507,-0.022566,-0.113144,-0.249613,-0.266558,-0.26695,-0.206881,-0.199929,-0.199929,-0.195722,-0.209327,-0.22481,-0.246572,-0.261219,-0.291822,-0.325191,-0.370607,-0.389231,-0.410686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-0.413726,-0.418641,-0.417926,-0.41494,-0.415822,-0.411085,-0.414467,-0.407697,-0.397741,-0.391896,-0.382535,-0.373352,-0.367932,-0.366912,-0.365004,-0.364612,-0.359868,-0.351097,-0.34073,-0.331484,-0.326732,-0.323351,-0.323351,-0.340509,-0.37983,-0.271127,-0.240076,-0.201268,-0.178013,-0.178013,-0.178013,-0.178013,-0.178013,-0.178013,-0.178013,-0.178013,-0.178013,-0.178013,-0.178013,-0.177096,-0.181341,-0.195967,-0.239522,-0.248998,-0.252048,-0.252048,-0.252048,-0.252048,-0.252048,-0.252048,-0.50043,-0.134355,-0.134355,-0.134355,-0.134355,-0.134355,-0.134355,-0.134355,-0.134355,-0.134355,-0.134526,-0.134454,-0.131343,-0.130859,-0.130859,-0.129959,-0.126956,-0.092374,-0.087193,-0.087193,-0.087193,-0.087193,-0.087193,-0.087193,-0.087193,-0.087193,-0.087193,-0.087193,-0.087193,0.015433,0.02255,0.027277,0.048348,-0.075856,-0.077492,-0.069774,0.069841,0.073107,0.095062,0.117428,0.118964,0.120676,0.129395,0.129457,0.127588,0.136826,0.143135,0.143135,0.143135,0.143135,0.143135,0.143135,0.141777,0.126778,-0.105237,-0.097904,-0.096,-0.101146,-0.101146,-0.124886,-0.124886,-0.125768,-0.124275,-0.124275,-0.127229,-0.134954,-0.201243,-0.262845,-0.277343,-0.290462,-0.29814,-0.304323,-0.303409,-0.302699,-0.300776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-0.297661,-0.296097,-0.292955,-0.288632,-0.288632,-0.304126,-0.304126,-0.304126,-0.304126,-0.307494,-0.30012,-0.30012,-0.30012,-0.30012,-0.30012,-0.292903,-0.277315,-0.265632,-0.265632,-0.265632,-0.265632,-0.265632,-0.265632,-0.265632,-0.265632,-0.271681,-0.274496,-0.280535,-0.280535,-0.280535,-0.280535,-0.280535,-0.280535,-0.280535,-0.280535,-0.280535,-0.292121,-0.294884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,-0.300397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</si>
  <si>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0.711892,0.714359,0.714453,0.71943,0.721752,0.72182,0.721788,0.721711,0.721711,0.721655,0.721511,0.721423,0.72109,0.720957,0.720957,0.720957,0.720657,0.720313,0.719925,0.719925,0.717567,0.717567,0.717339,0.717099,0.716849,0.714177,0.713886,0.713886,0.713886,0.713886,0.713886,0.713886,0.713886,0.713886,0.713886,0.713886,0.713886,0.713886,0.713886,0.713886,0.713886,0.713886,0.713886,0.713886,0.713886,0.713886,0.713585,0.713585,0.713585,0.713585,0.713585,0.713585,0.713585,0.713585,0.713585,0.713585,0.713585,0.713585,0.713585,0.713585,0.713272,0.713272,0.715369,0.721263,0.730768,0.730768,0.730768,0.740533,0.740533,0.742192,0.745982,0.753151,0.754975,0.760377,0.76392,0.767416,0.770681,0.77238,0.774067,0.774067,0.775743,0.777406,0.779058,0.779058,0.779058,0.779058,0.779058,0.780697,0.793377,0.799425,0.806589,0.812133,0.814818,0.814818,0.814818,0.814818,0.814818,0.814818,0.814818,0.814818,0.814818,0.814818,0.817403,0.818515,0.819741,0.819741,0.819741,0.820942,0.821963,0.824028,0.823578,0.82545,0.824524,0.824524,0.820307,0.818618,0.818252,0.819063,0.819063,0.819063,0.819063,0.819063,0.819063,0.819063,0.819063,0.819063,0.819063,0.819063,0.819063,0.819063,0.819063,0.819063,0.819063,0.820501,0.824736,0.831542,0.836755,0.842488,0.852937,0.866146,0.868807,0.867454,0.865789,0.863308,0.862998,0.862998,0.859488,0.858291,0.858291,0.858291,0.856567,0.851745,0.84768,0.842305,0.840223,0.836915,0.835822,0.834717,0.834717,0.834717,0.834717,0.834717,0.834717,0.834717,0.834717,0.834717,0.834717,0.834717,0.834717,0.834717,0.834717,0.834717,0.83588,0.83588,0.83588,0.83588,0.83588,0.83588,0.83588,0.83588,0.842583,0.856918,0.896075,0.9077,0.897343,0.847184,0.833002,0.816207,0.764282,0.75755,0.75755,0.760791,0.796992,0.809025,0.821402,0.821799,0.816478,0.809084,0.794887,0.785935,0.77494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0.773321,0.764478,0.740719,0.723494,0.681599,0.656249,0.611254,0.537639,0.469337,0.445891,0.412104,0.358487,0.316891,0.30335,0.295718,0.291178,0.266624,0.230881,0.196221,0.164534,0.148601,0.135994,0.135994,0.183372,0.834274,0.929405,0.938333,0.947589,0.952196,0.952196,0.952196,0.952196,0.952196,0.952196,0.952196,0.952196,0.952196,0.952196,0.952196,0.952106,0.947014,0.935585,0.893434,0.860154,0.851816,0.851816,0.851816,0.851816,0.851816,0.851816,0.739227,0.442467,0.442467,0.442467,0.442467,0.442467,0.442467,0.442467,0.442467,0.442467,0.329462,0.04123,0.001435,-0.005523,-0.005523,-0.012013,-0.031561,-0.19542,-0.212451,-0.212451,-0.212451,-0.212451,-0.212451,-0.212451,-0.212451,-0.212451,-0.212451,-0.212451,-0.212451,-0.250497,-0.253181,-0.26814,-0.273481,0.27836,0.27972,0.281745,-0.230527,-0.208833,-0.110467,-0.022417,-0.016214,-0.008607,0.052885,0.066211,0.069744,0.091489,0.10562,0.10562,0.10562,0.10562,0.10562,0.10562,0.113031,0.163941,-0.195977,-0.203696,-0.208411,-0.213557,-0.213557,-0.224855,-0.224855,-0.224363,-0.22919,-0.22919,-0.231564,-0.235283,-0.277394,-0.319929,-0.330776,-0.342551,-0.354187,-0.366872,-0.380685,-0.389727,-0.395366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-0.397716,-0.398882,-0.401195,-0.400317,-0.400317,-0.388676,-0.388676,-0.388676,-0.388676,-0.39862,-0.424073,-0.424073,-0.424073,-0.424073,-0.424073,-0.421449,-0.412952,-0.409284,-0.409284,-0.409284,-0.409284,-0.409284,-0.409284,-0.409284,-0.409284,-0.409095,-0.411032,-0.410783,-0.410783,-0.410783,-0.410783,-0.410783,-0.410783,-0.410783,-0.410783,-0.410783,-0.414376,-0.416324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,-0.420203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</si>
  <si>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0.359457,0.361703,0.36405,0.375504,0.377758,0.384564,0.391316,0.395787,0.395787,0.398013,0.402448,0.404656,0.411242,0.413425,0.413425,0.413425,0.417771,0.422092,0.426386,0.426386,0.428315,0.428315,0.430457,0.432592,0.434721,0.438709,0.440829,0.440829,0.440829,0.440829,0.440829,0.440829,0.440829,0.440829,0.440829,0.440829,0.440829,0.440829,0.440829,0.440829,0.440829,0.440829,0.440829,0.440829,0.440829,0.440829,0.442941,0.442941,0.442941,0.442941,0.442941,0.442941,0.442941,0.442941,0.442941,0.442941,0.442941,0.442941,0.442941,0.442941,0.445047,0.445047,0.445362,0.448374,0.453861,0.453861,0.453861,0.455219,0.455219,0.457391,0.457894,0.460729,0.460953,0.461582,0.461966,0.462321,0.464393,0.464557,0.464715,0.464715,0.464865,0.465008,0.465144,0.465144,0.465144,0.465144,0.465144,0.465272,0.466044,0.466257,0.469346,0.469398,0.470751,0.470751,0.470751,0.470751,0.470751,0.470751,0.470751,0.470751,0.470751,0.470751,0.468083,0.464075,0.462653,0.462653,0.462653,0.461217,0.458452,0.454147,0.451507,0.44698,0.442982,0.442982,0.419978,0.415676,0.410732,0.408649,0.408649,0.408649,0.408649,0.408649,0.408649,0.408649,0.408649,0.408649,0.408649,0.408649,0.408649,0.408649,0.408649,0.408649,0.408649,0.408001,0.406018,0.402588,0.399732,0.39804,0.391151,0.380341,0.372214,0.365853,0.359299,0.355664,0.353692,0.353692,0.351186,0.35034,0.35034,0.35034,0.352735,0.356623,0.359253,0.360788,0.363156,0.364419,0.365596,0.366768,0.366768,0.366768,0.366768,0.366768,0.366768,0.366768,0.366768,0.366768,0.366768,0.366768,0.366768,0.366768,0.366768,0.366768,0.367877,0.367877,0.367877,0.367877,0.367877,0.367877,0.367877,0.367877,0.37441,0.380424,0.406483,0.418498,0.41871,0.404097,0.402358,0.407421,0.44097,0.444166,0.444166,0.446788,0.441852,0.43418,0.422908,0.41656,0.404295,0.390177,0.370677,0.363374,0.354599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0.353323,0.354373,0.36552,0.373998,0.384565,0.393313,0.395783,0.403196,0.40697,0.409759,0.41395,0.408702,0.399158,0.394275,0.394059,0.392384,0.388395,0.38499,0.384167,0.381502,0.379997,0.377105,0.377105,0.370176,0.309106,0.250218,0.24748,0.244286,0.240567,0.240567,0.240567,0.240567,0.240567,0.240567,0.240567,0.240567,0.240567,0.240567,0.240567,0.238181,0.225308,0.212709,0.18429,0.157787,0.152867,0.152867,0.152867,0.152867,0.152867,0.152867,0.32028,0.768436,0.768436,0.768436,0.768436,0.768436,0.768436,0.768436,0.768436,0.768436,0.636713,0.206913,0.114612,0.091896,0.091896,0.132113,0.162094,0.083755,0.066082,0.066082,0.066082,0.066082,0.066082,0.066082,0.066082,0.066082,0.066082,0.066082,0.066082,-0.439156,-0.469421,-0.515507,-0.596027,0.699621,0.710086,0.692185,-0.539244,-0.488334,-0.323752,-0.230694,-0.218372,-0.217431,-0.334821,-0.377323,-0.402318,-0.402752,-0.400553,-0.400553,-0.400553,-0.400553,-0.400553,-0.400553,-0.424545,-0.591464,0.714425,0.746928,0.76106,0.762656,0.762656,0.743216,0.743216,0.740784,0.752336,0.752336,0.751842,0.746056,0.71122,0.67857,0.670876,0.665302,0.665299,0.667366,0.677014,0.683197,0.688302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0.692433,0.694482,0.698549,0.701711,0.701711,0.680996,0.680996,0.680996,0.680996,0.683668,0.703576,0.703576,0.703576,0.703576,0.703576,0.707797,0.715331,0.722394,0.722394,0.722394,0.722394,0.722394,0.722394,0.722394,0.722394,0.717481,0.716408,0.711442,0.711442,0.711442,0.711442,0.711442,0.711442,0.711442,0.711442,0.711442,0.704174,0.703021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,0.700683</t>
  </si>
  <si>
    <t>Eu+eyetracker</t>
  </si>
  <si>
    <t>1682707472090</t>
  </si>
  <si>
    <t>27.110934800342115,27.11093480034213</t>
  </si>
  <si>
    <t>1682707674981</t>
  </si>
  <si>
    <t>22,102,213,308,402,497,594,705,799,893,1001,1102,1195,1297,1400,1493,1605,1760,1793,1896,1999,2108,2195,2296,2413,2500,2596,2697,2808,2897,3000,3101,3202,3307,3526,3542,3610,3700,3801,3912,4001,4112,4201,4295,4403,4505,4598,4708,4809,4892,5027,5106,5197,5318,5413,5516,5598,5693,5792,5888,5989,6091,6199,6293,6401,6499,6610,6703,6808,6900,7007,7096,7207,7301,7396,7498,7598,7708,7799,7897,8006,8103,8197,8298,8404,8500,8610,8706,8798,8907,9002,9096,9207,9303,9410,9505,9596,9706,9800,9910,10001,10093,10205,10302,10395,10511,10632,10723,10807,10894,11031,11118,11195,11322,11406,11493,11584,11716,11796,11892,12017,12095,12190,12317,12396,12490,12617,12696,12790,12914,13009,13088,13213,13306,13384,13492,13602,13724,13806,13900,13984,14104,14200,14285,14419,14496,14590,14716,14794,14890,15016,15094,15185,15317,15395,15491,15615,15694,15789,15915,16009,16088,16212,16304,16398,16509,16603,16698,16808,16904,16997,17109,17203,17297,17376,17503,17597,17709,17804,17898,17977,18104,18199,18310,18405,18499,18577,18705,18784,18879,19007,19086,19213,19308,19387,19511,19606,19683,19811,19906,19986,20079,20205,20283,20410,20506,20585,20712,20806,20884,21011,21105,21185,21279,21406,21486,21579,21706,21799,21910,22004,22098,22209,22272,22397,22507,22602,22696,22774,22902,22997,23108,23204,23296,23406,23502,23597,23706,23800,23895,23974,24098,24193,24303,24398,24491,24618,24696,24791,24917,24996,25089,25215,25294,25388,25514,25593,25688,25813,25908,25988,26113,26205,26298,26392,26502,26595,26705,26800,26897,27006,27101,27195,27306,27402,27498,27607,27702,27796,27908,28004,28097,28205,28299,28391,28517,28595,28688,28814,28893,28988,29112,29207,29286,29410,29505,29583,29710,29805,29898,29975,30102,30196,30305,30400,30496,30606,30702,30795,30905,30999,31085,31205,31300,31394,31518,31596,31693,31819,31900,31987,32111,32205,32300,32411,32504,32598,32707,32800,32894,32973,33099,33194,33305,33401,33492,33587,33697,33792,33918,33997,34092,34219,34298,34392,34512,34597,34692,34817,34895,35022,35117,35196,35291,35418,35496,35589,35714,35808,35887,36012,36105,36183,36310,36406,36484,36579,36706,36785,36912,37007,37086,37212,37276,37387,37514,37593,37688,37814,37907,37986,38114,38207,38287,38414,38507,38586,38682,38794,38888,39013,39107,39187,39312,39390,39486,39611,39705,39783,39909,40001,40095,40207,40302,40397,41154,42147,43154,44148,45153,45339,45359,45374,45391,45406,45420,45438,45453,45464,45482,45501,45516,45532,45548,45563,45579,45595,45611,45626,45641,45656,45672,45688,45703,45712,45723,45735,45746,45752,45767,45782,45797,45813,45828,45844,45860,45875,45889,45900,45906,45920,45938,45954,45970,45985,46001,46017,46033,46049,46065,46072,46084,46191,46287,46381,46491,46586,46697,46791,46903,46997,47092,47201,47294,47405,47499,47609,47703,47799,47909,48002,48096,48206,48298,48408,48502,48596,48707,48802,48895,49007,49102,49197,49292,49403,49497,49607,49695,49797,49907,50001,50094,50202,50297,50406,50532,50620,50704,50798,50925,51005,51099,51225,51303,51398,51522,51617,51696,51823,51918,51997,52089,52216,52294,52387,52513,52608,52687,52780,52907,52985,53111,53206,53285,53411,53505,53584,53711,53804,53898,54009,54103,54198,54277,54403,54499,54578,54703,54798,54908,55004,55098,55207,55302,55396,55474,55600,55695,55807,55903,55998,56108,56204,56298,56410,56502,56597,56675,56802,56899,57005,57098,57192,57286,57399,57496,57619,57700,57791,57916,57979,58086,58214,58293,58386,58512,58607,58686,58814,58908,58988,59112,59176,59288,59413,59506,59584,59712,59806,59884,60010,60073,60183,60311,60405,60498,60574,60700,60787,60905,61000,61088,61205,61299,61387,61504,61599,61694,61804,61899,61987,62104,62200,62289,62405,62497,62590,62713,62808,62887,62981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</si>
  <si>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</t>
  </si>
  <si>
    <t>0.624884,0.624884,0.624884,0.624884,0.624884,0.624884,0.624884,0.624884,0.624884,0.624884,0.624884,0.624884,0.624884,0.624884,0.624884,0.624884,0.624884,0.615144,0.617887,0.616303,0.616101,0.617339,0.614356,0.614356,-0.608275,-0.600464,-0.561287,-0.507262,-0.458225,-0.413078,-0.359653,-0.345584,-0.345584,-0.345584,-0.12207,-0.093553,-0.032217,-0.032217,-0.032217,-0.000422,0.135463,0.227706,0.259622,0.274144,0.274144,0.274144,0.274144,0.274144,0.289199,0.300933,0.207856,0.146746,0.146746,0.146746,0.146746,0.002568,-0.317563,-0.447037,-0.447037,-0.447037,-0.450673,-0.644671,-0.725382,-0.674187,-0.674187,-0.674187,-0.674187,-0.671253,0.584325,0.559832,0.590167,0.646543,0.740227,0.752262,-0.694532,-0.636648,-0.596822,-0.534373,-0.496635,-0.493188,-0.473804,-0.473218,-0.473218,-0.476658,-0.474936,-0.474936,-0.474936,-0.474936,-0.474936,-0.474936,-0.474936,-0.474936,-0.474936,-0.474936,-0.474936,-0.474936,-0.474936,-0.474936,-0.474936,-0.474936,-0.474936,-0.474936,-0.474936,-0.474936,-0.474936,-0.474936,-0.474936,-0.479963,-0.480342,-0.484143,-0.508085,-0.513076,-0.513076,-0.513076,-0.507533,-0.492397,-0.48102,-0.48102,-0.48102,-0.48102,-0.48102,-0.48102,-0.48102,-0.48102,-0.48102,-0.48102,-0.48102,-0.48102,-0.48102,-0.48102,-0.48102,-0.48102,-0.48102,-0.48102,-0.48102,-0.48102,-0.48102,-0.479889,-0.481,-0.482097,-0.487021,-0.496339,-0.496339,-0.499077,-0.499077,-0.499077,-0.499077,-0.499077,-0.499077,-0.499077,-0.499077,-0.5011,-0.503807,-0.503066,-0.503066,-0.503066,-0.503066,-0.503066,-0.504783,-0.503798,-0.503798,-0.503798,-0.503798,-0.503798,-0.503798,-0.503798,-0.503798,-0.503798,-0.503798,-0.503798,-0.503798,-0.503798,-0.503798,-0.503798,-0.503798,-0.501091,-0.501091,-0.501091,-0.501091,-0.501091,-0.501091,-0.495654,-0.495654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-0.495654,-0.495654,-0.498376,-0.501091,-0.501091,-0.501091,-0.501091,-0.501091,-0.501091,-0.501091,-0.501091,-0.501091,-0.501091,-0.501091,-0.501091,-0.501091,-0.501091,-0.501091,-0.501091,-0.501091,-0.501091,-0.501091,-0.499373,-0.495913,-0.495913,-0.495913,-0.488767,-0.49226,-0.488551,-0.488551,-0.488551,-0.488551,-0.488551,-0.488551,-0.488551,-0.488551,-0.488551,-0.488551,-0.488551,-0.488551,-0.488551,-0.488551,-0.488551,-0.488551,-0.488551,-0.488551,-0.488551,-0.488551,-0.488551,-0.488551,-0.491284,-0.491284,-0.491284,-0.491284,-0.491284,-0.494008,-0.494986,-0.497691,-0.497691,-0.497691,-0.497691,-0.497691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-0.492989,-0.490953,-0.495722,-0.499426,-0.499426,-0.499426,-0.499426,-0.499426,-0.499426,-0.4977,-0.4977,-0.4977,-0.4977,-0.494994,-0.494994,-0.494994,-0.494994,-0.494994,-0.494994,-0.494994,-0.494994,-0.494994,-0.494994,-0.494994,-0.494994,-0.494994,-0.494994,-0.494994,-0.494994,-0.494994,-0.494994,-0.492282,-0.492282,-0.489561,-0.489561,-0.489561,-0.489561,-0.489561,-0.489561,-0.489561,-0.489561,-0.489561,-0.489561,-0.489561,-0.489561,-0.489561,-0.489561,-0.489561,-0.489561,-0.489561,-0.489561,-0.489561,-0.489561,-0.489561,-0.489561,-0.486833,-0.484098,-0.484098,-0.484098,-0.484098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-0.480362,-0.480362,-0.480362,-0.480362,-0.480362,-0.480362,-0.480362,-0.47959,-0.482329,-0.482329,-0.482329,-0.482329,-0.482329,-0.482329,-0.482329,-0.482329,-0.482329,-0.482329,-0.482329,-0.482329,-0.482329,-0.482329,-0.482329,-0.482329,-0.482329,-0.482329,-0.483296,-0.483296,-0.483296,-0.483296,-0.483296,-0.483296,-0.483296,-0.483296,-0.485055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</t>
  </si>
  <si>
    <t>-0.036592,-0.036592,-0.036592,-0.036592,-0.036592,-0.036592,-0.036592,-0.036592,-0.036592,-0.036592,-0.036592,-0.036592,-0.036592,-0.036592,-0.036592,-0.036592,-0.036592,-0.017366,-0.015941,-0.006281,0.000642,0.004844,0.010265,0.010265,-0.021104,-0.034646,-0.074472,-0.12522,-0.169045,-0.203977,-0.250911,-0.266754,-0.266754,-0.266754,-0.477133,-0.490479,-0.509699,-0.509699,-0.509699,-0.510782,-0.460846,-0.397995,-0.35052,-0.333531,-0.333531,-0.333531,-0.333531,-0.333531,-0.164997,-0.090929,0.084024,0.110088,0.110088,0.110088,0.110088,0.141113,0.275178,0.335026,0.335026,0.335026,0.332202,0.300515,0.171173,-0.010587,-0.010587,-0.010587,-0.010587,-0.015602,0.207343,0.283247,0.351304,0.368789,0.316236,0.26799,-0.165116,-0.14014,-0.163006,-0.230131,-0.274866,-0.280338,-0.236737,-0.224723,-0.224723,-0.238442,-0.241284,-0.241284,-0.241284,-0.241284,-0.241284,-0.241284,-0.241284,-0.241284,-0.241284,-0.241284,-0.241284,-0.241284,-0.241284,-0.241284,-0.241284,-0.241284,-0.241284,-0.241284,-0.241284,-0.241284,-0.241284,-0.241284,-0.241284,-0.252104,-0.263975,-0.270243,-0.262432,-0.254159,-0.254159,-0.254159,-0.250848,-0.237994,-0.231266,-0.231266,-0.231266,-0.231266,-0.231266,-0.231266,-0.231266,-0.231266,-0.231266,-0.231266,-0.231266,-0.231266,-0.231266,-0.231266,-0.231266,-0.231266,-0.231266,-0.231266,-0.231266,-0.231266,-0.231266,-0.246081,-0.250619,-0.255148,-0.265914,-0.275548,-0.275548,-0.277258,-0.277258,-0.277258,-0.277258,-0.277258,-0.277258,-0.277258,-0.277258,-0.286125,-0.287837,-0.29495,-0.29495,-0.29495,-0.29495,-0.29495,-0.292261,-0.287853,-0.287853,-0.287853,-0.287853,-0.287853,-0.287853,-0.287853,-0.287853,-0.287853,-0.287853,-0.287853,-0.287853,-0.287853,-0.287853,-0.287853,-0.287853,-0.286141,-0.286141,-0.286141,-0.286141,-0.286141,-0.286141,-0.282703,-0.282703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-0.282703,-0.282703,-0.284424,-0.286141,-0.286141,-0.286141,-0.286141,-0.286141,-0.286141,-0.286141,-0.286141,-0.286141,-0.286141,-0.286141,-0.286141,-0.286141,-0.286141,-0.286141,-0.286141,-0.286141,-0.286141,-0.286141,-0.288849,-0.294253,-0.294253,-0.294253,-0.293456,-0.288031,-0.281818,-0.281818,-0.281818,-0.281818,-0.281818,-0.281818,-0.281818,-0.281818,-0.281818,-0.281818,-0.281818,-0.281818,-0.281818,-0.281818,-0.281818,-0.281818,-0.281818,-0.281818,-0.281818,-0.281818,-0.281818,-0.281818,-0.283556,-0.283556,-0.283556,-0.283556,-0.283556,-0.28529,-0.289745,-0.291478,-0.291478,-0.291478,-0.291478,-0.291478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-0.280871,-0.271924,-0.282589,-0.288759,-0.288759,-0.288759,-0.288759,-0.288759,-0.288759,-0.291463,-0.291463,-0.291463,-0.291463,-0.28973,-0.28973,-0.28973,-0.28973,-0.28973,-0.28973,-0.28973,-0.28973,-0.28973,-0.28973,-0.28973,-0.28973,-0.28973,-0.28973,-0.28973,-0.28973,-0.28973,-0.28973,-0.287993,-0.287993,-0.286252,-0.286252,-0.286252,-0.286252,-0.286252,-0.286252,-0.286252,-0.286252,-0.286252,-0.286252,-0.286252,-0.286252,-0.286252,-0.286252,-0.286252,-0.286252,-0.286252,-0.286252,-0.286252,-0.286252,-0.286252,-0.286252,-0.284506,-0.282756,-0.282756,-0.282756,-0.282756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-0.276486,-0.276486,-0.276486,-0.276486,-0.276486,-0.276486,-0.276486,-0.283753,-0.285515,-0.285515,-0.285515,-0.285515,-0.285515,-0.285515,-0.285515,-0.285515,-0.285515,-0.285515,-0.285515,-0.285515,-0.285515,-0.285515,-0.285515,-0.285515,-0.285515,-0.285515,-0.290005,-0.290005,-0.290005,-0.290005,-0.290005,-0.290005,-0.290005,-0.290005,-0.28728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</t>
  </si>
  <si>
    <t>-0.699007,-0.699007,-0.699007,-0.699007,-0.699007,-0.699007,-0.699007,-0.699007,-0.699007,-0.699007,-0.699007,-0.699007,-0.699007,-0.699007,-0.699007,-0.699007,-0.699007,-0.699749,-0.697327,-0.695046,-0.692654,-0.690228,-0.690168,-0.690168,0.689922,0.689375,0.69504,0.696701,0.693272,0.688489,0.675384,0.669285,0.669285,0.669285,0.538218,0.522028,0.488079,0.488079,0.488079,0.472313,0.41066,0.363168,0.343491,0.334464,0.334464,0.334464,0.334464,0.334464,0.296612,0.274419,0.225108,0.216905,0.216905,0.216905,0.216905,0.198127,0.135636,0.105006,0.105006,0.105006,0.101934,-0.013579,-0.179978,-0.370896,-0.370896,-0.370896,-0.370896,-0.37618,0.536342,0.576379,0.561538,0.506286,0.37505,0.325126,-0.28232,-0.295514,-0.329209,-0.397352,-0.436935,-0.440822,-0.43861,-0.434833,-0.434833,-0.4377,-0.439568,-0.439568,-0.439568,-0.439568,-0.439568,-0.439568,-0.439568,-0.439568,-0.439568,-0.439568,-0.439568,-0.439568,-0.439568,-0.439568,-0.439568,-0.439568,-0.439568,-0.439568,-0.439568,-0.439568,-0.439568,-0.439568,-0.439568,-0.440434,-0.444053,-0.443838,-0.426649,-0.420634,-0.420634,-0.420634,-0.422617,-0.426479,-0.430165,-0.430165,-0.430165,-0.430165,-0.430165,-0.430165,-0.430165,-0.430165,-0.430165,-0.430165,-0.430165,-0.430165,-0.430165,-0.430165,-0.430165,-0.430165,-0.430165,-0.430165,-0.430165,-0.430165,-0.430165,-0.435781,-0.436693,-0.437591,-0.438294,-0.435962,-0.435962,-0.434876,-0.434876,-0.434876,-0.434876,-0.434876,-0.434876,-0.434876,-0.434876,-0.436592,-0.435465,-0.438264,-0.438264,-0.438264,-0.438264,-0.438264,-0.436285,-0.435443,-0.435443,-0.435443,-0.435443,-0.435443,-0.435443,-0.435443,-0.435443,-0.435443,-0.435443,-0.435443,-0.435443,-0.435443,-0.435443,-0.435443,-0.435443,-0.43657,-0.43657,-0.43657,-0.43657,-0.43657,-0.43657,-0.438804,-0.438804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-0.438804,-0.438804,-0.437691,-0.43657,-0.43657,-0.43657,-0.43657,-0.43657,-0.43657,-0.43657,-0.43657,-0.43657,-0.43657,-0.43657,-0.43657,-0.43657,-0.43657,-0.43657,-0.43657,-0.43657,-0.43657,-0.43657,-0.438535,-0.442443,-0.442443,-0.442443,-0.446695,-0.442843,-0.443166,-0.443166,-0.443166,-0.443166,-0.443166,-0.443166,-0.443166,-0.443166,-0.443166,-0.443166,-0.443166,-0.443166,-0.443166,-0.443166,-0.443166,-0.443166,-0.443166,-0.443166,-0.443166,-0.443166,-0.443166,-0.443166,-0.442055,-0.442055,-0.442055,-0.442055,-0.442055,-0.440938,-0.441741,-0.440599,-0.440599,-0.440599,-0.440599,-0.440599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-0.440059,-0.438377,-0.438964,-0.438663,-0.438663,-0.438663,-0.438663,-0.438663,-0.438663,-0.440621,-0.440621,-0.440621,-0.440621,-0.441762,-0.441762,-0.441762,-0.441762,-0.441762,-0.441762,-0.441762,-0.441762,-0.441762,-0.441762,-0.441762,-0.441762,-0.441762,-0.441762,-0.441762,-0.441762,-0.441762,-0.441762,-0.442897,-0.442897,-0.444024,-0.444024,-0.444024,-0.444024,-0.444024,-0.444024,-0.444024,-0.444024,-0.444024,-0.444024,-0.444024,-0.444024,-0.444024,-0.444024,-0.444024,-0.444024,-0.444024,-0.444024,-0.444024,-0.444024,-0.444024,-0.444024,-0.445145,-0.446259,-0.446259,-0.446259,-0.446259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-0.446583,-0.446583,-0.446583,-0.446583,-0.446583,-0.446583,-0.446583,-0.449242,-0.448124,-0.448124,-0.448124,-0.448124,-0.448124,-0.448124,-0.448124,-0.448124,-0.448124,-0.448124,-0.448124,-0.448124,-0.448124,-0.448124,-0.448124,-0.448124,-0.448124,-0.448124,-0.44889,-0.44889,-0.44889,-0.44889,-0.44889,-0.44889,-0.44889,-0.44889,-0.446988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</t>
  </si>
  <si>
    <t>-0.34579,-0.34579,-0.34579,-0.34579,-0.34579,-0.34579,-0.34579,-0.34579,-0.34579,-0.34579,-0.34579,-0.34579,-0.34579,-0.34579,-0.34579,-0.34579,-0.34579,-0.362834,-0.3629,-0.370192,-0.375032,-0.377432,-0.382269,-0.382269,0.391872,0.403739,0.44309,0.49154,0.529932,0.560128,0.592917,0.601225,0.601225,0.601225,0.683933,0.691495,0.707776,0.707776,0.707776,0.718346,0.775003,0.811085,0.831713,0.837697,0.837697,0.837697,0.837697,0.837697,0.895076,0.908771,0.948189,0.958801,0.958801,0.958801,0.958801,0.969962,0.897237,0.822733,0.822733,0.822733,0.82228,0.702784,0.641973,0.638589,0.638589,0.638589,0.638589,0.638486,-0.572634,-0.523591,-0.461479,-0.435489,-0.459779,-0.506534,0.640825,0.698364,0.71334,0.709645,0.697775,0.695595,0.726007,0.732451,0.732451,0.724128,0.723186,0.723186,0.723186,0.723186,0.723186,0.723186,0.723186,0.723186,0.723186,0.723186,0.723186,0.723186,0.723186,0.723186,0.723186,0.723186,0.723186,0.723186,0.723186,0.723186,0.723186,0.723186,0.723186,0.71561,0.708805,0.703976,0.700678,0.703721,0.703721,0.703721,0.707729,0.72043,0.728076,0.728076,0.728076,0.728076,0.728076,0.728076,0.728076,0.728076,0.728076,0.728076,0.728076,0.728076,0.728076,0.728076,0.728076,0.728076,0.728076,0.728076,0.728076,0.728076,0.728076,0.720586,0.717724,0.71484,0.707106,0.698326,0.698326,0.696371,0.696371,0.696371,0.696371,0.696371,0.696371,0.696371,0.696371,0.690231,0.688258,0.683999,0.683999,0.683999,0.683999,0.683999,0.685152,0.688271,0.688271,0.688271,0.688271,0.688271,0.688271,0.688271,0.688271,0.688271,0.688271,0.688271,0.688271,0.688271,0.688271,0.688271,0.688271,0.690245,0.690245,0.690245,0.690245,0.690245,0.690245,0.694159,0.694159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0.694159,0.694159,0.692207,0.690245,0.690245,0.690245,0.690245,0.690245,0.690245,0.690245,0.690245,0.690245,0.690245,0.690245,0.690245,0.690245,0.690245,0.690245,0.690245,0.690245,0.690245,0.690245,0.689116,0.686826,0.686826,0.686826,0.689532,0.691815,0.696779,0.696779,0.696779,0.696779,0.696779,0.696779,0.696779,0.696779,0.696779,0.696779,0.696779,0.696779,0.696779,0.696779,0.696779,0.696779,0.696779,0.696779,0.696779,0.696779,0.696779,0.696779,0.694855,0.694855,0.694855,0.694855,0.694855,0.69292,0.689856,0.687907,0.687907,0.687907,0.687907,0.687907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0.696004,0.702032,0.694056,0.689033,0.689033,0.689033,0.689033,0.689033,0.689033,0.687894,0.687894,0.687894,0.687894,0.689843,0.689843,0.689843,0.689843,0.689843,0.689843,0.689843,0.689843,0.689843,0.689843,0.689843,0.689843,0.689843,0.689843,0.689843,0.689843,0.689843,0.689843,0.691781,0.691781,0.693709,0.693709,0.693709,0.693709,0.693709,0.693709,0.693709,0.693709,0.693709,0.693709,0.693709,0.693709,0.693709,0.693709,0.693709,0.693709,0.693709,0.693709,0.693709,0.693709,0.693709,0.693709,0.695626,0.697533,0.697533,0.697533,0.697533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0.702404,0.702404,0.702404,0.702404,0.702404,0.702404,0.702404,0.698326,0.696438,0.696438,0.696438,0.696438,0.696438,0.696438,0.696438,0.696438,0.696438,0.696438,0.696438,0.696438,0.696438,0.696438,0.696438,0.696438,0.696438,0.696438,0.693412,0.693412,0.693412,0.693412,0.693412,0.693412,0.693412,0.693412,0.694545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</t>
  </si>
  <si>
    <t>27.110934800342132,27.11093480034211</t>
  </si>
  <si>
    <t>1682707740372</t>
  </si>
  <si>
    <t>1,104,182,293,387,497,608,703,799,909,1003,1098,1207,1300,1394,1506,1600,1696,1805,1900,1995,2106,2200,2296,2405,2499,2593,2719,2814,2899,3014,3113,3208,3292,3386,3487,3589,3691,3795,3906,4005,4107,4206,4303,4402,4497,4607,4697,4795,4898,4998,5109,5205,5297,5407,5505,5603,5705,5796,5904,5993,6106,6203,6293,6402,6489,6592,6699,6797,6905,7002,7106,7202,7304,7403,7505,7602,7695,7797,7897,7995,8103,8209,8294,8428,8511,8606,8721,8806,8904,8991,9144,9210,9314,9402,9505,9586,9705,9798,9893,10014,10097,10189,10281,10385,10489,10602,10686,10787,10898,10995,11098,11197,11309,11403,11510,11605,11708,11802,11897,12002,12094,12204,12304,12396,12497,12602,12697,12803,12904,13007,13105,13190,13297,13403,13493,13597,13696,13804,13899,14009,14098,14197,14304,14397,14508,14602,14697,14805,14899,15009,15103,15230,15324,15403,15499,15625,15704,15800,15914,16014,16095,16222,16316,16396,16491,16617,16694,16787,16912,17006,17084,17183,17299,17414,17505,17597,17697,17790,17902,17997,18094,18200,18295,18406,18497,18595,18697,18800,18911,19005,19098,19212,19304,19397,19510,19602,19697,19797,19902,19993,20099,20201,20297,20406,20501,20597,20705,20799,20910,21005,21099,21197,21304,21398,21509,21605,21699,21793,21904,21998,22109,22200,22296,22405,22500,22594,22703,22799,22911,23007,23117,23210,23305,23414,23509,23602,23696,23804,23900,23993,24104,24198,24294,24402,24498,24592,24703,24798,24923,25002,25098,25224,25303,25398,25495,25606,25700,25795,25905,25999,26095,26205,26300,26394,26504,26598,26726,26804,26899,27026,27104,27200,27295,27404,27500,27595,27705,27798,27893,28004,28101,28195,28305,28400,28496,28607,28703,28828,28905,28997,29091,29215,29295,29389,29514,29593,29688,29813,29905,29985,30110,30204,30297,30408,30501,30595,30704,30798,30891,31016,31097,31190,31316,31392,31488,31615,31697,31793,31905,32000,32095,32204,32299,32424,32503,32598,32692,32816,32896,33023,33117,33197,33316,33403,33499,33582,33715,33793,33886,34002,34106,34185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</si>
  <si>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</si>
  <si>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0.620767,-0.606425,-0.58478,-0.542666,-0.500365,-0.455915,-0.417647,-0.394256,-0.379927,-0.367825,-0.355581,-0.34086,-0.333519,-0.333519,-0.333519,-0.333519,-0.333519,-0.328309,-0.266329,-0.208902,-0.12249,-0.062423,0.007808,0.074555,0.098522,0.136251,0.161698,0.215255,0.259114,0.284278,0.320761,0.331182,0.331182,0.331182,0.331182,0.331182,0.357585,0.454619,0.540819,0.620486,0.696889,0.756771,0.802647,0.821531,0.821531,0.821531,0.821531,0.821531,0.840837,0.876311,0.894046,0.893714,0.895279,0.894415,0.893994,0.89275,0.88889,0.880734,0.875511,0.858222,0.788005,0.637607,0.586442,0.585201,0.585201,0.585201,0.585201,0.585201,0.554801,0.407663,0.263932,0.193704,0.028998,-0.059135,-0.141816,-0.145496,-0.145496,-0.145496,-0.145496,-0.145496,-0.16632,-0.305834,-0.381278,-0.452321,-0.560635,-0.618336,-0.610461,-0.581866,-0.55487,-0.522979,-0.487198,-0.452955,-0.407153,-0.390616,-0.353377,-0.354494,-0.385619,-0.423421,-0.448556,-0.475163,-0.464661,-0.449984,-0.447027,-0.444064,-0.444064,-0.444064,-0.444064,-0.436521,-0.438184,-0.437494,-0.436042,-0.436042,-0.436042,-0.436042,-0.436042,-0.436042,-0.436042,-0.436042,-0.436042,-0.436042,-0.436042,-0.436042,-0.436042,-0.436042,-0.436042,-0.443571,-0.451072,-0.451072,-0.460618,-0.460618,-0.460618,-0.460618,-0.460618,-0.460618,-0.460618,-0.460618,-0.460618,-0.460618,-0.460618,-0.460618,-0.460618,-0.460618,-0.460618,-0.460618,-0.460618,-0.460618,-0.460618,-0.458836,-0.462655,-0.462655,-0.462655,-0.465442,-0.467218,-0.467218,-0.470748,-0.467949,-0.467949,-0.471459,-0.471459,-0.484404,-0.50098,-0.50098,-0.50098,-0.50098,-0.497575,-0.497575,-0.495856,-0.492396,-0.492396,-0.492396,-0.492396,-0.492396,-0.490654,-0.490654,-0.491615,-0.491615,-0.491615,-0.491615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</si>
  <si>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-0.028355,0.000875,-0.037589,-0.110427,-0.185309,-0.239689,-0.282534,-0.307161,-0.321712,-0.333702,-0.345563,-0.354804,-0.35697,-0.35697,-0.35697,-0.35697,-0.35697,-0.366432,-0.384342,-0.386315,-0.407698,-0.415196,-0.405773,-0.379022,-0.359323,-0.32166,-0.297618,-0.241624,-0.184205,-0.146553,-0.089526,-0.07382,-0.07382,-0.07382,-0.07382,-0.07382,-0.096585,-0.141021,-0.177616,-0.212065,-0.227277,-0.221153,-0.182431,-0.154969,-0.154969,-0.154969,-0.154969,-0.154969,-0.13621,-0.09217,-0.035566,-0.02441,-0.010389,0.002967,0.010788,0.016196,0.022191,0.027663,0.028584,0.025983,-0.012806,-0.068313,-0.066581,-0.063662,-0.063662,-0.063662,-0.063662,-0.063662,-0.065939,-0.061298,-0.099185,-0.117444,-0.094193,-0.066723,-0.053476,-0.054708,-0.054708,-0.054708,-0.054708,-0.054708,-0.053488,-0.018717,0.000056,0.038238,0.089337,0.073972,-0.039986,-0.109483,-0.160073,-0.18257,-0.184054,-0.17496,-0.162923,-0.169304,-0.238648,-0.273991,-0.29612,-0.289451,-0.269929,-0.227438,-0.205646,-0.197054,-0.195326,-0.193596,-0.193596,-0.193596,-0.193596,-0.213051,-0.230076,-0.237682,-0.252784,-0.252784,-0.252784,-0.252784,-0.252784,-0.252784,-0.252784,-0.252784,-0.252784,-0.252784,-0.252784,-0.252784,-0.252784,-0.252784,-0.252784,-0.253541,-0.254266,-0.254266,-0.264203,-0.264203,-0.264203,-0.264203,-0.264203,-0.264203,-0.264203,-0.264203,-0.264203,-0.264203,-0.264203,-0.264203,-0.264203,-0.264203,-0.264203,-0.264203,-0.264203,-0.264203,-0.264203,-0.267014,-0.273375,-0.273375,-0.273375,-0.275157,-0.272371,-0.272371,-0.266788,-0.265028,-0.265028,-0.259414,-0.259414,-0.263531,-0.273802,-0.273802,-0.273802,-0.273802,-0.279258,-0.279258,-0.281987,-0.287432,-0.287432,-0.287432,-0.287432,-0.287432,-0.290148,-0.290148,-0.294602,-0.294602,-0.294602,-0.294602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</si>
  <si>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0.699389,0.699963,0.698954,0.689321,0.667801,0.650267,0.632829,0.621249,0.61384,0.607405,0.600736,0.595189,0.593718,0.593718,0.593718,0.593718,0.593718,0.588127,0.572068,0.561811,0.532725,0.511419,0.488327,0.466767,0.459649,0.447794,0.438944,0.417982,0.396943,0.382838,0.359893,0.353145,0.353145,0.353145,0.353145,0.353145,0.354003,0.341247,0.323711,0.302266,0.262625,0.21244,0.133502,0.084831,0.084831,0.084831,0.084831,0.084831,0.047578,-0.038443,-0.143476,-0.164748,-0.189625,-0.214251,-0.228255,-0.238739,-0.252732,-0.270314,-0.277431,-0.291939,-0.299719,-0.302208,-0.315065,-0.317365,-0.317365,-0.317365,-0.317365,-0.317365,-0.321616,-0.347439,-0.343038,-0.336766,-0.328899,-0.32183,-0.313729,-0.313517,-0.313517,-0.313517,-0.313517,-0.313517,-0.311273,-0.288524,-0.272851,-0.247582,-0.209583,-0.216367,-0.305502,-0.361661,-0.401853,-0.428655,-0.447059,-0.45958,-0.474988,-0.483163,-0.513369,-0.518359,-0.506044,-0.483936,-0.465175,-0.437962,-0.435591,-0.439545,-0.440315,-0.441079,-0.441079,-0.441079,-0.441079,-0.45069,-0.454961,-0.457459,-0.462439,-0.462439,-0.462439,-0.462439,-0.462439,-0.462439,-0.462439,-0.462439,-0.462439,-0.462439,-0.462439,-0.462439,-0.462439,-0.462439,-0.462439,-0.458723,-0.454995,-0.454995,-0.452746,-0.452746,-0.452746,-0.452746,-0.452746,-0.452746,-0.452746,-0.452746,-0.452746,-0.452746,-0.452746,-0.452746,-0.452746,-0.452746,-0.452746,-0.452746,-0.452746,-0.452746,-0.452746,-0.454552,-0.45425,-0.45425,-0.45425,-0.453173,-0.451342,-0.451342,-0.447658,-0.448702,-0.448702,-0.445013,-0.445013,-0.439073,-0.432743,-0.432743,-0.432743,-0.432743,-0.436685,-0.436685,-0.438636,-0.442517,-0.442517,-0.442517,-0.442517,-0.442517,-0.444447,-0.444447,-0.445228,-0.445228,-0.445228,-0.445228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</si>
  <si>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0.353127,0.377226,0.409979,0.467071,0.518977,0.55843,0.5876,0.603543,0.612664,0.620006,0.627108,0.635357,0.639403,0.639403,0.639403,0.639403,0.639403,0.641909,0.67386,0.701063,0.731425,0.749778,0.772544,0.795558,0.806166,0.823074,0.83223,0.848866,0.861025,0.866685,0.871536,0.87187,0.87187,0.87187,0.87187,0.87187,0.85877,0.810546,0.755764,0.691853,0.627471,0.577286,0.551954,0.542102,0.542102,0.542102,0.542102,0.542102,0.521705,0.471282,0.422884,0.416578,0.403,0.392569,0.385431,0.381756,0.381455,0.387907,0.394583,0.421368,0.537637,0.705309,0.743227,0.743483,0.743483,0.743483,0.743483,0.743483,0.764467,0.842223,0.896007,0.913934,0.939208,0.94259,0.937338,0.936774,0.936774,0.936774,0.936774,0.936774,0.934123,0.907121,0.883278,0.855948,0.796104,0.751913,0.729662,0.720172,0.710641,0.713734,0.727255,0.743644,0.762935,0.765055,0.74473,0.7284,0.712412,0.70904,0.713826,0.728479,0.743007,0.751987,0.753748,0.755498,0.755498,0.755498,0.755498,0.748957,0.740317,0.736775,0.729464,0.729464,0.729464,0.729464,0.729464,0.729464,0.729464,0.729464,0.729464,0.729464,0.729464,0.729464,0.729464,0.729464,0.729464,0.727004,0.724474,0.724474,0.716274,0.716274,0.716274,0.716274,0.716274,0.716274,0.716274,0.716274,0.716274,0.716274,0.716274,0.716274,0.716274,0.716274,0.716274,0.716274,0.716274,0.716274,0.716274,0.715231,0.710544,0.710544,0.710544,0.708722,0.709797,0.709797,0.711914,0.713758,0.713758,0.715817,0.715817,0.709309,0.6977,0.6977,0.6977,0.6977,0.695515,0.695515,0.694413,0.692176,0.692176,0.692176,0.692176,0.692176,0.691042,0.691042,0.687965,0.687965,0.687965,0.687965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</t>
  </si>
  <si>
    <t>19.208023208029843,19.20802320802985</t>
  </si>
  <si>
    <t>1682707776197</t>
  </si>
  <si>
    <t>0,109,188,282,393,488,592,691,791,894,1002,1096,1209,1483,1521,1565,1634,1697,1808,1896,1996,2096,2204,2341,2432,2510,2625,2731,2826,2906,2998,3093,3178,3304,3395,3519,3609,3722,3815,3928,4005,4091,4219,4289,4375,4500,4584,4704,4794,4888,4988,5084,5177,5287,5445,5530,5625,5696,5819,5905,5989,6131,6194,6307,6395,6521,6593,6696,6782,6882,7010,7089,7183,7309,7388,7509,7638,7712,7808,7906,8024,8079,8197,8327,8417,8512,8567,8703,8773,8890,8963,9103,9220,9314,9398,9514,9600,9689,9817,9911,9984,10098,10204,10271,10396,10489,10569,10730,10819,10899,11029,11106,11198,11317,11408,11488,11571,11699,11790,11906,11999,12071,12195,12286,12399,12492,12586,12712,12790,12913,13012,13090,13184,13309,13389,13516,13610,13689,13785,13911,13989,14116,14213,14291,14385,14513,14592,14688,14802,14893,15018,15112,15192,15318,15444,15490,15585,15709,15788,15881,16013,16101,16213,16308,16371,16512,16606,16701,16780,16913,16998,17077,17173,17298,17466,17500,17600,17689,17799,17895,17988,18098,18193,18286,18404,18505,18585,18817,18865,18879,19005,19129,19178,19305,19401,19479,19606,19701,19780,19907,20005,20082,20210,20288,20377,20504,20579,20683,20791,20901,20991,21110,21221,21352,21408,21502,21592,21690,21926,21958,21988,22099,22193,22303,22396,22506,22601,22697,22793,22902,22997,23154,23201,23296,23408,23502,23598,23707,23801,23890,24005,24097,24192,24302,24400,24492,24603,24697,24793,24902,24997,25107,25203,25317,25406,25597,25642,25721,25816,25911,25989,26083,26177,26303,26381,26508,26602,26681,26810,26902,27013,27108,27201,27280,27404,27498,27578,27702,27797,27895,28002,28095,28190,28300,28395,28490,28601,28695,28818,28911,28989,29115,29210,29288,29415,29510,29590,29684,29810,29889,29983,30108,30202,30281,30407,30502,30580,30704,30799,30893,31003,31098,31192,31300,31395,31488,31598,31691,31817,31912,31990,32109,32208,32292,32409,32508,32587,32683,32815,32888,33015,33108,33188,33314,33408,33470,33580,33706,33801,33879,34006,34102,34180,34307,34402,34482,34608,34671,34781,34907,35002,35081,35209,35302,35381,35506,35601,35680,35807,35902,35981,36107,36194,36279,36404,36487,36611,36704,36797,36890,36984,37079,37189,37299,37394,37488,37598,37709,37804,37918,38020,38104,38192,38293,38438,38506,38603,38687,38796,38891,38992,39095,39210,39301,39396,39495,39601,39711,39806,39900,39996,40107,40201,40295,40406,40501,40597,40708,40802,40897,41007,41103,41197,41308,41403,41499,41595,41706,41800,41926,42021,42101,42215,42320,42397,42521,42616,42710,42788,42882,43006,43099,43177,43303,43397,43491,43602,43696,43792,43902,43997,44121,44200,44294,44418,44498,44592,44717,44812,44891,45016,45110,45190,45286,45398,45491,45619,45697,45793,45886,46013,46089,46215,46310,46389,46515,46612,46689,46811,46909,46989,47084,47211,47290,47385,47481,47591,47703,47859,47907,48029,48100,48184,48310,48399,48500,48620,48717,48793,48878,48991,49117,49184,49288,49459,49551,49574,49689,49793,49927,50033,50133,50216,50269,50368,50515,50613,50681,50830,50929,50987,51078,51210,51321,51394,51484,51606,51715,51783,51900,51989,52080,52183,52293,52442,52512,52605,52735,52812,52906,53000,53080,53206,53358,53379,53504,53599,53678,53807,53928,53980,54106,54201,54278,54381,54498,54592,54703,54797,54908,55003,55099,55214,55304,55393,55478,55604,55697,55777,55903,55997,56122,56201,56293,56423,56482,56593,56717,56810,56889,56982,57106,57201,57322,57405,57498,57593,57702,57796,57922,58002,58094,58219,58297,58391,58518,58612,58692,58816,58911,58990,59084,59209,59302,59380,59505,59584,59693,59804,59898,60015,60103,60197,60308,60405,60499,60591,60703,60796,60891,61000,61093,61211,61300,61393,61518,61611,61689,61829,61909,61988,62086,62177,62289,62414,62508,62602,62711,62806,62900,62979,63107,63201,63280,63405,63501,63581,63706,63802,63881,64008,64102,64180,64276,64388,64514,64607,64701,64781,64907,65003,65093,65208,65302,65393,65508,65655,65682,65811,65902,66016,66109,66203,66280,66374,66496,66580,66675,66800,66878,67003,67119,67222,67300,67392,67511,67600,67690,67778,67910,67988,68112,68208,68289,68415,68510,68588,68716,68818,68890,68984,69110,69188,69282,69409,69502,69582,69707,69801,69880,70007,70100,70179,70306,70402,70481,70609,70702,70780,70906,71001,71079,71207,71298,71392,71502,71596,71690,71798,71892,71985,72111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</si>
  <si>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</t>
  </si>
  <si>
    <t>0,0,0,0,0,0,0,0,0,0,0,0,0,0.043109,0.054787,0.066434,0.081882,0.085737,0.101113,0.104931,0.108772,0.108772,0.108772,0.115324,0.106918,0.086962,0.043085,-0.020721,-0.084234,-0.146821,-0.173872,-0.20023,-0.207647,-0.19599,-0.096768,0.046139,0.12307,0.213978,0.251531,0.354432,0.397293,0.407327,0.423651,0.439745,0.447271,0.447405,0.430082,0.39771,0.386901,0.376293,0.376293,0.376293,0.376293,0.376293,0.356587,0.310551,0.195926,0.114709,-0.007573,-0.05177,-0.083244,-0.085237,-0.066416,-0.007488,0.03065,0.086205,0.137802,0.200565,0.219214,0.230179,0.230179,0.230179,0.230179,0.230179,0.230179,0.206579,0.173088,0.145281,0.108189,0.07811,0.02206,0.009899,-0.001807,0.003308,0.010599,0.010242,0.013498,0.019997,0.02324,0.03551,0.040839,0.059498,0.097327,0.146795,0.17665,0.205284,0.227883,0.247977,0.292648,0.317267,0.337338,0.347282,0.350305,0.350305,0.350305,0.350305,0.350305,0.306204,0.276306,0.25312,0.199237,0.172792,0.167533,0.175113,0.177991,0.178703,0.188129,0.213495,0.236707,0.244618,0.268251,0.283324,0.291118,0.291118,0.298333,0.30553,0.30553,0.30553,0.30553,0.316829,0.320409,0.320409,0.320409,0.320409,0.320409,0.320409,0.320409,0.320409,0.320409,0.320409,0.320409,0.320409,0.320409,0.320409,0.320409,0.320409,0.320409,0.320409,0.320409,0.320409,0.320409,0.320409,0.320409,0.320409,0.316761,0.316761,0.316761,0.316761,0.316761,0.316761,0.316761,0.316761,0.316761,0.316761,0.316761,0.316761,0.316761,0.316761,0.316761,0.318859,0.318859,0.318351,0.318351,0.318351,0.316798,0.316798,0.316798,0.31627,0.31627,0.31627,0.31627,0.31627,0.31627,0.316798,0.313738,0.295723,0.295723,0.289022,0.285933,0.285933,0.285933,0.300988,0.300988,0.300988,0.300988,0.300988,0.300988,0.300988,0.300988,0.300988,0.300988,0.300988,0.300988,0.300988,0.300988,0.300988,0.300988,0.300988,0.302027,0.30254,0.300421,0.300421,0.297274,0.278969,0.278969,0.278969,0.278969,0.277938,0.302446,0.306073,0.306073,0.306073,0.306073,0.306073,0.306073,0.306073,0.306073,0.306073,0.306073,0.306073,0.306073,0.320533,0.320533,0.320533,0.320533,0.320533,0.320533,0.320533,0.320533,0.313313,0.309194,0.309194,0.309194,0.309194,0.309194,0.309194,0.309194,0.309194,0.309194,0.309194,0.309194,0.309194,0.309194,0.308684,0.308684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0.309194,0.310199,0.310199,0.310694,0.310694,0.313328,0.312319,0.310243,0.310243,0.310243,0.310243,0.309713,0.309713,0.309713,0.309713,0.309713,0.309713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0.316345,0.327061,0.330623,0.335715,0.338142,0.336403,0.330532,0.323289,0.308282,0.300044,0.299685,0.308431,0.318121,0.332867,0.34498,0.345453,0.34592,0.348611,0.345461,0.334691,0.31981,0.315734,0.309734,0.302559,0.305077,0.313611,0.323141,0.336647,0.346638,0.349454,0.350789,0.348098,0.330666,0.323484,0.315829,0.314433,0.31406,0.322624,0.328099,0.338591,0.348933,0.35074,0.344972,0.328025,0.324444,0.313672,0.313217,0.313217,0.313217,0.313217,0.298799,0.298799,0.298799,0.298799,0.298799,0.298799,0.302876,0.302876,0.302876,0.302876,0.302876,0.302876,0.299262,0.292483,0.292483,0.292483,0.292483,0.299733,0.299733,0.299733,0.299733,0.299733,0.299733,0.299733,0.299733,0.299733,0.299733,0.299268,0.299268,0.299268,0.299268,0.299268,0.299268,0.299268,0.299268,0.299268,0.299268,0.295649,0.292025,0.292025,0.292025,0.292025,0.292025,0.292025,0.295649,0.295649,0.312254,0.312254,0.312254,0.308664,0.308664,0.305537,0.305537,0.305537,0.306003,0.306003,0.306003,0.306003,0.306003,0.306003,0.306003,0.306003,0.306003,0.306003,0.306003,0.306003,0.306003,0.306003,0.306003,0.306003,0.306003,0.306003,0.306003,0.306003,0.306003,0.306003,0.306003,0.306003,0.306003,0.306003,0.306003,0.306003,0.306003,0.302397,0.298785,0.297834,0.297834,0.297834,0.297834,0.297834,0.297834,0.294699,0.294699,0.294699,0.291559,0.291559,0.291559,0.291559,0.291559,0.291559,0.291559,0.291559,0.291559,0.291559,0.291559,0.291559,0.291559,0.291559,0.291559,0.291559,0.291559,0.291559,0.291559,0.291559,0.291559,0.291559,0.291559,0.291559,0.291559,0.291559,0.291559,0.291559,0.291559,0.291559,0.302407,0.302407,0.302407,0.306014,0.306014,0.320393,0.320393,0.320393,0.320393,0.313213,0.306014,0.306014,0.306014,0.306014,0.302869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</t>
  </si>
  <si>
    <t>0,0,0,0,0,0,0,0,0,0,0,0,0,0.109695,0.133053,0.156317,0.183319,0.191,0.210107,0.210095,0.217707,0.217707,0.217707,0.121638,0.086863,0.06388,0.025664,-0.02009,-0.057901,-0.072043,-0.071335,-0.051291,-0.043349,-0.039918,-0.097073,-0.176106,-0.186992,-0.173242,-0.171735,-0.166116,-0.163088,-0.155197,-0.139648,-0.09203,-0.020053,0.104756,0.197033,0.294962,0.323604,0.34121,0.34121,0.34121,0.34121,0.34121,0.205953,0.073216,0.005082,-0.021311,-0.03396,-0.005109,0.099848,0.265596,0.316217,0.389064,0.418352,0.449186,0.456348,0.449154,0.429949,0.420297,0.420297,0.420297,0.420297,0.420297,0.420297,0.463091,0.493544,0.500147,0.498001,0.492827,0.457017,0.447173,0.419104,0.364676,0.332365,0.317056,0.302481,0.273111,0.258323,0.237634,0.23097,0.234901,0.258117,0.298175,0.318735,0.32388,0.320358,0.308903,0.300753,0.303938,0.313426,0.318114,0.32196,0.32196,0.32196,0.32196,0.32196,0.337148,0.346774,0.357136,0.375541,0.362588,0.335527,0.280787,0.266217,0.262564,0.252995,0.238729,0.235277,0.232879,0.225563,0.224238,0.221739,0.221739,0.222841,0.22393,0.22393,0.22393,0.22393,0.221941,0.222465,0.222465,0.222465,0.222465,0.222465,0.222465,0.222465,0.222465,0.222465,0.222465,0.222465,0.222465,0.222465,0.222465,0.222465,0.222465,0.222465,0.222465,0.222465,0.222465,0.222465,0.222465,0.222465,0.222465,0.196312,0.196312,0.196312,0.196312,0.196312,0.196312,0.196312,0.196312,0.196312,0.196312,0.196312,0.196312,0.196312,0.196312,0.196312,0.207631,0.207631,0.211226,0.211226,0.211226,0.22199,0.22199,0.22199,0.225572,0.225572,0.225572,0.225572,0.225572,0.225572,0.22199,0.217874,0.215214,0.215214,0.21051,0.206337,0.206337,0.206337,0.204823,0.204823,0.204823,0.204823,0.204823,0.204823,0.204823,0.204823,0.204823,0.204823,0.204823,0.204823,0.204823,0.204823,0.204823,0.204823,0.204823,0.197577,0.19395,0.182533,0.182533,0.178389,0.175867,0.175867,0.175867,0.175867,0.183206,0.1941,0.194607,0.194607,0.194607,0.194607,0.194607,0.194607,0.194607,0.194607,0.194607,0.194607,0.194607,0.194607,0.196604,0.196604,0.196604,0.196604,0.196604,0.196604,0.196604,0.196604,0.195612,0.198724,0.198724,0.198724,0.198724,0.198724,0.198724,0.198724,0.198724,0.198724,0.198724,0.198724,0.198724,0.198724,0.202339,0.202339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0.198724,0.191485,0.191485,0.18786,0.18786,0.195588,0.202811,0.217221,0.217221,0.217221,0.217221,0.220815,0.220815,0.220815,0.220815,0.220815,0.220815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0.225475,0.227052,0.227571,0.217382,0.199519,0.184704,0.172994,0.1721,0.173924,0.180274,0.209863,0.225832,0.234567,0.233066,0.223885,0.220336,0.216783,0.195397,0.191393,0.19009,0.191923,0.195079,0.212665,0.237356,0.245051,0.260898,0.26957,0.275206,0.255255,0.234119,0.223502,0.215979,0.210248,0.209361,0.21206,0.222853,0.251984,0.267716,0.279307,0.280852,0.257398,0.243333,0.231867,0.222576,0.222136,0.220793,0.224389,0.224389,0.224389,0.224389,0.222532,0.222532,0.222532,0.222532,0.222532,0.222532,0.219391,0.219391,0.219391,0.219391,0.219391,0.219391,0.218926,0.214367,0.214367,0.214367,0.214367,0.215298,0.215298,0.215298,0.215298,0.215298,0.215298,0.215298,0.215298,0.215298,0.215298,0.218917,0.218917,0.218917,0.218917,0.218917,0.218917,0.218917,0.218917,0.218917,0.218917,0.218448,0.217977,0.217977,0.217977,0.217977,0.217977,0.217977,0.218448,0.218448,0.231623,0.231623,0.231623,0.231155,0.231155,0.227089,0.227089,0.227089,0.223486,0.223486,0.223486,0.223486,0.223486,0.223486,0.223486,0.223486,0.223486,0.223486,0.223486,0.223486,0.223486,0.223486,0.223486,0.223486,0.223486,0.223486,0.223486,0.223486,0.223486,0.223486,0.223486,0.223486,0.223486,0.223486,0.223486,0.223486,0.223486,0.22302,0.222551,0.229771,0.229771,0.229771,0.229771,0.229771,0.229771,0.225686,0.225686,0.225686,0.221588,0.221588,0.221588,0.221588,0.221588,0.221588,0.221588,0.221588,0.221588,0.221588,0.221588,0.221588,0.221588,0.221588,0.221588,0.221588,0.221588,0.221588,0.221588,0.221588,0.221588,0.221588,0.221588,0.221588,0.221588,0.221588,0.221588,0.221588,0.221588,0.221588,0.223007,0.223007,0.223007,0.223473,0.223473,0.225303,0.225303,0.225303,0.225303,0.224395,0.223473,0.223473,0.223473,0.223473,0.219401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</t>
  </si>
  <si>
    <t>0,0,0,0,0,0,0,0,0,0,0,0,0,0.000061,0.000384,0.00066,0.00138,0.001457,0.002683,0.003508,0.003508,0.003508,0.003508,0.016572,0.019711,0.020515,0.021319,0.021471,0.022076,0.024772,0.026742,0.032131,0.034074,0.034407,0.020415,-0.001942,-0.015709,-0.034984,-0.041758,-0.060351,-0.068109,-0.073144,-0.082621,-0.107437,-0.143417,-0.204281,-0.250054,-0.298872,-0.312739,-0.323109,-0.323109,-0.323109,-0.323109,-0.323109,-0.296911,-0.266823,-0.262813,-0.261441,-0.257474,-0.255291,-0.247689,-0.22555,-0.212834,-0.181764,-0.162718,-0.134892,-0.108214,-0.073189,-0.059585,-0.05193,-0.05193,-0.05193,-0.05193,-0.05193,-0.05193,-0.073584,-0.097989,-0.11554,-0.137639,-0.15515,-0.18757,-0.194587,-0.203157,-0.206399,-0.206153,-0.207321,-0.207135,-0.206609,-0.206269,-0.203658,-0.202453,-0.197879,-0.188403,-0.176297,-0.167921,-0.157685,-0.148352,-0.138492,-0.120017,-0.111705,-0.107139,-0.10479,-0.104903,-0.104903,-0.104903,-0.104903,-0.104903,-0.128145,-0.143397,-0.155903,-0.183567,-0.193839,-0.193357,-0.1846,-0.181827,-0.181127,-0.176941,-0.167262,-0.159895,-0.157097,-0.148689,-0.144073,-0.141208,-0.141208,-0.139462,-0.137708,-0.137708,-0.137708,-0.137708,-0.133859,-0.132987,-0.132987,-0.132987,-0.132987,-0.132987,-0.132987,-0.132987,-0.132987,-0.132987,-0.132987,-0.132987,-0.132987,-0.132987,-0.132987,-0.132987,-0.132987,-0.132987,-0.132987,-0.132987,-0.132987,-0.132987,-0.132987,-0.132987,-0.132987,-0.125803,-0.125803,-0.125803,-0.125803,-0.125803,-0.125803,-0.125803,-0.125803,-0.125803,-0.125803,-0.125803,-0.125803,-0.125803,-0.125803,-0.125803,-0.128725,-0.128725,-0.129977,-0.129977,-0.129977,-0.133718,-0.133718,-0.133718,-0.134961,-0.134961,-0.134961,-0.134961,-0.134961,-0.134961,-0.133718,-0.133358,-0.13761,-0.13761,-0.138133,-0.137823,-0.137823,-0.137823,-0.133498,-0.133498,-0.133498,-0.133498,-0.133498,-0.133498,-0.133498,-0.133498,-0.133498,-0.133498,-0.133498,-0.133498,-0.133498,-0.133498,-0.133498,-0.133498,-0.133498,-0.13113,-0.129943,-0.127145,-0.127145,-0.12668,-0.130158,-0.130158,-0.130158,-0.130158,-0.132345,-0.129438,-0.128675,-0.128675,-0.128675,-0.128675,-0.128675,-0.128675,-0.128675,-0.128675,-0.128675,-0.128675,-0.128675,-0.128675,-0.125602,-0.125602,-0.125602,-0.125602,-0.125602,-0.125602,-0.125602,-0.125602,-0.127142,-0.129139,-0.129139,-0.129139,-0.129139,-0.129139,-0.129139,-0.129139,-0.129139,-0.129139,-0.129139,-0.129139,-0.129139,-0.129139,-0.130352,-0.130352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-0.129139,-0.126707,-0.126707,-0.125487,-0.125487,-0.127214,-0.12967,-0.13456,-0.13456,-0.13456,-0.13456,-0.135777,-0.135777,-0.135777,-0.135777,-0.135777,-0.135777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-0.135226,-0.13256,-0.131668,-0.126897,-0.120281,-0.115723,-0.113171,-0.114526,-0.118427,-0.122193,-0.130762,-0.132986,-0.132706,-0.127713,-0.121015,-0.119659,-0.118302,-0.110119,-0.109502,-0.111749,-0.115992,-0.118,-0.124927,-0.134156,-0.135581,-0.13746,-0.136863,-0.13388,-0.123582,-0.115381,-0.111256,-0.109347,-0.112157,-0.113804,-0.1167,-0.120413,-0.129256,-0.131126,-0.132797,-0.129497,-0.117755,-0.112259,-0.11,-0.111791,-0.112664,-0.115273,-0.116504,-0.116504,-0.116504,-0.116504,-0.120014,-0.120014,-0.120014,-0.120014,-0.120014,-0.120014,-0.117951,-0.117951,-0.117951,-0.117951,-0.117951,-0.117951,-0.118811,-0.119351,-0.119351,-0.119351,-0.119351,-0.117664,-0.117664,-0.117664,-0.117664,-0.117664,-0.117664,-0.117664,-0.117664,-0.117664,-0.117664,-0.11884,-0.11884,-0.11884,-0.11884,-0.11884,-0.11884,-0.11884,-0.11884,-0.11884,-0.11884,-0.119699,-0.120556,-0.120556,-0.120556,-0.120556,-0.120556,-0.120556,-0.119699,-0.119699,-0.118804,-0.118804,-0.118804,-0.119713,-0.119713,-0.119407,-0.119407,-0.119407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-0.119083,-0.119958,-0.1223,-0.1223,-0.1223,-0.1223,-0.1223,-0.1223,-0.122017,-0.122017,-0.122017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-0.119125,-0.119125,-0.119125,-0.118249,-0.118249,-0.114724,-0.114724,-0.114724,-0.114724,-0.11649,-0.118249,-0.118249,-0.118249,-0.118249,-0.117923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</t>
  </si>
  <si>
    <t>1,1,1,1,1,1,1,1,1,1,1,1,1,0.99303,0.989593,0.98547,0.979636,0.977837,0.972432,0.972027,0.969928,0.969928,0.969928,0.985713,0.99027,0.99395,0.998514,0.999353,0.994517,0.986225,0.981817,0.977878,0.976649,0.979189,0.990351,0.983287,0.974495,0.960717,0.951575,0.918227,0.900512,0.897022,0.891175,0.886912,0.882597,0.864363,0.844796,0.815782,0.804849,0.798486,0.798486,0.798486,0.798486,0.798486,0.861553,0.909397,0.944731,0.958142,0.965658,0.965464,0.960079,0.933446,0.922116,0.90307,0.893065,0.878979,0.87238,0.86757,0.873807,0.876168,0.876168,0.876168,0.876168,0.876168,0.876168,0.858753,0.846672,0.845812,0.849321,0.852613,0.869176,0.872969,0.884915,0.907965,0.920284,0.925413,0.930279,0.939321,0.943495,0.949101,0.950788,0.949803,0.942554,0.926532,0.915972,0.909998,0.907431,0.907693,0.899722,0.891339,0.881186,0.87591,0.873283,0.873283,0.873283,0.873283,0.873283,0.880993,0.884783,0.885482,0.886327,0.895041,0.906624,0.925428,0.929724,0.930762,0.932359,0.932444,0.929004,0.928035,0.924691,0.921242,0.91986,0.91986,0.917545,0.915174,0.915174,0.915174,0.915174,0.912383,0.911132,0.911132,0.911132,0.911132,0.911132,0.911132,0.911132,0.911132,0.911132,0.911132,0.911132,0.911132,0.911132,0.911132,0.911132,0.911132,0.911132,0.911132,0.911132,0.911132,0.911132,0.911132,0.911132,0.911132,0.919401,0.919401,0.919401,0.919401,0.919401,0.919401,0.919401,0.919401,0.919401,0.919401,0.919401,0.919401,0.919401,0.919401,0.919401,0.915777,0.915777,0.914955,0.914955,0.914955,0.912403,0.912403,0.912403,0.911524,0.911524,0.911524,0.911524,0.911524,0.911524,0.912403,0.914503,0.920486,0.920486,0.923618,0.925566,0.925566,0.925566,0.921755,0.921755,0.921755,0.921755,0.921755,0.921755,0.921755,0.921755,0.921755,0.921755,0.921755,0.921755,0.921755,0.921755,0.921755,0.921755,0.921755,0.923335,0.924104,0.927504,0.927504,0.929386,0.935043,0.935043,0.935043,0.935043,0.933633,0.924174,0.922979,0.922979,0.922979,0.922979,0.922979,0.922979,0.922979,0.922979,0.922979,0.922979,0.922979,0.922979,0.918057,0.918057,0.918057,0.918057,0.918057,0.918057,0.918057,0.918057,0.920547,0.920995,0.920995,0.920995,0.920995,0.920995,0.920995,0.920995,0.920995,0.920995,0.920995,0.920995,0.920995,0.920995,0.920207,0.920207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0.920995,0.922527,0.922527,0.923272,0.923272,0.920537,0.918972,0.915673,0.915673,0.915673,0.915673,0.914813,0.914813,0.914813,0.914813,0.914813,0.914813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0.911483,0.907693,0.906401,0.90771,0.911803,0.916147,0.920877,0.923444,0.927732,0.928732,0.921438,0.914431,0.908937,0.904748,0.903449,0.904321,0.905179,0.910035,0.912159,0.916166,0.920561,0.921049,0.918276,0.913303,0.910218,0.902599,0.896761,0.890509,0.8941,0.899865,0.902561,0.905662,0.913168,0.915737,0.917422,0.91486,0.906181,0.898358,0.892583,0.888655,0.893379,0.897312,0.902847,0.911242,0.912523,0.916282,0.915408,0.915408,0.915408,0.915408,0.920215,0.920215,0.920215,0.920215,0.920215,0.920215,0.919903,0.919903,0.919903,0.919903,0.919903,0.919903,0.921085,0.92426,0.92426,0.92426,0.92426,0.921934,0.921934,0.921934,0.921934,0.921934,0.921934,0.921934,0.921934,0.921934,0.921934,0.921082,0.921082,0.921082,0.921082,0.921082,0.921082,0.921082,0.921082,0.921082,0.921082,0.92225,0.923404,0.923404,0.923404,0.923404,0.923404,0.923404,0.92225,0.92225,0.913637,0.913637,0.913637,0.914857,0.914857,0.916962,0.916962,0.916962,0.917847,0.917847,0.917847,0.917847,0.917847,0.917847,0.917847,0.917847,0.917847,0.917847,0.917847,0.917847,0.917847,0.917847,0.917847,0.917847,0.917847,0.917847,0.917847,0.917847,0.917847,0.917847,0.917847,0.917847,0.917847,0.917847,0.917847,0.917847,0.917847,0.919042,0.920222,0.918446,0.918446,0.918446,0.918446,0.918446,0.918446,0.920505,0.920505,0.920505,0.922535,0.922535,0.922535,0.922535,0.922535,0.922535,0.922535,0.922535,0.922535,0.922535,0.922535,0.922535,0.922535,0.922535,0.922535,0.922535,0.922535,0.922535,0.922535,0.922535,0.922535,0.922535,0.922535,0.922535,0.922535,0.922535,0.922535,0.922535,0.922535,0.922535,0.919036,0.919036,0.919036,0.917841,0.917841,0.912921,0.912921,0.912921,0.912921,0.91541,0.917841,0.917841,0.917841,0.917841,0.919906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</t>
  </si>
  <si>
    <t>rodrigo@gmail.com</t>
  </si>
  <si>
    <t>Rodrigo</t>
  </si>
  <si>
    <t>ball_stick-cor</t>
  </si>
  <si>
    <t>0.624883987936306,0.624883987936306,0.624883987936306,0.624883987936306,0.624883987936306,0.624883987936306,-0.5055432845936536,-0.31036073346286397,-0.08235412938132078,0.07185260075628659,0.06636170023351266,-0.04287695002653678,-0.15487614689482243,-0.1571227378478955,-0.15486596137580308,-0.15734287898699562,-0.15734287898699562,-0.0749544801565223,0.3347049088661046,0.648331610520111,0.7116678536715675,0.7116678536715675,0.7846581430194614,0.9438187970189521,0.9350958755835828,0.9317516195546998,0.9317516195546998,0.8609719913441064,0.7671578950745302,0.8200530349849745,0.7314795890341973,0.638781150539069,0.6577578483555742,0.6343243298876775,0.6343243298876775,0.6343243298876775,0.6248941370376531,0.2870124718956419,0.04057143352189362,-0.1262323776295349,-0.13486664473637736,-0.13486664473637736,-0.1108681367230028,-0.20680628896362832,-0.3970774333293474,-0.4903063991281294,-0.5001810050403347,-0.5066224529836254,-0.5066224529836254,-0.5066224529836254,-0.5066224529836254,-0.496986284366821,-0.496986284366821,-0.496986284366821,-0.5051520572966035,-0.5081181179054591,-0.5112530577793808,-0.5414215168503649,-0.5440573351607474,-0.5440573351607474,-0.5440573351607474,-0.5440573351607474,-0.5440573351607474,-0.5440573351607474,-0.5440573351607474,-0.5440573351607474,-0.5440573351607474</t>
  </si>
  <si>
    <t>-0.03659230559987375,-0.03659230559987375,-0.03659230559987375,-0.03659230559987375,-0.03659230559987375,-0.03659230559987375,-0.1552112734993598,-0.22102762399698272,-0.11713124272742975,0.07277245615812883,0.2607496571061777,0.33567821858972385,0.40119565467806395,0.4627100515178949,0.5059348896230087,0.5081587509664409,0.5081587509664409,0.47707045939289733,0.2995977780889227,0.07726822620667305,-0.010710006616542343,-0.010710006616542343,-0.10462657742332365,-0.2997868715771107,-0.2957419866744671,-0.29446373507422285,-0.29446373507422285,-0.23094219223740184,-0.23172353043929936,-0.46210175412324944,-0.488607450631873,-0.31763430267689063,-0.035920972496487104,0.16870742361737667,0.16870742361737667,0.16870742361737667,0.1967989712642288,0.2876302382393208,0.29002451287849945,0.15707768313612383,0.14376234649752054,0.14376234649752054,0.022150564645835057,-0.4466553302912779,-0.4483001840942266,-0.28943022944421937,-0.17693073313857496,-0.16159203241562825,-0.16159203241562825,-0.16159203241562825,-0.16159203241562825,-0.2007736137986878,-0.2007736137986878,-0.2007736137986878,-0.2225621996528631,-0.22393943763595706,-0.2326164026978585,-0.2362598055507442,-0.2304972606987984,-0.2304972606987984,-0.2304972606987984,-0.2304972606987984,-0.2304972606987984,-0.2304972606987984,-0.2304972606987984,-0.2304972606987984,-0.2304972606987984</t>
  </si>
  <si>
    <t>-0.699006863382204,-0.699006863382204,-0.699006863382204,-0.699006863382204,-0.699006863382204,-0.699006863382204,0.6809124443177028,0.6885567469800863,0.7200157284070706,0.7174391914816121,0.6827454297370176,0.6406912737300263,0.5881628589813529,0.5763874839748337,0.5672965153598429,0.5653053446532175,0.5653053446532175,0.6162223697887406,0.7607729069352624,0.7233184501392781,0.6903601906191186,0.6903601906191186,0.6106654193249639,0.10530542020355528,-0.1315952291101043,-0.14393999952123449,-0.14393999952123449,-0.4254892069024007,-0.5462452149305984,-0.07544264793128141,0.16697632106124372,0.12393658691400651,-0.12385374831668937,-0.2980319313269626,-0.2980319313269626,-0.2980319313269626,-0.32221065549653205,-0.521139730186976,-0.6158914416919066,-0.6669476612977114,-0.6698121335905395,-0.6698121335905395,-0.6874263383740592,-0.6163308025833057,-0.4880671965569982,-0.3831117159883132,-0.3329920133367888,-0.32310742622555355,-0.32310742622555355,-0.32310742622555355,-0.32310742622555355,-0.34540705313124137,-0.34540705313124137,-0.34540705313124137,-0.35114868477262146,-0.35027197975737945,-0.3524589860088218,-0.3377324390430781,-0.33346975177416405,-0.33346975177416405,-0.33346975177416405,-0.33346975177416405,-0.33346975177416405,-0.33346975177416405,-0.33346975177416405,-0.33346975177416405,-0.33346975177416405</t>
  </si>
  <si>
    <t>-0.34578954544097623,-0.34578954544097623,-0.34578954544097623,-0.34578954544097623,-0.34578954544097623,-0.34578954544097623,0.5066494756281293,0.6170191332064533,0.6790253457695142,0.6890735664030959,0.6793117246407155,0.6891998204345732,0.6849232636619477,0.6549727641609601,0.6310476092418706,0.6304345878477926,0.6304345878477926,0.6221379217272188,0.46844250385547115,0.22473576419294003,0.12968025685165446,0.12968025685165446,0.021274950777771563,-0.0908002120011779,0.14427430977090186,0.1562411748584796,0.1562411748584796,0.15605085317008607,0.24369886054511264,0.32906442457558965,0.4453305269327887,0.6897150236895345,0.742108176541303,0.6930710047595813,0.6930710047595813,0.6930710047595813,0.6833430879798247,0.7505371867185461,0.7313805252823125,0.7173373023815881,0.7158876179694456,0.7158876179694456,0.7173999150091062,0.6147084809521502,0.6349384761743874,0.72736180153371,0.7795067651546065,0.7828303113130834,0.7828303113130834,0.7828303113130834,0.7828303113130834,0.7703171793493042,0.7703171793493042,0.7703171793493042,0.7562949606318594,0.754305406797771,0.7485202624436921,0.7327897686175671,0.7346227286980802,0.7346227286980802,0.7346227286980802,0.7346227286980802,0.7346227286980802,0.7346227286980802,0.7346227286980802,0.7346227286980802,0.7346227286980802</t>
  </si>
  <si>
    <t>0.624883987936306,0.624883987936306,0.624883987936306,0.624883987936306,0.624883987936306,0.624883987936306,0.6150170544864986,-0.5525650488705061,-0.48583588820634865,-0.4558765459832933,-0.35276699383365523,-0.25577082767313297,-0.20691731982798334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</t>
  </si>
  <si>
    <t>-0.03659230559987375,-0.03659230559987375,-0.03659230559987375,-0.03659230559987375,-0.03659230559987375,-0.03659230559987375,-0.01047329767303558,-0.08887119196541336,-0.15530745808803947,-0.16668321041166717,-0.11475373129867904,-0.051657896289733565,-0.0019829811918029338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</t>
  </si>
  <si>
    <t>-0.699006863382204,-0.699006863382204,-0.699006863382204,-0.699006863382204,-0.699006863382204,-0.699006863382204,-0.697425832390263,0.6937961128021525,0.6903400656549433,0.6943910484345375,0.7415884510389528,0.7777412468978582,0.7944169692870682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</t>
  </si>
  <si>
    <t>-0.34578954544097623,-0.34578954544097623,-0.34578954544097623,-0.34578954544097623,-0.34578954544097623,-0.34578954544097623,-0.36775201024787324,0.45323363938040234,0.5131020141692181,0.5312385095634404,0.5589575999127687,0.5718665039465801,0.5710367496488696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</t>
  </si>
  <si>
    <t>Rodrigo2</t>
  </si>
  <si>
    <t>0.624883987936306,0.624883987936306,0.624883987936306,0.624883987936306,0.624883987936306,0.624883987936306,0.6150170544864986,-0.5525650488705061,-0.48583588820634865,-0.4558765459832933,-0.35276699383365523,-0.25577082767313297,-0.20691731982798334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-0.19978494806311797,-0.19978494806311797,0.624883987936306,0.624883987936306,0.624883987936306,0.624883987936306,0.624883987936306,0.624883987936306,0.624883987936306,0.624883987936306,-0.6049386520137149,-0.5188862578113851,-0.34886846647476744,-0.1899421321782967,0.04545555074025956,0.03680854941594461,-0.09078270613731547,-0.17028290139290225,-0.20804930571752525,-0.21772417617924264,-0.21772417617924264,-0.21772417617924264,-0.21399040535289346,0.029788160471344794,0.39888713535518633,0.5034746881052523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0.5062248318430665,0.48996032618106916,0.49940797754707833,0.5979897640746128,0.5979897640746128,0.5979897640746128,0.5979897640746128,0.5979897640746128,0.5979897640746128,0.5979897640746128,0.5979897640746128</t>
  </si>
  <si>
    <t>-0.03659230559987375,-0.03659230559987375,-0.03659230559987375,-0.03659230559987375,-0.03659230559987375,-0.03659230559987375,-0.01047329767303558,-0.08887119196541336,-0.15530745808803947,-0.16668321041166717,-0.11475373129867904,-0.051657896289733565,-0.0019829811918029338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0.007857517806943465,-0.03659230559987375,-0.03659230559987375,-0.03659230559987375,-0.03659230559987375,-0.03659230559987375,-0.03659230559987375,-0.03659230559987375,-0.03659230559987375,-0.001873533564422369,-0.1489588583459923,-0.24718681815642396,-0.26038103711168825,-0.12024448220985443,0.11166282610560326,0.3207521101842958,0.5289989824628738,0.7184353851460675,0.749975872059907,0.749975872059907,0.749975872059907,0.7467630881109744,0.6669983920214039,0.552545021525928,0.5019750230447443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0.5017670870198421,0.37710215333425157,0.13026948218738096,0.0958270751470901,0.0958270751470901,0.0958270751470901,0.0958270751470901,0.0958270751470901,0.0958270751470901,0.0958270751470901,0.0958270751470901</t>
  </si>
  <si>
    <t>-0.699006863382204,-0.699006863382204,-0.699006863382204,-0.699006863382204,-0.699006863382204,-0.699006863382204,-0.697425832390263,0.6937961128021525,0.6903400656549433,0.6943910484345375,0.7415884510389528,0.7777412468978582,0.7944169692870682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0.7968187306327983,-0.699006863382204,-0.699006863382204,-0.699006863382204,-0.699006863382204,-0.699006863382204,-0.699006863382204,-0.699006863382204,-0.699006863382204,0.6999614859094211,0.6794398987488235,0.6693004600720349,0.6659336421027606,0.6646262761596179,0.6521714056581308,0.5996751016375598,0.5270697060252048,0.43195530772730373,0.40612341157370035,0.40612341157370035,0.40612341157370035,0.41200112176454123,0.6412011558827508,0.7296557475109322,0.7013087444484558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0.6993262015883642,0.7737062180149891,0.8074597308338427,0.7384405079202673,0.7384405079202673,0.7384405079202673,0.7384405079202673,0.7384405079202673,0.7384405079202673,0.7384405079202673,0.7384405079202673</t>
  </si>
  <si>
    <t>-0.34578954544097623,-0.34578954544097623,-0.34578954544097623,-0.34578954544097623,-0.34578954544097623,-0.34578954544097623,-0.36775201024787324,0.45323363938040234,0.5131020141692181,0.5312385095634404,0.5589575999127687,0.5718665039465801,0.5710367496488696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0.5701790459619384,-0.34578954544097623,-0.34578954544097623,-0.34578954544097623,-0.34578954544097623,-0.34578954544097623,-0.34578954544097623,-0.34578954544097623,-0.34578954544097623,0.3796045777059173,0.4969202490973214,0.6076399955373324,0.6727972103479297,0.7360346258452676,0.7488985255679849,0.7275069460525377,0.6429318276745707,0.5039649748610394,0.474548363190509,0.474548363190509,0.474548363190509,0.4762437110520469,0.3782682754755146,0.05644061090480777,-0.05196498471738378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-0.05393583021583818,-0.1382444679694384,-0.2857101976736337,-0.29653166777462486,-0.29653166777462486,-0.29653166777462486,-0.29653166777462486,-0.29653166777462486,-0.29653166777462486,-0.29653166777462486,-0.29653166777462486</t>
  </si>
  <si>
    <t>colli@ime.usp.br</t>
  </si>
  <si>
    <t>Eduardo Colli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</si>
  <si>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-0.611103349207083,-0.6055162691748207,-0.6012371044643455,-0.5924290439796093,-0.5848375521825452,-0.5786018798181773,-0.5754304105902913,-0.5754304105902913,-0.5754304105902913,-0.5694342167235643,-0.5319446664872088,-0.5055123525688762,-0.47917382669506614,-0.4362434642996503,-0.42230321042218416,-0.42230321042218416,-0.42045374156246584,-0.388259408616985,-0.35148550584770927,-0.3373464411271351,-0.3231768001907531,-0.3180326347868384,-0.3169535184889378,-0.3169535184889378,-0.3169535184889378,-0.31055085246254527,-0.3035943154677757,-0.3069228973791048,-0.3282410970644561,-0.3951849280433362,-0.4420575519020403,-0.44970290523165296,-0.44970290523165296,-0.45728584443068965,-0.5547436952119895,-0.5918876419365089,0.6148198964874365,0.6292916968695454,0.6427719046868215,0.647377727775762,0.6530687111443357,0.665376841339062,0.6686799032061875,0.6686799032061875,0.6709234138367333,0.8515906507323613,0.8632054529776775,0.8632054529776775,0.8632054529776775,0.8828300154221712,0.8828300154221712,0.8828300154221712,0.8828300154221712,0.8828300154221712,0.8828300154221712,0.8828300154221712,0.8828300154221712,0.8828300154221712,0.8828300154221712,0.8828300154221712,0.8828300154221712,0.8828300154221712,0.8828300154221712,0.8828300154221712,0.8808735796727469,0.8728211538070842,0.6948730962802863,0.6630001953252193,0.6630001953252193,0.6170122357353641,-0.24144063795289528,-0.24144063795289528,-0.24144063795289528,-0.24144063795289528,-0.24144063795289528,-0.24144063795289528,-0.24144063795289528,-0.24144063795289528,-0.24144063795289528,-0.24144063795289528,-0.24144063795289528,-0.24144063795289528,-0.24144063795289528,-0.1275668588206281,-0.01319799824417216,0.04168768955126501,0.07125955630860772,0.07125955630860772,0.07125955630860772,0.07125955630860772,0.07125955630860772,0.06679760199487024,-0.5319172442990574,-0.6108413999543256,0.6883006633649815,0.6883006633649815,0.6883006633649815,0.6883006633649815,0.6883006633649815,0.6883006633649815,0.6883006633649815,0.6884668259653125,0.8946905170862172,0.9229765327281,0.9247177325620646,0.9234977590605834,0.9234977590605834,0.9242835197439004,0.9358901713454584,0.9434282089212751,0.9451556844860012,0.9461622652737195,0.9461622652737195,0.9490944007209687,0.9567986047676261,0.9576410798280717,0.9576410798280717,0.9576410798280717,0.9576410798280717,0.9576410798280717,0.9576410798280717,0.9576410798280717,0.9576410798280717,0.9576410798280717,0.9576410798280717,0.9576410798280717,0.9577767762246476,0.9252882511308694,0.8914267665984988,0.8692913550600339,0.8534546335738012,0.8488864911360585,0.8488893134087985,0.8535788491162591,0.8522815508682349,0.8504296516307737,0.8504296516307737,0.45040554335563093,0.43327584394904844,0.42982964726667905,0.42982964726667905,0.42982964726667905,0.31394076690819456,0.2792753378808737,0.2792753378808737,0.2792753378808737,0.2792753378808737,0.2792753378808737,0.2792753378808737,0.2798462793429704,0.2732723995785821,0.030569972139928812,-0.029474172555455955,-0.05346703285699751,-0.06934290641715021,-0.09843540084199602,-0.14016193287439271,-0.15177525300359007,-0.17108318115470536,-0.17108318115470536,-0.17108318115470536,-0.21239164903537583,-0.21967818668397288,-0.2363571122833999,-0.2318859134784321,-0.22136103632666795,-0.22216790091444288,-0.23619421673532995,-0.2332798356836243,-0.24801470873608292,-0.2580059453652789,-0.2580059453652789,-0.30246832956374103,-0.32250893534752734,-0.34239482670348415,-0.34574149488161626,-0.3487506723928823,-0.5245795323811436,-0.5360117012414415,-0.5330610974475999,-0.5216033222236894,-0.5150225968200778,-0.5148504543072497,-0.5148504543072497,-0.5148504543072497,-0.5148504543072497,-0.5148504543072497,-0.5148504543072497,-0.5148504543072497,-0.5148504543072497,-0.5148504543072497,-0.5148504543072497,-0.5148504543072497,-0.5148504543072497,-0.5148504543072497,-0.5148504543072497,-0.5096913028701464,-0.44090513910449525,-0.34459558277329094,-0.26591533327211797,-0.26591533327211797,-0.015616329036387345,0.07737549376441513,0.1474980202629782,0.1474980202629782,0.15827441328885558,0.22145410503394622,0.27936675688398355,0.27936675688398355,0.31548682788810695,0.3305883268294498,0.3476820009962258,0.35997725197396757,0.3612226994087062,0.37329412603653933,0.37329412603653933,0.43502216954899664,0.43502216954899664,0.43502216954899664,0.43502216954899664,0.43502216954899664,0.43502216954899664,0.43502216954899664,0.43502216954899664,0.43502216954899664,0.43502216954899664,0.43502216954899664,0.43502216954899664,0.4437668795745031,0.46658234876491367,0.5419553891217805,0.5793316870433637,0.6102721853296454,0.626803096647329,0.6442253802905187,0.6597465489531443,0.6597465489531443,0.6597465489531443,0.6597465489531443,0.6597465489531443,0.6597465489531443,0.6653074179976872,0.5871038257869898,0.4394602136569337,0.2546682625200076,0.2023698978820556,0.2023698978820556,-0.23491613211353768,-0.35785560678817463,-0.3836819154846167,-0.3836819154846167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-0.5167719505469356,-0.5749433723520582,-0.5893729535984356,-0.5979219918011571,-0.5937903454142847,-0.5909900941862454,-0.5881533879075567,-0.5881084777509857,-0.586659051103163,-0.586659051103163,-0.586659051103163,-0.586659051103163,-0.586659051103163,-0.586659051103163,-0.586659051103163,-0.586659051103163,-0.586659051103163,-0.586659051103163,-0.5837330792757021,-0.5837330792757021,-0.5822565792181662,-0.5807711000444281,-0.5807711000444281,-0.5792766646624131,-0.5734386428271144,-0.5719165573421384,-0.568845950999787,-0.5657402555617647,-0.5477160872188288,-0.5378629315503384,-0.51726648892155,-0.49737636385758943,-0.4765582927465867,-0.46208633255177745,-0.46208633255177745,-0.45935316432238593,-0.4566129122993756,-0.4566129122993756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-0.4593531643223859,-0.46208633255177745,-0.46481237483871757,-0.46481237483871757,-0.46481237483871757,-0.46481237483871757,-0.46481237483871757,-0.46481237483871757,-0.46481237483871757,-0.46481237483871757,-0.46481237483871757,-0.46208633255177733,-0.4628250158177771,-0.4709498923814251,-0.47364371488618773,-0.47364371488618773,-0.46897642701817427,-0.46086257500366085,-0.46086257500366085,-0.4561522697010984,-0.4514278955890424,-0.44596948788936336,-0.44394635369529506,-0.44394635369529506,-0.44394635369529506,-0.44394635369529506,-0.4493978068589281,-0.45684458939030065,-0.46224722101486504,-0.46693598048990625,-0.47160301296347545,-0.4735756919391763,-0.4755410677923016,-0.4755410677923016,-0.47749911021432623,-0.47749911021432623,-0.48483078222744946,-0.48676691077933487,-0.489453280976524,-0.489453280976524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,-0.4921321031990878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</si>
  <si>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-0.03659230559987375,0.029592793841761982,0.02542478404664615,0.017065011497141406,0.00033952163376328064,-0.01359892464276466,-0.024746164838826416,-0.03031766713229771,-0.03031766713229771,-0.03031766713229771,-0.03428355876916167,-0.04659033922287677,-0.058075914946815174,-0.061936961865988086,-0.05198741043061877,-0.04764026691996754,-0.04764026691996754,-0.050677573541362285,-0.06869928893162658,-0.09272094480321003,-0.10106758251351275,-0.1225834955126452,-0.13688362425646583,-0.1450519067629324,-0.1450519067629324,-0.1450519067629324,-0.16739676496504893,-0.20279521676866882,-0.2231547929028827,-0.2611248637324663,-0.32817492702685364,-0.37526288654767853,-0.3809986869726832,-0.3809986869726832,-0.38668160870484125,-0.44392632786160174,-0.4471362901197753,0.440370629735576,0.4311989744765635,0.40667796803997014,0.3975706722536869,0.3975192479972175,0.39504380053147986,0.39382894028217463,0.39382894028217463,0.39486393912476436,0.3134861941082203,0.2993166604579796,0.2993166604579796,0.2993166604579796,0.27623390775388446,0.27623390775388446,0.27623390775388446,0.27623390775388446,0.27623390775388446,0.27623390775388446,0.27623390775388446,0.27623390775388446,0.27623390775388446,0.27623390775388446,0.27623390775388446,0.27623390775388446,0.27623390775388446,0.27623390775388446,0.27623390775388446,0.27998313730435986,0.2914506609322098,0.3515548181980063,0.3537137892893789,0.3537137892893789,0.32719330786988293,-0.178620455896744,-0.178620455896744,-0.178620455896744,-0.178620455896744,-0.178620455896744,-0.178620455896744,-0.178620455896744,-0.178620455896744,-0.178620455896744,-0.178620455896744,-0.178620455896744,-0.178620455896744,-0.178620455896744,-0.18638484485533438,-0.19996253032492797,-0.204588654635661,-0.21810085564680617,-0.21810085564680617,-0.21810085564680617,-0.21810085564680617,-0.21810085564680617,-0.22793097857616823,-0.18673173223102854,-0.18431119449786465,0.19508017066804184,0.19508017066804184,0.19508017066804184,0.19508017066804184,0.19508017066804184,0.19508017066804184,0.19508017066804184,0.19234023636584455,-0.012301938543576365,-0.08492582519692266,-0.0927127347140451,-0.09350633712752343,-0.09350633712752343,-0.09473271037586047,-0.09224118911437061,-0.091699066366206,-0.09200214977362442,-0.09130381433521056,-0.09130381433521056,-0.08920040309906423,-0.08616729131804965,-0.08548332416503578,-0.08548332416503578,-0.08548332416503578,-0.08548332416503578,-0.08548332416503578,-0.08548332416503578,-0.08548332416503578,-0.08548332416503578,-0.08548332416503578,-0.08548332416503578,-0.08548332416503578,-0.08396229247608585,-0.08499960234078577,-0.09075058375884573,-0.09732283969908544,-0.10522545878011721,-0.11747604532294244,-0.14916892303961463,-0.19058642095051181,-0.2007095263930086,-0.20114731644654005,-0.20114731644654005,-0.13736598639671518,-0.14042940482813546,-0.14103562935747213,-0.14103562935747213,-0.14103562935747213,-0.14526087604217242,-0.1392513992528817,-0.1392513992528817,-0.1392513992528817,-0.1392513992528817,-0.1392513992528817,-0.1392513992528817,-0.16924748106234735,-0.20370122665113052,-0.1227348580238351,-0.10866518906696467,-0.10291877011638839,-0.100344034332429,-0.07925181894354037,-0.04341272582221135,-0.04424734463560108,-0.04562467233868255,-0.04562467233868255,-0.04562467233868255,-0.11040360497532767,-0.11481220016968731,-0.14283657688724255,-0.1915176786783592,-0.22050859272614567,-0.2467894251883283,-0.2853926015127925,-0.33611167331370284,-0.35967399102620007,-0.36458746819945537,-0.36458746819945537,-0.3736259240790057,-0.3793121884603124,-0.384756539157748,-0.38508899371582384,-0.38875653331495064,-0.4277624575259681,-0.43357421005365526,-0.44485618434781116,-0.4501818494246443,-0.469701682080568,-0.4725087968853306,-0.4725087968853306,-0.4725087968853306,-0.4725087968853306,-0.4725087968853306,-0.4725087968853306,-0.4725087968853306,-0.4725087968853306,-0.4725087968853306,-0.4725087968853306,-0.4725087968853306,-0.4725087968853306,-0.4725087968853306,-0.4725087968853306,-0.46373094249066155,-0.4028210204716847,-0.36963790234449984,-0.3576505667421845,-0.3576505667421845,-0.34476926139719744,-0.3057310289528532,-0.2503693367726799,-0.2503693367726799,-0.24707866673301043,-0.19926339780519425,-0.12716650316371458,-0.12716650316371458,-0.11757588368534927,-0.11575458410421183,-0.10920228248782755,-0.08079085104502272,-0.06451938192470166,-0.055574835666122493,-0.055574835666122493,-0.04507471808186565,-0.04507471808186565,-0.04507471808186565,-0.04507471808186565,-0.04507471808186565,-0.04507471808186565,-0.04507471808186565,-0.04507471808186565,-0.04507471808186565,-0.04507471808186565,-0.04507471808186565,-0.04507471808186565,-0.05666735032672305,-0.0660784192493961,-0.07111142559004086,-0.07650401839674069,-0.07705972697873992,-0.07670577241866693,-0.07911487087507774,-0.08539361658443811,-0.08539361658443811,-0.08539361658443811,-0.08539361658443811,-0.08539361658443811,-0.08539361658443811,-0.09888752712848718,-0.10593359578183047,-0.08203923153883327,-0.01830468404975498,0.010511636655970468,0.010511636655970468,0.043159749677099346,0.036156049976443116,0.0409749035458628,0.0409749035458628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0.01324953609796098,-0.00989625012294267,-0.016720456376421732,-0.020812054306216715,-0.029318155553121207,-0.03498670198254865,-0.040653090267524325,-0.04774404790913353,-0.05056583579902202,-0.05056583579902202,-0.05056583579902202,-0.05056583579902202,-0.05056583579902202,-0.05056583579902202,-0.05056583579902202,-0.05056583579902202,-0.05056583579902202,-0.05056583579902202,-0.05620702871228353,-0.05620702871228353,-0.05902634674148845,-0.061844754511461784,-0.061844754511461784,-0.06466220855887185,-0.06880360072008133,-0.07162687890361395,-0.07727007802423286,-0.08290851076274869,-0.09514452227876657,-0.11213020085156106,-0.14590541941047894,-0.17658327615476566,-0.20693168468842432,-0.22137635225574,-0.22137635225574,-0.21939426889091032,-0.21740880219525224,-0.21740880219525224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-0.21939426889091032,-0.22137635225573998,-0.22335502172356575,-0.22335502172356575,-0.22335502172356575,-0.22335502172356575,-0.22335502172356575,-0.22335502172356575,-0.22335502172356575,-0.22335502172356575,-0.22335502172356575,-0.22137635225573998,-0.22609000964450016,-0.2320262451350933,-0.2339978746673521,-0.2339978746673521,-0.23471460943902753,-0.2287563210589106,-0.2287563210589106,-0.22946958583123178,-0.23017577322149857,-0.22614338817463808,-0.2288777467904917,-0.2288777467904917,-0.2288777467904917,-0.2288777467904917,-0.23292377099981776,-0.23422100647487226,-0.23822440738466255,-0.23751744462592098,-0.23681755767473278,-0.23412859922776327,-0.23143603022837797,-0.23143603022837797,-0.2287398921993192,-0.2287398921993192,-0.2299418328366135,-0.22725346163033391,-0.22918408464383347,-0.22918408464383347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,-0.23111117335544423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</si>
  <si>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0.7068557953704964,0.709466202713139,0.7097164911558854,0.709921542961671,0.7097913648985735,0.7094901970864637,0.7092739608188606,0.7092739608188606,0.7092739608188606,0.7112619243655165,0.7272202978661176,0.7359606868968598,0.746348887646669,0.7669990617178076,0.7735393324893047,0.7735393324893047,0.7733462856186514,0.7791773632440337,0.7829773544548996,0.7841995651245233,0.7811254065798388,0.7778364958311884,0.775490636219946,0.775490636219946,0.775490636219946,0.7693205781494085,0.7579122918600567,0.7497966513055855,0.7314955054657636,0.6887727470108452,0.6515767413341087,0.646323778045812,0.646323778045812,0.6409811116753068,0.5721191560764315,0.5575507921871873,-0.5555784795455311,-0.5585185541366164,-0.5766182109640464,-0.5829348947080181,-0.5793847994530864,-0.5736942996872888,-0.5726197277331456,-0.5726197277331456,-0.569989419469065,-0.41953235295259833,-0.40221802984495,-0.40221802984495,-0.40221802984495,-0.3608592923056826,-0.3608592923056826,-0.3608592923056826,-0.3608592923056826,-0.3608592923056826,-0.3608592923056826,-0.3608592923056826,-0.3608592923056826,-0.3608592923056826,-0.3608592923056826,-0.3608592923056826,-0.3608592923056826,-0.3608592923056826,-0.3608592923056826,-0.3608592923056826,-0.3656011295082087,-0.38297166471070276,-0.6097989625653697,-0.6362489340481099,-0.6362489340481099,-0.6907217676195048,0.9124403381768618,0.9124403381768618,0.9124403381768618,0.9124403381768618,0.9124403381768618,0.9124403381768618,0.9124403381768618,0.9124403381768618,0.9124403381768618,0.9124403381768618,0.9124403381768618,0.9124403381768618,0.9124403381768618,0.9250530013837107,0.9227827003687217,0.917339319301997,0.9110283632967505,0.9110283632967505,0.9110283632967505,0.9110283632967505,0.9110283632967505,0.9098294864838682,0.8217479878114504,0.7677946128711993,-0.6973373152779578,-0.6973373152779578,-0.6973373152779578,-0.6973373152779578,-0.6973373152779578,-0.6973373152779578,-0.6973373152779578,-0.6980980144232423,-0.37837268979938443,-0.22107163638298397,-0.20227176181784268,-0.20190612106631367,-0.20190612106631367,-0.1982780064550558,-0.1902950641971682,-0.18100100889871687,-0.1776494754682043,-0.17800939633889537,-0.17800939633889537,-0.1790726662114042,-0.1740020688550799,-0.17433910447353174,-0.17433910447353174,-0.17433910447353174,-0.17433910447353174,-0.17433910447353174,-0.17433910447353174,-0.17433910447353174,-0.17433910447353174,-0.17433910447353174,-0.17433910447353174,-0.17433910447353174,-0.178432734729043,-0.23113783298068505,-0.2603234290875391,-0.26975144545954904,-0.2695618110031958,-0.2541002572164786,-0.20391073923799324,-0.13017556088540233,-0.11187670427236546,-0.11108765921607859,-0.11108765921607859,-0.1573772803763393,-0.1546499429583183,-0.1540972869622863,-0.1540972869622863,-0.1540972869622863,-0.14158166205393458,-0.14009177477031665,-0.14009177477031665,-0.14009177477031665,-0.14009177477031665,-0.14009177477031665,-0.14009177477031665,-0.1307025927809052,-0.11860061864858656,-0.09413547424787172,-0.08738983940254609,-0.08454080368420712,-0.08276426270165572,-0.07836452489256984,-0.07110201111993432,-0.070585644725483,-0.06970329994054526,-0.06970329994054526,-0.06970329994054526,-0.07797303208132879,-0.07793697859067868,-0.08158681410065277,-0.09354151961730844,-0.10222152097984544,-0.10737125258877746,-0.11137632711242348,-0.12289595585431927,-0.12170752932832823,-0.11840738794835913,-0.11840738794835913,-0.10068825174672717,-0.09304481669913751,-0.08541454679371312,-0.08390295672714565,-0.0837471463737919,-0.006169990980744063,-0.003569973043572122,-0.013724782115874608,-0.024951845971034725,-0.04282459913209241,-0.04484675267775086,-0.04484675267775086,-0.04484675267775086,-0.04484675267775086,-0.04484675267775086,-0.04484675267775086,-0.04484675267775086,-0.04484675267775086,-0.04484675267775086,-0.04484675267775086,-0.04484675267775086,-0.04484675267775086,-0.04484675267775086,-0.04484675267775086,-0.042443981624005124,-0.047409670717322015,-0.07971053275516618,-0.1111761636849742,-0.1111761636849742,-0.2148378823159809,-0.2509414488261052,-0.2778524037099651,-0.2778524037099651,-0.280782648126331,-0.3044394362146628,-0.3308010579978346,-0.3308010579978346,-0.33441146709532343,-0.33494841766440614,-0.3372777903419659,-0.34796079329177515,-0.35422238693153973,-0.3566211408820949,-0.3566211408820949,-0.3536441409002996,-0.3536441409002996,-0.3536441409002996,-0.3536441409002996,-0.3536441409002996,-0.3536441409002996,-0.3536441409002996,-0.3536441409002996,-0.3536441409002996,-0.3536441409002996,-0.3536441409002996,-0.3536441409002996,-0.34694181540377644,-0.3393230779687313,-0.32484806287281986,-0.3145944007589471,-0.30794172393960173,-0.30460449368030823,-0.2986578163011868,-0.28970819648602913,-0.28970819648602913,-0.28970819648602913,-0.28970819648602913,-0.28970819648602913,-0.28970819648602913,-0.2766990920187881,-0.28313421234832464,-0.31195429898988325,-0.3489316117242611,-0.35950850730833817,-0.35950850730833817,-0.3732929567928123,-0.3655092350999733,-0.36050165340005125,-0.36050165340005125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-0.3498333115219264,-0.3476734733817655,-0.3474121560889906,-0.3471910688013044,-0.3542109148906051,-0.35886356057502955,-0.36349406986595834,-0.3679396749395515,-0.3702463284840796,-0.3702463284840796,-0.3702463284840796,-0.3702463284840796,-0.3702463284840796,-0.3702463284840796,-0.3702463284840796,-0.3702463284840796,-0.3702463284840796,-0.3702463284840796,-0.37484247112155233,-0.37484247112155233,-0.3771318893362959,-0.379415491711118,-0.379415491711118,-0.38169324303004737,-0.38647094818317373,-0.38871985068288023,-0.3931996374720509,-0.39765516985689164,-0.41176669631820695,-0.4245564641589974,-0.44942196634553394,-0.4713400864247777,-0.49237883586682807,-0.5043000245248427,-0.5043000245248427,-0.5051654767020776,-0.5060231386032066,-0.5060231386032066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-0.5051654767020776,-0.5043000245248427,-0.5034267954178441,-0.5034267954178441,-0.5034267954178441,-0.5034267954178441,-0.5034267954178441,-0.5034267954178441,-0.5034267954178441,-0.5034267954178441,-0.5034267954178441,-0.5043000245248427,-0.5052267846540736,-0.5025282260345716,-0.5016131886664326,-0.5016131886664326,-0.5043843408373527,-0.5071144414642899,-0.5071144414642899,-0.50982538337519,-0.5125206010714579,-0.5143125713859794,-0.5160599192483477,-0.5160599192483477,-0.5160599192483477,-0.5160599192483477,-0.5142464196605825,-0.5106538792818526,-0.5087985809983487,-0.5060505975383888,-0.5032658737815949,-0.5014100174046291,-0.49954642866538207,-0.49954642866538207,-0.4976751363026958,-0.4976751363026958,-0.4939843332831648,-0.49207660327924196,-0.49118038912783796,-0.49118038912783796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,-0.49027660036766585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</si>
  <si>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0.35500964450514283,0.35966836854050227,0.36677681466977974,0.38084001288387026,0.3923981716587233,0.4015359912073284,0.4060678885751359,0.4060678885751359,0.4060678885751359,0.41070157702449134,0.43129438955129507,0.4465941298826849,0.4577331039741361,0.46765520240510555,0.4701354108412925,0.4701354108412925,0.47179016232422394,0.48725524720494534,0.5047843380935921,0.5108950621039886,0.5199741740142947,0.5244888009996141,0.5264168354043234,0.5264168354043234,0.5264168354043234,0.5326183804093523,0.5406232972401731,0.5420380569294153,0.5375741002150393,0.5115879131619855,0.48909164472387123,0.48463684495082365,0.48463684495082365,0.48011478257624335,0.409717609219144,0.37265972617416226,-0.3455470393670656,-0.3257551677971511,-0.298276294131427,-0.2881432745621409,-0.28247647717767227,-0.26849377120820994,-0.2643342585727388,-0.2643342585727388,-0.2627856617813356,0.022635691171949354,0.05921603827959721,0.05921603827959721,0.05921603827959721,0.11868682839029808,0.11868682839029808,0.11868682839029808,0.11868682839029808,0.11868682839029808,0.11868682839029808,0.11868682839029808,0.11868682839029808,0.11868682839029808,0.11868682839029808,0.11868682839029808,0.11868682839029808,0.11868682839029808,0.11868682839029808,0.11868682839029808,0.10957642794894124,0.08107064658530748,-0.1473289351139547,-0.17465563314108185,-0.17465563314108185,-0.1874670103634137,0.27794564279339073,0.27794564279339073,0.27794564279339073,0.27794564279339073,0.27794564279339073,0.27794564279339073,0.27794564279339073,0.27794564279339073,0.27794564279339073,0.27794564279339073,0.27794564279339073,0.27794564279339073,0.27794564279339073,0.30539209349601387,0.3291092329434223,0.33896045816111836,0.3426097104135754,0.3426097104135754,0.3426097104135754,0.3426097104135754,0.3426097104135754,0.3402879000163608,0.08321988898771311,0.05825461467191728,-0.04366454562208287,-0.04366454562208287,-0.04366454562208287,-0.04366454562208287,-0.04366454562208287,-0.04366454562208287,-0.04366454562208287,-0.04096126558475301,0.2370899587878938,0.30336324074413645,0.3088488275487246,0.3124777947359275,0.3124777947359275,0.31210818776648236,0.28176042793822165,0.2622463166887311,0.25818017039792285,0.25446657162583375,0.25446657162583375,0.24330245954985147,0.21641374229883065,0.2126547440495641,0.2126547440495641,0.2126547440495641,0.2126547440495641,0.2126547440495641,0.2126547440495641,0.2126547440495641,0.2126547440495641,0.2126547440495641,0.2126547440495641,0.2126547440495641,0.20922652686501,0.28843027248552944,0.3596586765355139,0.40261018685979416,0.43345036775229295,0.44835718263958907,0.46428006246548337,0.4670484855331462,0.4699100415035647,0.4732533113285172,0.4732533113285172,0.8680425242562262,0.8767183244650711,0.8784130302615076,0.8784130302615076,0.8784130302615076,0.9275209462511337,0.9396747459091037,0.9396747459091037,0.9396747459091037,0.9396747459091037,0.9396747459091037,0.9396747459091037,0.9359263765554922,0.9326102611195947,0.9874918449877745,0.9897909707642351,0.989647339039329,0.9890766971893349,0.9888825118756903,0.9866176928396823,0.9848980210291213,0.9817282640208386,0.9817282640208386,0.9817282640208386,0.967791835931946,0.9656528777752336,0.9576411747314802,0.9491047813553608,0.9444183462739816,0.9371274286541817,0.9221489406497669,0.9041604090869791,0.8912410458089502,0.886841925411357,0.886841925411357,0.8710789025267534,0.8622371555389345,0.8528965607962457,0.8515454065922722,0.8486623249471469,0.7360689677940635,0.7243563458692608,0.7195557462708042,0.7243229128478887,0.7157500320115675,0.7139000037399161,0.7139000037399161,0.7139000037399161,0.7139000037399161,0.7139000037399161,0.7139000037399161,0.7139000037399161,0.7139000037399161,0.7139000037399161,0.7139000037399161,0.7139000037399161,0.7139000037399161,0.7139000037399161,0.7139000037399161,0.7234410115407836,0.8006810893856974,0.8592251954239805,0.8882651452511579,0.8882651452511579,0.9136383151909945,0.9151884834072126,0.915618682080647,0.915618682080647,0.91381751299407,0.9047479247481238,0.8923864385168272,0.8923864385168272,0.880234595820829,0.8747124052664806,0.8680067855868094,0.8618657104099485,0.8601638863521647,0.8546252365705379,0.8546252365705379,0.8268372290829727,0.8268372290829727,0.8268372290829727,0.8268372290829727,0.8268372290829727,0.8268372290829727,0.8268372290829727,0.8268372290829727,0.8268372290829727,0.8268372290829727,0.8268372290829727,0.8268372290829727,0.8243125285496901,0.8141218600973312,0.7718168548303298,0.7480322817684771,0.7258109622677525,0.7130569436873408,0.6996556334070043,0.6881217786699182,0.6881217786699182,0.6881217786699182,0.6881217786699182,0.6881217786699182,0.6881217786699182,0.6863125446993044,0.750947527347217,0.8383488536658502,0.9016960380008242,0.9108729675969888,0.9108729675969888,0.8964396328194664,0.8585074861624654,0.8492042174325837,0.8492042174325837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0.7812732268999761,0.740584457525676,0.7291534418123619,0.7221596166088865,0.7218643218916571,0.7216117960160596,0.7213147577284409,0.718657999254193,0.7184649680066076,0.7184649680066076,0.7184649680066076,0.7184649680066076,0.7184649680066076,0.7184649680066076,0.7184649680066076,0.7184649680066076,0.7184649680066076,0.7184649680066076,0.7180456698052887,0.7180456698052887,0.717819409317652,0.7175820791673984,0.7175820791673984,0.7173336830144519,0.7190788507882436,0.7188031158401559,0.7182183958693334,0.7175893728073827,0.7220822636550666,0.719640252947171,0.7135593067093525,0.7065929678303694,0.6983083512868009,0.6950900784754647,0.6950900784754647,0.6968993229679525,0.6986978204114153,0.6986978204114153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0.6968993229679525,0.6950900784754647,0.6932701148347381,0.6932701148347381,0.6932701148347381,0.6932701148347381,0.6932701148347381,0.6932701148347381,0.6932701148347381,0.6932701148347381,0.6932701148347381,0.6950900784754647,0.6924032122544813,0.6869027605658417,0.685048053026838,0.685048053026838,0.6859785709008807,0.6914558379209352,0.6914558379209352,0.6923488242867993,0.6932204569855674,0.6967445462800045,0.6958511132491935,0.6958511132491935,0.6958511132491935,0.6958511132491935,0.6923429410053052,0.6896855492505944,0.6860762657054397,0.6851781128679867,0.6842744353164071,0.6851991370939244,0.6861132722537457,0.6861132722537457,0.6870168266987767,0.6870168266987767,0.6841383957849747,0.6850360977733437,0.6831192915029577,0.6831192915029577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,0.6811919506886657</t>
  </si>
  <si>
    <t>small steps test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</si>
  <si>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0.6193747845815449,0.6166058343402766,0.6166058343402766,0.6166058343402766,0.6166058343402766,0.6166058343402766,0.6166058343402766,0.6166058343402766,0.6138273752748317,0.6138273752748317,0.6124671580678454,0.6124671580678454,0.6124671580678454,-0.6110974958601864,-0.6083083817455343,-0.6083083817455343,-0.6069298898884121,-0.6069298898884121,-0.6069298898884121,-0.6069298898884121,-0.6027424843142254,-0.6013458240962262,-0.6013458240962262,-0.6013458240962262,-0.6013458240962262,-0.6013458240962262,-0.6013458240962262,-0.6013458240962262,-0.598536488743345,-0.598536488743345,-0.598536488743345,-0.598536488743345,-0.5914740744920257,-0.5914740744920257,-0.5914740744920257,-0.5914740744920257,-0.5914740744920257,-0.5914740744920257,-0.5914740744920257,-0.5914740744920257,-0.5914740744920257,-0.5914740744920257,-0.5914740744920257,-0.5872130244611694,-0.5872130244611694,-0.5872130244611694,-0.5872130244611694,-0.5829331300770807,-0.5829331300770807,-0.5814833622121255,-0.577176856176099,-0.577176856176099,-0.577176856176099,-0.5743195367766628,-0.5699861035238218,-0.5699861035238218,-0.5699861035238218,-0.5656350905581585,-0.5656350905581585,-0.5627508853258193,-0.5612671510462379,-0.5612671510462379,-0.5568819007345083,-0.5539799309270671,-0.5524794748744094,-0.5524794748744094,-0.5524794748744094,-0.5524794748744094,-0.5480600092471154,-0.5451406328761246,-0.5451406328761246,-0.5451406328761246,-0.5436236401593465,-0.540695695433715,-0.540695695433715,-0.5391705044391661,-0.5391705044391661,-0.5391705044391661,-0.5362340816635996,-0.5347007394317599,-0.5347007394317599,-0.5347007394317599,-0.5347007394317599,-0.5347007394317599,-0.5347007394317599,-0.5347007394317599,-0.5347007394317599,-0.5317559291724472,-0.5317559291724472,-0.5317559291724472,-0.5317559291724472,-0.5317559291724472,-0.5272616379740984,-0.5272616379740984,-0.5272616379740984,-0.5272616379740984,-0.5272616379740984,-0.5272616379740984,-0.5257122263425882,-0.5257122263425882,-0.5211933192821012,-0.5196277701213826,-0.5166583373930855,-0.5166583373930855,-0.5166583373930855,-0.5136809371545639,-0.5136809371545639,-0.5106956153210096,-0.5106956153210096,-0.5077024179297759,-0.5077024179297759,-0.5077024179297759,-0.5077024179297759,-0.5047013911396664,-0.5047013911396664,-0.501692581230224,-0.49867603460101695,-0.49867603460101695,-0.49867603460101695,-0.49565179777092283,-0.49261991737741206,-0.49261991737741206,-0.48958044017582825,-0.4865334130386668,-0.4865334130386668,-0.48347888295485314,-0.48347888295485314,-0.48347888295485314,-0.48041689702901663,-0.47734750248076535,-0.47734750248076535,-0.4711866769659715,-0.4711866769659715,-0.4711866769659715,-0.4711866769659715,-0.4711866769659715,-0.4711866769659715,-0.4711866769659715,-0.4711866769659715,-0.4711866769659715,-0.4711866769659715,-0.4711866769659715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</si>
  <si>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-0.03930697374439624,-0.04066340903709975,-0.04066340903709975,-0.04066340903709975,-0.04066340903709975,-0.04066340903709975,-0.04066340903709975,-0.04066340903709975,-0.04201921724977024,-0.04201921724977024,-0.03923570120173779,-0.03923570120173779,-0.03923570120173779,0.036451580090692104,0.03782567317353296,0.03782567317353296,0.035031576965961445,0.035031576965961445,0.035031576965961445,0.035031576965961445,0.0336292125310912,0.030824751604074285,0.030824751604074285,0.030824751604074285,0.030824751604074285,0.030824751604074285,0.030824751604074285,0.030824751604074285,0.032225810892164426,0.032225810892164426,0.032225810892164426,0.032225810892164426,0.025182506210242643,0.025182506210242643,0.025182506210242643,0.025182506210242643,0.025182506210242643,0.025182506210242643,0.025182506210242643,0.025182506210242643,0.025182506210242643,0.025182506210242643,0.025182506210242643,0.02377644850020277,0.02377644850020277,0.02377644850020277,0.02377644850020277,0.02238776850014176,0.02238776850014176,0.019544297246149627,0.01814566891379667,0.01814566891379667,0.01814566891379667,0.019608379877073524,0.018217756976952337,0.018217756976952337,0.018217756976952337,0.01682657219833281,0.01682657219833281,0.01830610847217972,0.015417422931284503,0.015417422931284503,0.014007798154630047,0.01550410222583273,0.012597741344514926,0.012597741344514926,0.012597741344514926,0.012597741344514926,0.01118729599040955,0.012700183262235702,0.012700183262235702,0.012700183262235702,0.009776505593767963,0.011297614601908496,0.011297614601908496,0.008365413666686132,0.008365413666686132,0.008365413666686132,0.009894697496559484,0.0069540637305598695,0.0069540637305598695,0.0069540637305598695,0.0069540637305598695,0.0069540637305598695,0.0069540637305598695,0.0069540637305598695,0.0069540637305598695,0.008491475215453782,0.008491475215453782,0.008491475215453782,0.008491475215453782,0.008491475215453782,0.007071590432993275,0.007071590432993275,0.007071590432993275,0.007071590432993275,0.007071590432993275,0.007071590432993275,0.00411431606201737,0.00411431606201737,0.002718529642838695,-0.0002468983379232304,0.0013226593778081159,0.0013226593778081159,0.0013226593778081159,0.0028921966964968837,0.0028921966964968837,0.004461689413937427,0.004461689413937427,0.00603111332661194,0.00603111332661194,0.00603111332661194,0.00603111332661194,0.007600444232063661,0.007600444232063661,0.009169657929270103,0.010738730219016295,0.010738730219016295,0.010738730219016295,0.012307636904267933,0.01387635379054455,0.01387635379054455,0.015444856686292596,0.017013121403258523,0.017013121403258523,0.018581123756861814,0.018581123756861814,0.018581123756861814,0.020148839566567912,0.021716244656261107,0.021716244656261107,0.024850025995477174,0.024850025995477174,0.024850025995477174,0.024850025995477174,0.024850025995477174,0.024850025995477174,0.024850025995477174,0.024850025995477174,0.024850025995477174,0.024850025995477174,0.024850025995477174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</si>
  <si>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-0.7038930811275057,-0.7063199264441998,-0.7063199264441998,-0.7063199264441998,-0.7063199264441998,-0.7063199264441998,-0.7063199264441998,-0.7063199264441998,-0.7087358794345178,-0.7087358794345178,-0.7088954232940925,-0.7088954232940925,-0.7088954232940925,0.7090440351099463,0.7114383359573158,0.7114383359573158,0.7115813910130192,0.7115813910130192,0.7115813910130192,0.7115813910130192,0.7140859366947944,0.7142124919162994,0.7142124919162994,0.7142124919162994,0.7142124919162994,0.7142124919162994,0.7142124919162994,0.7142124919162994,0.7165684582857713,0.7165684582857713,0.7165684582857713,0.7165684582857713,0.7192432826442675,0.7192432826442675,0.7192432826442675,0.7192432826442675,0.7192432826442675,0.7192432826442675,0.7192432826442675,0.7192432826442675,0.7192432826442675,0.7192432826442675,0.7192432826442675,0.7216593781459831,0.7216593781459831,0.7216593781459831,0.7216593781459831,0.7240419332660005,0.7240419332660005,0.7241242667879165,0.7264790165210099,0.7264790165210099,0.7264790165210099,0.7287399772396863,0.7310553211946225,0.7310553211946225,0.7310553211946225,0.7333481176830072,0.7333481176830072,0.735563701146918,0.735629917229109,0.735629917229109,0.7378890282173519,0.7400702030613505,0.7401253809714368,0.7401253809714368,0.7401253809714368,0.7401253809714368,0.7423389065169815,0.7444854036528818,0.7444854036528818,0.7444854036528818,0.7445295365836494,0.7466585952930654,0.7466585952930654,0.7466972036072536,0.7466972036072536,0.7466972036072536,0.7488087582250044,0.7488418407318415,0.7488418407318415,0.7488418407318415,0.7488418407318415,0.7488418407318415,0.7488418407318415,0.7488418407318415,0.7488418407318415,0.7509358261326134,0.7509358261326134,0.7509358261326134,0.7509358261326134,0.7509358261326134,0.7530518076680502,0.7530518076680502,0.7530518076680502,0.7530518076680502,0.7530518076680502,0.7530518076680502,0.7530737711716641,0.7530737711716641,0.7551366599744225,0.7551415130172332,0.7571762585854692,0.7571762585854692,0.7571762585854692,0.7591993275598219,0.7591993275598219,0.7612106887420671,0.7612106887420671,0.7632103111145289,0.7632103111145289,0.7632103111145289,0.7632103111145289,0.7651981638405584,0.7651981638405584,0.7671742162650096,0.7691384379147111,0.7691384379147111,0.7691384379147111,0.7710907984989374,0.7730312679098746,0.7730312679098746,0.7749598162230857,0.7768764136979721,0.7768764136979721,0.778781030778231,0.778781030778231,0.778781030778231,0.780673638092313,0.782554206453874,0.782554206453874,0.7862791105027793,0.7862791105027793,0.7862791105027793,0.7862791105027793,0.7862791105027793,0.7862791105027793,0.7862791105027793,0.7862791105027793,0.7862791105027793,0.7862791105027793,0.7862791105027793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</si>
  <si>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-0.34549148814471375,-0.3453344664681952,-0.3453344664681952,-0.3453344664681952,-0.3453344664681952,-0.3453344664681952,-0.3453344664681952,-0.3453344664681952,-0.34517211930732195,-0.34517211930732195,-0.3475799460155808,-0.3475799460155808,-0.3475799460155808,0.3499824126114148,0.3498365693825958,0.3498365693825958,0.35222268714450294,0.35222268714450294,0.35222268714450294,0.35222268714450294,0.35447404514572334,0.3568382699785539,0.3568382699785539,0.3568382699785539,0.3568382699785539,0.3568382699785539,0.3568382699785539,0.3568382699785539,0.35671447033318204,0.35671447033318204,0.35671447033318204,0.35671447033318204,0.36361155228604986,0.36361155228604986,0.36361155228604986,0.36361155228604986,0.36361155228604986,0.36361155228604986,0.36361155228604986,0.36361155228604986,0.36361155228604986,0.36361155228604986,0.36361155228604986,0.3658186522497669,0.3658186522497669,0.3658186522497669,0.3658186522497669,0.36803672717889646,0.36803672717889646,0.37032305648514274,0.372512885614728,0.372512885614728,0.372512885614728,0.37243875562021855,0.37462257336349447,0.37462257336349447,0.37462257336349447,0.37679483686498144,0.37679483686498144,0.37672585392120145,0.37893286094516987,0.37893286094516987,0.38105919784415654,0.3810012512905225,0.38317378198070745,0.38317378198070745,0.38317378198070745,0.38317378198070745,0.3852765481360714,0.3852296451213602,0.3852296451213602,0.3852296451213602,0.3873674314559915,0.38732605246580554,0.38732605246580554,0.38944636745270544,0.38944636745270544,0.38944636745270544,0.3894105137632703,0.3915132920069349,0.3915132920069349,0.3915132920069349,0.3915132920069349,0.3915132920069349,0.3915132920069349,0.3915132920069349,0.3915132920069349,0.3914829647240624,0.3914829647240624,0.3914829647240624,0.3914829647240624,0.3914829647240624,0.39352018080080736,0.39352018080080736,0.39352018080080736,0.39352018080080736,0.39352018080080736,0.39352018080080736,0.3955876927440347,0.3955876927440347,0.39764149468454585,0.3996851446800764,0.39968303242556236,0.39968303242556236,0.39968303242556236,0.39967475656462415,0.39967475656462415,0.3996603172248857,0.3996603172248857,0.3996397146290197,0.3996397146290197,0.3996397146290197,0.3996397146290197,0.3996129490947435,0.3996129490947435,0.3995800210348146,0.39954093095702464,0.39954093095702464,0.39954093095702464,0.3994956794641908,0.39944426725414695,0.39944426725414695,0.3993866951197331,0.3993229639487826,0.3993229639487826,0.399253074724109,0.399253074724109,0.399253074724109,0.39917702852349035,0.3990948265196532,0.3990948265196532,0.3989119602678602,0.3989119602678602,0.3989119602678602,0.3989119602678602,0.3989119602678602,0.3989119602678602,0.3989119602678602,0.3989119602678602,0.3989119602678602,0.3989119602678602,0.3989119602678602</t>
  </si>
  <si>
    <t>gamarson@iq.usp.br</t>
  </si>
  <si>
    <t>Guilherme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</si>
  <si>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</si>
  <si>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-0.5746852080779224,-0.5395705243641246,-0.5136494253154001,-0.4948274700361382,-0.45905350862992983,-0.2975798594352975,-0.2892632464131889,-0.27811217884420913,-0.24631564845894233,-0.2261818817706783,-0.23121821817470628,-0.26109367224652574,-0.3015964639124578,-0.38186181583269824,-0.4458941392477519,-0.48667421760820384,-0.5630103623625272,0.6207949185458823,0.6952373352375905,0.7228212309758408,0.7792781347461591,0.7817032449486379,0.7852504534389243,0.7852504534389243,0.7852504534389243,0.7465190601188243,-0.700006554389585,-0.6317266650128885,-0.5519307452143347,-0.4376858193203458,-0.3059342919239519,-0.17003450152050398,-0.01818066985902079,0.016539348995721223,0.09795941822053336,0.10119516945496874,0.12439499705351867,0.1330285256674348,0.015243123192212426,-0.08670447954435463,-0.37917162049178754,-0.4268835701334706,-0.4766336830148724,-0.5077206962631484,-0.5165634304931651,-0.6289921808896233,-0.7242270069480956,0.7852991525501074,0.8213490514776606,0.8213490514776606,0.8213490514776606,-0.5112854414130358,-0.286922059948476,-0.12569759183003104,-0.007448746327801429,0.10908815149152763,0.15452877023890718,0.0682957445859635,0.035532985099591935,0.010545242654799655,0.03702826561854406,0.05865913673441946,0.05865913673441946,0.06313987894211781,0.20287945964684573,0.24428442122574684,0.289781490592875,-0.31087417931709876,-0.2668757772564939,-0.19378163362422665,-0.1406804867121586,-0.08985620769637609,-0.05776186037912447,0.0005353057082804066,0.15043713077628781,0.20342555784523025,0.27819578933822875,0.35688429148592704,0.37008912343907613,0.37323061054364154,0.37323061054364154,0.37323061054364154,0.37323061054364154,0.33149309117216286,0.23555120602970725,0.2189196597224827,0.11539525038042535,-0.02113325596324043,-0.08220388855229024,0.1412081010172329,0.22840629429179182,0.26030608787967346,0.2945694022271894,-0.3283466290146141,-0.3376190481448813,0.3399406072396086,0.3148777267130662,0.3085942838003426,0.3085942838003426,0.3085942838003426,0.3085942838003426,-0.05313314383842644,-0.18978723326594807,-0.34858181050907,-0.3773557434785958,-0.37957261609893084,-0.3255118211264585,-0.1994668932551918,-0.1994668932551918,-0.0541307112016376,0.04515308606326269,0.09103913841344193,0.11718118212286398,0.14211223223502017,-0.23662287652136607,-0.23662287652136607,-0.3477103399798174,-0.37540520602675476,-0.3823790866919529,-0.3823790866919529,-0.3823790866919529,-0.29070684618751746,-0.14075359493188747,-0.10174935337149185,-0.10711812856350188,-0.1810935605516871,-0.2902134552619847,-0.3934545650080598,-0.43997775636842323,0.4422799131174425,0.4422799131174425,0.4402151470869019,0.4402151470869019,-0.45203003130497277,-0.44510803793996917,-0.4107303223065231,-0.30694470168174837,-0.20675181467943385,-0.12180787880820061,-0.05240440099898025,-0.007710198695614259,-0.026263626320117965,-0.03707271146499631,-0.08114752157067952,-0.12550553368954354,-0.12550553368954354,-0.08434568215761952,0.11846331615443749,0.13616399067491633,0.14495747036486725,0.14447420543959721,0.14447420543959721,0.11692471261484993,0.04417275823905521,-0.015967629994694303,-0.13915218246462327,-0.2382415806930954,-0.26227164296022765,-0.3012992451026721,-0.36190353372478457,-0.3876672127760834,-0.4093018382509068,-0.41185332207183756,-0.41506138953280164,-0.420693371607656,-0.4269927834193307,-0.42659765570824737,-0.4359259869006609,-0.44513331583479016,-0.48415695694459215,-0.4976751298172423,-0.532243113078255,-0.5614974973486472,-0.6540851459214154,-0.6631967164734068,-0.6839516896111075,-0.730575802650654,-0.7683073686711713,0.8004772198067187,0.8218882094407237,0.8005651524129364,0.7595984641017659,0.7310611367966408,0.7184329871752223,0.7184329871752223,0.7184329871752223,0.7184329871752223,0.7184329871752223,0.7184329871752223,0.7184329871752223,0.7184329871752223,0.7184329871752223,0.7184329871752223,0.7184329871752223,-0.6175619925307354,-0.574306298351265,-0.5417378711118103,-0.5197403272089782,-0.4879844247090367,-0.4472271656866229,-0.443670737125084,-0.4203885010259642,-0.3860256441716152,-0.382138419531659,-0.3742934951990615,-0.3723177581087028,-0.3723177581087028,-0.3692223175153579,-0.3709260775025996,-0.37576198076920764,-0.3737584691311082,-0.3745183010587703,-0.3772716840916085,-0.3934682823291193,-0.3981783001143695,-0.41334778321174964,-0.42181789066628517,-0.42181789066628517,-0.42181789066628517,-0.42181789066628517,-0.43208258800792576,-0.43486240634802975,-0.43486240634802975,-0.4367107917745166,-0.4431695001718919,-0.4495850549856784,-0.4523669210265331,-0.4523669210265331,-0.4523669210265331,-0.4523669210265331,-0.4523669210265331,-0.46657538021052114,-0.4735077985097976,-0.4926665876547199,-0.494314208190165,-0.494314208190165,-0.5133355893819329,-0.5249516738389804,-0.5249516738389804,-0.5249516738389804,-0.5261710809405182,-0.5257820948091689,-0.5269572413722035,-0.5269572413722035,-0.5281161352920146,-0.5281161352920146,-0.5265109011577095,-0.5265109011577095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-0.5248975475744675,-0.48616739483794197,-0.4816619303245589,-0.4816619303245589,-0.4869342413691172,-0.4902519497174517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-0.49353941701803655,-0.4995223041696487,-0.49786185616084666,-0.50181374398391,-0.50181374398391,-0.5095974683539927,-0.5095974683539927,-0.5095974683539927,-0.5095974683539927,-0.5095974683539927,-0.5095974683539927,-0.5095974683539927,-0.5095974683539927,-0.5095974683539927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-0.5123531456943955,-0.5106887155584746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,-0.5090164099712768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</si>
  <si>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-0.07153913351998302,-0.12959964950768976,-0.15945380951592203,-0.17854547355478395,-0.20165816823115545,-0.17680296343750002,-0.16948770530345486,-0.15969761218248832,-0.12200869317945551,-0.06961217129935551,-0.03395431123212438,0.044889045676188885,0.10865764173603142,0.20306256309923745,0.2800316268971851,0.31531610183652925,0.3666359604144032,-0.344992140822408,-0.2960111550126683,-0.26989510752224705,-0.20962148500821368,-0.205675981595263,-0.19973401450322928,-0.19973401450322928,-0.19973401450322928,-0.17516449393662092,0.15050538785457654,0.1130978862526908,0.05315442414150271,0.00023150533853165208,0.00864376188160809,0.13041930939023966,0.42254154548941963,0.4872150530693076,0.6202883931010144,0.625452782797328,0.6669415479681704,0.6851562935003777,0.655701588470158,0.5811907651619984,0.15458632836895983,0.04462818462172021,-0.07701766499377923,-0.20650191972485837,-0.2313094290796618,-0.2772304947642936,-0.2707397175409913,0.23147564359863806,0.19162864032564905,0.19162864032564905,0.19162864032564905,0.18674462811025447,0.162027936303675,0.08097382295818784,-0.029956480018749718,-0.1564785563804086,-0.26136932210343333,-0.4483437354639626,-0.516144868218407,0.6248138827998593,0.7014570843284366,0.7618873368573326,0.7618873368573326,0.7642244589118079,0.7247497811729474,0.713979051778875,0.6764501527975214,-0.5576736574995766,-0.46176895087607517,-0.37929350912791504,-0.31606761014804285,-0.24271345302996897,-0.18617220232376397,-0.1718622983771868,-0.21423881484922316,-0.23601902321648358,-0.29283240065983507,-0.4049839053527342,-0.459959294781027,-0.4631440629260446,-0.4631440629260446,-0.4631440629260446,-0.4631440629260446,-0.48107683858959416,-0.5050221934210046,-0.5060902743495987,-0.5210067905380589,-0.555190715736717,-0.5811227281743453,0.6171310629578489,0.6831877182438246,0.6955926526578827,0.6566089081768821,-0.5522735638021866,-0.47144474866039326,0.34931037950771965,0.19313693318227304,0.15994410805475792,0.15994410805475792,0.15994410805475792,0.15994410805475792,0.08042801717901932,0.15949588454497376,0.24470890801200773,0.2575635081435929,0.26025870287146874,0.43928303952361747,0.5838443307652182,0.5838443307652182,0.5853545223777109,0.5422403658054082,0.49237541902741916,0.4544713657556632,0.4223365312944627,0.07936065447091441,0.07936065447091441,-0.03054386724684434,-0.05360816121495523,-0.05561070697319477,-0.05561070697319477,-0.05561070697319477,0.16263990618438795,0.5205323803991528,0.6962126604919113,0.704645073516204,0.7419714432350091,0.6963900089101953,0.587675008460414,0.4892805342580327,-0.4161563292689026,-0.4161563292689026,-0.4138111776837845,-0.4138111776837845,0.47955848691490677,0.5695928651800122,0.6644065797366218,0.7424892394113455,0.7593996268854252,0.7375490258088457,0.6530630274440752,0.5287183568183618,0.46300463399510483,0.4295935555058645,0.37170624850492245,0.3348840453885214,0.3348840453885214,0.3875298149273966,0.6413242136726351,0.7023564282640364,0.7477091459785025,0.7589615939843197,0.7589615939843197,0.7258638363377984,0.6139285781547921,0.5548569323473639,0.45656797790611947,0.35930288774062524,0.32172249384917856,0.24760629565431513,0.1234852416494827,0.06409463331205054,0.019083371038494973,0.008065530872801556,0.004150515024428753,-0.010770655482933917,-0.01861894911191654,-0.022147355262744247,-0.03394998500435021,-0.04574319107088818,-0.0685163982854854,-0.07034344716387894,-0.06481565957162433,-0.06855302781478448,-0.07769101781802201,-0.07583636462018,-0.07239514254798603,-0.07739337351254579,-0.10534547987732765,0.1402820117268959,0.1984706781657855,0.2255791490232126,0.23482302579837896,0.23544897701373904,0.23687340264461576,0.23687340264461576,0.23687340264461576,0.23687340264461576,0.23687340264461576,0.23687340264461576,0.23687340264461576,0.23687340264461576,0.23687340264461576,0.23687340264461576,0.23687340264461576,-0.18284350537438349,-0.15924340635277556,-0.14544069046580455,-0.1448574415252365,-0.15422111187694545,-0.19742447977168645,-0.203282841307493,-0.22117028937698277,-0.24852081349296135,-0.25431522208869456,-0.26585662074175004,-0.26873183189503447,-0.26873183189503447,-0.279314628114756,-0.2889897556519798,-0.3177964720872322,-0.3205659954794354,-0.32532869655012747,-0.3273334136261587,-0.3222640433607077,-0.32146993605107,-0.31155185218558207,-0.3051427946070153,-0.3051427946070153,-0.3051427946070153,-0.3051427946070153,-0.29590576473008007,-0.29775979912658285,-0.29775979912658285,-0.2949810379323195,-0.29124593026045653,-0.28750203422098936,-0.2893085164720723,-0.2893085164720723,-0.2893085164720723,-0.2893085164720723,-0.2893085164720723,-0.2669423349930892,-0.2556590643557266,-0.2363280009300745,-0.23348194411301038,-0.23348194411301038,-0.23313445634139027,-0.2322700493008317,-0.2322700493008317,-0.2322700493008317,-0.23664507453091038,-0.2437985937990886,-0.24816320748520326,-0.24816320748520326,-0.25252016721430637,-0.25252016721430637,-0.25527013484455285,-0.25527013484455285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-0.2580161658937705,-0.2720954379231598,-0.2731354376844658,-0.2731354376844658,-0.22625983673500624,-0.22052630991379923,-0.21477917999183552,-0.21477917999183552,-0.21477917999183552,-0.21477917999183552,-0.21477917999183552,-0.21477917999183552,-0.21477917999183552,-0.21477917999183552,-0.21477917999183552,-0.21477917999183552,-0.21477917999183552,-0.21477917999183552,-0.21477917999183552,-0.21477917999183552,-0.21477917999183552,-0.23732690244652618,-0.24014648187201354,-0.2462834736486812,-0.2462834736486812,-0.25850767321604406,-0.25850767321604406,-0.25850767321604406,-0.25850767321604406,-0.25850767321604406,-0.25850767321604406,-0.25850767321604406,-0.25850767321604406,-0.25850767321604406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-0.26017015886526984,-0.26291987957352125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,-0.2656655457322238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</si>
  <si>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0.6891455094453658,0.6785273301299146,0.6737146356200265,0.6703855429288444,0.6688840932809613,0.7041994791746431,0.7076563102847828,0.7121125579498628,0.7265694858397336,0.7410055127163703,0.7471235317720727,0.7531888561744421,0.7491563683832142,0.7252838455088042,0.6943848488657186,0.6683772043044331,0.6078876612223186,-0.5504602783118029,-0.4588283755354673,-0.4158595715678908,-0.3118380384155708,-0.3057080475438843,-0.2964778218860352,-0.2964778218860352,-0.2964778218860352,-0.3074102872443975,0.3202058913675684,0.33181525100048653,0.3254407575516804,0.32432461284900377,0.34464962671868815,0.3873397212518762,0.4207456283564572,0.42081334398090375,0.41237757845485445,0.4115954962209561,0.40184192739412866,0.3956020067922261,0.32109512207120433,0.2615770365230515,0.038185075274969386,-0.016237358306886985,-0.07561474153066233,-0.13943652670740636,-0.1499889088002648,-0.1282922826987272,-0.06816357058909167,-0.010355737876337132,-0.0791603837846508,-0.0791603837846508,-0.0791603837846508,0.6313125823677839,0.7367655999481635,0.7749673637324198,0.7809346735352665,0.7649467816018404,0.7463558337016771,0.7318131262798134,0.7149376752163153,-0.6689324043141529,-0.6201069139250249,-0.5707420542446527,-0.5707420542446527,-0.570263748184126,-0.6426888340174529,-0.6492855586888342,-0.6762248178417891,0.7687740380216855,0.8444845100324201,0.9039339328633811,0.9377292232193407,0.9655811960418019,0.9805310157127249,0.985019461977882,0.9650708183267682,0.9500334320228989,0.9144890944397741,0.8417130315981632,0.8071178003191031,0.8038457779176507,0.8038457779176507,0.8038457779176507,0.8038457779176507,0.8107117372503776,0.8236544690549561,0.8261309943322378,0.8257268703678536,0.7883363186657545,0.7541600323075689,-0.7061130602231623,-0.6065770850768615,-0.5717889962382913,-0.5639646561970781,0.5745273923816028,0.582319827482564,-0.5867858586052054,-0.5849429717741385,-0.5824055058602786,-0.5824055058602786,-0.5824055058602786,-0.5824055058602786,-0.6157956120749705,-0.6049016659521324,-0.5727233108648129,-0.5652643821297747,-0.5637781549055031,-0.45766263678880426,-0.31227361503534606,-0.31227361503534606,-0.2179582823832712,-0.157607220627132,-0.13063605926114466,-0.11450441765562658,-0.09895871752757437,-0.22355059144104528,-0.22355059144104528,-0.25108945563236557,-0.2551851937267333,-0.2547562900423472,-0.2547562900423472,-0.2547562900423472,-0.1771833389564438,-0.028762825601996535,0.016992935379776433,0.01272203972357878,-0.05968847976364639,-0.19932216945748413,-0.3638266844100611,-0.4651952519937344,0.5249213035253524,0.5249213035253524,0.5266540806992622,0.5266540806992622,-0.47404032174744404,-0.38827458327988196,-0.273402551283719,-0.09852627397091121,0.03443310636400605,0.13561832209052002,0.21642115922329874,0.27499862023081784,0.27583761056486067,0.27459384467654707,0.25941868851594707,0.24147160102249696,0.24147160102249696,0.25855113638888266,0.30518730406287237,0.28628397855489746,0.26548275564282603,0.2572837236870609,0.2572837236870609,0.25067561874403443,0.23567186149386954,0.2075073595016438,0.13664739936000045,0.07225982122772998,0.053464772578057713,0.019306265508481888,-0.036875360635094,-0.06346624798267105,-0.08347668973531522,-0.08839503989552569,-0.0900286914926288,-0.09658074972401005,-0.09978030758065626,-0.10145633059255327,-0.1061514140820576,-0.11081703256784577,-0.11685646849489507,-0.11576584342635887,-0.10691341751953161,-0.10455635298170916,-0.09282515340776305,-0.0893457264636846,-0.082085579619805,-0.07740691725731401,-0.09861372437789236,0.128095898362573,0.19056811024043527,0.24536572046020264,0.2948919650914284,0.3217168678654066,0.33396509747581343,0.33396509747581343,0.33396509747581343,0.33396509747581343,0.33396509747581343,0.33396509747581343,0.33396509747581343,0.33396509747581343,0.33396509747581343,0.33396509747581343,0.33396509747581343,-0.37010841791838556,-0.3808589318957972,-0.38961076006204337,-0.39922705322126323,-0.4170870769476214,-0.45106695118648404,-0.4545655169495863,-0.47072014018008707,-0.49342598932505255,-0.49644257796583396,-0.5023837023144634,-0.5038496719225157,-0.5038496719225157,-0.5071303989862989,-0.5078052357582344,-0.5094535678394055,-0.5109252496487804,-0.5111371209401422,-0.5098556202748269,-0.4999971256444218,-0.4971787553419331,-0.4867146994935111,-0.48059508604835494,-0.48059508604835494,-0.48059508604835494,-0.48059508604835494,-0.4727082200547734,-0.4715425589826888,-0.4715425589826888,-0.4698312268617492,-0.4652357961242858,-0.46058263346708356,-0.45945006717750014,-0.45945006717750014,-0.45945006717750014,-0.45945006717750014,-0.45945006717750014,-0.4450141683697753,-0.4376306207509252,-0.42053156475247044,-0.4185936300588401,-0.4185936300588401,-0.4080210874352747,-0.4012131757722946,-0.4012131757722946,-0.4012131757722946,-0.4023563406865696,-0.40554399166437327,-0.40664507857655346,-0.40664507857655346,-0.40773362356528753,-0.40773362356528753,-0.4098043815084822,-0.4098043815084822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-0.41186881976153844,-0.4401727040360814,-0.44313271742697036,-0.44313271742697036,-0.42434029825204583,-0.42050287744151066,-0.41663951803429494,-0.41663951803429494,-0.41663951803429494,-0.41663951803429494,-0.41663951803429494,-0.41663951803429494,-0.41663951803429494,-0.41663951803429494,-0.41663951803429494,-0.41663951803429494,-0.41663951803429494,-0.41663951803429494,-0.41663951803429494,-0.41663951803429494,-0.41663951803429494,-0.4218499017337385,-0.4238082634114115,-0.42386094623002557,-0.42386094623002557,-0.4238571742044327,-0.4238571742044327,-0.4238571742044327,-0.4238571742044327,-0.4238571742044327,-0.4238571742044327,-0.4238571742044327,-0.4238571742044327,-0.4238571742044327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-0.4228387513842126,-0.4248474919030806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,-0.4268496807484522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</si>
  <si>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0.4355428001964129,0.4813192727822956,0.5068010854915311,0.523307283154679,0.5488150227134024,0.6199113105181645,0.6219511544643995,0.6245366229868683,0.6297136352021271,0.6284160501527737,0.6222472728789499,0.6020976788077995,0.5796531942107621,0.5356402640956741,0.4905001388252149,0.4658281599519805,0.4231666288084199,-0.438848007719387,-0.46743872925045904,-0.48140099264697683,-0.5015390907263628,-0.5031699683988509,-0.5055580579459685,-0.5055580579459685,-0.5055580579459685,-0.5634941066591124,0.6203282511476201,0.6913963610262572,0.7659212577057265,0.8385968134160177,0.887437957948719,0.8966866857332972,0.8025591702783162,0.7650255365182776,0.6599931776569863,0.6551011384974713,0.6150105053493373,0.5969617383530839,0.6831698153864356,0.7656873263161479,0.9115228188703124,0.9030587416567567,0.8724511575772218,0.8247024352794078,0.8106549805761256,0.7148798356034454,0.6305148494661897,-0.5741228319076981,-0.5314111717707449,-0.5314111717707449,-0.5314111717707449,0.5524111373018822,0.5904228400943826,0.6140593949719269,0.6238494699471945,0.6151996894620879,0.5922498679874195,0.5086974880478903,0.47031479089861117,-0.4025243448245091,-0.34936267930778164,-0.300566630101558,-0.300566630101558,-0.2945735724655553,-0.14327854749561766,-0.09480136309920442,-0.0340862761946577,-0.03665807999331173,-0.04891490402580256,-0.038581827607016235,-0.031211702840212865,-0.025864947461322407,-0.023715096306634417,-0.01413235186061268,0.010426673002413425,0.018696019204218622,0.023790419689406515,0.01186639514189194,-0.0056872018328344345,-0.005334196616347761,-0.005334196616347761,-0.005334196616347761,-0.005334196616347761,-0.037734400250154274,-0.1051738042289258,-0.11599309030871931,-0.1827867499447875,-0.2642773227590067,-0.2945870689217936,0.3171968939348237,0.33637679204776155,0.34849525959753624,0.4050154016019484,-0.5070509612880796,-0.5697866669297889,0.6466103915486425,0.7220746928351632,0.7348409875938825,0.7348409875938825,0.7348409875938825,0.7348409875938825,0.7819871912171623,0.7567270600624809,0.7004257854432785,0.6868332115091135,0.6858164686990375,0.7011543170952776,0.722373826547717,0.722373826547717,0.7790533591335702,0.8240731451250973,0.8556941872159871,0.875564438863191,0.8897433000639212,0.942197767931478,0.942197767931478,0.9028392309348143,0.889425439956497,0.8864496127893713,0.8864496127893713,0.8864496127893713,0.926090629955991,0.8416692737252139,0.710384572331378,0.7013124671697106,0.6427447278149958,0.6253701133230765,0.6061862200813792,0.5921296397071049,-0.5963723779380637,-0.5963723779380637,-0.5980020173728742,-0.5980020173728742,0.5839334566402985,0.5715642137818698,0.5613515334371278,0.5871858758564199,0.615938515599699,0.6502245349892749,0.7238261827137495,0.8029777150522358,0.841932624043897,0.8594610006266793,0.8876663160298449,0.9021044856651315,0.9021044856651315,0.8808278823446262,0.6939239188280683,0.6373353112314141,0.5911321944047763,0.5804391340572199,0.5804391340572199,0.6297714163442174,0.7520633231679372,0.8054933365156278,0.868049445546851,0.8994003014932989,0.9082123872440753,0.9206178117791449,0.9232645531754761,0.9173756294375908,0.9083718800277046,0.9069168127408359,0.9053185355731175,0.9019829482027892,0.8985401425984745,0.8984600980465325,0.8930553228950967,0.8874026577024833,0.8644316687737874,0.8567202192654692,0.8373086169444056,0.8179786133511018,0.7466727653598868,0.7392132995440205,0.721270398139313,0.6740010619267698,0.623603600438059,-0.568461624543858,-0.4987914959681244,-0.4980011520981217,-0.5300066497824751,-0.553725248132731,-0.5623276160086875,-0.5623276160086875,-0.5623276160086875,-0.5623276160086875,-0.5623276160086875,-0.5623276160086875,-0.5623276160086875,-0.5623276160086875,-0.5623276160086875,-0.5623276160086875,-0.5623276160086875,0.6694812894396815,0.7069372583210047,0.7304591297286555,0.7412854199859376,0.751082831741022,0.7466927364091023,0.7451191543969238,0.7434916011165681,0.7387505670801706,0.7367759244943166,0.7326904205107736,0.73164075722093,0.73164075722093,0.7269642200230321,0.7218258853028635,0.7058791669634432,0.704625743615981,0.7018804207057378,0.7004042826687261,0.7009504058812507,0.7006599794265344,0.7036958539103382,0.7056811640389973,0.7056811640389973,0.7056811640389973,0.7056811640389973,0.7087251612808174,0.7070229166281307,0.7070229166281307,0.7081867620011143,0.7087540167284498,0.7092809714075492,0.7075099906208296,0.7075099906208296,0.7075099906208296,0.7075099906208296,0.7075099906208296,0.7162482770101406,0.7203528630777504,0.7242802720162137,0.7252027428441614,0.7252027428441614,0.7180903077945255,0.7137957354300628,0.7137957354300628,0.7137957354300628,0.710811140452548,0.7068589005343203,0.7038258792382631,0.7038258792382631,0.7007711502399323,0.7007711502399323,0.699774105061757,0.699774105061757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0.6987662685018627,0.7041685362748389,0.7050051150897532,0.7050051150897532,0.7291343100844232,0.7308888441462508,0.7325982935440637,0.7325982935440637,0.7325982935440637,0.7325982935440637,0.7325982935440637,0.7325982935440637,0.7325982935440637,0.7325982935440637,0.7325982935440637,0.7325982935440637,0.7325982935440637,0.7325982935440637,0.7325982935440637,0.7325982935440637,0.7325982935440637,0.7184678624819689,0.7175303445073016,0.7126495037656095,0.7126495037656095,0.7027298905063406,0.7027298905063406,0.7027298905063406,0.7027298905063406,0.7027298905063406,0.7027298905063406,0.7027298905063406,0.7027298905063406,0.7027298905063406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0.7007232926490381,0.6996962064710185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,0.6986583301125728</t>
  </si>
  <si>
    <t>Coord correta</t>
  </si>
  <si>
    <t>1673007423790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</si>
  <si>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0.6289868490228794,0.6289868490228794,0.6330083134934796,0.6445791761388681,0.6553993739067785,0.6654563057968492,0.6747382596939134,0.6832344260077101,0.6909349102615308,0.6978307446151429,0.7039138983085689,0.7091772870145592,0.7136147810888677,0.7172212127087214,0.7199923818911697,0.7219250613843065,0.7230170004256673,-0.723266927363426,-0.7226745511373353,-0.7212405616176918,-0.7189666288019244,-0.7158554008697477,-0.7119105010991401,-0.7053618915824447,-0.6994912915903126,-0.6928060770959813,-0.6853140335754714,-0.6770238861228279,-0.6679452892890387,-0.658088815838525,-0.647465944436296,-0.6360890462801118,-0.6239713706932151,-0.6111270296944181,-0.5975709815635091,-0.583319013421118,-0.5683877228433307,-0.5527944985324622,-0.5365575000664976,-0.5196956367507871,-0.5022285455966222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,-0.4902575975335792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</si>
  <si>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-0.033206902845136,-0.033206902845136,-0.029817202815307784,-0.019626708095124106,-0.00941335647702487,0.0008109577603274668,0.011034327571408601,0.0212448470105555,0.03143062509740838,0.04157979966492471,0.05168055117383707,0.0617211164774685,0.07168980252087334,0.08157499995835064,0.09136519667347168,0.10104899118587579,0.11061510592922152,-0.12005240038483092,-0.1293498840557263,-0.13849672926596268,-0.14748228377033368,-0.15629608315977872,-0.16492786304803816,-0.17613641891391282,-0.18430478219523092,-0.19225850756724835,-0.19998833226985302,-0.2074852542934731,-0.21474054286264985,-0.2217457486037354,-0.22849271338487553,-0.23497357981681827,-0.24118080040348208,-0.24710714633162928,-0.25274571588940703,-0.25808994250395223,-0.26313360238869926,-0.26787082179148625,-0.27229608383501674,-0.27640423494171223,-0.2801904908354724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,-0.2825336376897219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</si>
  <si>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-0.6919030709079023,-0.6919030709079023,-0.6847097398865853,-0.66260188157602,-0.639722369481618,-0.6160978486561189,-0.5917558317755254,-0.566724667098353,-0.541033505451779,-0.514712266283132,-0.4877916028162628,-0.46030286635337114,-0.4322780697638654,-0.4037498502027714,-0.37475143110211173,-0.34531658347951616,-0.3154795866091254,0.2852751881005886,0.254738563432643,0.2239052749884124,0.1928112306401164,0.16149264193143345,0.12998598190621308,0.08774799109647094,0.055945487899387664,0.024077831631317888,-0.007817865230057635,-0.039704457551506506,-0.07154481080277357,-0.1033018443027617,-0.13493857440300097,-0.16641815755811562,-0.1977039332331285,-0.22875946659763677,-0.25954859095713495,-0.290035449872072,-0.3201845389155922,-0.3499607470213273,-0.3793293973730895,-0.40825628778884426,-0.43670773055193307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,-0.45539483504230244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</si>
  <si>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-0.35290648311970335,-0.35290648311970335,-0.359977751491472,-0.3809084201608106,-0.4013954899936756,-0.42141510213093025,-0.4409439421059451,-0.45995926699619055,-0.47843893190922004,-0.4963614157721981,-0.5137058463949405,-0.5304520247772777,-0.5465804486324323,-0.5620723350990193,-0.5769096426152155,-0.5910750919296254,-0.6045521862243751,0.6173252303269986,0.6293793489887426,0.6407005042080033,0.6512755115787214,0.6610920556446954,0.6701387042419316,0.6809852082783813,0.6881960350314309,0.6946054015272438,0.7002058435372296,0.7049908388911558,0.7089548150727449,0.7120931557093233,0.7144022059479629,0.7158792767118537,0.7165226478319539,0.7163315700502655,0.7153062658924066,0.713447929408462,0.7107587247824154,0.70724178381178,0.7029012022603669,0.6977420350884339,0.6917702905657737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,0.6873410913449087</t>
  </si>
  <si>
    <t>Teste Raimundo</t>
  </si>
  <si>
    <t>1677682000374,1677682000377,1677682000378,1677682000487,1677682000611,1677682000704,1677682000811,1677682000906,1677682001015,1677682001111,1677682001221,1677682001316,1677682001407,1677682001517,1677682001606,1677682001717,1677682001817,1677682001924,1677682002014,1677682002112,1677682002222,1677682002314,1677682002421,1677682002516,1677682002607,1677682002714,1677682002807,1677682002916,1677682003015,1677682003122,1677682003213,1677682003308,1677682003416,1677682003509,1677682003618,1677682003712,1677682003819,1677682003918,1677682004035,1677682004117,1677682004210,1677682004319,1677682004416,1677682004525,1677682004617,1677682004725,1677682004818,1677682004940,1677682005007,1677682005116,1677682005206,1677682005318,1677682005413,1677682005507,1677682005616,1677682005712,1677682005804,1677682005916,1677682006009,1677682006119,1677682006212,1677682006320,1677682006414,1677682006522,1677682006617,1677682006711,1677682006821,1677682006913,1677682007022,1677682007113,1677682007208,1677682007319,1677682007412,1677682007521,1677682007614,1677682007722,1677682007816,1677682007910,1677682008017,1677682008110,1677682008218,1677682008311,1677682008421,1677682008513,1677682008622,1677682008715,1677682008807,1677682008917,1677682009009,1677682009122,1677682009213,1677682009323,1677682009412,1677682009521,1677682009614,1677682009711,1677682009820,1677682009911,1677682010023,1677682010114,1677682010221,1677682010316,1677682010409,1677682010519,1677682010614,1677682010708,1677682010820,1677682010913,1677682011020,1677682011114,1677682011208,1677682011316,1677682011410,1677682011520,1677682011614,1677682011723,1677682011815,1677682011909,1677682012021,1677682012115,1677682012224,1677682012321,1677682012420,1677682012510,1677682012612,1677682012712,1677682012810,1677682012920,1677682013015,1677682013121,1677682013221,1677682013317,1677682013415,1677682013521,1677682013610,1677682013712,1677682013822,1677682013912,1677682014020,1677682014114,1677682014208,1677682014323,1677682014423,1677682014505,1677682014613,1677682014713,1677682014825,1677682014913,1677682015023,1677682015114,1677682015222,1677682015316,1677682015411,1677682015521,1677682015614,1677682015709,1677682015819,1677682015913,1677682016023,1677682016114,1677682016209,1677682016315,1677682016409,1677682016519,1677682016614,1677682016721,1677682016814,1677682016909,1677682017016,1677682017111,1677682017221,1677682017314,1677682017409,1677682017517,1677682017611,1677682017720,1677682017813,1677682017920,1677682018013,1677682018123,1677682018216,1677682018311,1677682018416,1677682018509,1677682018619,1677682018712,1677682018821,1677682018916,1677682019008,1677682019118,1677682019210,1677682019318,1677682019411,1677682019520,1677682019613,1677682019725,1677682019819,1677682019912,1677682020021,1677682020114,1677682020222,1677682020314,1677682020424,1677682020516,1677682020610,1677682020720,1677682020810,1677682020919,1677682021014,1677682021107,1677682021217,1677682021309,1677682021419,1677682021509,1677682021620,1677682021719,1677682021809,1677682021920,1677682022011,1677682022129,1677682022215,1677682022308,1677682022416,1677682022508,1677682022636,1677682022709,1677682022836,1677682022911,1677682023010,1677682023113,1677682023222,1677682023314,1677682023424,1677682023520,1677682023613,1677682023764,1677682023835,1677682023910,1677682024021,1677682024133,1677682024209,1677682024316,1677682024413,1677682024518,1677682024613,1677682024712,1677682024813,1677682024907,1677682025015,1677682025121,1677682025216,1677682025313,1677682025422,1677682025511,1677682025620,1677682025742,1677682025807,1677682025923,1677682026010,1677682026104,1677682026213,1677682026339,1677682026415,1677682026517,1677682026619,1677682026732,1677682026821,1677682026924,1677682027009,1677682027118,1677682027211,1677682027305,1677682027414,1677682027507,1677682027616,1677682027710,1677682027819,1677682027912,1677682028023,1677682028116,1677682028210,1677682028319,1677682028414,1677682028508,1677682028619,1677682028713,1677682028821,1677682028915,1677682029010,1677682029120,1677682029213,1677682029320,1677682029414,1677682029522,1677682029617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</si>
  <si>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</si>
  <si>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-0.5981766459704413,-0.5435476532273351,-0.4726448209990582,-0.3759937749758555,-0.3187044295714485,-0.23999590709100235,-0.22499197944677757,-0.3406337258182882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-0.3849507504690811,-0.3646567717862996,-0.16590192933319436,0.1471363327287388,0.23603232568023003,0.28442683065643853,0.17377738676042412,0.08702415924529462,-0.03523569266975727,0.18501714865065774,0.2879484435237746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0.2839394096078443,-0.38111581898029145,-0.4643805597067937,0.5372096583742416,0.5754396668619329,0.5945832617052732,0.5526169456299523,0.4735304223812775,0.4417098974611088,0.4596297130217509,0.6249213774305743,0.7356238478258116,0.7539510184203487,0.7539510184203487,0.7539510184203487,0.8019793880606775,0.9006621266364158,0.9014499773690643,0.8873279872719273,0.8834461878351055,0.8834461878351055,0.8834461878351055,0.7658382494039849,-0.6034140440882796,-0.5904230068725935,-0.5904230068725935,-0.5986727337078539,0.6461955170960545,0.6537876822505273,0.6666867235240456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0.6727236612627394,0.6685172342423757,-0.5845771843284944,-0.4859384144842554,-0.3933126209160059,-0.2702001410898525,-0.15070379398032693,-0.01813509866022842,0.09889388666501961,0.1280050786000331,0.1170292691710833,0.1170292691710833,0.1170292691710833,0.45499913315844875,0.6787668227473841,0.8501575517295741,0.8668928445178602,0.8675091260145243,0.8675091260145243,0.8675091260145243,0.8675091260145243,0.8675091260145243,0.8675091260145243,0.8675091260145243,0.8363032073606312,0.8248840207032484,0.8248840207032484,0.8248840207032484,0.4419366740626845,0.4285131956624088,0.4285131956624088,0.15812110691490266,-0.07747895147454438,-0.07747895147454438,-0.1415678059718201,-0.4224923145895765,-0.4224923145895765,-0.3494486340100176,-0.2174411008628717,-0.2174411008628717,-0.23651128356566026,-0.32304770969411517,-0.3231242674266571,-0.3231242674266571,-0.6782946338359788,-0.7002525275741645,-0.6337725717000711,-0.6154013569806205,-0.6154013569806205,-0.6154013569806205,0.601004886899441,0.56915246555577,0.6532522485528868,0.7129720031102037,0.6924002342469622,0.5288638942781265,0.525640868036684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,0.5447884223905749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</si>
  <si>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-0.026457092789018193,-0.10168579603973425,-0.1498784297460284,-0.1723422948802276,-0.14526842697714756,-0.08798879697476751,-0.07628583309485795,-0.24596369088220027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-0.29661261654230986,-0.2885079669584087,-0.42411583959373916,-0.6020734127267698,-0.5232132071439252,-0.36426007662384974,-0.5955136217546643,0.6699660233954849,-0.3925527164561121,-0.380211926143119,-0.5099116375836277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-0.519115107161528,-0.519115107161528,0.5368944132041094,0.533390526032277,-0.4870974975788028,-0.41454352471435857,-0.29101947806751993,-0.24488672573200254,-0.22629031710630154,-0.2517560598230662,-0.3543885168575703,-0.444552170126084,-0.40769142191765323,-0.3985983284803113,-0.3985983284803113,-0.3985983284803113,-0.4031161274188378,-0.4030953701583897,-0.3879602545268001,-0.36110375879932366,-0.35679891815027087,-0.35679891815027087,-0.35679891815027087,-0.23044173658925657,0.18145266279169697,0.18958310784805532,0.18958310784805532,0.16239706228024303,-0.03452769638205711,-0.00750456270255976,0.025691829091346294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0.036078089276607564,0.04009793880085229,-0.07891287802077096,-0.12968000492574758,-0.16792113625583113,-0.16887183136655082,-0.1389032546489459,-0.04862909921666073,0.09034675227174926,0.13613584843500723,0.14763753120813947,0.14763753120813947,0.14763753120813947,0.053667282856970484,0.0730839526841437,0.1770633603884092,0.20251373411076115,0.20418894815132083,0.20418894815132083,0.20418894815132083,0.20418894815132083,0.20418894815132083,0.20418894815132083,0.20418894815132083,-0.03516948711720296,-0.17576860722330145,-0.17576860722330145,-0.17576860722330145,-0.2934356350940794,-0.29030319143174654,-0.29030319143174654,-0.19025614328783338,-0.02487418254318174,-0.02487418254318174,0.004852811644700801,0.2897540818884089,0.2897540818884089,0.32142943534000307,-0.6257088126815814,-0.6257088126815814,-0.5990571997998495,0.024588879189852364,0.058791356115835885,0.058791356115835885,0.24628933001233413,0.2480885812236006,-0.057115747186472866,-0.0961341116957338,-0.0961341116957338,-0.0961341116957338,0.18118455727865088,0.32312862922720603,0.31830925494476714,0.30012706724308363,0.31536262832092865,0.3456015563485565,0.28793166770999856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,0.19975923368324647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</si>
  <si>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0.6945677723464591,0.6914504472456344,0.6976163282084472,0.7133957955633756,0.7338936056546185,0.7618366553901365,0.7664018098237265,0.6985339881753501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0.668175932901959,0.6747270616466435,0.6028835860043936,0.37462975105807444,0.3135899080358897,0.26214389730302323,0.34712733899097786,-0.5284963515377902,0.6727408684616294,0.611580513040728,0.5399559225829914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0.5413040950113074,-0.46227699018990903,-0.383572462114503,0.2977537811451844,0.22642384023783024,0.1293957701014892,0.11618772796804173,0.1350608464619994,0.15826472650525322,0.19350953022128717,0.11918292748903968,-0.011229835099812261,-0.03725395336007146,-0.03725395336007146,-0.03725395336007146,-0.06132049993351325,-0.11522786592186823,-0.18494053247848843,-0.28597053392384475,-0.3020401717752368,-0.3020401717752368,-0.3020401717752368,-0.5108742798119746,0.6557464334167383,0.6674672774730387,0.6674672774730387,0.6552749817705222,-0.5713885871690356,-0.5513233423974266,-0.5226112667026618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-0.5119700941206068,-0.5116709500290562,0.5270346927072537,0.5283901639539095,0.5239145008186852,0.5297611483220002,0.5352960412552952,0.5408724741726455,0.5324934671557972,0.526254684763865,0.5235191496205504,0.5235191496205504,0.5235191496205504,0.5149598258010979,0.42262151820961147,0.21031538923432985,0.15863734473605406,0.15523185015546484,0.15523185015546484,0.15523185015546484,0.15523185015546484,0.15523185015546484,0.15523185015546484,0.15523185015546484,0.5140837815261976,0.5371258496348715,0.5371258496348715,0.5371258496348715,0.755261163354025,0.7609396286998598,0.7609396286998598,0.8431088491841494,0.8531838534293327,0.8531838534293327,0.8451297492601242,0.7099661999862759,0.7099661999862759,0.7040881374565501,-0.38999927454798816,-0.38999927454798816,-0.3777078896091845,-0.21293309533711172,-0.201114468054229,-0.201114468054229,-0.11142585703376244,-0.11384010192168839,-0.40993832342540726,-0.44370354559744185,-0.44370354559744185,-0.44370354559744185,0.4964861903878716,0.5654598794242649,0.48575415278073986,0.4145067887916153,0.4445808582029927,0.6088058384144246,0.6048796456623499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,0.5731678103059136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</si>
  <si>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0.3988236854480738,0.4648787224197663,0.517179647798129,0.5656794617513704,0.5820006411288439,0.5952015177151936,0.5968143318927253,0.5792415687488216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0.563360273814024,0.5731770966059322,0.6550829612924635,0.6895730961260327,0.7564377374788961,0.8471697301529971,0.7033260671128311,-0.5140660751445614,0.6261633450358629,0.6687128098014563,0.6045853268121605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0.5974008653427036,-0.5939655763881897,-0.593900167379024,0.6208739780467875,0.6676489350633127,0.7382649544472959,0.7881277909276541,0.8404285806755414,0.8464416868110153,0.7910141387741242,0.6305886693095615,0.5408503950339116,0.5208544684599188,0.5208544684599188,0.5208544684599188,0.436538938960275,0.11421206203693943,0.05168925086887171,-0.02177090058448433,-0.03144995771696746,-0.03144995771696746,-0.03144995771696746,-0.31527107703397317,0.415888251365743,0.4122454992803746,0.4122454992803746,0.4310833450078433,-0.5047318835980956,-0.5182160941189049,-0.5307977077099619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-0.532942651490325,-0.5382097190883937,0.6117815835149132,0.6839961902582085,0.7366283120126711,0.7860199196295746,0.8194219917382439,0.839501813927949,0.8357680126510151,0.8295406785610702,0.8309241899936595,0.8309241899936595,0.8309241899936595,0.7245081016708563,0.5960917618485271,0.44905249213911413,0.42698849688877943,0.42618993703709207,0.42618993703709207,0.42618993703709207,0.42618993703709207,0.42618993703709207,0.42618993703709207,0.42618993703709207,0.18729099846483385,-0.012944912407452687,-0.012944912407452687,-0.012944912407452687,-0.38492606992053285,-0.3912433765085971,-0.3912433765085971,-0.4774597196797026,-0.5152238342397254,-0.5152238342397254,-0.5154519506675487,-0.48320886893639425,-0.48320886893639425,-0.5280422946871778,0.6396158341068372,0.6396158341068372,0.6652290088691692,0.921789054606164,0.9228690345792881,0.9228690345792881,0.6832585411216433,0.6596505777204383,0.653468201040547,0.6443342036700637,0.6443342036700637,0.6443342036700637,-0.5995554560512814,-0.5019048562098434,-0.4857814539825131,-0.47935246774659146,-0.4727326821711745,-0.47981037576414787,-0.5243258975510969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,-0.5786021816555721</t>
  </si>
  <si>
    <t>1677682054553,1677682054660,1677682054754,1677682054848,1677682054941,1677682055051,1677682055159,1677682055251,1677682055346,1677682055456,1677682055552,1677682055661,1677682055757,1677682055850,1677682055978,1677682056059,1677682056152,1677682056258,1677682056350,1677682056442,1677682056546,1677682056647,1677682056756,1677682056849,1677682056958,1677682057060,1677682057149,1677682057260,1677682057356,1677682057447,1677682057590,1677682057653,1677682057744,1677682057862,1677682057948,1677682058057,1677682058151,1677682058244,1677682058351,1677682058446,1677682058557,1677682058650,1677682058759,1677682058852,1677682058945</t>
  </si>
  <si>
    <t>29.5,0.1,0.2,0.3,0.4,0.5,0.6,0.7,0.8,0.9,1,1.1,1.2,1.3,1.4,1.5,1.6,1.7,1.8,1.9,2,2.1,2.2,2.3,2.4,2.5,2.6,2.7,2.8,2.9,3,3.1,3.2,3.3,3.4,3.5,3.6,3.7,3.8,3.9,4,4.1,4.2,4.3,4.4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</si>
  <si>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0.624883987936306,0.624883987936306,0.624883987936306,0.624883987936306,0.624883987936306,0.624883987936306,0.624883987936306,0.624883987936306,0.624883987936306,0.624883987936306,0.624883987936306,0.624883987936306,0.624883987936306,0.624883987936306,0.6193043821686799,-0.5513331611385099,-0.45809406630687133,-0.28373729936352987,-0.15730910703404888,-0.09979513020398817,-0.12145358647753506,-0.1875514285683915,-0.21168136759963693,-0.21168136759963693,-0.21168136759963693,-0.25782376087993425,0.4642919658161554,0.4668605021472061,0.4668605021472061,0.4668605021472061,-0.45022337616734126,-0.4220390060247714,-0.4220390060247714,-0.3582266278495304,0.07598628102352133,0.08057146898853022,0.08057146898853022,0.08057146898853022,0.08057146898853022,0.08057146898853022,0.08057146898853022,0.08057146898853022,0.08057146898853022,0.08057146898853022,0.08057146898853022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</si>
  <si>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-0.01874603922577161,-0.12821972213335317,-0.20980851268943082,-0.21332415946798924,-0.14438122882938112,-0.03612013341956707,-0.13183931708921473,-0.38914432840029367,-0.44834850818157146,-0.44834850818157146,-0.44834850818157146,-0.5323866749378028,0.7499335103274459,0.7494595987161087,0.7494595987161087,0.7494595987161087,-0.34684895993679293,-0.3156539821980243,-0.3156539821980243,-0.34504299165703056,-0.500500883984253,-0.5018728083276455,-0.5018728083276455,-0.5018728083276455,-0.5018728083276455,-0.5018728083276455,-0.5018728083276455,-0.5018728083276455,-0.5018728083276455,-0.5018728083276455,-0.5018728083276455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</si>
  <si>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-0.6972211555273324,0.6720148743325547,0.6601501800834673,0.6818683228466798,0.7054105943867777,0.723768145435921,0.7102487441625258,0.6334128561465943,0.6085539648697792,0.6085539648697792,0.6085539648697792,0.5670260093420963,-0.38681764884350556,-0.38793338956763623,-0.38793338956763623,-0.38793338956763623,0.8112455132626271,0.8388181118901927,0.8388181118901927,0.849322374633503,0.7596189506560991,0.7573433883094527,0.7573433883094527,0.7573433883094527,0.7573433883094527,0.7573433883094527,0.7573433883094527,0.7573433883094527,0.7573433883094527,0.7573433883094527,0.7573433883094527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</si>
  <si>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-0.3605458757566735,0.4774803210194787,0.5570744601516485,0.6395635529292006,0.6758726203455508,0.6818327797939676,0.6807452843881832,0.642011921216463,0.6195455476910299,0.6195455476910299,0.6195455476910299,0.573212736603064,-0.26908141353446785,-0.26430903633003705,-0.26430903633003705,-0.26430903633003705,0.13738787338954805,0.13649108425506887,0.13649108425506887,0.17683472779640233,0.4082940117505066,0.40995477168867106,0.40995477168867106,0.40995477168867106,0.40995477168867106,0.40995477168867106,0.40995477168867106,0.40995477168867106,0.40995477168867106,0.40995477168867106,0.40995477168867106</t>
  </si>
  <si>
    <t>16,776,820,603,901,6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</t>
  </si>
  <si>
    <t>4.5,0.1,0.2,0.3,0.4,0.5,0.6,0.7,0.8,0.9,1,1.1,1.2,1.3,1.4,1.5,1.6,1.7,1.8,1.9</t>
  </si>
  <si>
    <t>0.624883987936306,0.624883987936306,0.624883987936306,0.624883987936306,0.624883987936306,0.624883987936306,0.624883987936306,-0.594199213090382,-0.48307520081634603,-0.31522015346316873,-0.2280002664138965,-0.22490038105837104,-0.22490038105837104,-0.22490038105837104,-0.22490038105837104,-0.22490038105837104,-0.22490038105837104,-0.22490038105837104,-0.22490038105837104,-0.22490038105837104</t>
  </si>
  <si>
    <t>-0.03659230559987375,-0.03659230559987375,-0.03659230559987375,-0.03659230559987375,-0.03659230559987375,-0.03659230559987375,-0.03659230559987375,0.017122540061746443,-0.08961526717927651,-0.1222449260989088,-0.11605621929135836,-0.11386137391246542,-0.11386137391246542,-0.11386137391246542,-0.11386137391246542,-0.11386137391246542,-0.11386137391246542,-0.11386137391246542,-0.11386137391246542,-0.11386137391246542</t>
  </si>
  <si>
    <t>-0.699006863382204,-0.699006863382204,-0.699006863382204,-0.699006863382204,-0.699006863382204,-0.699006863382204,-0.699006863382204,0.7145023808850355,0.7353718428615478,0.773162887941105,0.7889336981117367,0.7898229675698651,0.7898229675698651,0.7898229675698651,0.7898229675698651,0.7898229675698651,0.7898229675698651,0.7898229675698651,0.7898229675698651,0.7898229675698651</t>
  </si>
  <si>
    <t>-0.34578954544097623,-0.34578954544097623,-0.34578954544097623,-0.34578954544097623,-0.34578954544097623,-0.34578954544097623,-0.34578954544097623,0.36894506568623514,0.4667287295325249,0.5365739292998672,0.5586863632331893,0.5591378059384794,0.5591378059384794,0.5591378059384794,0.5591378059384794,0.5591378059384794,0.5591378059384794,0.5591378059384794,0.5591378059384794,0.5591378059384794</t>
  </si>
  <si>
    <t>bolaBastao_g</t>
  </si>
  <si>
    <t>1,677,682,063,268,160,000,000,000,000,000,000,000,000,000,000,000,000,000,000,000,000,000,000,000,000,000,000,000,000,000,000,000,000,000,000,000,000,000,000,000,000,000,000,000,000,000,000,000,000,000,000,000,000,000,000,000</t>
  </si>
  <si>
    <t>2,0.1,0.2,0.3,0.4,0.5,0.6,0.7,0.8,0.9,1,1.1,1.2</t>
  </si>
  <si>
    <t>0.624883987936306,0.624883987936306,0.624883987936306,0.624883987936306,-0.5068207636919558,-0.2754052806575647,0.08652894441863303,0.0893429502027513,0.0893429502027513,0.0893429502027513,0.0893429502027513,0.0893429502027513,0.0893429502027513</t>
  </si>
  <si>
    <t>-0.03659230559987375,-0.03659230559987375,-0.03659230559987375,-0.03659230559987375,-0.10444889851728358,-0.2171065656822088,-0.10573457610316263,-0.10304844432262303,-0.10304844432262303,-0.10304844432262303,-0.10304844432262303,-0.10304844432262303,-0.10304844432262303</t>
  </si>
  <si>
    <t>-0.699006863382204,-0.699006863382204,-0.699006863382204,-0.699006863382204,0.7145562781391557,0.7177525672276263,0.7167524512019936,0.7164071271109311,0.7164071271109311,0.7164071271109311,0.7164071271109311,0.7164071271109311,0.7164071271109311</t>
  </si>
  <si>
    <t>-0.34578954544097623,-0.34578954544097623,-0.34578954544097623,-0.34578954544097623,0.4707785747685915,0.6015379645224036,0.6838120099047803,0.6842219549213677,0.6842219549213677,0.6842219549213677,0.6842219549213677,0.6842219549213677,0.6842219549213677</t>
  </si>
  <si>
    <t>bola_c</t>
  </si>
  <si>
    <t>167,768,206,559,616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,000</t>
  </si>
  <si>
    <t>1.3,0.1,0.2,0.3,0.4,0.5,0.6,0.7,0.8,0.9,1,1.1,1.2,1.3,1.4,1.5,1.6,1.7,1.8,1.9,2</t>
  </si>
  <si>
    <t>0.624883987936306,0.624883987936306,0.624883987936306,0.624883987936306,-0.5899332645421245,-0.32112205720962345,-0.11297776670076178,-0.05837021558798503,-0.05837021558798503,-0.05837021558798503,-0.05837021558798503,-0.05837021558798503,-0.05837021558798503,-0.05837021558798503,-0.05837021558798503,-0.05837021558798503,-0.05837021558798503,-0.05837021558798503,-0.05837021558798503,-0.05837021558798503,-0.05837021558798503</t>
  </si>
  <si>
    <t>-0.03659230559987375,-0.03659230559987375,-0.03659230559987375,-0.03659230559987375,0.015777202755723082,-0.1474792011556066,-0.20935509513360606,-0.22950201313609508,-0.22950201313609508,-0.22950201313609508,-0.22950201313609508,-0.22950201313609508,-0.22950201313609508,-0.22950201313609508,-0.22950201313609508,-0.22950201313609508,-0.22950201313609508,-0.22950201313609508,-0.22950201313609508,-0.22950201313609508,-0.22950201313609508</t>
  </si>
  <si>
    <t>-0.699006863382204,-0.699006863382204,-0.699006863382204,-0.699006863382204,0.7168885390426588,0.770936030431468,0.7682938890880087,0.7596788144698257,0.7596788144698257,0.7596788144698257,0.7596788144698257,0.7596788144698257,0.7596788144698257,0.7596788144698257,0.7596788144698257,0.7596788144698257,0.7596788144698257,0.7596788144698257,0.7596788144698257,0.7596788144698257,0.7596788144698257</t>
  </si>
  <si>
    <t>-0.34578954544097623,-0.34578954544097623,-0.34578954544097623,-0.34578954544097623,0.3712150937787403,0.5298944674013251,0.5942482379973284,0.6056482830359645,0.6056482830359645,0.6056482830359645,0.6056482830359645,0.6056482830359645,0.6056482830359645,0.6056482830359645,0.6056482830359645,0.6056482830359645,0.6056482830359645,0.6056482830359645,0.6056482830359645,0.6056482830359645,0.6056482830359645</t>
  </si>
  <si>
    <t>167768206559616000000000000000000000000000000000000000000000000000000000000000000000000000000000000000000000000000000000000000000000000000000000000000000000000000000000000000000000000000000000000000000000000000000000000000000000000000000000000000000000000000000000000000000.0000000000000000</t>
  </si>
  <si>
    <t>Rai</t>
  </si>
  <si>
    <t>1677683621810,1677683621843,1677683621954,1677683622046,1677683622140,1677683622230,1677683622331,1677683622436,1677683622541,1677683622641,1677683622741,1677683622841,1677683622941,1677683623043,1677683623141,1677683623241,1677683623342,1677683623441,1677683623540,1677683623640,1677683623740,1677683623851,1677683623941,1677683624044,1677683624141,1677683624241,1677683624340,1677683624440,1677683624541,1677683624647,1677683624741,1677683624842,1677683624956,1677683625042,1677683625154,1677683625241,1677683625339,1677683625440,1677683625539,1677683625639,1677683625740,1677683625840,1677683625940,1677683626040,1677683626141,1677683626240,1677683626340,1677683626441,1677683626542,1677683626641,1677683626740,1677683626841,1677683626941,1677683627042,1677683627141,1677683627243,1677683627341,1677683627440,1677683627540,1677683627641,1677683627741,1677683627843,1677683627942,1677683628041,1677683628141,1677683628241,1677683628342,1677683628445,1677683628548,1677683628640,1677683628742,1677683628847,1677683628939,1677683629039,1677683629141,1677683629241,1677683629339,1677683629440,1677683629541,1677683629642,1677683629742,1677683629839,1677683629941,1677683630040,1677683630140,1677683630240,1677683630340,1677683630440,1677683630541,1677683630642,1677683630741,1677683630840,1677683630941,1677683631041,1677683631142,1677683631242,1677683631353,1677683631441,1677683631540,1677683631640,1677683631740,1677683631845,1677683631940,1677683632041,1677683632140,1677683632240,1677683632340,1677683632439,1677683632542,1677683632642,1677683632742,1677683632841,1677683632940,1677683633041,1677683633140,1677683633240,1677683633340,1677683633440,1677683633546,1677683633640,1677683633748</t>
  </si>
  <si>
    <t>0.624883987936306,0.624883987936306,0.624883987936306,0.624883987936306,0.624883987936306,0.624883987936306,0.624883987936306,0.624883987936306,0.624883987936306,0.624883987936306,0.624883987936306,0.624883987936306,0.6859560865650591,0.7167431242199228,0.7286069649591487,0.7334630657288191,0.7375953270478078,0.7369016670721287,0.7333469752138233,0.7336367624511275,0.7336367624511275,0.7336367624511275,0.7336367624511275,0.7336367624511275,0.7336367624511275,0.7336367624511275,0.7336367624511275,0.7336367624511275,0.691463413798413,-0.44149046777355044,-0.33852448352488124,-0.31049523104414223,-0.1717535724654965,-0.06506520080025732,0.08816701525687247,0.12488224626805217,0.12488224626805217,0.12488224626805217,0.12488224626805217,0.12488224626805217,0.12488224626805217,0.12488224626805217,0.2667068018405133,0.7581652696240885,0.8171948541703078,0.8307221145527659,0.8307221145527659,0.8307221145527659,0.8307221145527659,0.8307221145527659,0.8307221145527659,0.8307221145527659,0.801924908574401,0.7119518877127226,-0.6824387842581239,-0.6809842400749774,0.6950424315600724,0.6800177530037362,0.6730193585186792,0.6714384352943669,0.6606470683308441,0.6457718440720119,0.6380943026449137,0.6318329535733743,0.6217340866559268,0.6217340866559268,0.623690832150192,0.6575951861970857,0.6706703691763185,0.6717230371324523,0.6717230371324523,0.6717230371324523,0.6717230371324523,0.6717230371324523,0.6717230371324523,0.6717230371324523,0.7456246783780954,0.7955709229491161,0.7778066740500587,0.6388789364838878,0.5738444953722849,0.5738444953722849,0.5738444953722849,0.5738444953722849,0.5738444953722849,0.5738444953722849,0.5738444953722849,0.4326130454393961,0.05176304547995769,0.01940059568269362,0.016455851855036785,0.2990180377417093,0.7088446238030459,0.7911821037231802,0.8042973548113566,0.8394947471840156,0.8394947471840156,0.8394947471840156,0.8394947471840156,0.8394947471840156,0.7522028636797761,0.7376176369086221,0.7293574628977375,0.7293574628977375,0.7293574628977375,0.6565846365554927,0.524425406758702,0.4955157943990964,0.4470272020866113,0.409965317564157,0.3762394003336851,0.2775912686993744,0.31483549923153054,0.34904608763097966,0.33957029970272895,0.33957029970272895,0.33957029970272895,0.33957029970272895,0.33957029970272895,0.33957029970272895,0.33957029970272895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</si>
  <si>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-0.09950310969466727,-0.15818588989794485,-0.19839858814479194,-0.21822112194186183,-0.23782829785056073,-0.2627567677003507,-0.2730859990461356,-0.27551090122345523,-0.27551090122345523,-0.27551090122345523,-0.27551090122345523,-0.27551090122345523,-0.27551090122345523,-0.27551090122345523,-0.27551090122345523,-0.27551090122345523,-0.28436246473391114,0.3246416431804361,0.33123021552913284,0.330147895759303,0.2886815874740468,0.2683119795032107,0.31671411616832434,0.3365265526662336,0.3365265526662336,0.3365265526662336,0.3365265526662336,0.3365265526662336,0.3365265526662336,0.3365265526662336,0.26496835382605494,-0.03022558064375637,-0.09365828655942599,-0.10210303081238578,-0.10210303081238578,-0.10210303081238578,-0.10210303081238578,-0.10210303081238578,-0.10210303081238578,-0.10210303081238578,-0.12302518792809024,-0.2205141876508802,0.29751495131624456,0.33052523991528904,-0.4439224307637885,-0.5416785116666794,-0.5538504315251619,-0.5593793515921993,-0.5679021107747928,-0.5625100184523572,-0.5596054447007467,-0.5748399225358538,-0.6230679377519884,-0.6230679377519884,-0.6198881897580651,-0.6051829852055541,-0.5897428683339566,-0.586358228697976,-0.586358228697976,-0.586358228697976,-0.586358228697976,-0.586358228697976,-0.586358228697976,-0.586358228697976,-0.6008202578310933,-0.5193380614859028,-0.46478886527142654,-0.29646211433956887,-0.235968669806851,-0.235968669806851,-0.235968669806851,-0.235968669806851,-0.235968669806851,-0.235968669806851,-0.235968669806851,-0.10027070633904893,0.20781558052352075,0.23473396419262743,0.2371601225013467,0.23816188773746816,0.196226363470682,0.11073432886767912,0.10351683168192634,0.11600790905171855,0.11600790905171855,0.11600790905171855,0.11600790905171855,0.11600790905171855,-0.05775358585227397,-0.006958334135649752,0.012908299640427768,0.012908299640427768,0.012908299640427768,-0.10668363174121583,-0.2441358952188306,-0.272868815925418,-0.3130560687363274,-0.34818140247394475,-0.3261729824678023,-0.15964788452656598,0.03907344606974861,0.13329527426795074,0.11351969677693292,0.11351969677693292,0.11351969677693292,0.11351969677693292,0.11351969677693292,0.11351969677693292,0.11351969677693292</t>
  </si>
  <si>
    <t>-0.699006863382204,-0.699006863382204,-0.699006863382204,-0.699006863382204,-0.699006863382204,-0.699006863382204,-0.699006863382204,-0.699006863382204,-0.699006863382204,-0.699006863382204,-0.699006863382204,-0.699006863382204,-0.6657281571039073,-0.6453974812963487,-0.6341913629565045,-0.6276465777528868,-0.620482381190619,-0.6164677185522113,-0.6180340781270329,-0.6169569092800541,-0.6169569092800541,-0.6169569092800541,-0.6169569092800541,-0.6169569092800541,-0.6169569092800541,-0.6169569092800541,-0.6169569092800541,-0.6169569092800541,-0.6623612427355223,0.8316532664417752,0.8698907516020954,0.8787851982942143,0.9214847858737062,0.9339628547503489,0.9063227478075655,0.8927128589969676,0.8927128589969676,0.8927128589969676,0.8927128589969676,0.8927128589969676,0.8927128589969676,0.8927128589969676,0.8666571608124705,0.49635082554457693,0.3845567828216525,0.3626679108157423,0.3626679108157423,0.3626679108157423,0.3626679108157423,0.3626679108157423,0.3626679108157423,0.3626679108157423,0.3587812485564861,0.2849616295909946,-0.20132903718597442,-0.16448031872353636,0.030896604618249127,-0.1073164985491097,-0.1302315822801414,-0.13815118375727395,-0.16274255164639564,-0.18050048387628698,-0.18931373906857452,-0.20926334998458107,-0.2515846995691374,-0.2515846995691374,-0.2466939023546664,-0.17493045139045033,-0.1366649587053539,-0.13139336518481248,-0.13139336518481248,-0.13139336518481248,-0.13139336518481248,-0.13139336518481248,-0.13139336518481248,-0.13139336518481248,-0.009757384700618021,0.30783040473864365,0.3852828712896436,0.5570859420944044,0.5978909340326432,0.5978909340326432,0.5978909340326432,0.5978909340326432,0.5978909340326432,0.5978909340326432,0.5978909340326432,0.6448902946720806,0.6278385163429783,0.6182786460541027,0.6173520830184557,0.6347036279122886,0.5596035249076741,0.5522142677523909,0.5417613237384774,0.48733002617301235,0.48733002617301235,0.48733002617301235,0.48733002617301235,0.48733002617301235,0.6399051656378034,0.6684805636634439,0.6799213353886343,0.6799213353886343,0.6799213353886343,0.7175352495902455,0.7343843006671208,0.7302240019240008,0.7224020589568523,0.7095061629025518,0.7278321391719739,0.8135194887102785,0.8431803553711301,0.8378088440321609,0.8407166988494681,0.8407166988494681,0.8407166988494681,0.8407166988494681,0.8407166988494681,0.8407166988494681,0.8407166988494681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</si>
  <si>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-0.27635013896228683,-0.21146774992179942,-0.16604579484751278,-0.14307776411869993,-0.11996853291910187,-0.08889525339979056,-0.07523383110927202,-0.07235341166019985,-0.07235341166019985,-0.07235341166019985,-0.07235341166019985,-0.07235341166019985,-0.07235341166019985,-0.07235341166019985,-0.07235341166019985,-0.07235341166019985,-0.047894886476052466,-0.08970404001450388,-0.13775993122776303,-0.14943779201911203,-0.19501138633960158,-0.22691096766456503,-0.2655142610990144,-0.27242990896574953,-0.27242990896574953,-0.27242990896574953,-0.27242990896574953,-0.27242990896574953,-0.27242990896574953,-0.27242990896574953,-0.327970454363169,-0.4217910575057252,-0.41897109263311016,-0.4098142578735532,-0.4098142578735532,-0.4098142578735532,-0.4098142578735532,-0.4098142578735532,-0.4098142578735532,-0.4098142578735532,-0.46158126026458834,-0.6027394729796681,0.6365758228752916,0.6324237150052564,-0.5647072636498442,-0.4823312292786768,-0.47258266740889693,-0.4660251270566929,-0.4631927304772993,-0.4837155981204121,-0.4937992662947731,-0.4759779749010981,-0.4024154686121193,-0.4024154686121193,-0.407296570856294,-0.41318453829305773,-0.42863421960944964,-0.4332527814211195,-0.4332527814211195,-0.4332527814211195,-0.4332527814211195,-0.4332527814211195,-0.4332527814211195,-0.4332527814211195,-0.28803411294001985,0.05094434579419291,0.17477184445354071,0.4399990595436742,0.5074915890949189,0.5074915890949189,0.5074915890949189,0.5074915890949189,0.5074915890949189,0.5074915890949189,0.5074915890949189,0.6220194902120639,0.7482994514300804,0.7498367147420004,0.7499071188004849,0.6715790594184737,0.38194032059406346,0.2383866389902718,0.22109884373990513,0.21047607958650505,0.21047607958650505,0.21047607958650505,0.21047607958650505,0.21047607958650505,-0.1462079142290296,-0.09489752004979177,-0.07468630931505628,-0.07468630931505628,-0.07468630931505628,-0.20653906011517525,-0.3550427528415895,-0.38311827652904973,-0.4246149357204384,-0.455301168644551,-0.47150342133748663,-0.4854293790003139,-0.43404926281711564,-0.3980898635092732,-0.406202809294968,-0.406202809294968,-0.406202809294968,-0.406202809294968,-0.406202809294968,-0.406202809294968,-0.406202809294968</t>
  </si>
  <si>
    <t>1677683634783,1677683634886,1677683634998,1677683635088,1677683635181,1677683635288,1677683635380,1677683635478,1677683635576,1677683635678,1677683635779,1677683635882,1677683635981,1677683636087,1677683636186,1677683636282,1677683636388,1677683636489,1677683636589,1677683636680,1677683636780,1677683636880,1677683636981,1677683637080,1677683637186,1677683637287,1677683637382,1677683637487,1677683637589,1677683637686,1677683637782,1677683637887,1677683637980,1677683638078,1677683638178,1677683638281,1677683638382,1677683638481,1677683638582,1677683638683</t>
  </si>
  <si>
    <t>12.1,0.1,0.2,0.3,0.4,0.5,0.6,0.7,0.8,0.9,1,1.1,1.2,1.3,1.4,1.5,1.6,1.7,1.8,1.9,2,2.1,2.2,2.3,2.4,2.5,2.6,2.7,2.8,2.9,3,3.1,3.2,3.3,3.4,3.5,3.6,3.7,3.8,3.9</t>
  </si>
  <si>
    <t>0.624883987936306,0.624883987936306,0.624883987936306,0.624883987936306,0.624883987936306,0.624883987936306,0.624883987936306,0.624883987936306,0.624883987936306,0.624883987936306,0.624883987936306,0.624883987936306,-0.6054472322450098,-0.21201545068510647,-0.16432983209563812,-0.1529239503762793,-0.1468432201177728,-0.028769699017415946,0.04767934265623621,0.05079931544518951,0.05079931544518951,-0.0009441210477762887,-0.11635446501969648,-0.149169549150893,-0.31016395451829293,-0.4673052142614524,-0.5656172305386356,0.6365403675295381,0.6541667282270078,0.7661465344129991,0.7876526082771721,0.7876526082771721,0.7854315778369999,0.7854315778369999,0.7854315778369999,0.7854315778369999,0.7854315778369999,0.7854315778369999,0.7854315778369999,0.7854315778369999</t>
  </si>
  <si>
    <t>-0.03659230559987375,-0.03659230559987375,-0.03659230559987375,-0.03659230559987375,-0.03659230559987375,-0.03659230559987375,-0.03659230559987375,-0.03659230559987375,-0.03659230559987375,-0.03659230559987375,-0.03659230559987375,-0.03659230559987375,0.018553217079886917,-0.18119174513416447,-0.18806703751077608,-0.18420795675257579,-0.179594650756789,0.059112333673551606,0.1919898922108415,0.1942425566198422,0.1942425566198422,0.2324730583877398,0.3284584668649697,0.3163496971521456,0.32049193095412054,0.3370662207628999,0.37511732337933074,-0.4298282624317296,-0.4362931638582616,-0.28543766233706097,-0.2279219074991388,-0.2279219074991388,-0.2275370181931536,-0.2275370181931536,-0.2275370181931536,-0.2275370181931536,-0.2275370181931536,-0.2275370181931536,-0.2275370181931536,-0.2275370181931536</t>
  </si>
  <si>
    <t>-0.699006863382204,-0.699006863382204,-0.699006863382204,-0.699006863382204,-0.699006863382204,-0.699006863382204,-0.699006863382204,-0.699006863382204,-0.699006863382204,-0.699006863382204,-0.699006863382204,-0.699006863382204,0.7071963010512226,0.7724468631782081,0.7724922594131779,0.773630071360739,0.7748072603026848,0.8037041454413408,0.7945902306559705,0.7943968680202228,0.7943968680202228,0.7816531845897178,0.7356474980265109,0.7272645163979015,0.6603802609567132,0.568019067113881,0.4969052707402163,-0.4375730201224638,-0.41796566529052936,-0.18285177673716516,-0.09756398759427691,-0.09756398759427691,-0.09845828022624967,-0.09845828022624967,-0.09845828022624967,-0.09845828022624967,-0.09845828022624967,-0.09845828022624967,-0.09845828022624967,-0.09845828022624967</t>
  </si>
  <si>
    <t>-0.34578954544097623,-0.34578954544097623,-0.34578954544097623,-0.34578954544097623,-0.34578954544097623,-0.34578954544097623,-0.34578954544097623,-0.34578954544097623,-0.34578954544097623,-0.34578954544097623,-0.34578954544097623,-0.34578954544097623,0.36464067091084673,0.5705653720058499,0.5838511838063387,0.586667032273616,0.5880956890738427,0.5913862384487127,0.5740147445134403,0.5732563779215614,0.5732563779215614,0.5787691118054331,0.5808609408989627,0.5905570572826907,0.6041367017899317,0.5876789420591406,0.5407858116936164,-0.4675402414564831,-0.45499326312547234,-0.5459945571803504,-0.5640356735888478,-0.5640356735888478,-0.5671244210428062,-0.5671244210428062,-0.5671244210428062,-0.5671244210428062,-0.5671244210428062,-0.5671244210428062,-0.5671244210428062,-0.5671244210428062</t>
  </si>
  <si>
    <t>Teste</t>
  </si>
  <si>
    <t>27.110934800342104,27.110934800342118</t>
  </si>
  <si>
    <t>167789411898116000000000000000000000000000000000000000000000000000000000000000000000000000000000000000000000000000000000000000000000000000000000000000000000000000000000000000000000000000000000000000000000000000000000000000000000000000000000000000000000000000000000000000000.0000000000000000</t>
  </si>
  <si>
    <t>7.1,0.1,0.2,0.3,0.4,0.5,0.6,0.7,0.8,0.9,1,1.1,1.2,1.3,1.4,1.5,1.6,1.7,1.8,1.9,2</t>
  </si>
  <si>
    <t>0.624883987936306,0.624883987936306,0.624883987936306,0.624883987936306,-0.33517355092615153,0.3996599367646799,0.45899334030538286,0.45899334030538286,0.6350342152669207,0.6667339474586101,0.6667339474586101,0.6667339474586101,0.6667339474586101,0.6667339474586101,0.6667339474586101,0.6667339474586101,0.6667339474586101,0.6667339474586101,0.6667339474586101,0.6667339474586101,0.6667339474586101</t>
  </si>
  <si>
    <t>-0.03659230559987375,-0.03659230559987375,-0.03659230559987375,-0.03659230559987375,0.024378367764567314,-0.17611738664632495,-0.18328143104561115,-0.18328143104561115,-0.4250844705020561,-0.5382702931432457,-0.5382702931432457,-0.5382702931432457,-0.5382702931432457,-0.5382702931432457,-0.5382702931432457,-0.5382702931432457,-0.5382702931432457,-0.5382702931432457,-0.5382702931432457,-0.5382702931432457,-0.5382702931432457</t>
  </si>
  <si>
    <t>-0.699006863382204,-0.699006863382204,-0.699006863382204,-0.699006863382204,0.8480517801024704,0.7911371994457314,0.7604197299986883,0.7604197299986883,0.6028911825797095,0.5070319106482425,0.5070319106482425,0.5070319106482425,0.5070319106482425,0.5070319106482425,0.5070319106482425,0.5070319106482425,0.5070319106482425,0.5070319106482425,0.5070319106482425,0.5070319106482425,0.5070319106482425</t>
  </si>
  <si>
    <t>-0.34578954544097623,-0.34578954544097623,-0.34578954544097623,-0.34578954544097623,0.4097225454008129,0.4282015094780567,0.4213013942748136,0.4213013942748136,0.22925304871681051,0.09300309892759788,0.09300309892759788,0.09300309892759788,0.09300309892759788,0.09300309892759788,0.09300309892759788,0.09300309892759788,0.09300309892759788,0.09300309892759788,0.09300309892759788,0.09300309892759788,0.09300309892759788</t>
  </si>
  <si>
    <t>27.110934800342118,27.110934800342118</t>
  </si>
  <si>
    <t>1677902653629,1677902653740,1677902653830,1677902653931,1677902654031,1677902654131,1677902654230,1677902654329,1677902654432,1677902654535,1677902654630,1677902654777,1677902654840,1677902654931,1677902655030,1677902655131,1677902655231,1677902655334,1677902655461,1677902655532,1677902655631,1677902655732,1677902655839,1677902655931,1677902656032,1677902656122,1677902656244,1677902656327,1677902656426,1677902656533,1677902656633,1677902656728,1677902656822,1677902656933,1677902657052,1677902657138,1677902657222,1677902657325,1677902657428,1677902657529,1677902657638,1677902657738,1677902657829,1677902657923,1677902658033,1677902658139,1677902658233,1677902658323,1677902658424,1677902658535,1677902658625,1677902658724,1677902658844,1677902658934,1677902659034,1677902659134,1677902659234,1677902659334,1677902659436,1677902659519,1677902659624,1677902659724,1677902659826,1677902659924,1677902660025</t>
  </si>
  <si>
    <t>0,0.1,0.2,0.3,0.4,0.5,0.6,0.7,0.8,0.9,1,1.1,1.2,1.3,1.4,1.5,1.6,1.7,1.8,1.9,2,2.1,2.2,2.3,2.4,2.5,2.6,2.7,2.8,2.9,3,3.1,3.2,3.3,3.4,3.5,3.6,3.7,3.8,3.9,4,4.1,4.2,4.3,4.4,4.5,4.6,4.7,4.8,4.9,5,5.1,5.2,5.3,5.4,5.5,5.6,5.7,5.8,5.9,6,6.1,6.2,6.3,6.4</t>
  </si>
  <si>
    <t>0.624883987936306,0.624883987936306,0.624883987936306,0.624883987936306,0.624883987936306,0.624883987936306,0.624883987936306,0.624883987936306,0.624883987936306,0.624883987936306,0.624883987936306,-0.5793574228645565,-0.4687755645445287,-0.22302972751977895,-0.017498389866772872,-0.017498389866772872,-0.017498389866772872,0.0036438476539799145,0.48212087849533936,0.7143529344980893,0.7650968061985126,0.7650968061985126,0.8107247711569062,0.9573282411656059,0.9608754538394463,0.9608754538394463,0.902521963120901,-0.5987730889170796,0.4628854030277115,0.4628854030277115,0.3994127099375271,-0.056214062289140304,-0.11613412704564413,-0.11613412704564413,-0.2992104363036301,-0.558830721684353,-0.5593807384003209,-0.5518103871760076,-0.4596782937385069,-0.4443873031973266,-0.43210985652952416,-0.4447633335958639,-0.4459710919757425,-0.4385910879279261,-0.4385910879279261,-0.4366504163119672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,-0.4549488451292392</t>
  </si>
  <si>
    <t>-0.03659230559987375,-0.03659230559987375,-0.03659230559987375,-0.03659230559987375,-0.03659230559987375,-0.03659230559987375,-0.03659230559987375,-0.03659230559987375,-0.03659230559987375,-0.03659230559987375,-0.03659230559987375,-0.05266232885541429,-0.1562626368462571,-0.14008139736482558,-0.05443737056792729,-0.05443737056792729,-0.05443737056792729,-0.06737978374788975,-0.17628435765800937,-0.12449466333387142,-0.11546629845313261,-0.11546629845313261,-0.10231202335498048,0.0330196945187404,0.06325754942412415,0.06325754942412415,0.07262262918181615,-0.029733689515403748,-0.04451532804043965,-0.04451532804043965,-0.07856150434727714,-0.3754275084301088,-0.3709906441355586,-0.3709906441355586,-0.22687759860194387,0.08940646081911909,0.0925955557126614,-0.005567125219723083,-0.24971479640405173,-0.3167290092890777,-0.3844104928704773,-0.4181530868445865,-0.4042530395646919,-0.29902350821075746,-0.29902350821075746,-0.3168040578962245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,-0.33794627618801754</t>
  </si>
  <si>
    <t>-0.699006863382204,-0.699006863382204,-0.699006863382204,-0.699006863382204,-0.699006863382204,-0.699006863382204,-0.699006863382204,-0.699006863382204,-0.699006863382204,-0.699006863382204,-0.699006863382204,0.6956225507883649,0.6966562681892521,0.746737388220787,0.7642062635288381,0.7642062635288381,0.7642062635288381,0.7628254747119089,0.6171784966592716,0.44057367281977255,0.39083537130714663,0.39083537130714663,0.33611083598585983,-0.07864326270501731,-0.16228697848812654,-0.16228697848812654,-0.29075817868883314,0.5472003450704124,-0.5718714906398419,-0.5718714906398419,-0.5737059825946007,-0.45202774082768143,-0.4278812908953344,-0.4278812908953344,-0.3468648381597219,-0.14115823369891445,-0.1389626278751375,-0.20531623427563397,-0.36622743181709855,-0.39572905529754643,-0.42058239682706816,-0.41835609615191044,-0.4145689406425387,-0.39340933303580633,-0.39340933303580633,-0.3995492399985034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,-0.3944484975548898</t>
  </si>
  <si>
    <t>-0.34578954544097623,-0.34578954544097623,-0.34578954544097623,-0.34578954544097623,-0.34578954544097623,-0.34578954544097623,-0.34578954544097623,-0.34578954544097623,-0.34578954544097623,-0.34578954544097623,-0.34578954544097623,0.4215221495081276,0.5200975893084278,0.6107521721516582,0.6424322266364078,0.6424322266364078,0.6424322266364078,0.6430738544264673,0.596300249056955,0.5292407794127834,0.4985399919781486,0.4985399919781486,0.46828100670695416,0.2761296356274828,0.2153596556063532,0.2153596556063532,0.30925675633794636,-0.5840877314679034,0.6758095052799202,0.6758095052799202,0.710745399359164,0.807195816786197,0.8159634841100254,0.8159634841100254,0.8594675410438933,0.8122740069241089,0.8119166463517122,0.8082818491493704,0.7695556217111212,0.7386482073525109,0.6990136567623761,0.6725412625732125,0.682511434760762,0.7506343289564171,0.7506343289564171,0.7411693515328929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,0.7233424123490292</t>
  </si>
  <si>
    <t>Teste android</t>
  </si>
  <si>
    <t>27.110934800342456,27.110934800342118</t>
  </si>
  <si>
    <t>1677952080494,1677952080711,1677952080734,1677952080776,1677952080880,1677952080992,1677952081095,1677952081199,1677952081296,1677952081403,1677952081501,1677952081603,1677952081948,1677952081985,1677952082047,1677952082113,1677952082176,1677952082239,1677952082326,1677952082443,1677952082505,1677952082593,1677952082695,1677952082832,1677952082920,1677952083001,1677952083086,1677952083198,1677952083282,1677952083369,1677952083541,1677952083618,1677952083697,1677952083788,1677952083862,1677952084011,1677952084104,1677952084180,1677952084264,1677952084369,1677952084508,1677952084596,1677952084710,1677952084795,1677952084866,1677952084968,1677952085071,1677952085184,1677952085364,1677952085423,1677952085505,1677952085615,1677952085727,1677952085767,1677952085879,1677952086006,1677952086092,1677952086199,1677952086284,1677952086367,1677952086471,1677952086597,1677952086697,1677952086776,1677952086884,1677952087006,1677952087108,1677952087175,1677952087279,1677952087391,1677952087495,1677952087591,1677952087776,1677952087852,1677952087895,1677952087991,1677952088095,1677952088199,1677952088295,1677952088402,1677952088495,1677952088599,1677952088695,1677952088799,1677952088895,1677952088999,1677952089095,1677952089199,1677952089295,1677952089490,1677952089571,1677952089591,1677952089695,1677952089950,1677952090005,1677952090059,1677952090114,1677952090202,1677952090304,1677952090416,1677952090523,1677952090602,1677952090687,1677952090785,1677952090892,1677952091007,1677952091180,1677952091234,1677952091319,1677952091370,1677952091508,1677952091611,1677952091671,1677952091800,1677952091864,1677952091972,1677952092063,1677952092222,1677952092308,1677952092376,1677952092507,1677952092618,1677952092706,1677952092796,1677952092914,1677952093003,1677952093105,1677952093169,1677952093292,1677952093369,1677952093515,1677952093595,1677952093671,1677952093774,1677952093871,1677952093983,1677952094095,1677952094199,1677952094295,1677952094399,1677952094495,1677952094599,1677952094695,1677952094799,1677952094895,1677952095000,1677952095095,1677952095199,1677952095295,1677952095400,1677952095497,1677952095603,1677952095707,1677952095803,1677952095899,1677952096000,1677952096099,1677952096203,1677952096299,1677952096403,1677952096497,1677952096591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</si>
  <si>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</t>
  </si>
  <si>
    <t>0.624883987936306,0.624883987936306,0.624883987936306,0.624883987936306,0.624883987936306,0.624883987936306,0.624883987936306,0.624883987936306,0.624883987936306,0.624883987936306,0.624883987936306,0.624883987936306,-0.46573848226447034,-0.4420087440836244,-0.39475470678904684,-0.3627399822080538,-0.3244465008878386,-0.27454419353309517,-0.1699895672039665,-0.031203883337719805,-0.022776533438497646,-0.022776533438497646,-0.022776533438497646,0.11695606312279451,0.25385226974745434,0.3485535021627641,0.4043709863037897,0.5086655289288795,0.5324380291861988,0.5324380291861988,0.5709575202342855,0.7703653635159566,0.8174649815862107,0.8272106029151272,0.8272106029151272,0.6746625166223528,0.7800780497327071,0.806182390197286,0.806182390197286,0.806182390197286,0.806182390197286,0.806182390197286,0.806182390197286,0.806182390197286,0.806182390197286,0.806182390197286,0.806182390197286,0.806182390197286,0.8293801384082714,0.8302227130605556,0.8302153421636965,0.8278509604918598,0.8241207904533112,0.8241207904533112,0.8241207904533112,0.8262175078250628,0.8767374139570515,0.9087594907671488,0.8940951698750553,0.8913475465592181,0.8913475465592181,0.759029451999788,0.928292772825361,0.9499710598265338,0.9499710598265338,0.9939392480519418,0.9267984202719269,0.920915784674465,0.920915784674465,0.920915784674465,0.920915784674465,0.920915784674465,0.918325775387834,0.9129817858882691,0.9129817858882691,0.9129817858882691,0.9129817858882691,0.9129817858882691,0.9129817858882691,0.9129817858882691,0.9129817858882691,0.9129817858882691,0.9129817858882691,0.9129817858882691,0.9129817858882691,0.9129817858882691,0.9129817858882691,0.9129817858882691,0.9129817858882691,0.7861130888209898,-0.6852808449781574,-0.6852808449781574,-0.6852808449781574,0.8410562344583946,0.8303134311942565,0.8281115964632367,0.8283611605886122,0.8283611605886122,0.8283611605886122,0.8232027873665182,-0.7013582825965151,-0.5766024006730379,-0.48050407587205474,-0.48050407587205474,-0.48050407587205474,-0.6656826683692475,-0.6223386665577831,-0.6006798117654598,-0.5940538112478833,-0.5926506095619513,-0.5926506095619513,-0.496908371169956,-0.4460133445216082,-0.37093281992139776,-0.37093281992139776,-0.37093281992139776,-0.37093281992139776,-0.2776616395617524,-0.21737934058839073,-0.22013939846464253,-0.2545860787036131,-0.3072865569330499,-0.3888714087688074,-0.44640891317743986,-0.45317709026345926,-0.4583993454457453,-0.44550820884753134,-0.4436351981077548,-0.4508634258897958,-0.45724811942055615,-0.4609148164818428,-0.4699566813331731,-0.4699566813331731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,-0.4717434233601904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</si>
  <si>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-0.18707899615920756,-0.21180416082094528,-0.23119078427079984,-0.23623560223756365,-0.23127767379499242,-0.21623330210397773,-0.1527819844542873,-0.0691067951070491,-0.06672161321172829,-0.06672161321172829,-0.06672161321172829,-0.2121538239964235,-0.3565117796814685,-0.44414717148489485,-0.4368253038153252,-0.2934057399196734,-0.2558673541056543,-0.2558673541056543,-0.24585877252325564,-0.37816810608172635,-0.42963982816954754,-0.44828678377146003,-0.44828678377146003,-0.32181676777224816,-0.2208311726679194,-0.19261850216821866,-0.19261850216821866,-0.19261850216821866,-0.19261850216821866,-0.19261850216821866,-0.19261850216821866,-0.19261850216821866,-0.19261850216821866,-0.19261850216821866,-0.19261850216821866,-0.19261850216821866,-0.0929710014463194,-0.06480428961818704,-0.027849650363398034,0.023304719773551537,0.05220518047258225,0.05220518047258225,0.05220518047258225,0.052899441902236465,0.11494444531781527,0.16423259370118987,0.18643588678909626,0.19071071352946953,0.19071071352946953,0.012174882903071648,0.0848392188941474,0.09376145019658741,0.09376145019658741,0.10585143613238578,0.10918392143433112,0.10835882863081957,0.10835882863081957,0.10835882863081957,0.10835882863081957,0.10835882863081957,-0.0023392487239248107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-0.006948876158852793,-0.010171313388460702,-0.08150400656773316,-0.08150400656773316,-0.08150400656773316,0.00002193361508276543,0.062245238704675354,0.07796634040458277,0.08013058635301983,0.08013058635301983,0.08013058635301983,0.09596735519324746,-0.24555914146414531,-0.3193198722084805,-0.31496986251475423,-0.31496986251475423,-0.31496986251475423,-0.30327212350657046,-0.3309384125525567,-0.3417299002680733,-0.3477930629001131,-0.35027182384270233,-0.35027182384270233,-0.32309409124231186,-0.32562066068972706,-0.347499043710455,-0.347499043710455,-0.347499043710455,-0.347499043710455,-0.35148125977880995,-0.35315222556557724,-0.3554171043646806,-0.3466644759622688,-0.30678202630922413,-0.2697562676426671,-0.24998847161961138,-0.25818511928897525,-0.293095444478576,-0.32392348940469107,-0.3266130202129966,-0.327673099567808,-0.3241563829166827,-0.3187837999820514,-0.3052670402037208,-0.3052670402037208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,-0.30254939833601524</t>
  </si>
  <si>
    <t>-0.699006863382204,-0.699006863382204,-0.699006863382204,-0.699006863382204,-0.699006863382204,-0.699006863382204,-0.699006863382204,-0.699006863382204,-0.699006863382204,-0.699006863382204,-0.699006863382204,-0.699006863382204,0.6861528470176272,0.6801023668903888,0.6803215582993951,0.68280335347645,0.6893848329194489,0.6993196827405227,0.7230163833593543,0.736823814455988,0.7367794673268974,0.7367794673268974,0.7367794673268974,0.7084571287179261,0.6479352585065158,0.5853428514476839,0.5448329222183506,0.4466053619019818,0.4179793232642177,0.4179793232642177,0.38970402383746827,0.28613848069195413,0.2495526933496853,0.2415792679916184,0.2415792679916184,0.42524850730049846,0.2439706754114331,0.1892780709059668,0.1892780709059668,0.1892780709059668,0.1892780709059668,0.1892780709059668,0.1892780709059668,0.1892780709059668,0.1892780709059668,0.1892780709059668,0.1892780709059668,0.1892780709059668,0.03768666894930271,-0.004684626024353368,-0.060405476064019324,-0.1350903256193153,-0.17689518574544472,-0.17689518574544472,-0.17689518574544472,-0.17668881304293765,-0.22484532273541122,-0.2562807550973633,-0.31386807898943864,-0.3236448044491527,-0.3236448044491527,-0.18084301229390096,-0.16632046663574795,-0.15265188794065473,-0.15265188794065473,-0.014882415880310685,0.13488357390614686,0.14022024545799944,0.14022024545799944,0.14022024545799944,0.14022024545799944,0.14022024545799944,-0.14757002762211477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-0.1619899281496251,-0.3044875614002102,0.25561189984769384,0.25561189984769384,0.25561189984769384,-0.1788044544875106,-0.08850652528473395,-0.06517714326640847,-0.06192466253075625,-0.06192466253075625,-0.06192466253075625,-0.038185723704786914,-0.20344831487930742,-0.34455838513885195,-0.40956170427204447,-0.40956170427204447,-0.40956170427204447,-0.2712924345181399,-0.32434948035480365,-0.34775559316050747,-0.3561568807983565,-0.35848697240485344,-0.35848697240485344,-0.41697535838971483,-0.45008934814744006,-0.49850690534274816,-0.49850690534274816,-0.49850690534274816,-0.49850690534274816,-0.5486875892740626,-0.5774415633979215,-0.5760502890255172,-0.5602766617550308,-0.5338477292051779,-0.4892812904468294,-0.45505831879865355,-0.4538424513602238,-0.46062927003858894,-0.4760847539924968,-0.477830585181113,-0.4734943096945589,-0.4686588016798314,-0.4650531658349612,-0.45591406292844394,-0.45591406292844394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,-0.45406503677559124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</si>
  <si>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0.5265770464648604,0.5451862417217106,0.5726099196217519,0.588550784575529,0.6049740968060028,0.6235548301393932,0.6519267763038867,0.6718193469863805,0.6724473751755178,0.6724473751755178,0.6724473751755178,0.6628729373200146,0.6234085954464479,0.5819084914753648,0.5906139570390824,0.6750674797248737,0.6901702163255637,0.6901702163255637,0.6794790268037418,0.42620518545037556,0.2913487174720637,0.2374890212141745,0.2374890212141745,0.5103216276860261,0.5321561228085395,0.5264426637653707,0.5264426637653707,0.5264426637653707,0.5264426637653707,0.5264426637653707,0.5264426637653707,0.5264426637653707,0.5264426637653707,0.5264426637653707,0.5264426637653707,0.5264426637653707,0.5496041247001802,0.553632283239033,0.5534600808298034,0.5439395933125747,0.5355442419954859,0.5355442419954859,0.5355442419954859,0.5323038062565891,0.4093456513785024,0.2854890850339775,0.2594654433922539,0.2537380845301174,0.2537380845301174,0.6253174139008655,0.32157788673306026,0.255853819704219,0.255853819704219,-0.025666288165951973,-0.3330615273068744,-0.34714660384176266,-0.34714660384176266,-0.34714660384176266,-0.34714660384176266,-0.34714660384176266,-0.36728107100877055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-0.37439983297869583,-0.5377825591452643,0.6770596850172681,0.6770596850172681,0.6770596850172681,-0.5105422382653627,-0.5466916235127821,-0.5512752248765187,-0.5509648018970548,-0.5509648018970548,-0.5509648018970548,-0.5582734886364835,0.6374998436465921,0.6684639182344518,0.7086388566622339,0.7086388566622339,0.7086388566622339,0.6255341870032646,0.630850034317066,0.6336169871663545,0.6318958229015347,0.6305251739809891,0.6305251739809891,0.6890746181374662,0.7017569811016114,0.7022422111003266,0.7022422111003266,0.7022422111003266,0.7022422111003266,0.7059085403342263,0.7032716180281985,0.7024125509145386,0.7078839819693353,0.7255800178369808,0.7325396933466107,0.7287981701302295,0.7224942895147514,0.7012743943026405,0.6855212001661637,0.6842438731130248,0.6820232031987,0.682792592453054,0.6853174255506661,0.6914442270058007,0.6914442270058007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,0.6926376732902307</t>
  </si>
  <si>
    <t>27.11093480034214,27.11093480034212</t>
  </si>
  <si>
    <t>1677952099946,1677952100113,1677952100147,1677952100247,1677952100343,1677952100447,1677952100551,1677952100647,1677952100751,1677952100983,1677952101042,1677952101098,1677952101177,1677952101264,1677952101343,1677952101446,1677952101568,1677952101675,1677952101735,1677952101831,1677952101926,1677952102075,1677952102199,1677952102239,1677952102343,1677952102469,1677952102568,1677952102644,1677952102743,1677952102851,1677952103042,1677952103091,1677952103169,1677952103233,1677952103335,1677952103434,1677952103568,1677952103674,1677952103756,1677952103858,1677952103953,1677952104070,1677952104157,1677952104252,1677952104369,1677952104415,1677952104519,1677952104614,1677952104719,1677952105026,1677952105089,1677952105150,1677952105211,1677952105250,1677952105365,1677952105427,1677952105535,1677952105692,1677952105779,1677952105841,1677952105955,1677952106052,1677952106173,1677952106280,1677952106332,1677952106446,1677952106543,1677952106614,1677952106734,1677952106842,1677952106944,1677952107015,1677952107119,1677952107223,1677952107327,1677952107431,1677952107543,1677952107647,1677952107751,1677952107959,1677952108007,1677952108077,1677952108169,1677952108267,1677952108380,1677952108476,1677952108567,1677952108663,1677952108758,1677952108849,1677952108940,1677952109052,1677952109144,1677952109238,1677952109348,1677952109441,1677952109549,1677952109642,1677952109751,1677952109842,1677952109952,1677952110041,1677952110157,1677952110247,1677952110358,1677952110451,1677952110542,1677952110654,1677952110738,1677952110841,1677952110945,1677952111049,1677952111154,1677952111258,1677952111343,1677952111447,1677952111549,1677952111623,1677952111818,1677952111865,1677952111947,1677952112050,1677952112154,1677952112258,1677952112319,1677952112423,1677952112542,1677952112648,1677952112750,1677952112850,1677952112921,1677952113023,1677952113126,1677952113261,1677952113365,1677952113454,1677952113526,1677952113623,1677952113735,1677952113847,1677952114084,1677952114132,1677952114200,1677952114239,1677952114335,1677952114483,1677952114573,1677952114711,1677952114735,1677952114839,1677952114936,1677952115180,1677952115228,1677952115277,1677952115371,1677952115423,1677952115519,1677952115639,1677952115743,1677952115848,1677952116061,1677952116109,1677952116176,1677952116268,1677952116335,1677952116447,1677952116543,1677952116646,1677952116742,1677952116956,1677952116964,1677952117047,1677952117142,1677952117246,1677952117567,1677952117615,1677952117623,1677952117646,1677952117746,1677952117846,1677952117951,1677952118046,1677952118150,1677952118247,1677952118351,1677952118447,1677952118546,1677952118657,1677952118750,1677952118943,1677952118992,1677952119078,1677952119169,1677952119279,1677952119398,1677952119423,1677952119527,1677952119623,1677952119721,1677952119824,1677952119935,1677952120047,1677952120262,1677952120312,1677952120380,1677952120491,1677952120561,1677952120647,1677952120751,1677952120988,1677952120996,1677952121038,1677952121143,1677952121247,1677952121343,1677952121447,1677952121552,1677952121773,1677952121822,1677952121872,1677952121974,1677952122048,1677952122143,1677952122247,1677952122342,1677952122573,1677952122583,1677952122648,1677952122745,1677952122847,1677952122952,1677952123047,1677952123149,1677952123340,1677952123392,1677952123490,1677952123591,1677952123648,1677952123752,1677952123847,1677952123943,1677952124045,1677952124291,1677952124299,1677952124326,1677952124447,1677952124543,1677952124647,1677952124863,1677952124872,1677952124951,1677952125047,1677952125150,1677952125396,1677952125404,1677952125447,1677952125551,1677952125647,1677952125913,1677952125920,1677952125951,1677952126047,1677952126143,1677952126243,1677952126497,1677952126506,1677952126551,1677952126649,1677952126755,1677952126850,1677952127085,1677952127095,1677952127152,1677952127251,1677952127352,1677952127448,1677952127637,1677952127647,1677952127743,1677952127851,1677952127956,1677952128146,1677952128154,1677952128247,1677952128347,1677952128459,1677952128555,1677952128656,1677952128823,1677952128847,1677952128945,1677952129051,1677952129155,1677952129251,1677952129355,1677952129449,1677952129547,1677952129649,1677952129750,1677952129910,1677952129943,1677952130047,1677952130143,1677952130247,1677952130352,1677952130447,1677952130550,1677952130647,1677952130751,1677952130849,1677952131071,1677952131119,1677952131185,1677952131273,1677952131369,1677952131447,1677952131543,1677952131647,1677952131743,1677952131847,1677952131944,1677952132047,1677952132168,1677952132254,1677952132393,1677952132487,1677952132579,1677952132653,1677952132743,1677952132847,1677952132943,1677952133047,1677952133143,1677952133248,1677952133343,1677952133447,1677952133554,1677952133776,1677952133822,1677952133869,1677952133979,1677952134071,1677952134143,1677952134247,1677952134343,1677952134446,1677952134544,1677952134640,1677952134871,1677952134921,1677952134953,1677952135048,1677952135151,1677952135248,1677952135351,1677952135447,1677952135551,1677952135761,1677952135814,1677952135884,1677952135957,1677952136046,1677952136165,1677952136278,1677952136371,1677952136432,1677952136536,1677952136631,1677952136767,1677952136856,1677952136966,1677952137031,1677952137127,1677952137238,1677952137430,1677952137478,1677952137568,1677952137658,1677952137747,1677952137856,1677952137915,1677952138039,1677952138119,1677952138222,1677952138318,1677952138423,1677952138622,1677952138667,1677952138772,1677952138875,1677952138977,1677952139022,1677952139134,1677952139264,1677952139347,1677952139434,1677952139539,1677952139623,1677952139727,1677952139835,1677952140001,1677952140073,1677952140135,1677952140231,1677952140368,1677952140462,1677952140562,1677952140676,1677952140727,1677952140823,1677952140942,1677952141055,1677952141162,1677952141248,1677952141357,1677952141462,1677952141527,1677952141656,1677952141743,1677952141853,1677952141939,1677952142046,1677952142151,1677952142295,1677952142325,1677952142422,1677952142526,1677952142621,1677952142727,1677952142831,1677952142945,1677952143048,1677952143146,1677952143246,1677952143350,1677952143447,1677952143550,1677952143647,1677952143750,1677952143847,1677952143947,1677952144054,1677952144150,1677952144246,1677952144401,1677952144448,1677952144550,1677952144646,1677952144768,1677952144848,1677952144954,1677952145058,1677952145153,1677952145251,1677952145353,1677952145451,1677952145553,1677952145651,1677952145750,1677952145858,1677952145955,1677952146048,1677952146155,1677952146250,1677952146354,1677952146456,1677952146543,1677952146646,1677952146743,1677952146847,1677952146949,1677952147047,1677952147150,1677952147247,1677952147350,1677952147446,1677952147544,1677952147786,1677952147815,1677952147877,1677952147978,1677952148068,1677952148179,1677952148275,1677952148363,1677952148455,1677952148519,1677952148615,1677952148719,1677952148823,1677952148927,1677952149036,1677952149172,1677952149281,1677952149370,1677952149480,1677952149571,1677952149664,1677952149753,1677952149845,1677952149956,1677952150051,1677952150162,1677952150256,1677952150345,1677952150422,1677952150520,1677952150622,1677952150727,1677952150823,1677952150999,1677952151067,1677952151174,1677952151262,1677952151373,1677952151431,1677952151535,1677952151631,1677952151735,1677952151971,1677952152017,1677952152062,1677952152147,1677952152219,1677952152335,1677952152446,1677952152551,1677952152646,1677952152853,1677952152900,1677952152964,1677952153068,1677952153174,1677952153259,1677952153369,1677952153455,1677952153528,1677952153632,1677952153731,1677952153833,1677952153938,1677952154211,1677952154255,1677952154300,1677952154365,1677952154472,1677952154556,1677952154641,1677952154768,1677952154855,1677952154960,1677952155048,1677952155151,1677952155260,1677952155347,1677952155453,1677952155557,1677952155642,1677952155747,1677952155852,1677952155957,1677952156024,1677952156119,1677952156360,1677952156367,1677952156425,1677952156523,1677952156659,1677952156751,1677952156856,1677952156962,1677952157046,1677952157151,1677952157256,1677952157343,1677952157429,1677952157528,1677952157663,1677952157728,1677952157898,1677952157930,1677952158028,1677952158138,1677952158267,1677952158346,1677952158451,1677952158555,1677952158650,1677952158755,1677952158851,1677952158955,1677952159058,1677952159155,1677952159248,1677952159347,1677952159450,1677952159555,1677952159651,1677952159755,1677952159852,1677952159951,1677952160137,1677952160168,1677952160268,1677952160386,1677952160440,1677952160578,1677952160640,1677952160762,1677952160831,1677952160926,1677952161024,1677952161135,1677952161247,1677952161343,1677952161443,1677952161551,1677952161647,1677952161749,1677952161847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</si>
  <si>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</t>
  </si>
  <si>
    <t>0.624883987936306,0.624883987936306,0.624883987936306,0.624883987936306,0.624883987936306,0.624883987936306,0.624883987936306,0.624883987936306,0.624883987936306,-0.5665202206231864,-0.5176750847059113,-0.4701909595494653,-0.3602105606004356,-0.25346982586078076,-0.25346982586078076,0.7381184382579884,0.6305758380616068,-0.38157484693084487,-0.30603027058022664,-0.30603027058022664,-0.30603027058022664,-0.07957497258597339,0.2039917762721615,0.2039917762721615,0.2039917762721615,-0.3522314444423529,-0.026276903270169946,0.21849100236688684,0.21849100236688684,0.21849100236688684,0.5511543196989429,0.628471260037577,0.6939692541171409,0.7044225274844578,0.7044225274844578,0.7044225274844578,0.15265212782447926,0.3745726078337947,0.4494642090307533,0.47939608980779747,0.4857619573462282,0.5370211849832238,0.5994109675742483,0.6291960014756436,0.6353368069311485,0.6353368069311485,0.6353368069311485,0.6353368069311485,0.6353368069311485,0.7593771617331471,0.8113725344596598,0.8567001417591258,0.891460422684743,0.9046987440459037,0.9053835795302659,0.9053835795302659,0.9053835795302659,0.9100232003893233,0.9204613159515772,0.8858578034511403,0.8227935857975694,0.799411818760974,0.7686479054701371,0.8997540346286047,0.9303130934821922,0.8859480506666656,0.8392763736507816,0.814683923398169,0.7871765907824136,0.7654920642614372,0.7537019833928593,0.7537019833928593,0.7537019833928593,0.7537019833928593,0.7537019833928593,0.7537019833928593,0.7537019833928593,0.7537019833928593,0.7537019833928593,0.6105157141449071,0.5608723955374331,0.5090952387492899,0.40566211535386537,0.21380273194945928,-0.13406276219834326,-0.3609016657030312,-0.5536491107197484,0.689941166322415,0.7722007645177326,0.8179243800554171,0.8455776427999104,0.8311500582148154,0.7666454365965549,-0.6168379111791351,-0.3936223140692637,-0.14594604793789617,0.08846849337031087,0.17933543316804434,0.2057207255004902,0.23282135873799786,0.29867561116572666,0.43632803748294763,0.6241341473732626,0.7047843630949219,0.6802743814777586,0.5882826934200895,0.4261991631582338,0.2172900589171373,0.031538196445889004,-0.072307867301228,-0.08978282160137442,-0.08941542961586639,-0.04182428765600961,0.02933151444731113,0.07117136566694651,0.10427694429059216,0.11248980882224253,0.11579076414970661,0.11816496061454759,0.12574742125111782,0.12719082983827865,0.1763820959766927,0.2951801373687841,0.41697526278995495,0.44059740170102485,0.44059740170102485,0.44414873294222157,0.5744417819528789,0.7382570342876708,0.8303067096755531,0.8374837362923842,0.8374837362923842,0.8374837362923842,0.8374837362923842,0.9001608919075558,0.9217353749363241,0.9158737983618104,0.9158737983618104,0.9158737983618104,0.9158737983618104,0.7835451868012625,0.6434862005254294,0.4794400627399617,0.4794400627399617,0.4794400627399617,0.4347475778443485,0.08850552460409031,-0.40063899649139284,-0.40063899649139284,-0.40063899649139284,-0.40063899649139284,0.2086920814056434,0.21981507644199372,0.2255050301648219,0.20775356704391748,0.20775356704391748,0.20775356704391748,0.20775356704391748,0.20775356704391748,0.20775356704391748,0.14406602913127714,0.09708907218298743,-0.04419487554739816,-0.012777354767923245,-0.012777354767923245,-0.012777354767923245,-0.012777354767923245,-0.012777354767923245,-0.012777354767923245,0.12528555031842123,0.12528555031842123,0.12528555031842123,0.12528555031842123,0.12528555031842123,-0.22645525554144155,-0.2744273020471696,-0.2744273020471696,-0.2744273020471696,-0.2744273020471696,-0.2744273020471696,-0.2744273020471696,-0.2744273020471696,-0.2744273020471696,-0.2744273020471696,-0.2744273020471696,-0.2744273020471696,-0.2744273020471696,-0.2744273020471696,-0.2744273020471696,-0.2885405878190324,-0.29348969118505025,-0.2943241722140307,0.27924821378231945,0.254426450075688,0.16120753553927714,0.16120753553927714,0.16120753553927714,0.16120753553927714,0.16120753553927714,0.16120753553927714,0.16120753553927714,0.16120753553927714,0.1554513083421593,0.13993172858069614,0.09339803025944442,0.0467204341754312,0.02804049525167782,0.02804049525167782,0.02804049525167782,0.2596058094293333,0.2596058094293333,0.2596058094293333,0.2596058094293333,0.2596058094293333,0.2596058094293333,0.2596058094293333,0.2596058094293333,-0.3488102920043295,-0.3759013868819802,-0.39643173532432546,-0.4202108893084348,-0.42074081302359434,-0.42074081302359434,-0.42074081302359434,-0.42074081302359434,-0.28472133799115074,-0.28472133799115074,-0.28472133799115074,-0.28472133799115074,-0.28472133799115074,-0.28472133799115074,-0.28472133799115074,-0.28472133799115074,-0.22216975174809245,-0.18767390638378184,-0.11351782600564678,0.02476471509695223,0.07737561411753366,0.07737561411753366,0.07737561411753366,0.07737561411753366,0.07737561411753366,0.4843395694851928,0.4843395694851928,0.4843395694851928,0.4843395694851928,0.4843395694851928,0.4843395694851928,-0.3826031193811267,-0.3826031193811267,-0.3826031193811267,-0.3826031193811267,-0.3826031193811267,0.7896368836088159,0.7896368836088159,0.7896368836088159,0.7896368836088159,0.7896368836088159,0.9114860260723823,0.9114860260723823,0.9114860260723823,0.9114860260723823,0.9114860260723823,0.9114860260723823,0.6954541671339906,0.6954541671339906,0.6954541671339906,0.6954541671339906,0.6954541671339906,0.6954541671339906,0.6906098846833333,0.6906098846833333,0.6906098846833333,0.6906098846833333,0.6906098846833333,0.6906098846833333,-0.1630783483768014,-0.1630783483768014,-0.1630783483768014,-0.1630783483768014,-0.1630783483768014,0.005871089641190071,0.005871089641190071,0.005871089641190071,0.005871089641190071,0.005871089641190071,0.005871089641190071,0.005871089641190071,0.7678611120301595,0.7678611120301595,0.7678611120301595,0.7678611120301595,0.7678611120301595,0.7678611120301595,0.7678611120301595,0.7678611120301595,0.7678611120301595,0.7678611120301595,0.7678611120301595,0.47186823886789875,0.47186823886789875,0.47186823886789875,0.47186823886789875,0.47186823886789875,0.47186823886789875,0.47186823886789875,0.47186823886789875,0.47186823886789875,0.47186823886789875,0.47186823886789875,-0.12617801984557722,-0.18758607937107938,-0.2336832774864681,-0.2926401824814949,0.7307330914577954,0.7307330914577954,0.7307330914577954,0.7307330914577954,0.7307330914577954,0.7307330914577954,0.7307330914577954,0.7307330914577954,0.7307330914577954,0.7307330914577954,0.7673833353361202,0.834344685919932,0.8688484602453226,0.9656178529007728,0.5002583506642053,0.5002583506642053,0.5002583506642053,0.5002583506642053,0.5002583506642053,0.5002583506642053,0.5002583506642053,0.5002583506642053,0.5002583506642053,0.25512841161532934,0.1594453189587952,0.10968195529270106,0.03714208178097921,-0.4828382687034526,-0.4828382687034526,-0.4828382687034526,-0.4828382687034526,-0.4828382687034526,-0.4828382687034526,-0.4828382687034526,0.8290795920704118,0.9850881877357448,0.9653942749474982,0.9653942749474982,0.9653942749474982,0.9653942749474982,0.9653942749474982,0.9653942749474982,0.9653942749474982,0.8485032192339427,0.7692271492242423,0.6706995440816119,-0.5962614358477796,-0.5829249687279723,-0.5602140015754188,0.4672375809129314,0.3733481711574828,0.34545054005454395,0.34545054005454395,0.34545054005454395,0.10606056866922074,-0.2675593624906106,-0.5485190457811585,-0.5758185381346569,-0.5758185381346569,-0.5758185381346569,0.2311410890168533,0.23201993798804602,0.22435214160342865,0.18280859825527537,0.16420291417452884,0.24992454519132584,0.24992454519132584,0.10908814409505994,-0.011169551079470617,-0.011169551079470617,-0.011169551079470617,-0.011169551079470617,-0.3646878215858312,-0.46154738886584334,-0.588222122843704,-0.6321151050562728,-0.6523034451701285,-0.6523034451701285,-0.6523034451701285,-0.6676397695071364,-0.7055909532722161,-0.6445662791860087,-0.4979485004024916,-0.49216421063362126,-0.49216421063362126,-0.678707107435132,-0.5813143145748352,-0.5575228052589315,-0.5577306090649637,-0.5577306090649637,-0.5370794886664269,-0.48411036632922244,-0.4500243210692543,-0.4252388771210535,-0.4242698997562236,-0.4242698997562236,-0.4242698997562236,-0.325647471778013,-0.06000909678944294,0.035236219966080375,0.10151525753298256,0.07873863910035724,0.024559589919561642,-0.0685234559121157,-0.13456228599997663,-0.23677230616530867,-0.28416366943637644,-0.3228935276012861,-0.3889702630297198,-0.41440083243450077,-0.41440083243450077,-0.41440083243450077,-0.41440083243450077,-0.41440083243450077,-0.41440083243450077,-0.41440083243450077,-0.07411867098770834,-0.07411867098770834,-0.07411867098770834,-0.07411867098770834,-0.07411867098770834,-0.07411867098770834,-0.07411867098770834,-0.07411867098770834,-0.07411867098770834,-0.4097140882138726,-0.4097140882138726,-0.4097140882138726,-0.4097140882138726,-0.4097140882138726,-0.4097140882138726,-0.4097140882138726,-0.4097140882138726,-0.4097140882138726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0.7221538585636472,-0.094975008661217,-0.094975008661217,-0.094975008661217,-0.094975008661217,-0.094975008661217,-0.094975008661217,-0.094975008661217,-0.045465883021688754,-0.038364270646441566,-0.027477579338367464,-0.023439341866853234,-0.01558401500703835,0.009438861766419159,0.05571452908179662,0.08672843305707818,0.09294868850244667,0.09294868850244667,0.09294868850244667,0.09294868850244667,0.09294868850244667,0.09294868850244667,0.09294868850244667,-0.11176453234216673,-0.14833929465710538,-0.17481166304182222,-0.19175655013103896,-0.20072632134237267,-0.2083411192844464,-0.22573926062339664,-0.23467361395276493,-0.18837349738373163,-0.0917053346464846,0.01448194174854863,0.09656548532862048,-0.14764544340408728,-0.16089429289693874,-0.16089429289693874,-0.16089429289693874,-0.16089429289693874,-0.16089429289693874,0.024401110411700844,0.1062924825203908,0.23730568921192136,0.37719886986784873,0.4580554526279104,0.4580554526279104,0.4580554526279104,0.4580554526279104,0.4580554526279104,0.5854717147460055,0.6206389715200838,0.6559361069435029,0.7036779731215553,0.725002914431174,0.725002914431174,0.725002914431174,0.725002914431174,0.725002914431174,0.7954195434328659,0.8093933291935024,0.8111397691033776,0.7894968232045462,0.7615192445090142,0.7556769115973668,0.7615867478207452,0.7602473190013251,0.7620528259745339,0.7620528259745339,0.7620528259745339,0.7620528259745339,0.7620528259745339,0.6300742333033944,0.6083885742997679,0.5988577796675335,0.5800392590281905,0.5310153421514243,0.49077264000618903,0.41370354962627026,0.2737641168264787,0.21560977128577655,0.25827331785957053,0.3448599659098482,0.4537177465211402,0.513190540992127,0.5483622553319638,0.5537851446659983,-0.5326000354962019,-0.5009206392930712,-0.48242529560338554,-0.48054241898673383,-0.47858507679420154,-0.47858507679420154,-0.47858507679420154,-0.4493080328398519,-0.4493080328398519,-0.4493080328398519,-0.4493080328398519,-0.45273841836417617,-0.45402195188323535,-0.48208126087982994,-0.5075012917635359,-0.5229818022300111,-0.5076694617295615,-0.44301209662967084,-0.4091083317102922,-0.396709109020028,-0.396709109020028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-0.41004088207371964,-0.47715995997541705,-0.4871709929058949,-0.51237703360595,-0.5264392476507834,-0.5264392476507834,-0.5231087866974287,-0.5214314428734053,-0.5214314428734053,-0.5214314428734053,-0.5214314428734053,-0.5214314428734053,-0.5214314428734053,-0.5214314428734053,-0.5214314428734053,-0.5214314428734053,-0.5214314428734053,-0.5214314428734053,-0.5214314428734053,-0.5214314428734053</t>
  </si>
  <si>
    <t>-0.03659230559987375,-0.03659230559987375,-0.03659230559987375,-0.03659230559987375,-0.03659230559987375,-0.03659230559987375,-0.03659230559987375,-0.03659230559987375,-0.03659230559987375,-0.19752957611580704,-0.3230212259044609,-0.3731687566467736,-0.40724479158566107,-0.39160294925592126,-0.39160294925592126,0.14017460247556832,0.27211276103763476,-0.401057533354067,-0.41417008722535403,-0.41417008722535403,-0.41417008722535403,-0.48501166460490347,-0.4136113798646048,-0.4136113798646048,-0.4136113798646048,-0.4977729898697461,-0.49997500905965575,-0.4135803858051188,-0.4135803858051188,-0.4135803858051188,-0.3607430712057607,-0.34031314451789835,-0.3033912825561189,-0.288243034552977,-0.288243034552977,-0.288243034552977,-0.3152672492208425,-0.30442299178194976,-0.28289596082007296,-0.2657919593138721,-0.2642226243010828,-0.24389216998101626,-0.21460084896518922,-0.19108556332749477,-0.1823655975789355,-0.1823655975789355,-0.1823655975789355,-0.1823655975789355,-0.1823655975789355,-0.1253099434736255,-0.09157903352125266,-0.052587162187275105,-0.009640605208147662,0.01698841195712494,0.09231591530364003,0.09231591530364003,0.09231591530364003,0.10301357241075124,0.1778547866885724,0.24371804327355784,0.28909125391698265,0.2673662836501818,0.2023806361075829,0.25517218892740867,0.2991874396077703,0.3473865374835025,0.35078629749195156,0.3478803284641192,0.3401401664631097,0.32883834332017514,0.3184759501979212,0.3184759501979212,0.3184759501979212,0.3184759501979212,0.3184759501979212,0.3184759501979212,0.3184759501979212,0.3184759501979212,0.3184759501979212,0.3204993149144181,0.31804373925761514,0.3081595217049303,0.2850397170472618,0.26595304620695775,0.23608595182918127,0.16619059469702616,0.08345781616148222,0.004684001644887166,0.1009266813172415,0.17461942914558495,0.21982504802594796,0.2424280637422851,0.22915200097380364,-0.07732010963031324,0.32925861158801867,0.5606692734890146,0.4827843929882596,0.23229495535692554,0.007289603487058642,-0.0895214670490705,-0.1268873981232651,-0.11782409993684707,-0.0025830371156025335,0.13208214552693068,0.2944351065919079,0.3748338707199087,0.40557599230217173,0.4531668532280207,0.5195210843527815,0.5775374415203325,0.6182678559777165,0.6599885311724756,0.7332725849043553,0.7910974110832834,0.8038904815560382,0.7992489178832731,0.797689436450359,0.7976763200816748,0.7529133012690349,0.6680637088998528,0.4029079329656026,-0.012502797674839009,-0.2506743913229395,-0.3261050364112303,-0.3383147438562181,-0.3383147438562181,-0.3437761047824889,-0.4423886320834114,-0.3798071382880324,-0.2623629379410368,-0.17650372132191294,-0.17650372132191294,-0.17650372132191294,-0.17650372132191294,-0.10414756291377845,-0.036954934005193986,-0.019948048886612543,-0.019948048886612543,-0.019948048886612543,-0.019948048886612543,-0.0878722996645196,-0.0729515138059084,-0.009599909024305516,-0.009599909024305516,-0.009599909024305516,-0.0015881215776382134,0.13748097860208242,0.3747299568349775,0.3747299568349775,0.3747299568349775,0.3747299568349775,0.05439138650218802,-0.13791468258180348,-0.2700292993362901,-0.3518606940685007,-0.3518606940685007,-0.3518606940685007,-0.3518606940685007,-0.3518606940685007,-0.3518606940685007,-0.6114826819412781,-0.7453081080024117,0.8846860172138985,0.9612665940265259,0.9612665940265259,0.9612665940265259,0.9612665940265259,0.9612665940265259,0.9612665940265259,0.8456017945118658,0.8456017945118658,0.8456017945118658,0.8456017945118658,0.8456017945118658,0.9477273969944308,0.9015201734390988,0.9015201734390988,0.9015201734390988,0.9015201734390988,0.9015201734390988,0.9015201734390988,0.9015201734390988,0.9015201734390988,0.9015201734390988,0.9015201734390988,0.9015201734390988,0.9015201734390988,0.9015201734390988,0.9015201734390988,0.8730060519544836,0.8580258204117479,0.8016689285237055,-0.716132945959099,-0.6215939616022802,-0.2659857017936611,-0.2659857017936611,-0.2659857017936611,-0.2659857017936611,-0.2659857017936611,-0.2659857017936611,-0.2659857017936611,-0.2659857017936611,-0.11972276152397786,-0.030695180225385033,0.09329772511928336,0.2732792696664734,0.3182786105479822,0.3182786105479822,0.3182786105479822,-0.42641012439924564,-0.42641012439924564,-0.42641012439924564,-0.42641012439924564,-0.42641012439924564,-0.42641012439924564,-0.42641012439924564,-0.42641012439924564,0.7094609175644362,0.7754128850843668,0.8273968039778907,0.9027242309432602,0.9053736196170709,0.9053736196170709,0.9053736196170709,0.9053736196170709,0.6763052584673019,0.6763052584673019,0.6763052584673019,0.6763052584673019,0.6763052584673019,0.6763052584673019,0.6763052584673019,0.6763052584673019,0.5268087206741716,0.4439202064002866,0.3112851160060186,0.0992018514390757,0.02618830516697843,0.02618830516697843,0.02618830516697843,0.02618830516697843,0.02618830516697843,0.6343399360129862,0.6343399360129862,0.6343399360129862,0.6343399360129862,0.6343399360129862,0.6343399360129862,-0.20310355099662403,-0.20310355099662403,-0.20310355099662403,-0.20310355099662403,-0.20310355099662403,0.35405373927352196,0.35405373927352196,0.35405373927352196,0.35405373927352196,0.35405373927352196,0.32427001154436114,0.32427001154436114,0.32427001154436114,0.32427001154436114,0.32427001154436114,0.32427001154436114,0.16393743062047242,0.16393743062047242,0.16393743062047242,0.16393743062047242,0.16393743062047242,0.16393743062047242,0.19979957399435422,0.19979957399435422,0.19979957399435422,0.19979957399435422,0.19979957399435422,0.19979957399435422,-0.14821074777346213,-0.14821074777346213,-0.14821074777346213,-0.14821074777346213,-0.14821074777346213,-0.12565669056585158,-0.12565669056585158,-0.12565669056585158,-0.12565669056585158,-0.12565669056585158,-0.12565669056585158,-0.12565669056585158,0.2986604258824628,0.2986604258824628,0.2986604258824628,0.2986604258824628,0.2986604258824628,0.2986604258824628,0.2986604258824628,0.2986604258824628,0.2986604258824628,0.2986604258824628,0.2986604258824628,0.034843787913794846,0.034843787913794846,0.034843787913794846,0.034843787913794846,0.034843787913794846,0.034843787913794846,0.034843787913794846,0.034843787913794846,0.034843787913794846,0.034843787913794846,0.034843787913794846,-0.08514954948149667,-0.10549981553410484,-0.11967717004147368,-0.13391413570840768,0.168052787590617,0.168052787590617,0.168052787590617,0.168052787590617,0.168052787590617,0.168052787590617,0.168052787590617,0.168052787590617,0.168052787590617,0.168052787590617,0.17510401539398027,0.1792630373321874,0.18023433324203272,0.17267944670997995,0.015567454031985511,0.015567454031985511,0.015567454031985511,0.015567454031985511,0.015567454031985511,0.015567454031985511,0.015567454031985511,0.015567454031985511,0.015567454031985511,-0.014066855245573308,-0.021643899112787236,-0.023906918313045932,-0.03012237715296436,-0.08834495533607774,-0.08834495533607774,-0.08834495533607774,-0.08834495533607774,-0.08834495533607774,-0.08834495533607774,-0.08834495533607774,0.159092117730287,0.1646612574825824,0.1506729830502809,0.1506729830502809,0.1506729830502809,0.1506729830502809,0.1506729830502809,0.1506729830502809,0.1506729830502809,0.10684605641472995,0.09011917682832642,0.07131746737630815,-0.05435826910626006,-0.04960103547970486,-0.008453193898686684,-0.1651165672636397,-0.1879604160830678,-0.1851415440728098,-0.1851415440728098,-0.1851415440728098,-0.13450120022837303,-0.06064487869830647,0.03284600274932637,0.05206772078875372,0.05206772078875372,0.05206772078875372,-0.07362207432852844,-0.1874091174624438,-0.2924150511296957,-0.3388510415879516,-0.3757460184131282,-0.46776642206455044,-0.46776642206455044,-0.33408873084741164,-0.22372752393219417,-0.22372752393219417,-0.22372752393219417,-0.22372752393219417,-0.13831361485926666,-0.07998478021441818,0.04875013324573435,0.1166211585640615,0.19291798430497625,0.19291798430497625,0.19291798430497625,0.13446343220569504,-0.024972052313376288,-0.2007737605904908,-0.32150129635334174,-0.32558524746937895,-0.32558524746937895,0.24453078910039985,0.1436809505822429,0.11964711745071462,0.11642718292138637,0.11642718292138637,0.06645308586497119,-0.10399625599983085,-0.296688380652153,-0.4112969670216634,-0.4143089730408636,-0.4143089730408636,-0.4143089730408636,-0.42010311869972766,-0.4038388040504998,-0.38058016557038576,-0.34195453096067596,-0.2947429738264198,-0.2261906744272327,-0.1804617815098265,-0.17581780817914497,-0.2542973368600964,-0.34986428953347903,-0.3982952565640057,-0.4033694210969615,-0.38404535317903554,-0.38404535317903554,-0.38404535317903554,-0.38404535317903554,-0.38404535317903554,-0.38404535317903554,-0.38404535317903554,-0.4298150473429072,-0.4298150473429072,-0.4298150473429072,-0.4298150473429072,-0.4298150473429072,-0.4298150473429072,-0.4298150473429072,-0.4298150473429072,-0.4298150473429072,0.20599210762863823,0.20599210762863823,0.20599210762863823,0.20599210762863823,0.20599210762863823,0.20599210762863823,0.20599210762863823,0.20599210762863823,0.20599210762863823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0.40413241225893876,0.11872123045171087,0.11872123045171087,0.11872123045171087,0.11872123045171087,0.11872123045171087,0.11872123045171087,0.11872123045171087,-0.19422943625060307,-0.2725309717130833,-0.3754446209794791,-0.47289314004085553,-0.5388860905492764,-0.5747932419467736,-0.5949404682932903,-0.6029510659017014,-0.6031966485094905,-0.6031966485094905,-0.6031966485094905,-0.6031966485094905,-0.6031966485094905,-0.6031966485094905,-0.6031966485094905,0.6669418568155329,0.7565595333220938,0.827463323772379,0.9058770766303195,0.9503531533205276,0.9677831469852755,0.9540894524902137,0.8990316495152371,0.8245493879887058,0.76102770766506,0.6715126154007686,0.5998184287810528,-0.5568954187046827,-0.5472461349832953,-0.5472461349832953,-0.5472461349832953,-0.5472461349832953,-0.5472461349832953,-0.3483812758183952,-0.2564466258542884,-0.11379829954000766,0.04711216425673788,0.1382117280976384,0.1382117280976384,0.1382117280976384,0.1382117280976384,0.1382117280976384,0.3749854845309732,0.4303989133586936,0.4847795648788588,0.5427606925138952,0.5629679414543194,0.5629679414543194,0.5629679414543194,0.5629679414543194,0.5629679414543194,0.5394132808710277,0.511058377569237,0.4593689358270624,0.3850260512961626,0.3261739950147932,0.2900268960990642,0.25415146439205866,0.23397312757485672,0.2324276780097094,0.2324276780097094,0.2324276780097094,0.2324276780097094,0.2324276780097094,0.18235140289462484,0.18964904532720972,0.20186399451379977,0.2368378420381767,0.30565710742782937,0.35904586428087953,0.4355423453176225,0.5046596199327766,0.5257718499948552,0.5740872053660462,0.6284062010926135,0.641054583858615,0.6119181716734335,0.5564689970672251,0.4613799270207942,-0.3728520250945079,-0.31640195187699793,-0.29230396459060065,-0.2715090946640352,-0.2624529134827582,-0.2624529134827582,-0.2624529134827582,-0.2827435417436027,-0.2827435417436027,-0.2827435417436027,-0.2827435417436027,-0.30116183352797893,-0.32213885282565213,-0.33821624343784207,-0.32921235158339274,-0.3057230470097755,-0.2886294667805799,-0.2742821033853898,-0.26410601339644196,-0.2640984405803058,-0.2640984405803058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-0.2688931210038904,-0.2763747322982895,-0.27887486689787655,-0.28711381863898594,-0.2884589865787485,-0.2884589865787485,-0.2937860175298468,-0.2964427577101115,-0.2964427577101115,-0.2964427577101115,-0.2964427577101115,-0.2964427577101115,-0.2964427577101115,-0.2964427577101115,-0.2964427577101115,-0.2964427577101115,-0.2964427577101115,-0.2964427577101115,-0.2964427577101115,-0.2964427577101115</t>
  </si>
  <si>
    <t>-0.699006863382204,-0.699006863382204,-0.699006863382204,-0.699006863382204,-0.699006863382204,-0.699006863382204,-0.699006863382204,-0.699006863382204,-0.699006863382204,0.6179875278177114,0.5427957725004979,0.5088218755164513,0.47496319182348695,0.46228228807682453,0.46228228807682453,-0.5550379182937406,-0.5004111810700417,0.4026882534487414,0.3769643138711576,0.3769643138711576,0.3769643138711576,0.25378997092040523,0.10015900377157579,0.10015900377157579,0.10015900377157579,0.33998421026887676,0.16701955317552447,0.029454017886299318,0.029454017886299318,0.029454017886299318,-0.13910634060470414,-0.1798979177411201,-0.23178732267292898,-0.24976005080827932,-0.24976005080827932,-0.24976005080827932,-0.08139701277413289,-0.15220408674664945,-0.1824493309934393,-0.19877223202634206,-0.20085360506620217,-0.22186537099164297,-0.24824966341682458,-0.26735208514847775,-0.2744962000841305,-0.2744962000841305,-0.2744962000841305,-0.2744962000841305,-0.2744962000841305,-0.3047995949924903,-0.31909568182876596,-0.33377512748395655,-0.3475949366647518,-0.3579338813632797,-0.40925500938359105,-0.40925500938359105,-0.40925500938359105,-0.3994405555792895,-0.32071924284199926,-0.2417777288769842,-0.1741146236166211,-0.21058511183536385,-0.3101627544472368,-0.14913612618123512,0.003018561773162511,0.29704638979319997,0.4131362947692078,0.46272448258646093,0.5135238555183166,0.551900917601926,0.573177004687101,0.573177004687101,0.573177004687101,0.573177004687101,0.573177004687101,0.573177004687101,0.573177004687101,0.573177004687101,0.573177004687101,0.7237880361366447,0.7629028210699631,0.8010885377336256,0.8632961427929087,0.9272081361061782,0.9290717078420232,0.8665431611948251,0.7570980812119612,-0.6275414576419539,-0.4922153421910659,-0.3745765111357165,-0.28622168984668417,-0.2542226994271181,-0.29532606617098917,0.48436750906423365,0.7197288098214913,0.7766324787686526,0.8662331926914192,0.9556888237811043,0.9782542118100254,0.9673383228517753,0.9447832765870867,0.8918075227496164,0.7783202412490948,0.6755153153747042,0.5847333730956565,0.5535155267165345,0.5476148808386174,0.4877308889292033,0.3852056727173636,0.30875502161336843,0.28868039947082913,0.28099737995794033,0.3034257146618921,0.34364450043920125,0.3752162739662357,0.41026382948374,0.4188325293725911,0.4215103528822061,0.46982337191497076,0.5488821299739487,0.7086936683715643,0.8123254242660618,0.7803776824359845,0.7125876503263604,0.6966978052933193,0.6966978052933193,0.6940192271051325,0.5714220065276217,0.349508985971472,0.1033112253796968,-0.042176077853412,-0.042176077853412,-0.042176077853412,-0.042176077853412,-0.16726029311419813,-0.2825316983096761,-0.3192939076503462,-0.3192939076503462,-0.3192939076503462,-0.3192939076503462,-0.11069445238601425,-0.13270151944988995,-0.18854046475554992,-0.18854046475554992,-0.18854046475554992,-0.1971469475617032,-0.27869222231880886,-0.30466407303816534,-0.30466407303816534,-0.30466407303816534,-0.30466407303816534,0.03921040680024967,0.08042943326960293,0.10699772716818362,0.12941633284562695,0.12941633284562695,0.12941633284562695,0.12941633284562695,0.12941633284562695,0.12941633284562695,0.1939524735687969,0.22249328519941786,-0.22737740173519314,-0.18549352262512575,-0.18549352262512575,-0.18549352262512575,-0.18549352262512575,-0.18549352262512575,-0.18549352262512575,-0.19254685876128172,-0.19254685876128172,-0.19254685876128172,-0.19254685876128172,-0.19254685876128172,-0.17942582469743698,-0.027773529463001687,-0.027773529463001687,-0.027773529463001687,-0.027773529463001687,-0.027773529463001687,-0.027773529463001687,-0.027773529463001687,-0.027773529463001687,-0.027773529463001687,-0.027773529463001687,-0.027773529463001687,-0.027773529463001687,-0.027773529463001687,-0.027773529463001687,0.029242960237907015,0.053108128642544924,0.10768985016440508,-0.15639244922608012,-0.19417864088882567,-0.29282319346300884,-0.29282319346300884,-0.29282319346300884,-0.29282319346300884,-0.29282319346300884,-0.29282319346300884,-0.29282319346300884,-0.29282319346300884,-0.32564314445005865,-0.34020294944348384,-0.355802955886096,-0.36487443891100346,-0.3667831590547759,-0.3667831590547759,-0.3667831590547759,-0.2646112371169921,-0.2646112371169921,-0.2646112371169921,-0.2646112371169921,-0.2646112371169921,-0.2646112371169921,-0.2646112371169921,-0.2646112371169921,0.14516762679558998,0.11411843916844308,0.08289274309987983,0.0022946282535050776,-0.005466678932933321,-0.005466678932933321,-0.005466678932933321,-0.005466678932933321,-0.4132501158820619,-0.4132501158820619,-0.4132501158820619,-0.4132501158820619,-0.4132501158820619,-0.4132501158820619,-0.4132501158820619,-0.4132501158820619,-0.4995597966180546,-0.5341172784109846,-0.5682011164733995,-0.5844012594808061,-0.5797854237013209,-0.5797854237013209,-0.5797854237013209,-0.5797854237013209,-0.5797854237013209,0.24573158434838813,0.24573158434838813,0.24573158434838813,0.24573158434838813,0.24573158434838813,0.24573158434838813,-0.4242205664222288,-0.4242205664222288,-0.4242205664222288,-0.4242205664222288,-0.4242205664222288,0.2065899274326006,0.2065899274326006,0.2065899274326006,0.2065899274326006,0.2065899274326006,0.0442491753286359,0.0442491753286359,0.0442491753286359,0.0442491753286359,0.0442491753286359,0.0442491753286359,-0.488441930577075,-0.488441930577075,-0.488441930577075,-0.488441930577075,-0.488441930577075,-0.488441930577075,-0.438700442775949,-0.438700442775949,-0.438700442775949,-0.438700442775949,-0.438700442775949,-0.438700442775949,-0.5666279688153925,-0.5666279688153925,-0.5666279688153925,-0.5666279688153925,-0.5666279688153925,-0.5687021327033942,-0.5687021327033942,-0.5687021327033942,-0.5687021327033942,-0.5687021327033942,-0.5687021327033942,-0.5687021327033942,0.23422666372468642,0.23422666372468642,0.23422666372468642,0.23422666372468642,0.23422666372468642,0.23422666372468642,0.23422666372468642,0.23422666372468642,0.23422666372468642,0.23422666372468642,0.23422666372468642,-0.5392648369896951,-0.5392648369896951,-0.5392648369896951,-0.5392648369896951,-0.5392648369896951,-0.5392648369896951,-0.5392648369896951,-0.5392648369896951,-0.5392648369896951,-0.5392648369896951,-0.5392648369896951,-0.5774796142306785,-0.5683204443912755,-0.5596801933011535,-0.5458738497957891,0.3347432207904982,0.3347432207904982,0.3347432207904982,0.3347432207904982,0.3347432207904982,0.3347432207904982,0.3347432207904982,0.3347432207904982,0.3347432207904982,0.3347432207904982,0.3104831993005185,0.25096100160018275,0.21289771018384382,0.043187010237496964,-0.5837033929158358,-0.5837033929158358,-0.5837033929158358,-0.5837033929158358,-0.5837033929158358,-0.5837033929158358,-0.5837033929158358,-0.5837033929158358,-0.5837033929158358,-0.6405876886701154,-0.6514042236839224,-0.654760962616652,-0.6563412898560265,-0.5583166528596888,-0.5583166528596888,-0.5583166528596888,-0.5583166528596888,-0.5583166528596888,-0.5583166528596888,-0.5583166528596888,0.34481622371097,-0.018969385155745318,-0.18541390560213264,-0.18541390560213264,-0.18541390560213264,-0.18541390560213264,-0.18541390560213264,-0.18541390560213264,-0.18541390560213264,-0.3884739589185287,-0.46642045919356484,-0.5381900350514731,0.5782663670103768,0.5837309284609048,0.5764976147009286,-0.5137111545044032,-0.5105273601710327,-0.5131771313164395,-0.5131771313164395,-0.5131771313164395,-0.525314079667448,-0.4757893465492057,-0.3688281435492135,-0.3497905040964291,-0.3497905040964291,-0.3497905040964291,-0.2782521460006696,-0.24768614917467155,-0.21461348083629858,-0.18854743500924048,-0.17328763040378428,-0.18006912878214051,-0.18006912878214051,-0.16150743279396357,-0.13816756293769913,-0.13816756293769913,-0.13816756293769913,-0.13816756293769913,-0.03695106715312451,0.002516350389730537,0.0831444335651603,0.12606734813849677,0.17942922165306838,0.17942922165306838,0.17942922165306838,0.12428476268062583,-0.037307012598311595,-0.22082288382723023,-0.3786071833924392,-0.3837659313681713,-0.3837659313681713,0.11125085915039404,0.06565552174168343,0.054011637103727674,0.05182183939651112,0.05182183939651112,0.022118260661600882,-0.08045565342442615,-0.18745379377070354,-0.24591374568619054,-0.24758175436293953,-0.24758175436293953,-0.24758175436293953,-0.31137921660478735,-0.4497679005043972,-0.49053381413915836,-0.5201465894812924,-0.5278925047412245,-0.5305609543391588,-0.5185598313635471,-0.5051852604345913,-0.4808086905228503,-0.46838581448386046,-0.45009886547416406,-0.4083970656248112,-0.38796866161988686,-0.38796866161988686,-0.38796866161988686,-0.38796866161988686,-0.38796866161988686,-0.38796866161988686,-0.38796866161988686,-0.5745172830630768,-0.5745172830630768,-0.5745172830630768,-0.5745172830630768,-0.5745172830630768,-0.5745172830630768,-0.5745172830630768,-0.5745172830630768,-0.5745172830630768,0.7145495494643752,0.7145495494643752,0.7145495494643752,0.7145495494643752,0.7145495494643752,0.7145495494643752,0.7145495494643752,0.7145495494643752,0.7145495494643752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-0.5608328846474637,-0.5608328846474637,0.9722978667525342,0.9722978667525342,0.9722978667525342,0.9722978667525342,0.9722978667525342,0.9722978667525342,0.9722978667525342,0.9678304401742661,0.9503142350849947,0.9168443065730884,0.8723278471077304,0.8350073498379103,0.8132766475778427,0.799845847204955,0.7923362705879643,0.7916306765755449,0.7916306765755449,0.7916306765755449,0.7916306765755449,0.7916306765755449,0.7916306765755449,0.7916306765755449,-0.7364179613511725,-0.6368713573038495,-0.5333300681529878,-0.37742003870503327,-0.23769355801876957,-0.1391718071516109,-0.10284817843748004,-0.08140263295347745,-0.17015072130630082,-0.3176520940184566,-0.4611846782101364,-0.5507349644792954,0.5975501001133132,0.6078016020348981,0.6078016020348981,0.6078016020348981,0.6078016020348981,0.6078016020348981,0.635278744183844,0.6267985363422433,0.5899649934751868,0.5205869181893306,0.4665106300182292,0.4665106300182292,0.4665106300182292,0.4665106300182292,0.4665106300182292,0.29186537200283874,0.2411993018698993,0.18704710487139248,0.12475848079067714,0.10216927046912334,0.10216927046912334,0.10216927046912334,0.10216927046912334,0.10216927046912334,0.20674561271441086,0.272949186186733,0.36081910167366615,0.44534088136516187,0.49008579429310534,0.49046145196140295,0.46953636888162403,0.46126251471133056,0.45827348161414466,0.45827348161414466,0.45827348161414466,0.45827348161414466,0.45827348161414466,0.5612150882364031,0.5803356658932763,0.5914038385706919,0.6148481193693653,0.6622610798813545,0.6920648767656145,0.7337215752912546,0.7893565058920466,0.8034799633271172,0.755048991251922,0.6649185318201796,0.5546928061817702,0.49618061721569207,0.4623572660276827,0.44961109333655885,-0.44741580367417483,-0.45505809492457916,-0.4599807855960937,-0.45497596941395213,-0.45327388158382975,-0.45327388158382975,-0.45327388158382975,-0.4758108800793878,-0.4758108800793878,-0.4758108800793878,-0.4758108800793878,-0.4783096569312554,-0.48228490024344234,-0.4674071015716807,-0.4470692822010848,-0.4288572475378026,-0.43287478534989604,-0.4670037478825047,-0.48264153718261876,-0.48893994944491986,-0.48893994944491986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-0.4831360518760738,-0.4485014651043898,-0.4433372493784654,-0.4305951510907537,-0.42198449837120816,-0.42198449837120816,-0.42610608492799906,-0.4281570374473386,-0.4281570374473386,-0.4281570374473386,-0.4281570374473386,-0.4281570374473386,-0.4281570374473386,-0.4281570374473386,-0.4281570374473386,-0.4281570374473386,-0.4281570374473386,-0.4281570374473386,-0.4281570374473386,-0.4281570374473386</t>
  </si>
  <si>
    <t>-0.34578954544097623,-0.34578954544097623,-0.34578954544097623,-0.34578954544097623,-0.34578954544097623,-0.34578954544097623,-0.34578954544097623,-0.34578954544097623,-0.34578954544097623,0.5080633047626241,0.5770983829863797,0.6170622655912247,0.6919609802374097,0.7541188657251757,0.7541188657251757,-0.35702263398915685,-0.5271787245265719,0.728968903084388,0.7698743523484746,0.7698743523484746,0.7698743523484746,0.8330799238940655,0.8816355004327534,0.8816355004327534,0.8816355004327534,0.7159370062163539,0.8493756433565631,0.8833716133045909,0.8833716133045909,0.8833716133045909,0.7394205694040429,0.6759050067631763,0.6104384007065476,0.5986023494978493,0.5986023494978493,0.5986023494978493,0.9331015034554545,0.8624708224124079,0.8274442831829181,0.8124183794181129,0.8086281932597451,0.7764667497426437,0.7300856608566945,0.7043589722447186,0.6983851134707715,0.6983851134707715,0.6983851134707715,0.6983851134707715,0.6983851134707715,0.5610177815338474,0.48110896560140687,0.38973532269483996,0.29048775107220387,0.23046672851662675,0.06533515893491125,0.06533515893491125,0.06533515893491125,0.041148769250811644,-0.13512145632543865,-0.31209132840679177,-0.4572975616837751,-0.49508577546284727,-0.5215568437848015,-0.3210735850785559,-0.21212098519798064,-0.07862625137944967,-0.043388294133919,-0.03399169368175717,-0.030837183662373834,-0.03595303416065837,-0.044435466388047545,-0.044435466388047545,-0.044435466388047545,-0.044435466388047545,-0.044435466388047545,-0.044435466388047545,-0.044435466388047545,-0.044435466388047545,-0.044435466388047545,0.026108057510674854,0.04743017443174937,0.06416308734149684,0.09439479705539346,0.1544099781837079,0.2512296973452091,0.3020490419013188,0.3366154342063857,-0.3607644190921093,-0.3889008115037153,-0.40025017274352953,-0.3933859968512409,-0.4310325205082138,-0.5220408505427013,0.6155653565153139,0.4675902916815388,0.24736958135200687,0.09344844272311217,0.023167395754433946,-0.02538782890478831,-0.045129712995858697,-0.04557442016806764,-0.020363387428013063,0.06831907540256006,0.17179163851626078,0.329577936608991,0.45502044313113266,0.5949624610640876,0.7138230967232214,0.7620497193649596,0.7522582087269135,0.7254981255464246,0.6909851605672738,0.6070377919632947,0.5051861100183229,0.45596872494020585,0.4266275616614212,0.41906672288073776,0.4154924905840079,0.44544876479520296,0.4864225265085148,0.5650141367864074,0.5557521402209196,0.4909599869578585,0.46044106685963027,0.4539044302529762,0.4539044302529762,0.4504300225504427,0.38442922340284663,0.4342425103043463,0.48071118914921124,0.5154499066467725,0.5154499066467725,0.5154499066467725,0.5154499066467725,0.38844259314172247,0.2630856721562676,0.2425462045823406,0.2425462045823406,0.2425462045823406,0.2425462045823406,0.6050472191516978,0.7503291898243477,0.8570283315832602,0.8570283315832602,0.8570283315832602,0.8787064939417647,0.9463595499894166,0.7786177859133582,0.7786177859133582,0.7786177859133582,0.7786177859133582,0.975680140328534,0.9623886838284677,0.9299371727440284,0.9034843220238802,0.9034843220238802,0.9034843220238802,0.9034843220238802,0.9034843220238802,0.9034843220238802,0.7534695394856995,0.6209559358357742,-0.40457011889376027,-0.2034586628234291,-0.2034586628234291,-0.2034586628234291,-0.2034586628234291,-0.2034586628234291,-0.2034586628234291,0.48185770013654927,0.48185770013654927,0.48185770013654927,0.48185770013654927,0.48185770013654927,-0.135414813279288,-0.3334361465627495,-0.3334361465627495,-0.3334361465627495,-0.3334361465627495,-0.3334361465627495,-0.3334361465627495,-0.3334361465627495,-0.3334361465627495,-0.3334361465627495,-0.3334361465627495,-0.3334361465627495,-0.3334361465627495,-0.3334361465627495,-0.3334361465627495,-0.3921091834022967,-0.4181327771736348,-0.509021715510985,0.6202543354434477,0.7149704775891337,0.9041671937738122,0.9041671937738122,0.9041671937738122,0.9041671937738122,0.9041671937738122,0.9041671937738122,0.9041671937738122,0.9041671937738122,0.9249096677948936,0.9293755271349157,0.9251900340005494,0.8888207274981816,0.8737176723218342,0.8737176723218342,0.8737176723218342,0.8250818884885149,0.8250818884885149,0.8250818884885149,0.8250818884885149,0.8250818884885149,0.8250818884885149,0.8250818884885149,0.8250818884885149,-0.5949142348028138,-0.4943783842636117,-0.3890825119897983,-0.09223072186473735,-0.05697273540186643,-0.05697273540186643,-0.05697273540186643,-0.05697273540186643,0.5392302836316463,0.5392302836316463,0.5392302836316463,0.5392302836316463,0.5392302836316463,0.5392302836316463,0.5392302836316463,0.5392302836316463,0.6508096364012752,0.6945733137077899,0.7532348710531477,0.8049974344521058,0.810663955949624,0.810663955949624,0.810663955949624,0.810663955949624,0.810663955949624,-0.5501309075697969,-0.5501309075697969,-0.5501309075697969,-0.5501309075697969,-0.5501309075697969,-0.5501309075697969,0.7952362615203077,0.7952362615203077,0.7952362615203077,0.7952362615203077,0.7952362615203077,-0.4565524544172171,-0.4565524544172171,-0.4565524544172171,-0.4565524544172171,-0.4565524544172171,-0.2491670009662809,-0.2491670009662809,-0.2491670009662809,-0.2491670009662809,-0.2491670009662809,-0.2491670009662809,0.5008917055728352,0.5008917055728352,0.5008917055728352,0.5008917055728352,0.5008917055728352,0.5008917055728352,0.5391475112782518,0.5391475112782518,0.5391475112782518,0.5391475112782518,0.5391475112782518,0.5391475112782518,0.7939595528055995,0.7939595528055995,0.7939595528055995,0.7939595528055995,0.7939595528055995,0.8128676464720889,0.8128676464720889,0.8128676464720889,0.8128676464720889,0.8128676464720889,0.8128676464720889,0.8128676464720889,-0.5160708600995733,-0.5160708600995733,-0.5160708600995733,-0.5160708600995733,-0.5160708600995733,-0.5160708600995733,-0.5160708600995733,-0.5160708600995733,-0.5160708600995733,-0.5160708600995733,-0.5160708600995733,0.6966489152923453,0.6966489152923453,0.6966489152923453,0.6966489152923453,0.6966489152923453,0.6966489152923453,0.6966489152923453,0.6966489152923453,0.6966489152923453,0.6966489152923453,0.6966489152923453,0.8020884967875633,0.794161900518628,0.786020090087034,0.7735958039983094,-0.5707314480264405,-0.5707314480264405,-0.5707314480264405,-0.5707314480264405,-0.5707314480264405,-0.5707314480264405,-0.5707314480264405,-0.5707314480264405,-0.5707314480264405,-0.5707314480264405,-0.532974280236325,-0.45689417177223857,-0.4090140624093581,-0.18946992634711562,0.6393665506297848,0.6393665506297848,0.6393665506297848,0.6393665506297848,0.6393665506297848,0.6393665506297848,0.6393665506297848,0.6393665506297848,0.6393665506297848,0.7241263911047687,0.741472365810128,0.7474532826693967,0.7529470229609488,0.6688384635184131,0.6688384635184131,0.6688384635184131,0.6688384635184131,0.6688384635184131,0.6688384635184131,0.6688384635184131,-0.4103882307695442,-0.04613128108531675,0.10456208532104948,0.10456208532104948,0.10456208532104948,0.10456208532104948,0.10456208532104948,0.10456208532104948,0.10456208532104948,0.34309501660679975,0.42734070963318366,0.5053982851049655,-0.5541890358759681,-0.5630243522894928,-0.5947598811250695,0.7003759075920974,0.7514278671942087,0.7635677867276667,0.7635677867276667,0.7635677867276667,0.8334900722947028,0.8356785769310855,0.7496757946237544,0.7371353789069517,0.7371353789069517,0.7371353789069517,0.9293703946143798,0.9217896411736203,0.9044891421537897,0.9034438846824611,0.8954461065705256,0.8284367235700483,0.8284367235700483,0.9221712671141749,0.9647439871363324,0.9647439871363324,0.9647439871363324,0.9647439871363324,0.9200580173922658,0.8834987893290445,0.8029353410287131,0.7556037473889327,0.7106954489567647,0.7106954489567647,0.7106954489567647,0.7216162562867746,0.7071958640112725,0.7038902348895603,0.7108732714581926,0.7102762464863981,0.7102762464863981,0.6835090356661486,0.7981972216031561,0.8197167998518267,0.8201803312385483,0.8201803312385483,0.8406190533042514,0.8650715691679219,0.8211669686690576,0.7678106094514405,0.7661895339439431,0.7661895339439431,0.7661895339439431,0.7877246201877521,0.7943689094630043,0.783130719332991,0.7760214408729019,0.7926262104741535,0.8165412904904786,0.8329668557033758,0.8341276533919583,0.8050433172300264,0.7599083607067221,0.7311030500077811,0.720560255212245,0.7281905206606686,0.7281905206606686,0.7281905206606686,0.7281905206606686,0.7281905206606686,0.7281905206606686,0.7281905206606686,0.6926004180986681,0.6926004180986681,0.6926004180986681,0.6926004180986681,0.6926004180986681,0.6926004180986681,0.6926004180986681,0.6926004180986681,0.6926004180986681,-0.5283186149228931,-0.5283186149228931,-0.5283186149228931,-0.5283186149228931,-0.5283186149228931,-0.5283186149228931,-0.5283186149228931,-0.5283186149228931,-0.5283186149228931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-0.025244275022473738,-0.17754400997584693,-0.17754400997584693,-0.17754400997584693,-0.17754400997584693,-0.17754400997584693,-0.17754400997584693,-0.17754400997584693,-0.15333629266066173,-0.1454575772853011,-0.13297682773998765,-0.12192949813535367,-0.11009834515307447,-0.09002628174825276,-0.05646548631810361,-0.03363666657414742,-0.028900111368926652,-0.028900111368926652,-0.028900111368926652,-0.028900111368926652,-0.028900111368926652,-0.028900111368926652,-0.028900111368926652,0.019642686607635608,-0.002828505972785329,-0.01744616519602013,-0.013048444406831247,-0.00629288252429152,-0.024919199841374258,-0.16786111834554554,-0.36061613861903136,-0.5056505357357153,-0.5581434465521639,-0.5798014947419698,-0.5723495072399948,0.5576757064121717,0.5524598689704522,0.5524598689704522,0.5524598689704522,0.5524598689704522,0.5524598689704522,0.6888076579554119,0.7280526293385823,0.7633329963805306,0.7645199259401929,0.7439425734652497,0.7439425734652497,0.7439425734652497,0.7439425734652497,0.7439425734652497,0.6568282593258962,0.609415243645595,0.5474942717900296,0.44122948935466416,0.38340489189992877,0.38340489189992877,0.38340489189992877,0.38340489189992877,0.38340489189992877,0.18329570089979366,0.09591931574691712,-0.029017781504428963,-0.173554617795418,-0.2711362746860039,-0.32293090430882987,-0.3673258185707211,-0.3930871176295591,-0.39400289461943017,-0.39400289461943017,-0.39400289461943017,-0.39400289461943017,-0.39400289461943017,-0.5047693048564913,-0.5070572917927311,-0.5008610457746271,-0.478982342756682,-0.4312849419502584,-0.3889402132867523,-0.31749785576278566,-0.21745846259325197,-0.1774720733268613,-0.18335701439068217,-0.2099061608983904,-0.27478194586949484,-0.3405824641867249,-0.41936481824497607,-0.5275418857666618,0.6141153541436335,0.6647484097177356,0.6857418634799851,0.6988266325240673,0.7047109909375809,0.7047109909375809,0.7047109909375809,0.7012719783550058,0.7012719783550058,0.7012719783550058,0.7012719783550058,0.6896008603891629,0.6763814764653756,0.6593466705638747,0.65893150124689,0.6701529036702044,0.6867198619098294,0.7144348182066449,0.72796671160092,0.7306241320544945,0.7306241320544945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0.7253568224553973,0.7034072900834344,0.698817083074899,0.6852906291762899,0.6793984212001348,0.6793984212001348,0.6771119387303897,0.675953025785445,0.675953025785445,0.675953025785445,0.675953025785445,0.675953025785445,0.675953025785445,0.675953025785445,0.675953025785445,0.675953025785445,0.675953025785445,0.675953025785445,0.675953025785445,0.675953025785445</t>
  </si>
  <si>
    <t>teste@blabla.com</t>
  </si>
  <si>
    <t>Rodrigo A Consoli</t>
  </si>
  <si>
    <t>27.110934800342054,27.110934800342118</t>
  </si>
  <si>
    <t>1678751782304,1678751782404,1678751782515,1678751782608,1678751782703,1678751782814,1678751782910,1678751783004,1678751783100,1678751783210,1678751783302,1678751783412,1678751783507,1678751783600,1678751783709,1678751783804,1678751783899,1678751784009,1678751784100,1678751784210,1678751784303,1678751784413,1678751784507,1678751784600,1678751784709,1678751784817,1678751784903,1678751785014,1678751785104,1678751785198,1678751785307,1678751785395,1678751785495,1678751785594,1678751785699,1678751785810,1678751785906,1678751786004,1678751786108,1678751786204,1678751786313,1678751786408,1678751786503,1678751786611,1678751786706,1678751786798,1678751786915,1678751787007,1678751787138,1678751787217,1678751787305,1678751787405,1678751787497,1678751787607,1678751787706,1678751787796,1678751787893,1678751788002,1678751788096,1678751788197,1678751788305,1678751788397,1678751788509,1678751788601,1678751788712,1678751788806,1678751788899,1678751789007,1678751789102,1678751789222,1678751789308,1678751789408,1678751789497,1678751789608,1678751789699,1678751789809,1678751789904,1678751789997,1678751790111,1678751790200,1678751790332,1678751790411,1678751790503,1678751790608,1678751790704,1678751790797,1678751790910,1678751791001,1678751791100,1678751791203,1678751791297,1678751791409,1678751791517,1678751791599,1678751791711,1678751791804,1678751791913,1678751792009,1678751792105,1678751792199,1678751792310,1678751792405,1678751792501,1678751792599,1678751792707,1678751792803,1678751792897,1678751793013,1678751793104,1678751793201,1678751793314,1678751793401,1678751793513,1678751793611,1678751793702,1678751793801,1678751793911,1678751794004,1678751794101,1678751794212,1678751794302,1678751794398,1678751794512,1678751794604,1678751794696,1678751794812,1678751794900,1678751795002,1678751795111,1678751795202,1678751795302,1678751795411,1678751795502,1678751795612,1678751795712,1678751795799,1678751795910,1678751796005,1678751796099,1678751796210,1678751796305,1678751796400,1678751796494,1678751796606,1678751796700,1678751796809,1678751796904,1678751796999,1678751797108,1678751797205,1678751797299,1678751797408,1678751797505,1678751797599,1678751797709,1678751797805,1678751797900,1678751797997,1678751798106,1678751798202,1678751798309,1678751798403,1678751798497,1678751798606,1678751798701,1678751798798,1678751798910,1678751799006,1678751799102,1678751799198,1678751799306,1678751799400,1678751799509,1678751799603,1678751799712,1678751799807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</si>
  <si>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</si>
  <si>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-0.592839763797263,-0.48280902787607677,-0.4001156845307275,-0.37221772871297554,-0.37019787506626056,-0.37019787506626056,-0.37713895418111654,0.6450619916963419,0.7590831805131931,0.7824449485202843,0.7824449485202843,-0.60948008384934,-0.43481529016730464,-0.19735566034313265,-0.13679669759240554,-0.12254790084809682,-0.22960243698152658,-0.2794540011370746,-0.2794540011370746,0.039903608115191995,0.4130585685540941,0.4938007490882244,0.49211010678696143,0.48658445556028407,0.20856730615132688,-0.3121342106953184,-0.2548351092243499,-0.13924504044941255,-0.13278775957212552,-0.11571734427270332,-0.11092622036896749,-0.11092622036896749,-0.11092622036896749,-0.11092622036896749,0.0448337288830091,0.44389433677334217,0.5274376409774437,0.5497766025561243,0.5685658772652176,0.584504105566205,0.5875515551959258,0.5875515551959258,0.5933522885028102,0.5933522885028102,0.5946884089522639,0.6317151529615136,0.43326792142571746,-0.22285583476034834,0.15972776241587958,0.5665519868420311,0.590608529158946,0.8927292655104104,0.8927292655104104,0.8019076159536078,0.72450823486358,0.7108161293347672,0.6795865653765791,0.7225353076960611,0.8994092560794928,0.9014677086853489,0.9014677086853489,0.9870452975565337,0.9699441701924595,0.9774527133195494,0.9774206744992954,0.9774206744992954,0.9774206744992954,0.9654665258833083,0.8172519415387028,0.82211685767746,0.8232989350241113,0.8350571057209024,0.8368544782474068,0.8368544782474068,0.8265647962023216,0.3596305079275383,0.35304856831141285,0.24890723961869154,-0.3511508301565614,-0.3577696810091999,-0.4448264489228566,-0.5574965769694367,-0.5016924515339211,-0.4302924660074067,-0.4302924660074067,-0.4023277957788339,-0.2593787890290841,-0.2185781226209681,-0.16146481876794821,-0.12636854208462595,-0.11164264241875492,-0.11038623207693857,-0.27360759565819504,-0.4440200726671518,-0.5171462914643409,-0.4999193236250344,-0.489333552111271,-0.5068129963751015,-0.5083380151893948,-0.5083380151893948,-0.4828029202722981,-0.4785051847099585,-0.46922386833195073,-0.4734708396355928,-0.5522155521188231,-0.5857425564494203,-0.5207024565154755,-0.4594845192189132,-0.41301734197424184,-0.43506249098588795,-0.4367965000258038,-0.4367965000258038,-0.4402442836430329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,-0.44874447259854444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</si>
  <si>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-0.03659230559987375,0.021244454557129224,-0.07975438516680891,-0.1175446578269609,-0.12049307440360126,-0.1234908979422179,-0.1234908979422179,-0.13254045828694705,0.2659669877071982,0.17231519894837108,0.10596894173486095,0.10596894173486095,-0.2014120780624182,-0.2474442126959559,-0.13603723109087382,-0.06441276437454219,-0.04256427734222947,-0.11872347807929798,-0.15258887148832306,-0.15258887148832306,-0.19294098329221948,-0.20516032047639574,0.07451804195706453,0.09365686275066536,0.03998264879251916,-0.2856837697291904,-0.31174065053466915,-0.037177118247621425,0.047768555235038,0.053580996310312774,0.05020312791311676,0.04748002364784989,0.04748002364784989,0.04748002364784989,0.04748002364784989,0.012947874531721366,-0.09565522509649227,-0.10580021713718345,-0.11357197346734596,-0.12211244479917245,-0.1475494143105582,-0.14683944827114423,-0.14683944827114423,-0.15831654586026792,-0.15831654586026792,-0.16436033551966872,-0.27779420253594406,-0.3750112477605129,-0.16285046583881863,-0.006976712675866033,-0.013777906111106021,-0.022575147687812935,-0.18025051861714905,-0.18025051861714905,-0.13569368226213074,-0.09501913639754656,-0.08623577730211152,0.09450306037854433,0.17551788004078056,0.16750000518653715,0.16836111597507897,0.16836111597507897,0.11850291156753315,0.09489652565546348,0.08579219358438371,0.0646120187636644,0.0646120187636644,0.0646120187636644,0.06468218394896137,0.008874624884516718,-0.00708480660137101,-0.008978231300503934,0.0010837687407759858,0.002272845166204353,0.002272845166204353,0.005868687951019243,-0.16248389605244515,-0.1654624040919048,-0.1671162738467,-0.3509141970428652,-0.35249374023386887,-0.31205329510246976,-0.2298479843714727,-0.17570527706985317,-0.06095703504224563,-0.06095703504224563,-0.1141213996645509,-0.3994347332894618,-0.5632912512808946,-0.6527857965225851,-0.6393130184936352,-0.4528517501089809,-0.24266825042587598,-0.1185871737009419,-0.04463351593556953,-0.2131485809987959,-0.3370623794980232,-0.39790617347851814,-0.3066834768006022,-0.26231202196601683,-0.26231202196601683,-0.27298891536451136,-0.2747195087093701,-0.19947142706011942,-0.11383980106626154,-0.08364373440053768,-0.16633210050833955,-0.31069457974114345,-0.35832846280157254,-0.35830579913350113,-0.29327760158268407,-0.2904192185208221,-0.2904192185208221,-0.28468906067591904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,-0.27028761271927465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</si>
  <si>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-0.699006863382204,0.7168337547767868,0.741685957617254,0.7568657648418604,0.7636280682124498,0.7631490062016292,0.7631490062016292,0.7582361114456158,-0.5931569398295597,-0.5843740242749536,-0.5972826559492919,-0.5972826559492919,0.7018908223464304,0.7532011946117976,0.8348844983726129,0.8528065043737798,0.8564767702381592,0.8318737638694189,0.8153431041734849,0.8153431041734849,0.8145213119364376,0.6871110814132565,0.5605243875978033,0.5514291916155067,0.5788021782748624,0.7502798922916212,0.830645671089798,0.9261374879320734,0.9533212723778259,0.95419054132862,0.9565539617378827,0.9571867184427212,0.9571867184427212,0.9571867184427212,0.9571867184427212,0.9638385540619063,0.8634241557433017,0.8159840966422872,0.8015761504384805,0.7887358209227983,0.777176366070949,0.7748750372736523,0.7748750372736523,0.770148844523428,0.770148844523428,0.7688816888974269,0.7197733063953091,0.8129634297983065,0.9041738681916685,0.9314305600868078,0.7747696313119159,0.7565915018572184,0.3294548751574208,0.3294548751574208,0.46918893770654485,0.5726289903611472,0.5895392889915875,0.6866401220179523,0.6497062331114613,0.3723919638556976,0.3681941160060049,0.3681941160060049,-0.06288167046355067,-0.2240147034737106,-0.18931915605473162,-0.14313720118408896,-0.14313720118408896,-0.14313720118408896,-0.1836301451864301,-0.3249609724814265,-0.3026285318766014,-0.2993977614669361,-0.30279874056169664,-0.30279214985742875,-0.30279214985742875,-0.3159049927737075,-0.3798774082273267,-0.37858955953647216,-0.37525274145647336,-0.20249380283563112,-0.19973151220829433,-0.1432839985191417,-0.04741726006249152,-0.0282042682695344,0.020605875381964726,0.020605875381964726,-0.007385830240921154,-0.14256157499816244,-0.1932399029684809,-0.24381947294629447,-0.27762221480367183,-0.30821279595965817,-0.3147695294252853,-0.2655425028668831,-0.21547860340967714,-0.28101383341063274,-0.34688796690043355,-0.3749235526177323,-0.3285006871202654,-0.3080653790696287,-0.3080653790696287,-0.32579003852573324,-0.3287411640378668,-0.30148835165544247,-0.2623816644606378,-0.22655866143322448,-0.269071242586949,-0.3811841343571892,-0.43782702530277323,-0.4689239153464814,-0.44241716844825546,-0.4407052751735857,-0.4407052751735857,-0.437261126468213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,-0.42853321961415314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</si>
  <si>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-0.34578954544097623,0.36638648395374657,0.45873371461164597,0.5032344447861209,0.5136219961125532,0.5150797275716792,0.5150797275716792,0.5150507115382824,-0.40164839480662556,-0.22936258854933994,-0.140726382831517,-0.140726382831517,0.3087336646811143,0.42707725937511787,0.4954921689237522,0.4998587054470646,0.4996176901736664,0.4910941841140293,0.4835676995242186,0.4835676995242186,0.5456523723278077,0.5614002348103978,0.6606211414501508,0.6670696226722486,0.6531653648402594,0.5585378641963049,0.3397319096252364,0.2755835307711326,0.26364281798092043,0.26271067466169695,0.2628567299229227,0.2631246986238821,0.2631246986238821,0.2631246986238821,0.2631246986238821,0.26236907402247023,0.2197876770232127,0.21162656487488446,0.20572498431839364,0.199291743000158,0.18050212445734498,0.18108015636294764,0.18108015636294764,0.17245199423195662,0.17245199423195662,0.16778654547944458,0.07545020846222307,-0.1036143529011022,-0.32601321870234384,-0.32691815356481624,-0.28028741303407934,-0.27971633364717274,-0.24900541013098207,-0.24900541013098207,-0.3440830434699554,-0.3716923737865698,-0.3738278316630951,-0.24032605887402805,-0.15817083667560702,-0.15598385684659163,-0.15311302284184547,-0.15311302284184547,-0.08800304563628777,-0.004513175796090276,0.03720416502157291,0.1413713327722762,0.1413713327722762,0.1413713327722762,0.1731201093380446,0.47583702193955346,0.4821718049950356,0.4821402652542765,0.45933797833903744,0.4560551834995685,0.4560551834995685,0.4657899008366213,0.8366349478774393,0.839433646368411,0.8770990349501001,0.8441259269844051,0.8413419884193936,0.8271770470236324,0.7963159386800543,0.8465440679226736,0.9003932648992127,0.9003932648992127,0.9083248870277632,0.8676697153743602,0.7730361637353238,0.6988217804067042,0.7058581740006017,0.8291357459570287,0.9109594630654441,0.9168223083034972,0.8685752677785034,0.7798452545696082,0.7184277003381059,0.6794524866231225,0.7356447038647773,0.7601845747343793,0.7601845747343793,0.7656626169939644,0.7664797628164722,0.8056952804815728,0.8330796635753523,0.7979554389959489,0.7462170973096853,0.697879993704204,0.6846767012677931,0.6936454361934178,0.7273073122204163,0.7284533996853421,0.7284533996853421,0.7307118561586644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,0.7361605017996369</t>
  </si>
  <si>
    <t>teste epoch</t>
  </si>
  <si>
    <t>27.11093480034211,27.110934800342108</t>
  </si>
  <si>
    <t>1680361665997</t>
  </si>
  <si>
    <t>10,103,215,308,389,500,609,700,794,909,997,1096,1205,1296,1406,1506,1596,1705,1800,1892,1999,2097,2203,2299,2406,2507,2597,2708,2802,2895,3009,3107,3197,3291,3407,3497,3608,3703,3811,3893,4000,4098,4205,4300,4395,4520,4599,4699,4809,4898,4991,5101,5202,5309,5401,5500,5610,5701,5797,5890,6002,6093,6204,6300,6403,6504,6598,6705,6799,6894,6989,7099,7195,7306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</si>
  <si>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</t>
  </si>
  <si>
    <t>0.624883987936306,0.624883987936306,0.624883987936306,0.624883987936306,0.624883987936306,0.624883987936306,0.624883987936306,0.624883987936306,0.624883987936306,0.6140056696199874,-0.4355415136445032,-0.21152661941594558,0.16538988088843184,0.16538988088843184,0.16538988088843184,0.49597931539052037,0.6858615008059833,0.686906985862523,0.686906985862523,0.686906985862523,0.7218830864834989,0.76376527221117,0.73422433842715,0.73422433842715,0.73422433842715,0.6214004216718073,-0.5327278671093069,-0.5327278671093069,-0.5327278671093069,-0.5327278671093069,-0.3740791694524759,0.06470901122058619,0.026826640843919995,0.242764079140815,-0.46795425055006173,-0.491292899629984,-0.491292899629984,-0.491292899629984,-0.46787890400698556,-0.4570272838883539,-0.417698354688313,-0.3545284301935015,-0.35056510181079914,-0.3512359975738315,-0.3512359975738315,-0.4121139727775247,-0.45867306989500833,-0.5236501168744445,-0.5413009755121388,-0.5388110344909636,-0.5372492626485066,-0.4927578873556175,0.44950040664369834,-0.38598046594942154,-0.39427569050660377,-0.4337158302233419,-0.48224187874445074,-0.4691711326293285,-0.4748028340694149,-0.48036863776737254,-0.4669515228738822,-0.46503959880065804,-0.46503959880065804,-0.46695152287388214,-0.461859394569698,-0.4591368354414566,-0.4591368354414566,-0.4591368354414566,-0.4591368354414566,-0.4591368354414566,-0.4591368354414566,-0.4591368354414566,-0.4591368354414566,-0.4591368354414566</t>
  </si>
  <si>
    <t>-0.03659230559987375,-0.03659230559987375,-0.03659230559987375,-0.03659230559987375,-0.03659230559987375,-0.03659230559987375,-0.03659230559987375,-0.03659230559987375,-0.03659230559987375,0.016713811039113406,-0.22718262686186233,-0.20205838249622946,-0.023838791839824368,-0.023838791839824368,-0.023838791839824368,0.27159049940574553,0.497022888312069,0.4988227514688926,0.4988227514688926,0.4988227514688926,0.4907363653610046,0.1299858299796438,0.07499121078926255,0.07499121078926255,0.07499121078926255,-0.08021690702324297,0.1523398962882773,0.1523398962882773,0.1523398962882773,0.1523398962882773,-0.13726423004417312,0.571428824002818,0.6571278285680809,0.597279935415689,-0.18420045736390592,-0.12782979710402237,-0.12782979710402237,-0.12782979710402237,-0.18451803220552163,-0.21680745514197272,-0.2879835950990523,-0.35698516955331633,-0.35047961622867174,-0.3428707992522521,-0.3428707992522521,-0.22678993428630392,-0.15289279626545138,-0.2267007909606569,-0.2894034722617698,-0.33718483251677384,-0.3397831326468252,-0.39127566408525294,0.4385083982946679,-0.3964068867110835,-0.29988495904947965,-0.23881509033900247,-0.23887399410801666,-0.2699257679429545,-0.2617805582915874,-0.2535990161954942,-0.2845168146003093,-0.28719205343601134,-0.28719205343601134,-0.2845168146003093,-0.268826312963527,-0.2669205013469478,-0.2669205013469478,-0.2669205013469478,-0.2669205013469478,-0.2669205013469478,-0.2669205013469478,-0.2669205013469478,-0.2669205013469478,-0.2669205013469478</t>
  </si>
  <si>
    <t>-0.699006863382204,-0.699006863382204,-0.699006863382204,-0.699006863382204,-0.699006863382204,-0.699006863382204,-0.699006863382204,-0.699006863382204,-0.699006863382204,-0.6873921725913403,0.6520225438183654,0.6805619582093427,0.6596712515771284,0.6596712515771284,0.6596712515771284,0.5117445511978992,0.2675779632821412,0.264882535278033,0.264882535278033,0.264882535278033,0.2813615762702691,0.5175729445287733,0.5154654736133186,0.5154654736133186,0.5154654736133186,0.4828342707464836,-0.46197677247199037,-0.46197677247199037,-0.46197677247199037,-0.46197677247199037,-0.6328931088533933,0.6961783450135764,0.6555487122728465,0.5404676761439928,-0.34699522353358914,-0.31307850858236524,-0.31307850858236524,-0.31307850858236524,-0.34647291251664547,-0.3638716933895361,-0.4061753004610815,-0.45508883826895113,-0.4565506180404099,-0.45515606116908935,-0.45515606116908935,-0.39929013219418236,-0.35495023372182216,-0.358567954722873,-0.37538317387736064,-0.39664501364054294,-0.3987578557455199,-0.4470507940985561,0.48955271340550566,-0.535507878926279,-0.5213011910504549,-0.48961005701804605,-0.4640912990519385,-0.4808084153932911,-0.4752478855979753,-0.4696213962919633,-0.4859518748475938,-0.48778183743293707,-0.48778183743293707,-0.48595187484759367,-0.4847843649257479,-0.48583630265627425,-0.48583630265627425,-0.48583630265627425,-0.48583630265627425,-0.48583630265627425,-0.48583630265627425,-0.48583630265627425,-0.48583630265627425,-0.48583630265627425</t>
  </si>
  <si>
    <t>-0.34578954544097623,-0.34578954544097623,-0.34578954544097623,-0.34578954544097623,-0.34578954544097623,-0.34578954544097623,-0.34578954544097623,-0.34578954544097623,-0.34578954544097623,-0.3875689451635883,0.5775450166844369,0.6717621010296235,0.7327426145284529,0.7327426145284529,0.7327426145284529,0.6468080346258458,0.4593084843238515,0.45735314352800555,0.45735314352800555,0.45735314352800555,0.3986204868794844,-0.36315911121781835,-0.43541507171682897,-0.43541507171682897,-0.43541507171682897,-0.6117988482879282,0.6925106766688931,0.6925106766688931,0.6925106766688931,0.6925106766688931,0.6638295104151462,-0.4296714499472452,-0.3711054218141288,-0.5405709682107005,0.7916333278380415,0.802665981096339,0.802665981096339,0.802665981096339,0.7918326514286063,0.7821240182517901,0.7600099727897333,0.7346872329001894,0.7388028703026985,0.7429036606515522,0.7429036606515522,0.7869534862241168,0.8001581964736991,0.7388006011915853,0.694497197202549,0.6623154769333911,0.6609862517734996,0.6357976145278639,-0.6049776110315974,0.6380532671191098,0.6948818312639986,0.7177324872867574,0.7035632533526661,0.6898128701283485,0.6929449150508633,0.6959807863576271,0.6818043948432436,0.680681845696707,0.680681845696707,0.6818043948432436,0.6923889316198553,0.6941973057588003,0.6941973057588003,0.6941973057588003,0.6941973057588003,0.6941973057588003,0.6941973057588003,0.6941973057588003,0.6941973057588003,0.6941973057588003</t>
  </si>
  <si>
    <t>27.110934800342108,27.110934800342086</t>
  </si>
  <si>
    <t>1680361743599</t>
  </si>
  <si>
    <t>8,116,195,307,401,504,608,701,796,892,1003,1097,1193,1304,1399,1492,1601,1700,1805,1897,2011,2101,2196,2305,2400,2501,2604,2700,2801,2910,3001,3101,3194,3304,3401,3492,3604,3702,3796,3905,3998,4095,4206,4301,4396,4512,4601,4767,4811,4901,5006,5115,5204,5298,5393,5506,5600,5695,5798,5904,5995,6093,6205,6296,6408,6502,6595,6707,6801,6896,7016,7103,7196,7305,7401,7503,7605,7702,7795,7907,8004,8098,8193,8301,8397,8492,8602,8696,8806,8900,8995,9105,9198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</si>
  <si>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</t>
  </si>
  <si>
    <t>0.624883987936306,0.624883987936306,0.624883987936306,0.624883987936306,0.624883987936306,0.624883987936306,0.624883987936306,0.624883987936306,-0.5403362729324834,-0.02161293922507603,0.16932075662181523,0.22583183444094235,0.22583183444094235,0.4669907502240143,0.7291157714067613,0.7510820900040499,0.7510820900040499,0.8384371458564296,0.8150511732108069,0.8150511732108069,0.7254876903080808,-0.4367132166146299,-0.43437853104645613,-0.43437853104645613,0.33261454654242883,-0.08583407620422373,-0.09407657123141998,-0.09407657123141998,-0.35595077816407433,-0.5121483202123578,-0.5196866965800887,-0.42468031476330503,-0.3723023954051781,-0.3460344400191391,-0.37731238659485505,-0.38549415454767055,-0.38549415454767055,0.6801101763233387,0.8684199015382004,0.869680458670674,0.869680458670674,0.8839677376132544,0.8642244506144052,0.8642244506144052,0.8642244506144052,0.7657543731957767,0.7140973360053738,0.4523426224209212,0.43047031356090837,0.43047031356090837,0.43047031356090837,0.2626310202179109,0.25740942871312456,0.06478332724184183,-0.10250040863807625,-0.14733132525636747,-0.16044827855410795,-0.16044827855410795,-0.17162730923501673,-0.3014718342060958,-0.3420326031640874,-0.4828759310718804,-0.5323952315740635,-0.4926032740851991,-0.42395029447453414,-0.4117482322342861,-0.4390122720927159,-0.4390122720927159,-0.4413274093614152,-0.4413274093614152,-0.45906862093733347,-0.4617461006921034,-0.4597681700030258,-0.4397394679889866,-0.4336227919640507,-0.43291921131098565,-0.4339288073546237,-0.4339288073546237,-0.4339288073546237,-0.42865414583905664,-0.43313643954377457,-0.43313643954377457,-0.4430234443794402,-0.44779230292305555,-0.44779230292305555,-0.44779230292305555,-0.44779230292305555,-0.44779230292305555,-0.44779230292305555,-0.44779230292305555,-0.44779230292305555,-0.44779230292305555,-0.44779230292305555</t>
  </si>
  <si>
    <t>-0.03659230559987375,-0.03659230559987375,-0.03659230559987375,-0.03659230559987375,-0.03659230559987375,-0.03659230559987375,-0.03659230559987375,-0.03659230559987375,-0.0025630924284569382,-0.24297088740362313,-0.18770501791395658,-0.13702960030752664,-0.13702960030752664,-0.013251183875993916,0.2803031072572504,0.31422789137337503,0.31422789137337503,0.5010557693726233,0.511453841275064,0.511453841275064,0.36251335819083796,-0.05391208351546734,-0.05126587730575245,-0.05126587730575245,-0.12482254169430577,-0.296084173233391,-0.29735278718775454,-0.29735278718775454,-0.38780048677997586,-0.45855157437815414,-0.46249916607767816,-0.3349577852868737,-0.2953907812425154,-0.25222959195955313,-0.24301915348991887,-0.25046193456845894,-0.25046193456845894,0.41997351853597864,0.34088665428741455,0.3370885247313263,0.3370885247313263,0.1811720539081885,0.16438780950538218,0.16438780950538218,0.16438780950538218,0.09615017302785436,0.08091966726545961,-0.061031648918311227,-0.07283495792942656,-0.07283495792942656,-0.07283495792942656,-0.11741692935214262,-0.1163822095346705,-0.2587707032757592,-0.30334483302015636,-0.29662080332704044,-0.28651295671393295,-0.28651295671393295,-0.26300260335737335,-0.000030331596038704986,0.13105435078180103,0.1623412799362676,0.03088213243747066,-0.11511395980250484,-0.22518930710322108,-0.241893411873309,-0.22776279935671828,-0.22776279935671828,-0.2420022765308024,-0.2420022765308024,-0.263304907296233,-0.26528132312044655,-0.26795319704442494,-0.2611665952831251,-0.25237507944698256,-0.24761190115591283,-0.22301350066260262,-0.22301350066260262,-0.22301350066260262,-0.2361508998867514,-0.21821992278776037,-0.21821992278776037,-0.20419947254073478,-0.20333780487677855,-0.20333780487677855,-0.20333780487677855,-0.20333780487677855,-0.20333780487677855,-0.20333780487677855,-0.20333780487677855,-0.20333780487677855,-0.20333780487677855,-0.20333780487677855</t>
  </si>
  <si>
    <t>-0.699006863382204,-0.699006863382204,-0.699006863382204,-0.699006863382204,-0.699006863382204,-0.699006863382204,-0.699006863382204,-0.699006863382204,0.7419440165217122,0.7616712226675738,0.7269143027871225,0.7113887156629007,0.7113887156629007,0.6062195188057525,0.28801471791211036,0.24082406087591454,0.24082406087591454,-0.19607364838476232,-0.2718967725953546,-0.2718967725953546,-0.5141663518266574,0.6737467737005928,0.6739532904029832,0.6739532904029832,-0.6419350313738521,-0.5505402850128535,-0.5478326766305739,-0.5478326766305739,-0.43838467812816745,-0.33779087463240226,-0.33236537534324995,-0.3583883852841251,-0.3755303664148583,-0.3771878896190014,-0.3620225764910173,-0.3606385916060613,-0.3606385916060613,0.22170038822468383,-0.15680121998178384,-0.16628922369965135,-0.16628922369965135,-0.3653908623727471,-0.3886267301973197,-0.3886267301973197,-0.3886267301973197,-0.4567244516835934,-0.4920723862562546,-0.5317068294997233,-0.5316225494547395,-0.5316225494547395,-0.5316225494547395,-0.5328066883689587,-0.5333687232947567,-0.4828979844929673,-0.4288941975219488,-0.4136902457228625,-0.40893047496422236,-0.40893047496422236,-0.40436598542680263,-0.32631990542976436,-0.27950583556845315,-0.2758860120087122,-0.35720793146097773,-0.44468425561127395,-0.512924763966131,-0.5227705605011588,-0.5057382679651988,-0.5057382679651988,-0.5081784774646779,-0.5081784774646779,-0.5038084640280233,-0.502770586088744,-0.5045799773994702,-0.5145774716380777,-0.5158982745948663,-0.5151892758235423,-0.5086506444382483,-0.5086506444382483,-0.5086506444382483,-0.5144803576965129,-0.5078258365796636,-0.5078258365796636,-0.49922388092785586,-0.49668561326541444,-0.49668561326541444,-0.49668561326541444,-0.49668561326541444,-0.49668561326541444,-0.49668561326541444,-0.49668561326541444,-0.49668561326541444,-0.49668561326541444,-0.49668561326541444</t>
  </si>
  <si>
    <t>-0.34578954544097623,-0.34578954544097623,-0.34578954544097623,-0.34578954544097623,-0.34578954544097623,-0.34578954544097623,-0.34578954544097623,-0.34578954544097623,0.3969247020006003,0.600295741524486,0.6385083429607235,0.6512672004792557,0.6512672004792557,0.6436162990089817,0.5539565706929213,0.5283372957320205,0.5283372957320205,0.08672596402244008,0.01336781002629447,0.01336781002629447,0.2790781951244374,-0.5936668582742067,-0.5953772450681893,-0.5953772450681893,0.6794897438581388,0.7758041430031377,0.7762797672957827,0.7762797672957827,0.7285112902076856,0.6429089179301006,0.6368308378588992,0.7609255401297096,0.795683452531737,0.8212001553734156,0.817016957027174,0.8115435184795685,0.8115435184795685,-0.5584991760521861,-0.32412426776367553,-0.31996112323560655,-0.31996112323560655,0.22862030407663453,0.2739744725743457,0.2739744725743457,0.2739744725743457,0.4424682580621769,0.4913061864497029,0.713406712356302,0.7257877396025882,0.7257877396025882,0.7257877396025882,0.795836192158987,0.7973163564886473,0.8340565809405709,0.8447042949109493,0.8480388907506429,0.851435577239757,0.851435577239757,0.8589888516050731,0.8958962281317605,0.8875330660866324,0.8150846903224516,0.766814257167068,0.7391526929062597,0.7116629190084408,0.7061599759385496,0.7068388334668247,0.7068388334668247,0.6988702676047474,0.6988702676047474,0.6827177737822118,0.6809097560345881,0.6798627511882739,0.6882087150592798,0.6943537022537354,0.6970289183098796,0.7093978366069056,0.7093978366069056,0.7093978366069056,0.7041294890019395,0.7119591348806537,0.7119591348806537,0.7161063607143778,0.715149769017593,0.715149769017593,0.715149769017593,0.715149769017593,0.715149769017593,0.715149769017593,0.715149769017593,0.715149769017593,0.715149769017593,0.715149769017593</t>
  </si>
  <si>
    <t>teste orientation data size</t>
  </si>
  <si>
    <t>27.110934800342147,27.11093480034212</t>
  </si>
  <si>
    <t>1680363720425</t>
  </si>
  <si>
    <t>10,102,213,309,403,536,602,702,792,902,995,1089,1202,1291,1401,1492,1601,1699,1807,1947,2012,2103,2202,2290,2399,2493,2604,2703,2791,2903,2996,3106,3200,3296,3405,3503,3597,3697,3804,3895,4004,4104,4194,4294,4404,4495,4636,4701,4794,4902,4995,5104,5198,5306,5400,5495,5603,5697,5806,5899</t>
  </si>
  <si>
    <t>0.624884,0.624884,0.624884,0.624884,0.624884,-0.589569,-0.467536,-0.314362,-0.164222,0.099508,0.265314,0.265314,0.273399,0.584129,0.879777,0.95747,0.962319,0.962319,0.962319,0.942238,0.810581,0.687438,0.515996,0.513225,0.513225,0.513225,0.435868,0.168427,0.075667,0.169204,0.229545,-0.212208,-0.301447,-0.301447,-0.301447,-0.462378,-0.622217,-0.644368,-0.604688,0.522224,0.513845,-0.559625,-0.562144,-0.514807,-0.490618,-0.494389,-0.478424,-0.458103,-0.46472,-0.462347,-0.462347,-0.462347,-0.462347,-0.462347,-0.462347,-0.462347,-0.462347,-0.462347,-0.462347,-0.462347</t>
  </si>
  <si>
    <t>-0.036592,-0.036592,-0.036592,-0.036592,-0.036592,-0.029352,-0.163991,-0.162847,-0.108148,0.045257,0.169326,0.169326,0.171297,0.167483,0.219448,0.251138,0.254969,0.254969,0.254969,0.266238,0.216078,0.176962,0.200585,0.19884,0.19884,0.19884,0.0745,-0.061182,-0.082992,-0.034937,-0.027561,-0.16108,-0.170424,-0.170424,-0.170424,-0.169192,-0.000263,0.060871,-0.293562,0.39667,0.397083,-0.253421,-0.243935,-0.257773,-0.180926,-0.155711,-0.181461,-0.212621,-0.26207,-0.276695,-0.276695,-0.276695,-0.276695,-0.276695,-0.276695,-0.276695,-0.276695,-0.276695,-0.276695,-0.276695</t>
  </si>
  <si>
    <t>-0.699007,-0.699007,-0.699007,-0.699007,-0.699007,0.699348,0.693515,0.725534,0.755967,0.762794,0.724281,0.724281,0.722844,0.636991,0.343794,0.096866,0.050835,0.050835,0.050835,-0.090117,-0.260033,-0.321552,-0.443877,-0.444661,-0.444661,-0.444661,-0.428063,-0.419726,-0.415604,-0.421526,-0.419642,-0.379182,-0.356393,-0.356393,-0.356393,-0.301075,-0.149377,-0.097806,-0.40179,0.50305,0.51027,-0.436291,-0.43067,-0.465918,-0.454673,-0.44306,-0.460253,-0.480484,-0.491097,-0.496273,-0.496273,-0.496273,-0.496273,-0.496273,-0.496273,-0.496273,-0.496273,-0.496273,-0.496273,-0.496273</t>
  </si>
  <si>
    <t>-0.34579,-0.34579,-0.34579,-0.34579,-0.34579,0.403062,0.523024,0.590134,0.624379,0.637335,0.613477,0.613477,0.61107,0.474327,0.244215,0.103912,0.079677,0.079677,0.079677,0.182165,0.478175,0.626673,0.704619,0.706639,0.706639,0.706639,0.788182,0.889786,0.902585,0.890205,0.877753,0.886139,0.867796,0.867796,0.867796,0.816661,0.768461,0.755988,0.621883,-0.562917,-0.563837,0.657455,0.662581,0.671898,0.720994,0.731458,0.725499,0.716986,0.688606,0.680726,0.680726,0.680726,0.680726,0.680726,0.680726,0.680726,0.680726,0.680726,0.680726,0.680726</t>
  </si>
  <si>
    <t>teste online</t>
  </si>
  <si>
    <t>27.110934800342136,27.110934800342115</t>
  </si>
  <si>
    <t>1680367535809</t>
  </si>
  <si>
    <t>158,625,627,628,628,640,654,671,767,879,990,1102,1201,1299,1409,1500,1598,1706,1800,1910,2010,2101,2209,2305,2399,2500,2610,2701,2796,2896,3001,3094,3203,3300,3393,3501,3593,3702,3823,3906,4001,4093,4202,4297,4390,4498,4592,4701,4797,4905,5000</t>
  </si>
  <si>
    <t>0,0.1,0.2,0.3,0.4,0.5,0.6,0.7,0.8,0.9,1,1.1,1.2,1.3,1.4,1.5,1.6,1.7,1.8,1.9,2,2.1,2.2,2.3,2.4,2.5,2.6,2.7,2.8,2.9,3,3.1,3.2,3.3,3.4,3.5,3.6,3.7,3.8,3.9,4,4.1,4.2,4.3,4.4,4.5,4.6,4.7,4.8,4.9,5</t>
  </si>
  <si>
    <t>0.624884,0.624884,0.624884,0.624884,0.624884,0.624884,0.624884,0.624884,0.624884,0.624884,0.624884,0.624884,-0.588465,-0.445549,-0.266536,-0.115947,-0.010344,-0.007124,-0.007124,0.273514,0.581221,0.712535,0.842962,0.842962,0.842962,0.829252,0.410979,0.351775,0.351775,0.320181,-0.507471,-0.532057,-0.532057,-0.603452,-0.645551,-0.610111,-0.605429,0.587581,-0.569754,-0.570676,-0.540586,-0.524568,-0.512464,-0.515271,-0.515271,-0.515271,-0.515271,-0.515271,-0.515271,-0.515271,-0.515271</t>
  </si>
  <si>
    <t>-0.036592,-0.036592,-0.036592,-0.036592,-0.036592,-0.036592,-0.036592,-0.036592,-0.036592,-0.036592,-0.036592,-0.036592,0.013085,-0.093141,-0.125234,-0.053051,-0.012894,-0.010648,-0.010648,-0.148788,-0.286181,-0.242339,0.038973,0.038973,0.038973,0.133067,0.057616,0.019515,0.019515,0.019584,-0.055323,-0.046474,-0.046474,-0.047598,-0.065939,-0.175247,-0.255486,0.331833,-0.281043,-0.218747,-0.247649,-0.259687,-0.243355,-0.233523,-0.233523,-0.233523,-0.233523,-0.233523,-0.233523,-0.233523,-0.233523</t>
  </si>
  <si>
    <t>-0.699007,-0.699007,-0.699007,-0.699007,-0.699007,-0.699007,-0.699007,-0.699007,-0.699007,-0.699007,-0.699007,-0.699007,0.716874,0.751626,0.785162,0.814548,0.820159,0.820193,0.820193,0.77595,0.610248,0.469768,0.029988,0.029988,0.029988,-0.136782,-0.330243,-0.327155,-0.327155,-0.33166,-0.295937,-0.284445,-0.284445,-0.265358,-0.264633,-0.356756,-0.403977,0.451474,-0.447279,-0.420134,-0.451346,-0.465908,-0.467845,-0.462717,-0.462717,-0.462717,-0.462717,-0.462717,-0.462717,-0.462717,-0.462717</t>
  </si>
  <si>
    <t>-0.34579,-0.34579,-0.34579,-0.34579,-0.34579,-0.34579,-0.34579,-0.34579,-0.34579,-0.34579,-0.34579,-0.34579,0.37367,0.477357,0.544789,0.56591,0.571897,0.571943,0.571943,0.548592,0.455939,0.461393,0.535721,0.535721,0.535721,0.525286,0.847771,0.876837,0.876837,0.887188,0.807362,0.796145,0.796145,0.750443,0.713362,0.685404,0.636385,-0.583787,0.629553,0.670795,0.665375,0.663567,0.677702,0.682536,0.682536,0.682536,0.682536,0.682536,0.682536,0.682536,0.682536</t>
  </si>
  <si>
    <t>27.110934800342132,27.110934800342125</t>
  </si>
  <si>
    <t>1680367542121</t>
  </si>
  <si>
    <t>0,104,198,324,402,501,608,702,795,904,999,1094,1218,1301,1394,1504,1603,1694,1805,1903,1994,2090,2207,2293,2404,2495,2608,2703,2803,2893,3004,3103,3193,3303,3398,3494,3590,3703,3796,3906,4006,4095,4205,4304,4394,4504,4600,4696,4791,4900,4992,5109,5198,5291,5401,5496,5607,5702,5797,5893,6005,6099,6221,6301,6397,6505,6601,6694,6803,6896,6991,7102,7201,7307,7402,7496,7604,7697,7806,7908,7994,8104,8198,8292,8402,8496,8591,8702,8796,8905,8998,9106,9200,9309,9404,9498,9608,9702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</si>
  <si>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</t>
  </si>
  <si>
    <t>0.624884,0.624884,0.624884,-0.609713,-0.372235,-0.0545,0.004101,0.004101,0.004101,0.507389,0.622605,0.622605,0.77446,0.926273,0.933175,0.933175,0.688779,0.48429,0.48429,0.171243,-0.250637,-0.250637,-0.254179,-0.52295,-0.523492,-0.482016,-0.46961,-0.462073,-0.464204,-0.472319,-0.471948,-0.462213,-0.457983,-0.483437,-0.486078,-0.486078,-0.486078,-0.497953,-0.503835,-0.503835,-0.508624,-0.563884,-0.577889,-0.593863,-0.557179,-0.472441,-0.459989,-0.444004,-0.435737,-0.435737,-0.435737,-0.449621,-0.459602,-0.467506,-0.486877,-0.488594,-0.488594,-0.488594,-0.486877,-0.486877,-0.486877,-0.486877,-0.511205,-0.512816,-0.498036,-0.472607,-0.471658,-0.473882,-0.477967,-0.483029,-0.483029,-0.485827,-0.486946,-0.487427,-0.487427,-0.487427,-0.488576,-0.488576,-0.488576,-0.489087,-0.48401,-0.486752,-0.486752,-0.486752,-0.486752,-0.486752,-0.488447,-0.488447,-0.488447,-0.488447,-0.488447,-0.488447,-0.488447,-0.488447,-0.488447,-0.488447,-0.488447,-0.488447</t>
  </si>
  <si>
    <t>-0.036592,-0.036592,-0.036592,0.033753,-0.119256,-0.271671,-0.247332,-0.247332,-0.247332,-0.194933,-0.056079,-0.056079,0.037009,0.209715,0.218431,0.218431,0.172108,0.169998,0.169998,0.054856,-0.152251,-0.152251,-0.145631,-0.18757,-0.148216,-0.100801,-0.185374,-0.26485,-0.281268,-0.293484,-0.319646,-0.347573,-0.360043,-0.361374,-0.363047,-0.363047,-0.363047,-0.355791,-0.352117,-0.352117,-0.344151,-0.189902,-0.114004,-0.189611,-0.308751,-0.356899,-0.363719,-0.364146,-0.370096,-0.370096,-0.370096,-0.356238,-0.347512,-0.35294,-0.323756,-0.321072,-0.321072,-0.321072,-0.323756,-0.323756,-0.323756,-0.323756,-0.290304,-0.287566,-0.312042,-0.322234,-0.317765,-0.296098,-0.283254,-0.274868,-0.274868,-0.276542,-0.280996,-0.29268,-0.29268,-0.29268,-0.278279,-0.278279,-0.278279,-0.289969,-0.298224,-0.299925,-0.299925,-0.299925,-0.299925,-0.299925,-0.297185,-0.297185,-0.297185,-0.297185,-0.297185,-0.297185,-0.297185,-0.297185,-0.297185,-0.297185,-0.297185,-0.297185</t>
  </si>
  <si>
    <t>-0.699007,-0.699007,-0.699007,0.709134,0.775673,0.742407,0.738674,0.738674,0.738674,0.521849,0.390045,0.390045,0.240993,-0.093513,-0.105027,-0.105027,-0.311983,-0.419825,-0.419825,-0.483772,-0.452036,-0.452036,-0.450054,-0.367564,-0.347862,-0.340149,-0.380529,-0.41282,-0.416878,-0.416064,-0.424228,-0.438203,-0.444062,-0.426751,-0.425328,-0.425328,-0.425328,-0.414766,-0.409442,-0.409442,-0.403478,-0.299944,-0.2487,-0.289085,-0.377925,-0.455333,-0.465476,-0.476518,-0.483131,-0.483131,-0.483131,-0.471315,-0.462803,-0.458677,-0.43806,-0.436145,-0.436145,-0.436145,-0.43806,-0.43806,-0.43806,-0.43806,-0.411235,-0.409225,-0.42709,-0.446839,-0.446252,-0.438761,-0.432466,-0.426805,-0.426805,-0.425722,-0.426549,-0.430014,-0.430014,-0.430014,-0.424536,-0.424536,-0.424536,-0.428031,-0.433763,-0.432588,-0.432588,-0.432588,-0.432588,-0.432588,-0.430673,-0.430673,-0.430673,-0.430673,-0.430673,-0.430673,-0.430673,-0.430673,-0.430673,-0.430673,-0.430673,-0.430673</t>
  </si>
  <si>
    <t>-0.34579,-0.34579,-0.34579,0.352477,0.49553,0.609965,0.627033,0.627033,0.627033,0.657443,0.676079,0.676079,0.58375,0.298818,0.265409,0.265409,0.631371,0.748539,0.748539,0.856523,0.842415,0.842415,0.843585,0.745814,0.763531,0.801124,0.77479,0.738865,0.72912,0.719494,0.703649,0.688135,0.680757,0.673484,0.67158,0.67158,0.67158,0.673368,0.674181,0.674181,0.678283,0.745658,0.768892,0.726501,0.671861,0.664902,0.662911,0.665724,0.663134,0.663134,0.663134,0.669923,0.673658,0.668197,0.682815,0.684081,0.684081,0.684081,0.682815,0.682815,0.682815,0.682815,0.696619,0.697754,0.687157,0.687854,0.690958,0.70374,0.710132,0.71342,0.71342,0.711518,0.708506,0.701314,0.701314,0.701314,0.709664,0.709664,0.709664,0.702497,0.699032,0.697126,0.697126,0.697126,0.697126,0.697126,0.698299,0.698299,0.698299,0.698299,0.698299,0.698299,0.698299,0.698299,0.698299,0.698299,0.698299,0.698299</t>
  </si>
  <si>
    <t>27.110934800342108,27.110934800342115</t>
  </si>
  <si>
    <t>1680367573282</t>
  </si>
  <si>
    <t>1,113,193,302,398,491,606,697,798,907,997,1098,1207,1298,1407,1508,1597,1707,1801,1898,2008,2101,2194,2304,2398,2491,2600,2699,2809,2898,2993,3109,3199,3304,3402,3496,3606,3700,3799,3909,4007,4094,4205,4300,4393,4504,4599,4692,4804,4898,4993,5103,5201,5293,5402,5523,5610,5700,5794,5903,5998,6110,6203,6296,6390,6500,6594,6715,6800,6897,7005,7101,7197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</si>
  <si>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</t>
  </si>
  <si>
    <t>0.624884,0.624884,0.624884,0.624884,0.624884,0.624884,-0.573556,-0.5332,-0.473495,-0.393604,-0.346127,-0.310555,-0.229574,-0.202873,-0.189478,-0.218218,-0.277928,-0.319743,-0.393557,-0.497255,0.659481,0.708945,0.708945,0.708945,0.708945,0.708945,0.844902,0.88644,0.879034,0.849358,0.821849,0.689931,-0.543296,-0.506373,-0.433295,-0.564933,-0.564933,-0.564933,0.655661,0.755919,0.765398,0.765398,0.765398,0.556265,0.166447,0.166447,0.101738,-0.292736,-0.391566,-0.391566,-0.513005,-0.688288,-0.653151,-0.64268,-0.639494,-0.637805,-0.583116,-0.559323,-0.543155,-0.494119,-0.494119,-0.512542,-0.516562,-0.515028,-0.515028,-0.515028,-0.521528,-0.518446,-0.518446,-0.518446,-0.518446,-0.518446,-0.518446</t>
  </si>
  <si>
    <t>-0.036592,-0.036592,-0.036592,-0.036592,-0.036592,-0.036592,-0.00691,-0.025586,-0.034097,-0.044774,-0.046178,-0.055101,-0.071936,-0.100305,-0.205025,-0.269312,-0.348435,-0.397432,-0.434334,-0.450445,0.391568,0.349787,0.349787,0.349787,0.349787,0.349787,0.364038,0.300007,0.219641,0.179873,0.189092,0.273623,-0.427247,-0.448708,-0.328704,-0.214322,-0.214322,-0.214322,0.112832,-0.084059,-0.107414,-0.107414,-0.107414,-0.134072,-0.132623,-0.132623,-0.106847,0.007484,0.044717,0.044717,0.153527,0.179226,-0.018563,-0.105541,-0.124176,-0.133173,-0.182699,-0.223228,-0.234752,-0.246123,-0.246123,-0.264638,-0.28006,-0.286982,-0.286982,-0.286982,-0.263557,-0.257125,-0.257125,-0.257125,-0.257125,-0.257125,-0.257125</t>
  </si>
  <si>
    <t>-0.699007,-0.699007,-0.699007,-0.699007,-0.699007,-0.699007,0.718651,0.735337,0.761545,0.790181,0.804846,0.812518,0.825753,0.824101,0.800234,0.778494,0.742036,0.713609,0.683718,0.65069,-0.617422,-0.605024,-0.605024,-0.605024,-0.605024,-0.605024,-0.391817,-0.290762,-0.198317,-0.169254,-0.206581,-0.405132,0.587126,0.619993,0.689299,0.590929,0.590929,0.590929,-0.48366,-0.256269,-0.226394,-0.226394,-0.226394,-0.228811,-0.203254,-0.203254,-0.201954,-0.148463,-0.132196,-0.132196,-0.084958,-0.099636,-0.281612,-0.350652,-0.364795,-0.372078,-0.430848,-0.463637,-0.478514,-0.512356,-0.512356,-0.506359,-0.508182,-0.511129,-0.511129,-0.511129,-0.500232,-0.500215,-0.500215,-0.500215,-0.500215,-0.500215,-0.500215</t>
  </si>
  <si>
    <t>-0.34579,-0.34579,-0.34579,-0.34579,-0.34579,-0.34579,0.393098,0.417519,0.441236,0.467638,0.479882,0.490238,0.51015,0.519268,0.530743,0.523258,0.500731,0.480182,0.434737,0.355583,-0.174786,-0.09483,-0.09483,-0.09483,-0.09483,-0.09483,0.00984,0.199192,0.373802,0.466465,0.496117,0.533848,-0.421393,-0.397311,-0.47862,-0.534527,-0.534527,-0.534527,0.568728,0.596529,0.592769,0.592769,0.592769,0.787553,0.955717,0.955717,0.968219,0.944568,0.909506,0.909506,0.840261,0.695853,0.702669,0.672953,0.665246,0.661081,0.664053,0.649898,0.648767,0.657846,0.657846,0.64099,0.629667,0.625407,0.625407,0.625407,0.638995,0.644116,0.644116,0.644116,0.644116,0.644116,0.644116</t>
  </si>
  <si>
    <t>27.110934800342644,27.11093480034212</t>
  </si>
  <si>
    <t>1680367749841</t>
  </si>
  <si>
    <t>14,111,205,298,392,502,621,698,808,899,997,1103,1199,1299,1408,1499,1594,1706,1799,1898,2001,2094,2206,2301,2399,2506,2602,2698,2799,2905,2998,3109,3203,3301,3410,3503,3594,3702,3800,3891,4002,4130,4203,4301,4391,4500,4600,4704,4802,4891,5000,5095,5203,5298,5393</t>
  </si>
  <si>
    <t>0,0.1,0.2,0.3,0.4,0.5,0.6,0.7,0.8,0.9,1,1.1,1.2,1.3,1.4,1.5,1.6,1.7,1.8,1.9,2,2.1,2.2,2.3,2.4,2.5,2.6,2.7,2.8,2.9,3,3.1,3.2,3.3,3.4,3.5,3.6,3.7,3.8,3.9,4,4.1,4.2,4.3,4.4,4.5,4.6,4.7,4.8,4.9,5,5.1,5.2,5.3,5.4</t>
  </si>
  <si>
    <t>0.624884,0.624884,0.624884,0.624884,0.624884,0.624884,-0.607901,-0.515713,-0.352465,-0.119171,0.175886,0.17312,0.17312,0.35483,0.866912,0.934565,0.940094,0.940094,0.938826,0.83677,0.72126,0.72126,0.72126,0.610119,0.152392,0.075451,0.075451,0.075451,-0.314051,-0.497077,-0.497077,-0.497077,-0.497077,0.486763,0.428447,0.558481,-0.587684,-0.411252,-0.350056,-0.313991,-0.313991,-0.338876,-0.395899,-0.558316,-0.558413,-0.396192,-0.380834,-0.451935,-0.447818,-0.444217,-0.444217,-0.444217,-0.444217,-0.444217,-0.444217</t>
  </si>
  <si>
    <t>-0.036592,-0.036592,-0.036592,-0.036592,-0.036592,-0.036592,0.003624,-0.132528,-0.217006,-0.181758,-0.001072,0.001631,0.001631,0.009146,-0.048442,-0.038392,-0.032386,-0.032386,-0.021072,0.114384,0.149988,0.149988,0.149988,0.264925,0.166209,0.061589,0.061589,0.061589,-0.169992,-0.32093,-0.32093,-0.32093,-0.32093,0.430597,0.551939,0.565355,-0.411666,-0.301004,-0.316092,-0.324423,-0.324423,-0.213495,-0.044822,-0.104455,-0.247875,-0.320691,-0.312705,-0.234178,-0.251831,-0.274085,-0.274085,-0.274085,-0.274085,-0.274085,-0.274085</t>
  </si>
  <si>
    <t>-0.699007,-0.699007,-0.699007,-0.699007,-0.699007,-0.699007,0.699955,0.691239,0.692245,0.712245,0.688142,0.688141,0.688141,0.652087,0.37444,0.245682,0.223596,0.223596,0.202092,-0.083444,-0.182547,-0.182547,-0.182547,-0.35367,-0.574552,-0.586581,-0.586581,-0.586581,-0.566676,-0.50366,-0.50366,-0.50366,-0.50366,0.528746,0.571735,0.417619,-0.310127,-0.373926,-0.408974,-0.428201,-0.428201,-0.396622,-0.329181,-0.324992,-0.409482,-0.535147,-0.542996,-0.489036,-0.496026,-0.503427,-0.503427,-0.503427,-0.503427,-0.503427,-0.503427</t>
  </si>
  <si>
    <t>-0.34579,-0.34579,-0.34579,-0.34579,-0.34579,-0.34579,0.374842,0.488533,0.591163,0.667435,0.703934,0.704619,0.704619,0.669921,0.325441,0.254468,0.255302,0.255302,0.278066,0.528933,0.651125,0.651125,0.651125,0.657638,0.786792,0.804013,0.804013,0.804013,0.742531,0.629479,0.629479,0.629479,0.629479,-0.545964,-0.430018,-0.440531,0.623683,0.774886,0.781208,0.782817,0.782817,0.825999,0.856093,0.756143,0.677538,0.673652,0.679953,0.708349,0.699999,0.688556,0.688556,0.688556,0.688556,0.688556,0.688556</t>
  </si>
  <si>
    <t>costamf@usp.br</t>
  </si>
  <si>
    <t>Marcelo Psico</t>
  </si>
  <si>
    <t>27.110934800342115,27.110934800342118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</si>
  <si>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</si>
  <si>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0.6138273752748317,-0.5997939523347828,-0.555199773190159,-0.5405538724809112,-0.5257376782393942,-0.5079266780249868,-0.49748868471076163,-0.4900423482070341,-0.47960301861421695,-0.47345478689012604,-0.4621890349083739,-0.45001208730885484,-0.4357045702508355,-0.4249665315670006,-0.41583769565952283,-0.4042474182304454,-0.4023790941070287,-0.4023790941070287,-0.4023790941070287,-0.4023790941070287,-0.4005045648005841,-0.4005045648005841,-0.4005045648005841,-0.4005045648005841,-0.4005045648005841,-0.4005045648005841,-0.4005045648005841,-0.3906958604523819,-0.3629144142298258,-0.28688100580400455,-0.24241321003811522,-0.1743806392836505,-0.11841675262538366,-0.07858038085184976,-0.06652871807109823,-0.051132729635918896,-0.04239776130382251,-0.01951863777693081,0.03734959817558916,0.06792257801845329,0.12112267210356863,0.17386544320650377,0.22853072057449705,0.27849835442026644,0.33204501400296255,0.348347131849881,0.36455904931535066,0.39359911388372054,0.39359911388372054,0.39359911388372054,0.39554105574836684,0.39747689788098933,0.4002355417110331,0.3972247687033698,0.3972247687033698,0.3972247687033698,0.3972247687033698,0.3972247687033698,0.3972247687033698,0.3972247687033698,0.003917106925042397,-0.06487533552704275,-0.17025850715432353,-0.31991436967552017,-0.40286790207407835,-0.4599465292282619,-0.5487301356791184,0.620753802085556,0.7664294487477027,0.8294091954032331,0.8352739964913184,0.8389781776126023,0.8485378537393948,0.8614983751423648,0.862347772940436,0.863130678805458,0.8639951938000743,0.865063368662175,0.8629545383618045,0.8587520865606972,0.850139286336485,0.8412389942844234,0.8293470831469522,0.8233311478627824,0.8160656886504954,0.8004162011479726,0.7817350513195562,0.7804016016387529,0.7804016016387529,0.7804016016387529,0.7804016016387529,0.7804016016387529,0.7804016016387529,0.7589773689453198,0.7429831614463678,0.681517713599116,0.6378975728866764,-0.5584937154389338,-0.49871283204825273,-0.4645074885497211,-0.38267625430549557,-0.27489023613351304,-0.24874456467430908,-0.2303585882143369,-0.2303585882143369,-0.2303585882143369,-0.2303585882143369,-0.13986305429133652,-0.08454145509178233,-0.03511813607293724,0.0036760309965977594,0.02836180748096054,0.04168318655571006,0.04168318655571006,0.04168318655571006,0.04168318655571006,0.04168318655571006,0.04168318655571006,0.04839236928574538,0.1331578305847873,0.22290056724327087,0.29488491937143635,0.3384033474168641,0.40254345245414863,0.49023862626906184,0.5844388179738955,0.5844388179738955,0.5844388179738955,0.5844388179738955,0.5844388179738955,0.5844388179738955,0.5844388179738955,0.5844388179738955,0.6077028229860659,0.6310613013363608,0.6388808718869124,0.646599270743764,0.6521480002866699,0.6547725146296269,0.6597109977078289,0.6597109977078289,0.6692528974510173,0.7033281172533933,0.707767064858955,0.7359946902240445,0.7494067663991926,0.7513955801247897,0.7513955801247897,0.7652417716410335,0.7727093257044739,0.7763717206409205,0.7763717206409205,0.7763717206409205,0.7625003367044481,0.733275512562918,0.7005210563386146,0.6926028275582684,0.682543504222615,0.6515005030364062,0.6515005030364062,0.6515005030364062,0.6515005030364062,0.6720915355773781,0.694058756358824,0.7420214008723505,0.7568755998642345,0.7697393386814637,0.7838681481045454,0.7907639816661071,0.7907639816661071,0.7907639816661071,0.7907639816661071,0.7924576131554847,0.7975137751818514,0.8266582570802126,0.8634436236733316,0.8776421636324022,0.8776421636324022,0.8776421636324022,0.8776421636324022,0.8776421636324022,0.8776421636324022,0.8776421636324022,0.8776421636324022,0.8776421636324022,0.8415088466395028,0.8046972928939793,0.7762803491088756,0.7230498424134457,0.7174565502245344,0.7084866160232118,0.701113841881487,0.688218484299242,0.6822202431069893,0.6840865143966129,0.6819110289645854,0.677729465434859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0.6756229903691698,0.6444565113842791,0.5911100196827824,0.5708206006406914,0.5662141105958888,0.5211324223448646,0.4867731284374705,0.47424008405477297,0.4667734961141857,0.4641819863397779,0.46158331830534693,0.45897753208556613,0.45897753208556613,0.45897753208556613,0.45897753208556613,0.45897753208556613,0.45897753208556613,0.45897753208556613,0.45636466786488,0.4537447659368848,0.4537447659368848,0.4537447659368848,0.4537447659368848,0.4537447659368848,0.4537447659368848,0.45604608570878236,0.45604608570878236,0.45604608570878236,0.45604608570878236,0.45604608570878236,0.4398156716196809,0.41824313866148033,0.37140157977705057,0.37140157977705057,0.37140157977705057,0.432500565452897,0.45617557089052563,0.4846772252729508,0.4846772252729508,0.4846772252729508,0.4846772252729508,0.4846772252729508,0.4846772252729508,0.4846772252729508,0.4846772252729508,0.5112248314364682,0.574547927060042,0.5993052644450914,0.6168198645884718,0.6505244041759313,0.6545198258375785,0.6498406237572291,0.6433671511029946,0.6393734744572322,0.6371125172058505,0.6371125172058505,0.6371125172058505,0.6371125172058505,0.6371125172058505,0.6371125172058505,0.6371125172058505,0.6246875695717581,0.5993426383860272,0.5817031485342686,0.581721002287517,0.5814521234102614,0.6295876496194536,0.6527263706552299,0.6655004282101928,0.6676323943778449,0.6697540648286886,0.6697540648286886,0.6697540648286886,0.6697540648286886,0.6697540648286886,0.6697540648286886,0.6697540648286886,0.6697540648286886,0.6697540648286886,0.6372267990762863,0.5982335141497596,0.5666049162184569,0.5666049162184569,0.5666049162184569,0.5574384910297812,0.5574384910297812,0.5528294184844026,0.5528294184844026,0.5528294184844026,0.5528294184844026,0.5528294184844026,0.5528294184844026,0.5573728658435015,0.5887176059139447,0.6412857354306178,0.6978696872595995,0.730166477222335,0.7380368093694843,0.7426480030925505,0.7485262814841085,0.7517640893207371,0.7517640893207371,0.7450454554149755,0.7788242195453003,0.7788242195453003,0.7788242195453003,0.7788242195453003,0.7788242195453003,0.7788242195453003,0.7788242195453003,0.7788242195453003,0.7788242195453003,0.7788242195453003,0.7788242195453003,0.7788242195453003,0.767261546026708,0.6702899941358634,0.6234480050000303,0.603554291219786,0.5761904473034044,0.5584523525176209,-0.5673964412626136,0.6246166006876405,0.654889306049045,0.6964329427178212,0.707014613597996,0.7099885878708716,0.7128996587898373,0.7045405371108401,0.6646765713978979,0.6204291348478851,0.5459935864897667,0.4816494148570891,0.4407909349673327,0.3971094329547656,-0.3947054211962457,-0.3799066668392007,-0.34695247002365254,-0.32882152694701994,-0.32106773411965406,-0.26715538201951194,-0.21367858369416493,-0.22314215274463617,-0.23542941739147347,0.273074072251124,0.2869473834330981,0.27693001821082125,0.27693001821082125,0.27693001821082125,0.27693001821082125,0.27693001821082125,0.27693001821082125,0.27693001821082125,0.27693001821082125,0.27693001821082125,0.27693001821082125,0.27693001821082125,0.281547089373198,0.29557178799057604,-0.331403446867443,-0.3372775513857238,-0.3551039523034354,-0.35780812607584833,-0.35780812607584833,-0.35780812607584833,-0.35780812607584833,-0.35780812607584833,-0.35780812607584833,-0.35780812607584833,-0.35780812607584833,-0.35780812607584833,-0.35780812607584833,-0.35780812607584833,-0.35780812607584833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-0.3605067820046563,-0.3818924112373002,-0.45610508905267877,-0.48781450618417316,0.5142106250679117,0.5070760059369855,-0.4432750534810702,-0.4152878284762032,-0.4152878284762032,-0.4152878284762032,-0.41008496979861303,-0.41008496979861303,-0.41008496979861303,-0.41008496979861303,-0.41008496979861303,-0.41008496979861303,-0.41008496979861303,-0.41008496979861303,-0.41008496979861303,-0.41008496979861303,-0.41008496979861303,-0.41008496979861303,-0.41008496979861303,-0.41008496979861303,-0.39498858472891424,-0.36190549208448025,-0.3073750185350067,-0.25698182006297415,-0.21910720606907513,-0.17792152422016894,-0.1751438606492443,-0.21804601179969194,-0.3057146837603788,-0.4033775165959397,-0.4282381265174524,-0.4282381265174524,-0.4282381265174524,-0.4282381265174524,0.4380422338505802,0.44760398982938915,0.46817305697288947,0.4678754298990764,0.4724495668305844,0.4698455933894485,0.4698455933894485,0.4698455933894485,0.4698455933894485,0.4698455933894485,0.46199036065098753,0.41379596584599165,-0.2813466622920342,-0.1864872304311728,-0.09732321473783224,-0.04162471523944424,0.0027426237283416028,0.03399238670792091,0.07004417450043389,0.10550452130864361,0.1344734599531869,0.16293349086834963,0.20247916288145018,0.24714373051490482,0.2777771843413924,0.30689147217486445,0.325139164180338,0.3431269303090013,0.3547528178266668,0.35299014927173517,0.35299014927173517,0.35299014927173517,0.35299014927173517,0.35299014927173517,0.35299014927173517,0.35299014927173517,0.35299014927173517,0.35299014927173517,0.35299014927173517,0.34982377465377607,0.27098830860580975,0.16491653517500157,0.11691167560014225,0.06326055271898896,-0.006233316015801017,-0.06875715785724425,-0.14448482950843639,-0.1700289813039681,-0.20061704129444236,-0.21230457589935203,-0.22240763799449575,-0.22240763799449575,-0.22240763799449575,-0.22240763799449575,-0.22240763799449575,-0.22240763799449575,-0.22240763799449575,-0.28003531660172043,-0.3410178164773467,-0.39238377613880493,-0.4296674994989896,-0.46300819342132565,-0.5012923773599735,-0.512813886809096,-0.512813886809096,-0.5185273695652063,-0.5185273695652063,-0.5185273695652063,-0.5185273695652063,-0.5185273695652063,-0.5185273695652063,-0.5185273695652063,-0.5185273695652063,-0.5354745067297272,-0.5466080260326819,-0.5466080260326819,-0.5466080260326819,-0.5466080260326819,-0.5466080260326819,-0.5466080260326819,-0.5493704394158582,-0.5493704394158582,-0.5493704394158582,-0.5493704394158582,-0.5493704394158582,-0.5493704394158582,-0.5651044412323367,-0.582980068833308,-0.591718469037969,-0.5942647048950269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-0.5993296445953314,-0.6102152562909049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-0.6118736244955592,-0.6102152562909049,-0.6102152562909049,-0.6102152562909049,-0.6060411092019709,-0.6060411092019709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-0.6018082424314722,-0.6100234587597968,-0.6132438704368796,-0.616426454345651,-0.616426454345651,-0.616426454345651,-0.616426454345651,-0.616426454345651,-0.6100234587597968,-0.6067654179645527,-0.6001372552134887,-0.5933610175835695,-0.5846850407818738,-0.5775818026781141,-0.5685025595798543,-0.5648092962817204,-0.5610811928877784,-0.5610811928877784,-0.5610811928877784,-0.5610811928877784,-0.5610811928877784,-0.5610811928877784,-0.5610811928877784,-0.5610811928877784,-0.5610811928877784,-0.5610811928877784,-0.55861490919379,-0.55861490919379,-0.55861490919379,-0.55861490919379,-0.55861490919379,-0.55861490919379,-0.55861490919379,-0.55861490919379,-0.55861490919379,-0.55861490919379,-0.55861490919379,-0.55861490919379,-0.55861490919379,-0.55861490919379,-0.5642059108344671,-0.5678897893994469,-0.5678897893994469,-0.5678897893994469,-0.5722038017896984,-0.5722038017896984,-0.5722038017896984,-0.5832335770322149,-0.5905885933391599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-0.5930221004999647,-0.5905885933391599,-0.5856942938672111,-0.5807638660145025,-0.5757976139130304,-0.5739904755422156,-0.5739904755422156,-0.571497661463871,-0.5584816299373565,-0.5541083239400282,-0.5541083239400282,-0.549717927894041,-0.5471915072181744,-0.5471915072181744,-0.5471915072181744,-0.5471915072181744,-0.5509353357064067,-0.5601457256695411,-0.5637696126041424,-0.5681227538709122,-0.5732181779157235,-0.5749983387990125,-0.581836252384255,-0.581836252384255,-0.581836252384255,-0.581836252384255,-0.581836252384255,-0.581836252384255,-0.581836252384255,-0.581836252384255,-0.581836252384255,-0.581836252384255,-0.581836252384255,-0.5782979539852496,-0.5782979539852496,-0.5782979539852496,-0.5782979539852496,-0.5782979539852496,-0.5782979539852496,-0.5782979539852496,-0.5747239834465412,-0.5704017153441485,-0.5598815365203061,-0.5555052357247868,-0.5511153782450192,-0.5511153782450192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-0.5460256755340358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-0.5485747567399596,-0.5504396590183938,-0.5504396590183938,-0.5504396590183938,-0.5504396590183938,-0.5504396590183938,-0.5504396590183938,-0.5522960728368651,-0.5559833207124814,-0.5632547041281474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-0.5711941063641912,-0.5694184554148236,-0.5611524804097425,-0.5611524804097425,-0.5611524804097425,-0.5611524804097425,-0.5611524804097425,-0.5611524804097425,-0.562977280612779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-0.5647933990102295,-0.5666008075953038,-0.5742142234570675,-0.5742142234570675,-0.5742142234570675,-0.576734370603825,-0.5749403605973938,-0.5774481837183777,-0.5774481837183777,-0.5774481837183777,-0.5774481837183777,-0.5774481837183777,-0.5799471018745619,-0.5799471018745619,-0.5799471018745619,-0.5799471018745619,-0.5799471018745619,-0.5799471018745619,-0.5799471018745619,-0.5799471018745619,-0.5799471018745619,-0.5799471018745619,-0.5799471018745619,-0.5799471018745619,-0.5799471018745619,-0.5817340913154538,-0.5817340913154538,-0.5817340913154538,-0.5708785581219348,-0.561589929831094,-0.5578136541557405,-0.5578136541557405,-0.5578136541557405,-0.5578136541557405,-0.5578136541557405,-0.5578136541557405,-0.5578136541557405,-0.5578136541557405,-0.5559125984619533,-0.5510045422867975,-0.5460624975580353,-0.5410867691242468,-0.5410867691242468,-0.5360776639117808,-0.5360776639117808,-0.5360776639117808,-0.5360776639117808,-0.5360776639117808,-0.5360776639117808,-0.5360776639117808,-0.5360776639117808,-0.5360776639117808,-0.5360776639117808,-0.5335606914915116,-0.5335606914915116,-0.5354968474045445,-0.5354968474045445,-0.5354968474045445,-0.5354968474045445,-0.5354968474045445,-0.5354968474045445,-0.5354968474045445,-0.5354968474045445,-0.5354968474045445,-0.5354968474045445,-0.5354968474045445,-0.5354968474045445,-0.5354968474045445,-0.5354968474045445,-0.5354968474045445,-0.5354968474045445,-0.5380175324695278,-0.5380175324695278,-0.5380175324695278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-0.5385974667917209,-0.5341480925937091,-0.5316350202777699,-0.5291137494926426,-0.5291137494926426,-0.5291137494926426,-0.5240467681651036,-0.5163857837595487,-0.5138161430456373,-0.5138161430456373,-0.5138161430456373,-0.5138161430456373,-0.5138161430456373,-0.5157866153112679,-0.5216501867703067,-0.5293555211246785,-0.5312615203755979,-0.5331593269171594,-0.5350489114828405,-0.5369302449329111,-0.5369302449329111,-0.5369302449329111,-0.5369302449329111,-0.5369302449329111,-0.5369302449329111,-0.5369302449329111,-0.5369302449329111,-0.5369302449329111,-0.5369302449329111,-0.5369302449329111,-0.5421408670403391,-0.547318047347369,-0.5524614665011518,-0.5524614665011518,-0.5550204164167207,-0.5575708072313854,-0.5575708072313854,-0.5607932477007905,-0.5607932477007905,-0.5589354804278176,-0.5589354804278176,-0.5589354804278176,-0.5564091647975886,-0.5436496626864333,-0.5306805732939551,-0.5254353703892116,-0.522800594389182,-0.5175068964506945,-0.5140909817496122,-0.5106354276601586,-0.5106354276601586,-0.5106354276601586,-0.5106354276601586,-0.5106354276601586,-0.5106354276601586,-0.5106354276601586,-0.5106354276601586,-0.5171296339828451,-0.5235756868651934,-0.5254436489921228,-0.5254436489921228,-0.5254436489921228,-0.5254436489921228,-0.5254436489921228,-0.5254436489921228,-0.5254436489921228,-0.5254436489921228,-0.5254436489921228,-0.5254436489921228,-0.5299894878546477,-0.5299894878546477,-0.5299894878546477,-0.5299894878546477,-0.5299894878546477,-0.5299894878546477,-0.5299894878546477,-0.5299894878546477,-0.5299894878546477,-0.5299894878546477,-0.5390293209984222,-0.5435230623184195,-0.5453392584135107,-0.5453392584135107,-0.5471470447031215,-0.5444701255804192,-0.5309237827779427,-0.5180726347746059,-0.5161931858584332,-0.5161931858584332,-0.5161931858584332,-0.5161931858584332,-0.5161931858584332,-0.5161931858584332,-0.5161931858584332,-0.5161931858584332,-0.5143057766052478,-0.5196885654341973,-0.5239175591670032,-0.5306752654139756,-0.5306752654139756,-0.5306752654139756,-0.5268729814767807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-0.5223424090632259,-0.5242638253223196,-0.5137339213195962,-0.5030772611665049,-0.48686036329690474,-0.48139422052075076,-0.48139422052075076,-0.48139422052075076,-0.48139422052075076,-0.48139422052075076,-0.48139422052075076,-0.4801842284337823,-0.47894286693535887,-0.4661549286696406,-0.4641035952665306,-0.4641035952665306,-0.4641035952665306,-0.4641035952665306,-0.4641035952665306,-0.4641035952665306,-0.4641035952665306,-0.4641035952665306,-0.4641035952665306,-0.4641035952665306,-0.46204510481228456,-0.4513300114170205,-0.44593053880650274,-0.44593053880650274,-0.44593053880650274,-0.44593053880650274,-0.44593053880650274,-0.44593053880650274,-0.44593053880650274,-0.4452992735455409,-0.4452992735455409,-0.4473744441059191,-0.45627797445417856,-0.46307185664732486,-0.4698331065260358,-0.4792701953252642,-0.4792701953252642,-0.4792701953252642,-0.4792701953252642,-0.48467801180593034,-0.4900559310655723,-0.4980660275037997,-0.4980660275037997,-0.5033677564531469,-0.5079711865228181,-0.5079711865228181,-0.5106057653386377,-0.5132324699823755,-0.5132324699823755,-0.5132324699823755,-0.5132324699823755,-0.5132324699823755,-0.5132324699823755,-0.5112810250094183,-0.5093216954510407,-0.5073545115225262,-0.5059987815604734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,-0.5020167863729242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</si>
  <si>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-0.042019217249770285,0.04878812068079032,0.05905664782620595,0.058582354082342386,0.05812316965754748,0.05157799755656729,0.04520356676539174,0.037385704439527594,0.01574216338821944,-0.004314633624510163,-0.033651482223526666,-0.0706719848185521,-0.1027820099310892,-0.1209497357153151,-0.13603864359733583,-0.14137294051181234,-0.1443907740958874,-0.1443907740958874,-0.1443907740958874,-0.1443907740958874,-0.1474063809957387,-0.1474063809957387,-0.1474063809957387,-0.1474063809957387,-0.1474063809957387,-0.1474063809957387,-0.1474063809957387,-0.14967095313871062,-0.15333904885937463,-0.12230883340390543,-0.09407373886015388,-0.05121499092156482,-0.0162512138006476,0.008481904645767754,0.011339949809257538,0.016252049764083506,0.017040350839510384,0.017329865072255823,-0.00756055798238877,-0.034771786286850244,-0.06162777519450771,-0.08830663858485248,-0.1040745569019815,-0.11305492830600329,-0.11444961846669982,-0.11281362442693067,-0.11108886580526833,-0.10959688796861447,-0.10959688796861447,-0.10959688796861447,-0.1126066837441356,-0.11561474298539574,-0.12656597974640166,-0.12847750742000844,-0.12847750742000844,-0.12847750742000844,-0.12847750742000844,-0.12847750742000844,-0.12847750742000844,-0.12847750742000844,-0.31615836887258125,-0.3251865420113815,-0.2985337514809525,-0.24009677137867086,-0.1169175910983699,-0.023075782868720626,0.08885991902125487,-0.12195497124068007,-0.15060886042115354,-0.191690429705997,-0.20396618523788823,-0.21009233591649215,-0.23235282938826204,-0.26181261011870044,-0.2655316715147227,-0.26923025890399405,-0.27819319364950745,-0.28025344084593606,-0.286440162570441,-0.2970959558533523,-0.3076298885378305,-0.3201689130961174,-0.32893816062922016,-0.3312911512925656,-0.3350080208513584,-0.33964412637194996,-0.33708727480123807,-0.3386603729873834,-0.3386603729873834,-0.3386603729873834,-0.3386603729873834,-0.3386603729873834,-0.3386603729873834,-0.32081360794301006,-0.30796559072583185,-0.26456934128214543,-0.23946143447404905,0.18386812212054543,0.14391067563051382,0.12164386623323423,0.06585861580460882,0.0008201898311554884,-0.014528134657747735,-0.020815328922150645,-0.020815328922150645,-0.020815328922150645,-0.020815328922150645,-0.010963847693852261,0.0064756277376928064,0.036576273239682815,0.06378841619235175,0.09012237670752334,0.10492687922230648,0.10492687922230648,0.10492687922230648,0.10492687922230648,0.10492687922230648,0.10492687922230648,0.10094029282745975,0.09085766754720145,0.08996026137388594,0.09853212691995361,0.119338747699997,0.14754497072441838,0.13715530276744925,0.10020117172297435,0.10020117172297435,0.10020117172297435,0.10020117172297435,0.10020117172297435,0.10020117172297435,0.10020117172297435,0.10020117172297435,0.09497747633127646,0.08531906155473754,0.0907443602788798,0.09617525919471598,0.11402830187303581,0.12292411203261981,0.13015073866431964,0.13015073866431964,0.12361119628392898,0.1133610040381863,0.11012012665076562,0.08492785105147,0.08077083897559284,0.07913269441000527,0.07913269441000527,0.06400220676802387,0.05735744019352715,0.05402964726311891,0.05402964726311891,0.05402964726311891,0.046523583769494156,0.03848356253449628,0.0321574696612032,0.02807988787287189,0.025992651734206076,0.011545416838042024,0.011545416838042024,0.011545416838042024,0.011545416838042024,-0.0013888058789609278,-0.012246567105451162,-0.02007512639305877,-0.017096945041078927,-0.008605774446326922,-0.001976937600794367,0.0048223102725543305,0.0048223102725543305,0.0048223102725543305,0.0048223102725543305,0.0031226378196348593,0.004822304650593488,0.004875905251791535,0.018125258311954925,0.031242172268177944,0.031242172268177944,0.031242172268177944,0.031242172268177944,0.031242172268177944,0.031242172268177944,0.031242172268177944,0.031242172268177944,0.031242172268177944,0.037464931840804995,0.040851749442086825,0.0356388438375266,0.015408668454285731,0.012999356821847597,0.002556809951724035,-0.005798130511248675,-0.03638872163823442,-0.054625887284827895,-0.06478112611525426,-0.07080698291032139,-0.07472670693635637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-0.0766848554895046,-0.07741353067733239,-0.038497417421425165,-0.018134774853023478,-0.013605771007611869,0.02006791340814516,0.037712885232966196,0.04437965782477887,0.046411148884260525,0.04871963285321269,0.05102736550520199,0.05333431125213823,0.05333431125213823,0.05333431125213823,0.05333431125213823,0.05333431125213823,0.05333431125213823,0.05333431125213823,0.0556404345180663,0.057945699739714716,0.057945699739714716,0.057945699739714716,0.057945699739714716,0.057945699739714716,0.057945699739714716,0.060568653523141724,0.060568653523141724,0.060568653523141724,0.060568653523141724,0.060568653523141724,0.07922902307310085,0.09745278360067743,0.10814184743614155,0.10814184743614155,0.10814184743614155,0.046949604108458394,0.025969812290492195,-0.009547360614725874,-0.009547360614725874,-0.009547360614725874,-0.009547360614725874,-0.009547360614725874,-0.009547360614725874,-0.009547360614725874,-0.009547360614725874,-0.011115444309651798,-0.025765006571381328,-0.027472213118016123,-0.02267488982859397,-0.004255460577155359,0.00015545979619435647,0.008293219269977555,0.010001731479102983,0.005489881017250555,0.007496552374076962,0.007496552374076962,0.007496552374076962,0.007496552374076962,0.007496552374076962,0.007496552374076962,0.007496552374076962,-0.0018764085063960234,-0.029175944966690907,-0.047343385248921566,-0.05636836088794477,-0.07889347080446704,-0.13133233210532866,-0.13084928159898485,-0.12322616713002299,-0.12127844343371844,-0.11932884947389902,-0.11932884947389902,-0.11932884947389902,-0.11932884947389902,-0.11932884947389902,-0.11932884947389902,-0.11932884947389902,-0.11932884947389902,-0.11932884947389902,-0.08935473158539246,-0.06729330423132758,-0.05405745656862063,-0.05405745656862063,-0.05405745656862063,-0.05417829344864977,-0.05417829344864977,-0.054236206321970376,-0.054236206321970376,-0.054236206321970376,-0.054236206321970376,-0.054236206321970376,-0.054236206321970376,-0.04955988324704434,-0.030562400073452803,0.009245585801824328,0.07541188446820035,0.12248692500473933,0.1452293877458412,0.16926144941030546,0.1917345595617878,0.19843693610193305,0.19843693610193305,0.17370302862965237,0.06804283124430656,0.06804283124430656,0.06804283124430656,0.06804283124430656,0.06804283124430656,0.06804283124430656,0.06804283124430656,0.06804283124430656,0.06804283124430656,0.06804283124430656,0.06804283124430656,0.06804283124430656,0.0773549148169788,0.08140665692193408,0.04959818263347957,0.02979922316327478,-0.0265313927157046,-0.1271190934726066,0.21648178347287958,-0.3599513234166302,-0.4234898263895307,-0.5140043622075551,-0.5264540475775933,-0.5292922815426443,-0.5321006617009507,-0.5009787381575773,-0.4117423927853659,-0.3101486291982676,-0.1658045907183773,-0.08899079851607436,-0.05134343310848544,-0.036048017296098335,0.038731900513978484,0.04975255177813401,0.06410916746079826,0.0674083699267179,0.07030405845142239,-0.004186180645456642,-0.07608771289601961,-0.0931119436766266,-0.1076167354640967,0.16435461112113767,0.23372587779941878,0.27381702324529406,0.27381702324529406,0.27381702324529406,0.27381702324529406,0.27381702324529406,0.27381702324529406,0.27381702324529406,0.27381702324529406,0.27381702324529406,0.27381702324529406,0.27381702324529406,0.19553214459958612,0.16017880949599445,-0.10538098729368159,-0.09532939872405942,-0.05463664926987865,-0.05216576687882327,-0.05216576687882327,-0.05216576687882327,-0.05216576687882327,-0.05216576687882327,-0.05216576687882327,-0.05216576687882327,-0.05216576687882327,-0.05216576687882327,-0.05216576687882327,-0.05216576687882327,-0.05216576687882327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-0.049694080027158444,-0.029896200941458506,0.04197488982645266,0.05437243648189538,-0.05214637623251982,-0.04497922911838351,0.011703894367703012,-0.005173821476855951,-0.005173821476855951,-0.005173821476855951,-0.01008357605703924,-0.01008357605703924,-0.01008357605703924,-0.01008357605703924,-0.01008357605703924,-0.01008357605703924,-0.01008357605703924,-0.01008357605703924,-0.01008357605703924,-0.01008357605703924,-0.01008357605703924,-0.01008357605703924,-0.01008357605703924,-0.01008357605703924,-0.004541503840841091,0.009152476556233517,0.03357122191902581,0.06844680815277623,0.10042909993275319,0.13470456073287113,0.13733893194410646,0.14384834981745312,0.12650944070475917,0.1051324152735,0.09449466917166802,0.09449466917166802,0.09449466917166802,0.09449466917166802,-0.08923551669883947,-0.07897995814669703,-0.04595078936366471,-0.041057989347629116,-0.035858474281738335,-0.03357839747456053,-0.03357839747456053,-0.03357839747456053,-0.03357839747456053,-0.03357839747456053,-0.026735200816443393,-0.01788849485482202,0.024981920845012467,0.06340328965829135,0.1494168555210225,0.20810389397653273,0.31309364909059784,0.3858634066550111,0.46069636688121374,0.5316385414613854,0.5625641991515766,0.5875936631098674,0.5883318661989361,0.5801291122487395,0.5681662133702045,0.5284314695143406,0.48459680448875886,0.39417128443468125,0.3209182182130652,0.3163639195929218,0.3163639195929218,0.3163639195929218,0.3163639195929218,0.3163639195929218,0.3163639195929218,0.3163639195929218,0.3163639195929218,0.3163639195929218,0.3163639195929218,0.3149659440226452,0.28310050933684794,0.21278595490869306,0.18965928946454094,0.15911223942656216,0.1243724084581475,0.09244474098823172,0.04411872893693756,0.026138237439585585,0.0097049944720504,-0.0009764559860488594,-0.006468154118109994,-0.006468154118109994,-0.006468154118109994,-0.006468154118109994,-0.006468154118109994,-0.006468154118109994,-0.006468154118109994,-0.01187649152073822,-0.03253797060731853,-0.05276343904571411,-0.07388130911195223,-0.09309639456081088,-0.11557842157602807,-0.12243808115556744,-0.12243808115556744,-0.12585668778045347,-0.12585668778045347,-0.12585668778045347,-0.12585668778045347,-0.12585668778045347,-0.12585668778045347,-0.12585668778045347,-0.12585668778045347,-0.13606508596226072,-0.14282906893008418,-0.14282906893008418,-0.14282906893008418,-0.14282906893008418,-0.14282906893008418,-0.14282906893008418,-0.14451462328014356,-0.14451462328014356,-0.14451462328014356,-0.14451462328014356,-0.14451462328014356,-0.14451462328014356,-0.1616753810435836,-0.18044946541766524,-0.20093476209307098,-0.2026339624934394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-0.206022962540038,-0.2060482483615888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-0.2035449854119384,-0.2060482483615888,-0.2060482483615888,-0.2060482483615888,-0.20688366954046503,-0.20688366954046503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-0.19682058225960217,-0.18407325653534606,-0.17895418025589763,-0.17382406524031918,-0.17382406524031918,-0.17382406524031918,-0.17382406524031918,-0.17382406524031918,-0.18407325653534595,-0.1891809783099454,-0.19936109879115205,-0.20949202990726679,-0.2220827143943509,-0.23209384956116297,-0.24452695052776457,-0.24947406259128663,-0.2544057859204171,-0.2544057859204171,-0.2544057859204171,-0.2544057859204171,-0.2544057859204171,-0.2544057859204171,-0.2544057859204171,-0.2544057859204171,-0.2544057859204171,-0.2544057859204171,-0.25253110562556674,-0.25253110562556674,-0.25253110562556674,-0.25253110562556674,-0.25253110562556674,-0.25253110562556674,-0.25253110562556674,-0.25253110562556674,-0.25253110562556674,-0.25253110562556674,-0.25253110562556674,-0.25253110562556674,-0.25253110562556674,-0.25253110562556674,-0.24510196078465102,-0.24013023503226935,-0.24013023503226935,-0.24013023503226935,-0.23947014434459687,-0.23947014434459687,-0.23947014434459687,-0.23995684674408482,-0.2453152502402566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-0.24709385527831748,-0.2453152502402566,-0.2417467184575546,-0.23816327459941786,-0.23456513970952997,-0.23705535580985185,-0.23705535580985185,-0.23524196377439416,-0.23725526993937204,-0.23791176430811758,-0.23791176430811758,-0.23856092089929717,-0.23668237878690135,-0.23668237878690135,-0.23668237878690135,-0.23668237878690135,-0.23161383824975307,-0.2188806672322983,-0.21376349567013486,-0.21301026038708212,-0.21658607439034222,-0.2140455124778134,-0.21504649227410716,-0.21504649227410716,-0.21504649227410716,-0.21504649227410716,-0.21504649227410716,-0.21504649227410716,-0.21504649227410716,-0.21504649227410716,-0.21504649227410716,-0.21504649227410716,-0.21504649227410716,-0.22009518276661086,-0.22009518276661086,-0.22009518276661086,-0.22009518276661086,-0.22009518276661086,-0.22009518276661086,-0.22009518276661086,-0.22513029675230964,-0.22585392492763748,-0.22977342120809913,-0.23045494886038956,-0.2311207987011155,-0.2311207987011155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-0.22738253444338324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-0.22925343425792216,-0.22670681521675776,-0.22670681521675776,-0.22670681521675776,-0.22670681521675776,-0.22670681521675776,-0.22670681521675776,-0.2241567000762612,-0.21904613885429106,-0.20878479709677542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-0.20282765604690678,-0.20539865782681602,-0.2225174891295304,-0.2225174891295304,-0.2225174891295304,-0.2225174891295304,-0.2225174891295304,-0.2225174891295304,-0.2199749271617843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-0.21742897290874147,-0.21487966563216382,-0.2202737620981419,-0.2202737620981419,-0.2202737620981419,-0.2220650373848036,-0.22457902529441162,-0.22637573680328593,-0.22637573680328593,-0.22637573680328593,-0.22637573680328593,-0.22637573680328593,-0.2281689573184666,-0.2281689573184666,-0.2281689573184666,-0.2281689573184666,-0.2281689573184666,-0.2281689573184666,-0.2281689573184666,-0.2281689573184666,-0.2281689573184666,-0.2281689573184666,-0.2281689573184666,-0.2281689573184666,-0.2281689573184666,-0.22567275158920047,-0.22567275158920047,-0.22567275158920047,-0.24059643827428676,-0.25293116472871596,-0.25783801762580455,-0.25783801762580455,-0.25783801762580455,-0.25783801762580455,-0.25783801762580455,-0.25783801762580455,-0.25783801762580455,-0.25783801762580455,-0.26028549870516604,-0.2564668160235394,-0.2526323132615765,-0.2487822269494556,-0.2487822269494556,-0.24491679457862187,-0.24491679457862187,-0.24491679457862187,-0.24491679457862187,-0.24491679457862187,-0.24491679457862187,-0.24491679457862187,-0.24491679457862187,-0.24491679457862187,-0.24491679457862187,-0.24297839809650668,-0.24297839809650668,-0.2404554380799012,-0.2404554380799012,-0.2404554380799012,-0.2404554380799012,-0.2404554380799012,-0.2404554380799012,-0.2404554380799012,-0.2404554380799012,-0.2404554380799012,-0.2404554380799012,-0.2404554380799012,-0.2404554380799012,-0.2404554380799012,-0.2404554380799012,-0.2404554380799012,-0.2404554380799012,-0.24238561092122016,-0.24238561092122016,-0.24238561092122016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-0.24682670213183036,-0.24740282713607992,-0.2454560427221747,-0.2435054730726727,-0.2435054730726727,-0.2435054730726727,-0.23959309844556814,-0.23369690111509536,-0.2317242537466456,-0.2317242537466456,-0.2317242537466456,-0.2317242537466456,-0.2317242537466456,-0.2291488644554787,-0.22140165316408505,-0.2110244250397651,-0.20842188221801147,-0.20581612527319545,-0.20320719438931018,-0.20059512979929495,-0.20059512979929495,-0.20059512979929495,-0.20059512979929495,-0.20059512979929495,-0.20059512979929495,-0.20059512979929495,-0.20059512979929495,-0.20059512979929495,-0.20059512979929495,-0.20059512979929495,-0.2043433007968177,-0.20807886693775543,-0.21180159779480623,-0.21180159779480623,-0.21365807819944613,-0.21551126373240892,-0.21551126373240892,-0.22174342223377466,-0.22174342223377466,-0.2242671573643842,-0.2242671573643842,-0.2242671573643842,-0.2224033511149998,-0.21303345053491107,-0.20358142150925723,-0.19977842914428193,-0.19787229704259549,-0.19405090797493804,-0.18756123982301917,-0.18105710961459143,-0.18105710961459143,-0.18105710961459143,-0.18105710961459143,-0.18105710961459143,-0.18105710961459143,-0.18105710961459143,-0.18105710961459143,-0.17756702804532565,-0.17408715411360923,-0.17139843278577882,-0.17139843278577882,-0.17139843278577882,-0.17139843278577882,-0.17139843278577882,-0.17139843278577882,-0.17139843278577882,-0.17139843278577882,-0.17139843278577882,-0.17139843278577882,-0.17056965945275415,-0.17056965945275415,-0.17056965945275415,-0.17056965945275415,-0.17056965945275415,-0.17056965945275415,-0.17056965945275415,-0.17056965945275415,-0.17056965945275415,-0.17056965945275415,-0.16890446342746682,-0.16806823155287978,-0.1653993366669134,-0.1653993366669134,-0.16272789111871877,-0.16092306893838004,-0.16355927567380873,-0.17071712553781465,-0.17342050432809417,-0.17342050432809417,-0.17342050432809417,-0.17342050432809417,-0.17342050432809417,-0.17342050432809417,-0.17342050432809417,-0.17342050432809417,-0.17612120875982493,-0.17989849733712973,-0.19089655257393662,-0.20371488567163906,-0.20371488567163906,-0.20371488567163906,-0.2089134320931942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-0.20960441423081377,-0.20698960265904648,-0.19929486710310543,-0.1915509585237495,-0.17984707907932176,-0.1759232767298792,-0.1759232767298792,-0.1759232767298792,-0.1759232767298792,-0.1759232767298792,-0.1759232767298792,-0.18336948903331582,-0.1907867525294194,-0.21908468216315252,-0.22175445805298655,-0.22175445805298655,-0.22175445805298655,-0.22175445805298655,-0.22175445805298655,-0.22175445805298655,-0.22175445805298655,-0.22175445805298655,-0.22175445805298655,-0.22175445805298655,-0.22442081421495794,-0.21614523353850942,-0.21198731608852464,-0.21198731608852464,-0.21198731608852464,-0.21198731608852464,-0.21198731608852464,-0.21198731608852464,-0.21198731608852464,-0.20719518147174282,-0.20719518147174282,-0.20447684581830353,-0.19836633020595165,-0.1949760668322932,-0.19156365645471085,-0.19013782519519049,-0.19013782519519049,-0.19013782519519049,-0.19013782519519049,-0.19411698462388322,-0.19808417000330517,-0.20401196162240276,-0.20401196162240276,-0.20794814290483934,-0.20725895546127732,-0.20725895546127732,-0.2092112975687993,-0.21116041337949837,-0.21116041337949837,-0.21116041337949837,-0.21116041337949837,-0.21116041337949837,-0.21116041337949837,-0.21378153250637996,-0.21639935485776643,-0.2190138400636011,-0.22621759188271065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,-0.23140693068418666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</si>
  <si>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0.7087358794345178,0.7206509614072742,0.7530917218453759,0.762170714732059,0.7709929120093276,0.7799677208136659,0.7845030184255896,0.7869399515930188,0.787670211828225,0.7859152923937429,0.7834128939595378,0.7775507658845076,0.7723445303084641,0.769708630907353,0.767185572408054,0.7687645952674331,0.7682034988215344,0.7682034988215344,0.7682034988215344,0.7682034988215344,0.7676305557280767,0.7676305557280767,0.7676305557280767,0.7676305557280767,0.7676305557280767,0.7676305557280767,0.7676305557280767,0.7695709924609097,0.7754669462962666,0.801350385554589,0.8159037856994061,0.8330993605582896,0.8428763993713815,0.8475188939869034,0.8483882959867354,0.8493827954326858,0.8498073626850495,0.8506743900014936,0.8506733818867523,0.8492541005414236,0.8439272565397051,0.8353524448175881,0.823222094203646,0.8093640254689128,0.7915401735835728,0.7852729953771849,0.7788406542967956,0.7666553865933446,0.7666553865933446,0.7666553865933446,0.7662190903528467,0.7657709780668216,0.7659031824705185,0.7674689940940589,0.7674689940940589,0.7674689940940589,0.7674689940940589,0.7674689940940589,0.7674689940940589,0.7674689940940589,0.8687609903614552,0.8729605849059684,0.8828208670546097,0.8798183296530584,0.887409487335261,0.8765680036017303,0.8281612693917156,-0.7725488462548215,-0.6228533627016796,-0.5247214774813533,-0.5102528779374358,-0.5012385851400486,-0.4718080573857072,-0.4236582451313113,-0.4182041453170927,-0.4127177995773857,-0.400567814526935,-0.39607629716546205,-0.3916254046265503,-0.3836045063576195,-0.38080192555033954,-0.3730381659106134,-0.3726490984309974,-0.37525004232240255,-0.37644608671594737,-0.3830589434963211,-0.4012490753433134,-0.39992224627399237,-0.39992224627399237,-0.39992224627399237,-0.39992224627399237,-0.39992224627399237,-0.39992224627399237,-0.4392241071867601,-0.46576870301934964,-0.5488090058182502,-0.5934088265572818,0.6686793841191891,0.714375853512151,0.737075397779653,0.784097480393572,0.8280611888304474,0.836287101367599,0.8410903636028133,0.8410903636028133,0.8410903636028133,0.8410903636028133,0.8558003921010953,0.8603666162922388,0.8610448107695599,0.8592558037160922,0.8564646683556393,0.8544121746117815,0.8544121746117815,0.8544121746117815,0.8544121746117815,0.8544121746117815,0.8544121746117815,0.8540584469233845,0.8436276330649282,0.8255697382955383,0.8058615365916436,0.7924717643689471,0.7679463064715805,0.7212646057532681,0.6551205896300674,0.6551205896300674,0.6551205896300674,0.6551205896300674,0.6551205896300674,0.6551205896300674,0.6551205896300674,0.6551205896300674,0.6376057817240214,0.6174733388713104,0.6139639861688386,0.6103457794550637,0.6129764026781382,0.6141534192612507,0.6126626681416337,0.6126626681416337,0.6022247958067676,0.5679521674617277,0.5624107813196838,0.5231671071329258,0.507920031865688,0.504973209650043,0.504973209650043,0.4814291397601342,0.4693498520760687,0.4632665939429984,0.4632665939429984,0.4632665939429984,0.47044104972820383,0.48969470896676476,0.5107775206713002,0.5138755254376198,0.5195942669452519,0.5309162672698292,0.5309162672698292,0.5309162672698292,0.5309162672698292,0.5101506291565809,0.4887779040158649,0.44992745583229937,0.441470562787649,0.4387901275496346,0.432855849985937,0.4328335020223835,0.4328335020223835,0.4328335020223835,0.4328335020223835,0.4297248497879872,0.42655853907626945,0.3976478956781905,0.3706670328518722,0.3663087792883464,0.3663087792883464,0.3663087792883464,0.3663087792883464,0.3663087792883464,0.3663087792883464,0.3663087792883464,0.3663087792883464,0.3663087792883464,0.42158006704557355,0.4682715219064997,0.49446813393262995,0.52880110591672,0.5317411104624667,0.5318938376748784,0.5318683798800353,0.5201632219055006,0.5110572490540483,0.5025562546177452,0.49935796904359814,0.4987864566592176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0.49848916037840124,0.5141464762082758,0.5637458114819185,0.5842809574314285,0.5887461051207838,0.625293924795111,0.6474521259649673,0.6551341254718174,0.6590077521034313,0.6608356812133677,0.662653419420214,0.6644609386922007,0.6644609386922007,0.6644609386922007,0.6644609386922007,0.6644609386922007,0.6644609386922007,0.6644609386922007,0.666258211155146,0.6680452090928869,0.6680452090928869,0.6680452090928869,0.6680452090928869,0.6680452090928869,0.6680452090928869,0.6678125064122996,0.6678125064122996,0.6678125064122996,0.6678125064122996,0.6678125064122996,0.6798788615660588,0.693358326097859,0.7145340603506019,0.7145340603506019,0.7145340603506019,0.677648834334797,0.6619429962731591,0.6379406458817373,0.6379406458817373,0.6379406458817373,0.6379406458817373,0.6379406458817373,0.6379406458817373,0.6379406458817373,0.6379406458817373,0.6264097802398447,0.5908901034426227,0.5775738378704153,0.5709274841660477,0.5616049042161654,0.5616210049638669,0.5693111484596216,0.5744332890422635,0.5744941247731862,0.5770005023031151,0.5770005023031151,0.5770005023031151,0.5770005023031151,0.5770005023031151,0.5770005023031151,0.5770005023031151,0.5795728591238742,0.5788410698777409,0.5776390082180038,0.5726717400981851,0.5599413975205854,0.5052131549378546,0.49587921745933006,0.49574310171350483,0.496223185996359,0.49669561790428374,0.49669561790428374,0.49669561790428374,0.49669561790428374,0.49669561790428374,0.49669561790428374,0.49669561790428374,0.49669561790428374,0.49669561790428374,0.5347978125788007,0.5673497572899262,0.589244851394901,0.589244851394901,0.589244851394901,0.5932339596292929,0.5932339596292929,0.5952010991966691,0.5952010991966691,0.5952010991966691,0.5952010991966691,0.5952010991966691,0.5952010991966691,0.5956087075703829,0.590568464489491,0.5820513957793182,0.5745950248885846,0.5664303559561771,0.5674797712752376,0.57058560050334,0.5700579903657205,0.5677596640310352,0.5677596640310352,0.5692513034846071,0.4816047987204752,0.4816047987204752,0.4816047987204752,0.4816047987204752,0.4816047987204752,0.4816047987204752,0.4816047987204752,0.4816047987204752,0.4816047987204752,0.4816047987204752,0.4816047987204752,0.4816047987204752,0.4998200347021328,0.5921568675100684,0.612111901886545,0.6159552493660245,0.6048564170789263,0.5573440661347164,-0.49676447365075405,0.3649685243091131,0.29433223287655386,0.17462136978300746,0.1587388843153949,0.15524046593433982,0.15173681461832336,0.20313325403165955,0.3268611388150854,0.44127862460524864,0.5732484479733965,0.6355745474788682,0.6645634024574099,0.6835178064571656,-0.6833709762475744,-0.6840517690054543,-0.6877002943249476,-0.6906184312180877,-0.6913338696564749,-0.7196051217362149,-0.7405367726619415,-0.7396846243509952,-0.7377139118957718,0.7300577219040872,0.7270862946836048,0.7302423660204596,0.7302423660204596,0.7302423660204596,0.7302423660204596,0.7302423660204596,0.7302423660204596,0.7302423660204596,0.7302423660204596,0.7302423660204596,0.7302423660204596,0.7302423660204596,0.7311478334061665,0.72444076992491,-0.7062251775115296,-0.702689925784976,-0.6893112328243842,-0.6879114314746361,-0.6879114314746361,-0.6879114314746361,-0.6879114314746361,-0.6879114314746361,-0.6879114314746361,-0.6879114314746361,-0.6879114314746361,-0.6879114314746361,-0.6879114314746361,-0.6879114314746361,-0.6879114314746361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-0.6865010216802597,-0.6748384835490295,-0.6270701239731017,-0.6111638945785932,0.6025903224540553,0.608606266687264,-0.6456382073084398,-0.6608245318837961,-0.6608245318837961,-0.6608245318837961,-0.6640657798480428,-0.6640657798480428,-0.6640657798480428,-0.6640657798480428,-0.6640657798480428,-0.6640657798480428,-0.6640657798480428,-0.6640657798480428,-0.6640657798480428,-0.6640657798480428,-0.6640657798480428,-0.6640657798480428,-0.6640657798480428,-0.6640657798480428,-0.6673711963362132,-0.6732745352439957,-0.6798722672869603,-0.6801791354312627,-0.6769190730525726,-0.6711033566294414,-0.6705691998101249,-0.6677896518962615,-0.6654116493776727,-0.6549891222241186,-0.6528148409910901,-0.6528148409910901,-0.6528148409910901,-0.6528148409910901,0.652215135808814,0.6535363241854002,0.6598596369360833,0.6618684102828103,0.6621704620728339,0.6640206566159477,0.6640206566159477,0.6640206566159477,0.6640206566159477,0.6640206566159477,0.6695096867900626,0.6897441471272786,-0.7234702549198533,-0.7306318436221603,-0.7186161061458628,-0.7038659489120328,-0.6745045891340985,-0.6475554352504986,-0.6124269797583645,-0.5721266347889769,-0.5445959290347261,-0.5174909575648442,-0.48858987590448694,-0.4558313474083798,-0.4329755611640652,-0.4123959764083251,-0.39750768150658994,-0.3760314535339511,-0.35550965129260603,-0.35537130142634493,-0.35537130142634493,-0.35537130142634493,-0.35537130142634493,-0.35537130142634493,-0.35537130142634493,-0.35537130142634493,-0.35537130142634493,-0.35537130142634493,-0.35537130142634493,-0.3566109162709055,-0.3861998165027239,-0.4150153345552585,-0.4260809130226594,-0.43652481289750517,-0.44766295471577405,-0.4553290973286862,-0.4628254999055737,-0.46460054099287684,-0.46523400910683593,-0.46616636415133283,-0.46612251127216553,-0.46612251127216553,-0.46612251127216553,-0.46612251127216553,-0.46612251127216553,-0.46612251127216553,-0.46612251127216553,-0.45980192501316225,-0.4548378177212341,-0.4495444761577487,-0.44655992734209776,-0.44295290704955664,-0.4376252335159266,-0.43575581789210566,-0.43575581789210566,-0.4347807616314327,-0.4347807616314327,-0.4347807616314327,-0.4347807616314327,-0.4347807616314327,-0.4347807616314327,-0.4347807616314327,-0.4347807616314327,-0.4316949257588717,-0.42950445121376846,-0.42950445121376846,-0.42950445121376846,-0.42950445121376846,-0.42950445121376846,-0.42950445121376846,-0.42894025248520723,-0.42894025248520723,-0.42894025248520723,-0.42894025248520723,-0.42894025248520723,-0.42894025248520723,-0.4292151496485274,-0.42836063006496744,-0.4330934888301469,-0.43230108249769056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-0.4306962823042401,-0.42349924991936677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-0.42109968100095785,-0.42349924991936677,-0.42349924991936677,-0.42349924991936677,-0.42669816175996456,-0.42669816175996456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-0.4243328580693714,-0.4124353462768599,-0.40763156215800384,-0.40280263340577593,-0.40280263340577593,-0.40280263340577593,-0.40280263340577593,-0.40280263340577593,-0.4124353462768599,-0.4172136894423294,-0.4266928754978207,-0.43606678147729816,-0.44763259285007084,-0.45676120272071996,-0.4680132208035716,-0.47246374879934044,-0.4768851330073167,-0.4768851330073167,-0.4768851330073167,-0.4768851330073167,-0.4768851330073167,-0.4768851330073167,-0.4768851330073167,-0.4768851330073167,-0.4768851330073167,-0.4768851330073167,-0.477880502515765,-0.477880502515765,-0.477880502515765,-0.477880502515765,-0.477880502515765,-0.477880502515765,-0.477880502515765,-0.477880502515765,-0.477880502515765,-0.477880502515765,-0.477880502515765,-0.477880502515765,-0.477880502515765,-0.477880502515765,-0.47126646564099545,-0.466820713501616,-0.466820713501616,-0.466820713501616,-0.4636404437480234,-0.4636404437480234,-0.4636404437480234,-0.4562594289253221,-0.4534009073460103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-0.45243406311453066,-0.4534009073460103,-0.45531360499948714,-0.4571982167667624,-0.4590546263961119,-0.4613122328645041,-0.4613122328645041,-0.4622395876470734,-0.4716791716200867,-0.4747967330959897,-0.4747967330959897,-0.47789965068563234,-0.47883278989386663,-0.47883278989386663,-0.47883278989386663,-0.47883278989386663,-0.4745204338269431,-0.4636120708775652,-0.4591984431086593,-0.4561279672947064,-0.45444093781123457,-0.45218641712257635,-0.4482299120473154,-0.4482299120473154,-0.4482299120473154,-0.4482299120473154,-0.4482299120473154,-0.4482299120473154,-0.4482299120473154,-0.4482299120473154,-0.4482299120473154,-0.4482299120473154,-0.4482299120473154,-0.45278577170553036,-0.45278577170553036,-0.45278577170553036,-0.45278577170553036,-0.45278577170553036,-0.45278577170553036,-0.45278577170553036,-0.45731370140619926,-0.4604377642782619,-0.46888507190221723,-0.4719787928590541,-0.4750678818598495,-0.4750678818598495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-0.47686842944060487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-0.4759718256871871,-0.4738139132191186,-0.4738139132191186,-0.4738139132191186,-0.4738139132191186,-0.4738139132191186,-0.4738139132191186,-0.47164869395480785,-0.46729646871105496,-0.4585058133304451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-0.45104543849633366,-0.45328502883564714,-0.4657845858253949,-0.4657845858253949,-0.4657845858253949,-0.4657845858253949,-0.4657845858253949,-0.4657845858253949,-0.4635773594303129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-0.46136298409930193,-0.4591414939807671,-0.4565781991381239,-0.4565781991381239,-0.4565781991381239,-0.45570966784606065,-0.45797097873150866,-0.4570855300151749,-0.4570855300151749,-0.4570855300151749,-0.4570855300151749,-0.4570855300151749,-0.4561930324749466,-0.4561930324749466,-0.4561930324749466,-0.4561930324749466,-0.4561930324749466,-0.4561930324749466,-0.4561930324749466,-0.4561930324749466,-0.4561930324749466,-0.4561930324749466,-0.4561930324749466,-0.4561930324749466,-0.4561930324749466,-0.45391207392266425,-0.45391207392266425,-0.45391207392266425,-0.46749159963363157,-0.4786099398922861,-0.4830058499529904,-0.4830058499529904,-0.4830058499529904,-0.4830058499529904,-0.4830058499529904,-0.4830058499529904,-0.4830058499529904,-0.4830058499529904,-0.48519264908144466,-0.4872219410470088,-0.4892211788700195,-0.49119023922807803,-0.49119023922807803,-0.49312900066027365,-0.49312900066027365,-0.49312900066027365,-0.49312900066027365,-0.49312900066027365,-0.49312900066027365,-0.49312900066027365,-0.49312900066027365,-0.49312900066027365,-0.49312900066027365,-0.49408698183348493,-0.49408698183348493,-0.49198788962942624,-0.49198788962942624,-0.49198788962942624,-0.49198788962942624,-0.49198788962942624,-0.49198788962942624,-0.49198788962942624,-0.49198788962942624,-0.49198788962942624,-0.49198788962942624,-0.49198788962942624,-0.49198788962942624,-0.49198788962942624,-0.49198788962942624,-0.49198788962942624,-0.49198788962942624,-0.49103983225657016,-0.49103983225657016,-0.49103983225657016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-0.49219319766390957,-0.49526009418487943,-0.4962278215276837,-0.4971878964240728,-0.4971878964240728,-0.4971878964240728,-0.49908502977367786,-0.5018729701589258,-0.502786823606686,-0.502786823606686,-0.502786823606686,-0.502786823606686,-0.502786823606686,-0.5007652007803075,-0.49465412308935597,-0.48639937407609374,-0.4843168547707212,-0.4822268667007647,-0.4801294420964237,-0.47802461330257845,-0.47802461330257845,-0.47802461330257845,-0.47802461330257845,-0.47802461330257845,-0.47802461330257845,-0.47802461330257845,-0.47802461330257845,-0.47802461330257845,-0.47802461330257845,-0.47802461330257845,-0.47643441567726497,-0.474814829334737,-0.4731659541787033,-0.4731659541787033,-0.4723305650097132,-0.4714878919195441,-0.4714878919195441,-0.4719766650247756,-0.4719766650247756,-0.4741752500011301,-0.4741752500011301,-0.4741752500011301,-0.47505228659459553,-0.47932731461823164,-0.48341755284867954,-0.48500155137337336,-0.4857823377285579,-0.487321424421334,-0.48679447075387006,-0.4862299824169249,-0.4862299824169249,-0.4862299824169249,-0.4862299824169249,-0.4862299824169249,-0.4862299824169249,-0.4862299824169249,-0.4862299824169249,-0.4815003498749953,-0.4767019261135322,-0.47464217887852483,-0.47464217887852483,-0.47464217887852483,-0.47464217887852483,-0.47464217887852483,-0.47464217887852483,-0.47464217887852483,-0.47464217887852483,-0.47464217887852483,-0.47464217887852483,-0.4718983810109931,-0.4718983810109931,-0.4718983810109931,-0.4718983810109931,-0.4718983810109931,-0.4718983810109931,-0.4718983810109931,-0.4718983810109931,-0.4718983810109931,-0.4718983810109931,-0.4663566573566488,-0.4635589467072018,-0.4614209678561272,-0.4614209678561272,-0.4592758733233473,-0.45991136129511123,-0.4681151566926973,-0.47758174631583034,-0.4796125250550711,-0.4796125250550711,-0.4796125250550711,-0.4796125250550711,-0.4796125250550711,-0.4796125250550711,-0.4796125250550711,-0.4796125250550711,-0.4816359075763074,-0.4802378143146558,-0.4821623836040577,-0.4832459266924315,-0.4832459266924315,-0.4832459266924315,-0.48742962815398255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-0.4903115229466822,-0.4882565138312826,-0.4914475301128117,-0.4945172890771972,-0.49889292143130637,-0.5002900354916634,-0.5002900354916634,-0.5002900354916634,-0.5002900354916634,-0.5002900354916634,-0.5002900354916634,-0.5033499487125841,-0.5063924731229665,-0.5214538256026693,-0.523280386236038,-0.523280386236038,-0.523280386236038,-0.523280386236038,-0.523280386236038,-0.523280386236038,-0.523280386236038,-0.523280386236038,-0.523280386236038,-0.523280386236038,-0.5250988772390032,-0.528559145932742,-0.5302404271159926,-0.5302404271159926,-0.5302404271159926,-0.5302404271159926,-0.5302404271159926,-0.5302404271159926,-0.5302404271159926,-0.5293135620261805,-0.5293135620261805,-0.5275607990800202,-0.521457478793168,-0.5170535040907143,-0.5126203228264559,-0.507394211089216,-0.507394211089216,-0.507394211089216,-0.507394211089216,-0.5058852382678662,-0.5043450600639471,-0.5019764910150513,-0.5019764910150513,-0.5003587191997688,-0.4975680803658426,-0.4975680803658426,-0.4967503419097249,-0.4959249429492821,-0.4959249429492821,-0.4959249429492821,-0.4959249429492821,-0.4959249429492821,-0.4959249429492821,-0.49793657301786654,-0.4999405242889758,-0.501936765859204,-0.5050215388102928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,-0.5089800269193294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</si>
  <si>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0.34517211930732195,0.3442805917356193,0.34802066416391775,0.3513764652632332,0.35467100312795247,0.36193998730078303,0.3674461324025359,0.37307682674493897,0.3864049252098999,0.3976922200510951,0.41414141465514775,0.43348517657487357,0.45064543978571203,0.4607854511429766,0.46904029230515054,0.4749723293080997,0.4765561387496225,0.4765561387496225,0.4765561387496225,0.4765561387496225,0.47813259910639555,0.47813259910639555,0.47813259910639555,0.47813259910639555,0.47813259910639555,0.47813259910639555,0.47813259910639555,0.48240629968383747,0.4933875548096719,0.5104678220532307,0.516417447165822,0.5224115932722944,0.5246644128682625,0.5248475067807535,0.5250548870764485,0.5250430283904365,0.525109038777633,0.5250445512063672,0.52431158944703,0.5224413067391633,0.5189586701235768,0.5139640436623235,0.5091636082580125,0.5045662731967754,0.5001115346719014,0.49927315630520586,0.4981598123804486,0.49528555188391266,0.49528555188391266,0.49528555188391266,0.49373607683910375,0.4921789877736631,0.4870163026056097,0.48651552526095926,0.48651552526095926,0.48651552526095926,0.48651552526095926,0.48651552526095926,0.48651552526095926,0.48651552526095926,0.38115991878914574,0.35774952262101056,0.3201826926322457,0.2567645677564428,0.19113380694568985,0.1398042687386407,0.07175001650600693,-0.054405719702554665,-0.0442330173755058,0.0015927364738603795,0.018898323245373362,0.027142377305399302,0.05824800797051766,0.09893633378164927,0.10466395161116912,0.11038349925290443,0.12516500334587194,0.12746350033071074,0.1410355998975867,0.16470103079627607,0.1939508674964996,0.22505854428620406,0.25517788226268634,0.26750588735807557,0.28301017926727395,0.3118358833879803,0.33802612064989573,0.3410933726457848,0.3410933726457848,0.3410933726457848,0.3410933726457848,0.3410933726457848,0.3410933726457848,0.3579303927489513,0.3690429948172967,0.4053952945421849,0.42849839260938194,-0.4551320300056428,-0.46929987056120337,-0.4755580100019599,-0.4841618204231567,-0.4886198449917941,-0.48840450339296676,-0.48894646248055007,-0.48894646248055007,-0.48894646248055007,-0.48894646248055007,-0.49791948040587114,-0.5025734714310005,-0.5059947891050535,-0.5075401349016565,-0.5074857997535113,-0.507181129233326,-0.507181129233326,-0.507181129233326,-0.507181129233326,-0.507181129233326,-0.507181129233326,-0.5079895718591386,-0.5121584648632667,-0.5105458801193116,-0.5039062295051354,-0.49318347542514157,-0.47586523394431524,-0.46971468012419,-0.468196546626912,-0.468196546626912,-0.468196546626912,-0.468196546626912,-0.468196546626912,-0.468196546626912,-0.468196546626912,-0.468196546626912,-0.46382693435871325,-0.46174556573310965,-0.4545821337253164,-0.4473675581597846,-0.4312313321800887,-0.42305814538464676,-0.41531510903655167,-0.41531510903655167,-0.4173081915349456,-0.4122004096550279,-0.4130780224881709,-0.42118315979150167,-0.4169925794014076,-0.41730654964914343,-0.41730654964914343,-0.4225337049920735,-0.4234868810009956,-0.42392429930605335,-0.42392429930605335,-0.42392429930605335,-0.4417171169532234,-0.47013309828195965,-0.4973353708998541,-0.5054154603012696,-0.513303559949626,-0.5417949012694862,-0.5417949012694862,-0.5417949012694862,-0.5417949012694862,-0.5366911351928709,-0.5284208785254683,-0.49655464395774923,-0.4816126690530156,-0.4635628491341522,-0.44517707851799887,-0.43280969276373044,-0.43280969276373044,-0.43280969276373044,-0.43280969276373044,-0.43282529265241293,-0.42661028646079613,-0.39810614490583185,-0.3416760666271131,-0.30754843115008407,-0.30754843115008407,-0.30754843115008407,-0.30754843115008407,-0.30754843115008407,-0.30754843115008407,-0.30754843115008407,-0.30754843115008407,-0.30754843115008407,-0.3357521213327812,-0.3626502214917125,-0.38938407379155177,-0.4442194150457705,-0.4498205272175411,-0.4638201408761098,-0.4748913442973431,-0.5044416729249016,-0.5200115772967842,-0.5246582291973616,-0.5297408220066164,-0.5350801450298501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-0.5377374496986479,-0.5606570709489731,-0.575584532035986,-0.5765854096387064,-0.5767100551078446,-0.5805392190427228,-0.5851798051044129,-0.5864521005924918,-0.5879432721378461,-0.5877564830502191,-0.5875606300310742,-0.587355716100707,-0.587355716100707,-0.587355716100707,-0.587355716100707,-0.587355716100707,-0.587355716100707,-0.587355716100707,-0.5871417444191436,-0.5869187182860921,-0.5869187182860921,-0.5869187182860921,-0.5869187182860921,-0.5869187182860921,-0.5869187182860921,-0.5851323458837372,-0.5851323458837372,-0.5851323458837372,-0.5851323458837372,-0.5851323458837372,-0.5814203905060801,-0.5786448509766937,-0.5829299134296367,-0.5829299134296367,-0.5829299134296367,-0.5929005421499173,-0.5941892687159567,-0.5983548842777073,-0.5983548842777073,-0.5983548842777073,-0.5983548842777073,-0.5983548842777073,-0.5983548842777073,-0.5983548842777073,-0.5983548842777073,-0.588333583811441,-0.5657558922370515,-0.5536126256891425,-0.5413510061357065,-0.5112727473542584,-0.5061478244556303,-0.5035108762167267,-0.5059694365167894,-0.5110067729179211,-0.5109812740835755,-0.5109812740835755,-0.5109812740835755,-0.5109812740835755,-0.5109812740835755,-0.5109812740835755,-0.5109812740835755,-0.5233136922349906,-0.5521595619660656,-0.5707129112289299,-0.5748655159959748,-0.5849400651253124,-0.5754397258342182,-0.5576114706928083,-0.5442088467582645,-0.5415912432962852,-0.5389652878278518,-0.5389652878278518,-0.5389652878278518,-0.5389652878278518,-0.5389652878278518,-0.5389652878278518,-0.5389652878278518,-0.5389652878278518,-0.5389652878278518,-0.5476760339317537,-0.5618741199385402,-0.5734345345468793,-0.5734345345468793,-0.5734345345468793,-0.57827373308838,-0.57827373308838,-0.580666616482352,-0.580666616482352,-0.580666616482352,-0.580666616482352,-0.580666616482352,-0.580666616482352,-0.5763068400255783,-0.5510956440938509,-0.49988328372504354,-0.4208699379362022,-0.3619537547739484,-0.3349280551761461,-0.3070123413552044,-0.2792492653838296,-0.27041172366892324,-0.27041172366892324,-0.301143621369349,-0.39605533201222726,-0.39605533201222726,-0.39605533201222726,-0.39605533201222726,-0.39605533201222726,-0.39605533201222726,-0.39605533201222726,-0.39605533201222726,-0.39605533201222726,-0.39605533201222726,-0.39605533201222726,-0.39605533201222726,-0.39434232597162927,-0.43981191915498813,-0.48391282780038614,-0.5054041497924939,-0.5490440495582294,-0.6011150455500555,0.6200177203801516,-0.5891410044969301,-0.5523992219917201,-0.46934853695744794,-0.4447228783797157,-0.43779708031117204,-0.43083512090383097,-0.45976060791254175,-0.5308813929218205,-0.5693405763730798,-0.5880357626070315,-0.5967742232572681,-0.6011844040238228,-0.6113984355257532,0.6129531623079318,0.6207002379596681,0.6344937378551011,0.640608068589452,0.6434518864206724,0.6409203901582528,0.6325799642354568,0.6280162435096438,0.62351408313701,-0.6045112369142622,-0.578255076303741,-0.5613199530247172,-0.5613199530247172,-0.5613199530247172,-0.5613199530247172,-0.5613199530247172,-0.5613199530247172,-0.5613199530247172,-0.5613199530247172,-0.5613199530247172,-0.5613199530247172,-0.5613199530247172,-0.589848508177502,-0.601801992355536,0.6166949015276371,0.6191793175409297,0.6290993911276296,0.629309097444601,0.629309097444601,0.629309097444601,0.629309097444601,0.629309097444601,0.629309097444601,0.629309097444601,0.629309097444601,0.629309097444601,0.629309097444601,0.629309097444601,0.629309097444601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0.6295090990373755,0.6307594030451404,0.6300708817146299,0.6209342474616992,-0.608073261867177,-0.6086453855077586,0.6217085740775294,0.6251561318193991,0.6251561318193991,0.6251561318193991,0.6250962158531838,0.6250962158531838,0.6250962158531838,0.6250962158531838,0.6250962158531838,0.6250962158531838,0.6250962158531838,0.6250962158531838,0.6250962158531838,0.6250962158531838,0.6250962158531838,0.6250962158531838,0.6250962158531838,0.6250962158531838,0.6313311959482688,0.6447030689890861,0.664956593480765,0.6831044739531326,0.6954758059580036,0.7069787106113034,0.7076719537436306,0.6970082996731832,0.6691496323083002,0.6302563003506734,0.6176695296651143,0.6176695296651143,0.6176695296651143,0.6176695296651143,-0.6121857892376813,-0.6052297972424864,-0.5859076490574977,-0.5842405592537869,-0.5805478927547808,-0.5806842319048031,-0.5806842319048031,-0.5806842319048031,-0.5806842319048031,-0.5806842319048031,-0.5810395124233249,-0.593890488141596,0.6299291622827239,0.6537427971548806,0.672155999115569,0.677888544198226,0.6685868710580897,0.6562209287488574,0.638581134723723,0.6155488372024367,0.6073332565239212,0.6003244734851199,0.6116761700257145,0.6281623773424462,0.6423076780473528,0.6756532875487776,0.7081229442255341,0.765175309440241,0.802978719083383,0.8056196764103126,0.8056196764103126,0.8056196764103126,0.8056196764103126,0.8056196764103126,0.8056196764103126,0.8056196764103126,0.8056196764103126,0.8056196764103126,0.8056196764103126,0.8069996500552666,0.8350264306867369,0.8690724629761576,0.8768215722631028,0.8832482581127123,0.8854888642783147,0.8828373781353203,0.8734816703492139,0.8686502606742271,0.8620997231149838,0.8588450002880731,0.8562843044394387,0.8562843044394387,0.8562843044394387,0.8562843044394387,0.8562843044394387,0.8562843044394387,0.8562843044394387,0.842627652144832,0.8220527287737416,0.8007251436536548,0.781352432216346,0.762069023304867,0.7374494802065422,0.7294845446970492,0.7294845446970492,0.72543445635557,0.72543445635557,0.72543445635557,0.72543445635557,0.72543445635557,0.72543445635557,0.72543445635557,0.72543445635557,0.7130167151607799,0.7045178843242861,0.7045178843242861,0.7045178843242861,0.7045178843242861,0.7045178843242861,0.7045178843242861,0.7023659329381943,0.7023659329381943,0.7023659329381943,0.7023659329381943,0.7023659329381943,0.7023659329381943,0.6857786792953545,0.6663928273803088,0.6495571604677156,0.6472284850279274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0.642541227023413,0.6370477577502858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0.6378519931937185,0.6370477577502858,0.6370477577502858,0.6370477577502858,0.6386250856217366,0.6386250856217366,0.6473253612389978,0.6473253612389978,0.6473253612389978,0.6473253612389978,0.6473253612389978,0.6473253612389978,0.6473253612389978,0.6473253612389978,0.6473253612389978,0.6473253612389978,0.6473253612389978,0.6473253612389978,0.6473253612389978,0.6473253612389978,0.6473253612389978,0.6473253612389978,0.6473253612389978,0.6473253612389978,0.6473253612389978,0.6473253612389978,0.6510648977887539,0.6524905104851315,0.6538758744957158,0.6538758744957158,0.6538758744957158,0.6538758744957158,0.6538758744957158,0.6510648977887539,0.6495991243450838,0.6465474593508138,0.6433362684549507,0.6390991573077254,0.6355319896748611,0.6308526257136445,0.6289126783571836,0.6269339367065897,0.6269339367065897,0.6269339367065897,0.6269339367065897,0.6269339367065897,0.6269339367065897,0.6269339367065897,0.6269339367065897,0.6269339367065897,0.6269339367065897,0.6291324576217702,0.6291324576217702,0.6291324576217702,0.6291324576217702,0.6291324576217702,0.6291324576217702,0.6291324576217702,0.6291324576217702,0.6291324576217702,0.6291324576217702,0.6291324576217702,0.6291324576217702,0.6291324576217702,0.6291324576217702,0.6320637921612019,0.6339693042766557,0.6339693042766557,0.6339693042766557,0.6326724255933043,0.6326724255933043,0.6326724255933043,0.6277632036361861,0.620848740543969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0.6185247234637996,0.620848740543969,0.6254680162476329,0.6300487101401361,0.6345905396627189,0.6336645138227615,0.6336645138227615,0.6359136773436643,0.6397866558223008,0.6410382359778021,0.6410382359778021,0.642270044954688,0.6444238242977346,0.6444238242977346,0.6444238242977346,0.6444238242977346,0.6462628286401446,0.6506856900706267,0.6523846884083255,0.6510072526136271,0.6465251943492921,0.6473707385542838,0.6436703562523982,0.6436703562523982,0.6436703562523982,0.6436703562523982,0.6436703562523982,0.6436703562523982,0.6436703562523982,0.6436703562523982,0.6436703562523982,0.6436703562523982,0.6436703562523982,0.6419615501573431,0.6419615501573431,0.6419615501573431,0.6419615501573431,0.6419615501573431,0.6419615501573431,0.6419615501573431,0.6402131448523247,0.6415831613701026,0.6433378811458441,0.64462428492836,0.6458835219254234,0.6458835219254234,0.6480427611667564,0.6480427611667564,0.6480427611667564,0.6480427611667564,0.6480427611667564,0.6480427611667564,0.6480427611667564,0.6480427611667564,0.6480427611667564,0.6480427611667564,0.6480427611667564,0.6480427611667564,0.6480427611667564,0.6480427611667564,0.6501920067876407,0.6480427611667564,0.6480427611667564,0.6480427611667564,0.6480427611667564,0.6480427611667564,0.6480427611667564,0.6480427611667564,0.6480427611667564,0.6480427611667564,0.6480427611667564,0.6480427611667564,0.6480427611667564,0.6480427611667564,0.6480427611667564,0.6480427611667564,0.6480427611667564,0.6480427611667564,0.6480427611667564,0.6480427611667564,0.6489380381469096,0.6489380381469096,0.6489380381469096,0.6489380381469096,0.6489380381469096,0.6489380381469096,0.6498233077003366,0.6515637700737449,0.6549240153796039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0.6551001810478805,0.6542986295487639,0.6470228592321394,0.6470228592321394,0.6470228592321394,0.6470228592321394,0.6470228592321394,0.6470228592321394,0.6478916921504791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0.6487505337780413,0.6495993708704259,0.642879338120693,0.642879338120693,0.642879338120693,0.6406194530039757,0.6397424683367826,0.6374797558808022,0.6374797558808022,0.6374797558808022,0.6374797558808022,0.6374797558808022,0.635207212698972,0.635207212698972,0.635207212698972,0.635207212698972,0.635207212698972,0.635207212698972,0.635207212698972,0.635207212698972,0.635207212698972,0.635207212698972,0.635207212698972,0.635207212698972,0.635207212698972,0.6360983299292274,0.6360983299292274,0.6360983299292274,0.6306049714665438,0.6257596200279851,0.6237538238883898,0.6237538238883898,0.6237538238883898,0.6237538238883898,0.6237538238883898,0.6237538238883898,0.6237538238883898,0.6237538238883898,0.6227364894659667,0.6270833651281413,0.6313915593368332,0.6356608063423458,0.6356608063423458,0.6398908427974297,0.6398908427974297,0.6398908427974297,0.6398908427974297,0.6398908427974297,0.6398908427974297,0.6398908427974297,0.6398908427974297,0.6398908427974297,0.6398908427974297,0.6419910754334652,0.6419910754334652,0.6429402967426793,0.6429402967426793,0.6429402967426793,0.6429402967426793,0.6429402967426793,0.6429402967426793,0.6429402967426793,0.6429402967426793,0.6429402967426793,0.6429402967426793,0.6429402967426793,0.6429402967426793,0.6429402967426793,0.6429402967426793,0.6429402967426793,0.6429402967426793,0.6408324535408386,0.6408324535408386,0.6408324535408386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0.6377579509920872,0.6389014755121056,0.6409941383876288,0.6430769163411796,0.6430769163411796,0.6430769163411796,0.6472126891592543,0.6533414134769662,0.6553642127693187,0.6553642127693187,0.6553642127693187,0.6553642127693187,0.6553642127693187,0.6562691361567701,0.6589231283916196,0.6623194646013547,0.6631430465336193,0.6639564019803688,0.6647595183986565,0.6655523834034348,0.6655523834034348,0.6655523834034348,0.6655523834034348,0.6655523834034348,0.6655523834034348,0.6655523834034348,0.6655523834034348,0.6655523834034348,0.6655523834034348,0.6655523834034348,0.6613148593994074,0.6570365423822115,0.6527176962585779,0.6527176962585779,0.6505431579367493,0.648358587435263,0.648358587435263,0.6431009374128825,0.6431009374128825,0.6422251965883717,0.6422251965883717,0.6422251965883717,0.6444151734272695,0.6552153223750001,0.6657628733584108,0.6699102521666616,0.6719684612542215,0.676053760096058,0.6808541598927156,0.6856020618953519,0.6856020618953519,0.6856020618953519,0.6856020618953519,0.6856020618953519,0.6856020618953519,0.6856020618953519,0.6856020618953519,0.6849848941970622,0.6843372242804697,0.6850155844956027,0.6850155844956027,0.6850155844956027,0.6850155844956027,0.6850155844956027,0.6850155844956027,0.6850155844956027,0.6850155844956027,0.6850155844956027,0.6850155844956027,0.6836146955975474,0.6836146955975474,0.6836146955975474,0.6836146955975474,0.6836146955975474,0.6836146955975474,0.6836146955975474,0.6836146955975474,0.6836146955975474,0.6836146955975474,0.6807570355695024,0.6793002673327816,0.6799550301937959,0.6799550301937959,0.6805993073077252,0.6827426953000357,0.6871946596826654,0.6887467486178861,0.6880710351135215,0.6880710351135215,0.6880710351135215,0.6880710351135215,0.6880710351135215,0.6880710351135215,0.6880710351135215,0.6880710351135215,0.6873847107032434,0.6833242036654743,0.6757132034000171,0.6658508709679322,0.6658508709679322,0.6658508709679322,0.6642080975706811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0.6654464724488899,0.666264453915083,0.6744170365418911,0.6824032168663655,0.694066183978705,0.6978685302702612,0.6978685302702612,0.6978685302702612,0.6978685302702612,0.6978685302702612,0.6978685302702612,0.6945772573199729,0.6912169040434455,0.6802847876314714,0.6794192009171892,0.6794192009171892,0.6794192009171892,0.6794192009171892,0.6794192009171892,0.6794192009171892,0.6794192009171892,0.6794192009171892,0.6794192009171892,0.6794192009171892,0.6785431367189716,0.6857169153985689,0.6892404673473245,0.6892404673473245,0.6892404673473245,0.6892404673473245,0.6892404673473245,0.6892404673473245,0.6892404673473245,0.6918134624375594,0.6918134624375594,0.6926217795876409,0.6932123101036729,0.6929678656700503,0.6926619826171195,0.6904337780381697,0.6904337780381697,0.6904337780381697,0.6904337780381697,0.6866483429347426,0.6828205521296444,0.676999966196278,0.676999966196278,0.6730673248245694,0.6718891310660805,0.6718891310660805,0.6698891573873073,0.6678788531896502,0.6678788531896502,0.6678788531896502,0.6678788531896502,0.6678788531896502,0.6678788531896502,0.667044480582627,0.6661998213251528,0.6653448884429175,0.6616223088135474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,0.6598252123314975</t>
  </si>
  <si>
    <t>27.11093480034213,27.110934800342118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</si>
  <si>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</si>
  <si>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-0.6093686798785427,-0.5815418267450454,-0.5630972286073511,-0.53718503484454,-0.5151102251736526,-0.49923166471058716,-0.485089204495621,-0.470803573114348,-0.470803573114348,-0.470803573114348,-0.470803573114348,-0.470803573114348,-0.470803573114348,-0.470803573114348,-0.470803573114348,-0.470803573114348,-0.470803573114348,-0.43784961356918484,-0.39680189356220413,-0.32110439079184355,-0.27412470417771023,-0.20965297143714545,-0.18337517035256268,-0.15701821316863318,-0.13143685150783493,-0.1354366411499214,-0.13912029655974073,-0.1421234449701423,-0.15413795601541425,-0.1533302293906563,-0.14687509469469998,-0.15163343916515354,-0.16207368924460125,-0.1737940325322941,-0.17765411849253632,-0.17765411849253632,-0.17765411849253632,-0.1793037134662046,-0.1793037134662046,-0.17816571942800696,-0.17233514132684338,-0.19441908909520797,-0.23627367109073383,-0.24983335714861946,-0.2719668380691505,-0.29138966725238885,-0.29138966725238885,-0.29138966725238885,-0.29138966725238885,-0.29138966725238885,-0.2951658667174605,-0.31358479579544535,-0.3358442848851589,-0.36906938754808055,-0.41689137783244096,-0.4940981444513564,-0.5890143389957812,-0.6491409357299922,-0.6979454756018497,-0.7058270589130562,-0.7247886588851483,-0.7449288156177185,-0.7531448698677707,-0.7531448698677707,-0.7531448698677707,-0.7531448698677707,-0.7531448698677707,-0.7531448698677707,-0.7531448698677707,-0.7531448698677707,0.7701662999316152,0.7772837902429396,0.7812273444162169,0.7812273444162169,0.7812273444162169,0.7812273444162169,-0.7528280736682104,-0.7209407942056721,-0.6617367177611583,-0.5887371049843187,-0.5178310465862433,-0.4205753664715854,-0.30686812888366954,-0.19137323953556518,-0.048209817190332356,0.001476983894250343,0.033804974495733754,0.035439558926939306,0.03281698537332341,0.007139408467774353,-0.01551044323419592,-0.02555452678326541,-0.02749025810695122,-0.02749025810695122,-0.02942556549687522,-0.005927293112873231,0.01183085173112774,0.03450110239432992,0.049839182509010656,0.06690959399102071,0.06690959399102071,0.06690959399102071,0.06690959399102071,0.06690959399102071,0.06690959399102071,0.07967148429236093,0.07032790390555015,0.09857631898228136,0.1226986414512349,0.17750454649420175,0.19929547926415309,0.20403191862796932,0.211528988785032,0.2292590653533773,0.2292590653533773,0.23393412201470418,0.23393412201470418,0.23393412201470418,0.25144768076392765,0.27672389762006105,0.2802858901477991,0.2802858901477991,0.2873445504272997,0.2873445504272997,0.2873445504272997,0.2782689567699285,0.22919415825380612,0.13781674490744625,0.03926266601985937,-0.002831750594416156,-0.004949226574391427,-0.009386692337850697,0.015068267937734608,0.01360556965327302,-0.042969209698678644,-0.17572949924600761,-0.20598967689287528,-0.20598967689287528,-0.26716361921690224,-0.4065259422740433,-0.45556174369430263,-0.4618870216743138,-0.4577749459883784,-0.45429899158659776,-0.45429899158659776,-0.45429899158659776,-0.45429899158659776,-0.45429899158659776,-0.45429899158659776,-0.45429899158659776,-0.45429899158659776,-0.45429899158659776,-0.45048505330237343,-0.398110189222427,-0.33231295455583887,-0.27652087009203075,-0.25467588576228317,-0.24332647804819277,-0.22887217656537975,-0.2371755116069592,-0.2711629363648556,-0.27527617137936283,-0.27527617137936283,-0.27527617137936283,-0.27527617137936283,-0.27527617137936283,-0.35513637074493865,-0.44157335371319895,-0.49807156368907357,-0.5633994651187468,-0.5896277459198167,-0.5983677406469012,-0.5983677406469012,-0.6000456701246487,-0.6016403194448278,-0.6236906939655271,-0.6398799398043576,-0.6657168648179422,-0.7444034087220174,-0.7610244455305207,-0.7610244455305207,-0.7610244455305207,-0.7615577123258096,-0.7649613056877136,-0.7603997737531691,-0.7583098048012166,-0.7583098048012166,-0.7583098048012166,-0.7583098048012166,-0.759858991453901,-0.7456133747290199,-0.70792556240856,0.6678333698330329,0.6384488176269298,0.6384488176269298,0.6333436613625437,0.63186755813404,0.6303817107267132,0.6303817107267132,0.6303817107267132,0.6303817107267132,0.6303817107267132,0.6303817107267132,0.6303817107267132,0.6303817107267132,0.6245043323291578,0.6032324772534692,-0.5853475386426141,-0.5831900069386091,-0.5800862420287575,-0.5712435011567055,-0.5617449256270072,-0.5562231849728103,-0.5534494268508383,-0.5393250780113621,-0.5308741823460507,-0.5308741823460507,-0.5308741823460507,-0.519491912530534,-0.5153677510292113,-0.513964471582008,-0.513964471582008,-0.513964471582008,-0.513964471582008,-0.513964471582008,-0.513964471582008,-0.513964471582008,-0.513964471582008,-0.513964471582008,-0.513964471582008,-0.513964471582008,-0.508196644853519,-0.5140388315622993,-0.5169072133780643,-0.5197437099239578,-0.5307673737679595,-0.5307673737679595,-0.5307673737679595,-0.5307673737679595,-0.5307673737679595,-0.5283079356689317,-0.5080302940207143,-0.5016077613277033,-0.49812930054342286,-0.490052381704372,-0.4851153443082745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,-0.4817865383548563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</si>
  <si>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-0.03659230559987375,0.006372632436294146,-0.04307757810128311,-0.0732069678786445,-0.09525708388578695,-0.10440413194684778,-0.10983700944502657,-0.11246310730762507,-0.11509551350030932,-0.11509551350030932,-0.11509551350030932,-0.11509551350030932,-0.11509551350030932,-0.11509551350030932,-0.11509551350030932,-0.11509551350030932,-0.11509551350030932,-0.11509551350030932,-0.12577705620014232,-0.12231707178180116,-0.09050475867610656,-0.06636754289991834,-0.02574936182833477,-0.002822061369906056,0.034022752207640145,0.0793635970020603,0.15547614795693004,0.20326582669272747,0.2641227786734599,0.3179659729258127,0.3443180044664672,0.42355839606231444,0.44509612585699876,0.4827038570125439,0.5221919442257755,0.5350710740141443,0.5350710740141443,0.5350710740141443,0.5378586655427344,0.5378586655427344,0.5422820164546737,0.5641639145123187,0.6086077646605395,0.6316298180035824,0.6366048261480503,0.6490342056515985,0.6623150344830157,0.6623150344830157,0.6623150344830157,0.6623150344830157,0.6623150344830157,0.6629376978511566,0.628274859676417,0.5796468824258051,0.5019036622092747,0.383951309766562,0.2544628307687332,0.1028357204634653,0.0672390860546881,0.04151575129023586,0.03524748700539515,0.029619813339889035,0.027353270121415536,0.027116901589430056,0.027116901589430056,0.027116901589430056,0.027116901589430056,0.027116901589430056,0.027116901589430056,0.027116901589430056,0.027116901589430056,-0.032291904061043486,-0.034502520387902365,-0.03831590413525012,-0.03831590413525012,-0.03831590413525012,-0.03831590413525012,0.019178538976018584,0.0048991254331035815,-0.015484202881929476,-0.025217297432116186,-0.007289604415448022,0.04050861718053866,0.13262320901638586,0.28100306172022865,0.4953210399468276,0.5812438690498203,0.7078813040802323,0.7568260171174042,0.7957743157692881,0.8204983291910892,0.8385482256704295,0.8472989950191868,0.848061996997982,0.848061996997982,0.8488119208124602,0.8455876275867028,0.848382800906111,0.8720058698563848,0.8947668624052962,0.9111448169519798,0.9111448169519798,0.9111448169519798,0.9111448169519798,0.9111448169519798,0.9111448169519798,0.8414103714394953,0.696931332360143,0.5968691518224146,0.5589528802006184,0.4890867321326542,0.4590012330939901,0.4581840294892368,0.45929973526226225,0.4633203678384043,0.4633203678384043,0.46242780110858467,0.46242780110858467,0.46242780110858467,0.4782021199518174,0.5106397559401339,0.516811262203177,0.516811262203177,0.5290343463894388,0.5290343463894388,0.5290343463894388,0.5857823231470279,0.7298483649095344,0.8272008922202345,0.8526107387185179,0.8404444564985749,0.8406490588973521,0.7243084038173998,0.5565783311254818,0.3385699742015131,0.1729990601817628,-0.018569253002881002,-0.0706928719087435,-0.0706928719087435,-0.07474218666890707,-0.06124274458564753,-0.053719679860634674,-0.04618712928759797,-0.03958611971135893,-0.03991391237033962,-0.03991391237033962,-0.03991391237033962,-0.03991391237033962,-0.03991391237033962,-0.03991391237033962,-0.03991391237033962,-0.03991391237033962,-0.03991391237033962,-0.036761332520746086,-0.01369373022908088,-0.017060750341022543,-0.022797841982575066,-0.03258156147104611,-0.03368735580682688,-0.04271568521071183,-0.0496154958991413,-0.046413339175545396,-0.04981186280702641,-0.04981186280702641,-0.04981186280702641,-0.04981186280702641,-0.04981186280702641,-0.06456288949922463,-0.06351376850827888,-0.04009661819158144,0.019789790742523496,0.03736641885251246,0.04218758627507525,0.04218758627507525,0.03291695845272468,0.023641762095638983,-0.020173574258384737,-0.027444386106083376,-0.018350480220448762,0.03405280909850236,0.04278747303536521,0.04278747303536521,0.04278747303536521,0.04030299804058167,0.022896417158719155,0.019541027226787362,0.016594859792319307,0.016594859792319307,0.016594859792319307,0.016594859792319307,-0.04248911847377644,-0.17943813674159065,-0.2568727004411006,0.3280341459461877,0.3778034895109819,0.3778034895109819,0.3807253705583827,0.38292142438323584,0.3851115730863805,0.3851115730863805,0.3851115730863805,0.3851115730863805,0.3851115730863805,0.3851115730863805,0.3851115730863805,0.3851115730863805,0.3842830253711231,0.34681985324202974,-0.29854979587439967,-0.2904319966832915,-0.27152414308176004,-0.24949733660054535,-0.24101951394213292,-0.2381246641594625,-0.2366717198283281,-0.23641491618446583,-0.23194060953439558,-0.23194060953439558,-0.23194060953439558,-0.225924900472748,-0.21277615789630372,-0.2083720132002791,-0.2083720132002791,-0.2083720132002791,-0.2083720132002791,-0.2083720132002791,-0.2083720132002791,-0.2083720132002791,-0.2083720132002791,-0.2083720132002791,-0.2083720132002791,-0.2083720132002791,-0.19801280094016896,-0.17883565184643654,-0.17290619380031708,-0.1669660700863387,-0.14310625624133108,-0.14310625624133108,-0.14310625624133108,-0.14310625624133108,-0.14310625624133108,-0.1563995405936542,-0.21959335767270372,-0.23844297755540203,-0.2514359438918715,-0.265591921191731,-0.274036707674505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,-0.27964550775629793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</si>
  <si>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0.6999349837237553,0.6986371834861566,0.6961252270522573,0.699264498344069,0.7051486241842859,0.7094262893081671,0.713915123910301,0.7182436416388273,0.7182436416388273,0.7182436416388273,0.7182436416388273,0.7182436416388273,0.7182436416388273,0.7182436416388273,0.7182436416388273,0.7182436416388273,0.7182436416388273,0.7251341116935752,0.738440661675491,0.7674137573114068,0.783274380341663,0.8020579271526934,0.8089998012071039,0.8160391349445909,0.8214413412594488,0.8187572033222209,0.814226441064788,0.8056976485207877,0.7926009635005962,0.7872052638655591,0.767437025592818,0.7584104089340113,0.7402507055809785,0.7185010597858521,0.7109068102944045,0.7109068102944045,0.7109068102944045,0.7088001150325833,0.7088001150325833,0.7073811497483508,0.6999153812654195,0.663700136484253,0.6228524758750624,0.6100526118457942,0.5858443391774742,0.5619561064156896,0.5619561064156896,0.5619561064156896,0.5619561064156896,0.5619561064156896,0.5582022701265601,0.5577981809085361,0.5549410367402633,0.5423142507513276,0.5068444082743139,0.4290938064747688,0.3102753335183212,0.26186230674943284,0.22186776892751672,0.2132973284825974,0.20133741594930343,0.19192624919466564,0.18865409892902885,0.18865409892902885,0.18865409892902885,0.18865409892902885,0.18865409892902885,0.18865409892902885,0.18865409892902885,0.18865409892902885,-0.18783750511185762,-0.18744404893572153,-0.19022743775650922,-0.19022743775650922,-0.19022743775650922,-0.19022743775650922,0.17969069437479665,0.1746174672015793,0.16875475242189258,0.17133392832609637,0.19136871922701795,0.22916226906488998,0.2840470920407757,0.34291344224636916,0.39295886861297147,0.3976236222450383,0.3638191884289086,0.335559190697871,0.30630862292731803,0.25820185077034563,0.21568457100219643,0.1959610333701343,0.19263219566783124,0.19263219566783124,0.18930038733895063,0.2261340968297099,0.2493463787630374,0.2615544204414166,0.2590696755811125,0.26292406183139116,0.26292406183139116,0.26292406183139116,0.26292406183139116,0.26292406183139116,0.26292406183139116,0.3845008811664656,0.5145972129061154,0.5979270828050197,0.6305118188686769,0.686125093892838,0.7066055080706993,0.7076144681918213,0.7077916860835565,0.707079672224081,0.707079672224081,0.7079804745086441,0.7079804745086441,0.7079804745086441,0.6994325163035,0.6792318790496961,0.6750270844788053,0.6750270844788053,0.6664615985883175,0.6664615985883175,0.6664615985883175,0.6202425507151789,0.46563870396484863,0.2809789336424865,0.11630612620336307,0.05375191938146033,0.05045109583916046,0.05478227267506961,0.08705651200486052,0.10675336098098949,0.09718085232042727,0.06573087757330164,0.05650747371444738,0.05650747371444738,0.05969881098439195,0.07109210779847021,0.07604329379921042,0.08007932422409177,0.08354965946633017,0.08339356132241038,0.08339356132241038,0.08339356132241038,0.08339356132241038,0.08339356132241038,0.08339356132241038,0.08339356132241038,0.08339356132241038,0.08339356132241038,0.08501955327964215,0.09738077815124821,0.09795486803924543,0.09678059607029824,0.09405683595054576,0.09366647530287281,0.09115240738655506,0.08974449980171999,0.0914416460074643,0.09055765082494212,0.09055765082494212,0.09055765082494212,0.09055765082494212,0.09055765082494212,0.08746339999489841,0.09088128353407542,0.10409586793630746,0.13604434595961543,0.14410323261596183,0.1459550941218898,0.1459550941218898,0.13889577499574285,0.13181717856687847,0.09568210215646421,0.08873019923010639,0.09472505372000721,0.1324145803032019,0.13728989727985488,0.13728989727985488,0.13728989727985488,0.13430031045097807,0.11331779820795271,0.11046981668094102,0.10755878264960848,0.10755878264960848,0.10755878264960848,0.10755878264960848,0.0390187548223214,-0.1260193803653947,-0.22494392644746433,0.31168059831904027,0.36814305983114,0.36814305983114,0.3746440089031495,0.3771282484419075,0.37960667219689115,0.37960667219689115,0.37960667219689115,0.37960667219689115,0.37960667219689115,0.37960667219689115,0.37960667219689115,0.37960667219689115,0.38510924032758914,0.38849944226466526,-0.3805764901242984,-0.3783005566734937,-0.3712525796834464,-0.36603458232632463,-0.36764103603826864,-0.3695226404418771,-0.3704549021320881,-0.37840712600674015,-0.38116599960647335,-0.38116599960647335,-0.38116599960647335,-0.3847621407487591,-0.38125039556763796,-0.3800676257809074,-0.3800676257809074,-0.3800676257809074,-0.3800676257809074,-0.3800676257809074,-0.3800676257809074,-0.3800676257809074,-0.3800676257809074,-0.3800676257809074,-0.3800676257809074,-0.3800676257809074,-0.3785163675087485,-0.3672361174206105,-0.36318758107873467,-0.3591166416174267,-0.34261389527507724,-0.34261389527507724,-0.34261389527507724,-0.34261389527507724,-0.34261389527507724,-0.3503439436946098,-0.3886494339671692,-0.3995999018576854,-0.4064900137688674,-0.4161917761556159,-0.42193605448024707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,-0.4257330886996432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</si>
  <si>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0.3724516345762768,0.41455941897572873,0.43928569206175916,0.4619388354146721,0.4759481599554539,0.4851988420688091,0.4923065193846798,0.49922248503073047,0.49922248503073047,0.49922248503073047,0.49922248503073047,0.49922248503073047,0.49922248503073047,0.49922248503073047,0.49922248503073047,0.49922248503073047,0.49922248503073047,0.5163800616690292,0.5313117544346604,0.5475189347962013,0.5540146576664675,0.558646295454049,0.5584665652612145,0.5552187526591927,0.5492357384643489,0.5358364728706663,0.5257031952109668,0.5107752767545637,0.49691331561415897,0.48810124472038835,0.4583300158540669,0.45134287464696105,0.4390421375753354,0.42528512168717325,0.4204158263113121,0.4204158263113121,0.4204158263113121,0.4197149403674029,0.4197149403674029,0.41689219233664326,0.40266379983067035,0.3889729237634319,0.3965770021753297,0.40019170376331314,0.4019639898530378,0.40079445028395716,0.40079445028395716,0.40079445028395716,0.40079445028395716,0.40079445028395716,0.40224488252591994,0.44248894440384906,0.4932124833635702,0.5637160228943516,0.6495319211698282,0.7120352495852156,0.7390643682820968,0.7110014649562849,0.679649357089991,0.6745887837995332,0.6582304395483638,0.6383550525734966,0.629640460578353,0.629640460578353,0.629640460578353,0.629640460578353,0.629640460578353,0.629640460578353,0.629640460578353,0.629640460578353,-0.6087020412772636,-0.599586702680298,-0.593320528678449,-0.593320528678449,-0.593320528678449,-0.593320528678449,0.6329244263692596,0.6706184533460043,0.7303332043408834,0.7895551875133544,0.8337720804634021,0.8769036819904682,0.8986435808532812,0.8756848369249428,0.7732504177114151,0.7099639696796611,0.6044806706288787,0.5597842861455266,0.5213840344250051,0.5099640427521589,0.5000764593612143,0.49298139173894273,0.49287723841662107,0.49287723841662107,0.49276548431801775,0.483538831449609,0.46683298670056983,0.4123162888088907,0.36026548686005,0.31017602499803143,0.31017602499803143,0.31017602499803143,0.31017602499803143,0.31017602499803143,0.31017602499803143,0.3712682504698058,0.4945001641821983,0.5258451564738126,0.5243773139337379,0.5084473030277854,0.5003077412225524,0.497714914089981,0.49328507903907765,0.48250684433162494,0.48250684433162494,0.47979058247697925,0.47979058247697925,0.47979058247697925,0.4678578325190022,0.44868137761888055,0.44574025425583175,0.44574025425583175,0.4397552811361464,0.4397552811361464,0.4397552811361464,0.4412761446860337,0.4449404448138421,0.4666862624743637,0.5079234748330099,0.5392177926331722,0.5392025147010491,0.6872322233182854,0.8260839378298511,0.9347668056594945,0.9791735566978764,0.9820660760209071,0.9743601368535507,0.9743601368535507,0.9588916821340783,0.908807953696811,0.8853220381002838,0.882107946982007,0.8842479812555928,0.8860388364923145,0.8860388364923145,0.8860388364923145,0.8860388364923145,0.8860388364923145,0.8860388364923145,0.8860388364923145,0.8860388364923145,0.8860388364923145,0.8879659321970538,0.91205139276049,0.9379135753679975,0.9558503978284246,0.9618897788594456,0.9648232887652219,0.9682376442066465,0.9660393387517894,0.9570553219453964,0.955793450318361,0.955793450318361,0.955793450318361,0.955793450318361,0.955793450318361,0.9284718332480273,0.8903480032007426,0.8599308279928695,0.8146663997113744,0.7938369670992148,0.7866850481719296,0.7866850481719296,0.7871274555618104,0.7874606177695501,0.7755307089273484,0.7628416743019565,0.739940186751865,0.653582703411483,0.6325839940759578,0.6325839940759578,0.6325839940759578,0.6327471420392069,0.6336158390469238,0.6396927011726204,0.6427456408609408,0.6427456408609408,0.6427456408609408,0.6427456408609408,0.6475233777170447,0.6292708210939258,0.6182702029137517,-0.5909715677274909,-0.5604625929375289,-0.5604625929375289,-0.5599695218652871,-0.5584701030074662,-0.5569620718503097,-0.5569620718503097,-0.5569620718503097,-0.5569620718503097,-0.5569620718503097,-0.5569620718503097,-0.5569620718503097,-0.5569620718503097,-0.5603675296874617,-0.6040651878264869,0.650690259303957,0.6575920923566673,0.6722693757795674,0.6909780213267637,0.7008511261688234,0.7052413991099096,0.7074202389232855,0.7141739946405516,0.7204780613670458,0.7204780613670458,0.7204780613670458,0.7287277867682641,0.7374079764346825,0.7402501103678052,0.7402501103678052,0.7402501103678052,0.7402501103678052,0.7402501103678052,0.7402501103678052,0.7402501103678052,0.7402501103678052,0.7402501103678052,0.7402501103678052,0.7402501103678052,0.7478318396213355,0.7542675409538417,0.7556488350109345,0.7569835170912369,0.7618545222891873,0.7618545222891873,0.7618545222891873,0.7618545222891873,0.7618545222891873,0.7574226230631268,0.7366380353336683,0.7292835653335713,0.7234728984319337,0.7183968263042263,0.7152181146288293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,0.7130437985411707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</si>
  <si>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</si>
  <si>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-0.6068819132903487,-0.5453396089301149,-0.5027305308112603,-0.4832101119066571,-0.47465721324964805,-0.46890031556979006,-0.47128611789717756,-0.47360822007697406,-0.474065999784994,-0.49372397360090053,-0.5179943617892104,-0.5713095945588705,-0.6090016788752882,-0.6090016788752882,-0.573106245269352,-0.5150960212448933,-0.4677557200313795,-0.4061778655802406,-0.3547730634405879,-0.31653027213099444,-0.2766439308574382,-0.2515926555112972,-0.2278591843250496,-0.22037877649312465,-0.2159616754956458,-0.21464085472842784,-0.21410110530812818,-0.2174047897254372,-0.2314571472100837,-0.247480006221385,-0.2871219481085768,-0.3958901335701551,-0.506104300400783,-0.5611566852269961,-0.561780036622068,-0.634433815778517,0.7535815454241462,0.8062341761445425,0.8355736625057781,0.8516081052118583,0.8624343185207395,0.8624343185207395,0.8630954962497237,0.863743363979249,0.873982241314714,0.879203943093767,0.8813707959387788,0.8813707959387788,0.8813707959387788,0.8813707959387788,0.8813707959387788,0.8813707959387788,0.8813707959387788,0.8813707959387788,0.8813707959387788,0.8813707959387788,0.8813707959387788,0.8813707959387788,0.8743131602889542,0.8389239995667332,0.8083414810226404,0.7761681579065371,0.7534896433479494,0.7470141080599849,0.7123903274300648,0.7002354419887099,0.6922417683268752,0.689069866747349,0.689069866747349,0.720289357780159,0.7270079921090545,0.7270079921090545,0.7270079921090545,0.7209065577499275,0.7184840074427613,0.6988657677091772,0.6564461684560481,0.6071932706423249,0.5673797196434747,0.528459372259805,0.5209123902586638,0.5209123902586638,0.5276127492159867,0.5354632616041365,0.53015840953038,0.3765651463784189,0.34925002660492555,0.3553115515516042,0.5015101446932051,0.6031230215404572,0.6364651877673996,0.6235981320491245,0.6159333257932802,0.6142114852971283,0.6142114852971283,0.6142114852971283,0.6142114852971283,0.6142114852971283,0.6142114852971283,0.6142114852971283,0.6142114852971283,0.6042390292428913,0.5564659328482622,0.46334097151269904,0.34251602201542475,0.27033557777775874,0.2626112961256924,0.2626112961256924,0.27301317807484693,0.3203653564206912,0.37202354644667124,0.43994440141546876,0.47248809740385217,0.47649604938893647,0.4780478788173682,0.4780478788173682,0.4780478788173682,0.4780478788173682,0.4780478788173682,0.4780478788173682,0.4780478788173682,0.4780478788173682,0.4747253215787806,0.5325580229030878,0.6469383145430321,0.6996717244382865,0.7433923481043355,0.7458404896181197,0.7458404896181197,0.7198789919017907,0.7167944619948035,0.7167944619948035,0.7167944619948035,0.7167944619948035,0.6329033748754745,0.4474736982519063,0.1998913749937499,0.11977239409253224,0.07934020952585343,0.06828437852261038,0.06459691966960324,0.06090846465224397,0.06090846465224397,0.06090846465224397,0.06090846465224397,0.05721907035106836,0.05721907035106836,0.05721907035106836,0.05721907035106836,0.06699131708042005,0.22794678963708317,0.39096619266128113,0.5986412773244434,0.645426414715468,0.6621927422457349,0.6731666327099323,0.6839744293902126,0.6839744293902126,0.6839744293902126,0.6839744293902126,0.6259154069192736,0.48190629127776347,0.3090122474801253,0.15078663722748492,0.06959672771529588,0.033116093299640034,0.018506388395289883,0.018506388395289883,0.018506388395289883,0.018506388395289883,0.018506388395289883,0.018506388395289883,-0.05488503846320722,-0.17340371137769592,-0.22259898825473187,-0.29753690051099624,-0.3800143878139373,-0.39661370919355066,-0.39661370919355066,-0.39661370919355066,-0.39661370919355066,-0.39661370919355066,-0.39661370919355066,-0.39661370919355066,-0.39661370919355066,-0.40135082650777076,-0.40135082650777076,-0.40135082650777076,-0.4140711873617481,-0.4382902794093787,-0.4758779108511514,-0.4961101968343534,-0.5577302923705842,-0.5695704932305641,-0.5695704932305641,-0.5695704932305641,-0.5695704932305641,-0.5695704932305641,-0.5695704932305641,-0.5695704932305641,-0.5575002461348101,-0.5275682460752693,-0.4961170141813906,-0.4891377710819659,-0.4693278437085979,-0.45626322556925103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-0.4505579829690781,-0.4524667178743871,-0.4524667178743871,-0.4524667178743871,-0.4524667178743871,-0.4524667178743871,-0.4524667178743871,-0.4524667178743871,-0.4524667178743871,-0.45140252600945424,-0.45140252600945424,-0.45688618486863225,-0.46886263898654773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,-0.4715805724480786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</si>
  <si>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-0.03659230559987375,0.04194537441310907,0.02574575356578961,-0.0200729796926757,-0.04822809009282118,-0.06315234151642582,-0.07978064086370751,-0.08922190736403951,-0.09868132854001467,-0.11105969386767281,-0.14360114732294488,-0.16735435040715174,-0.20312023255888265,-0.22913460115616044,-0.22913460115616044,-0.2476025405474802,-0.2354049929836436,-0.21572946062970444,-0.17709239264980656,-0.1383150461976587,-0.10986826855178781,-0.04391272371904701,0.006139530675943369,0.07301470098827655,0.09626776816591893,0.11736606202530311,0.13633859340473528,0.16368349237051677,0.19723414694187516,0.24116169300475332,0.27445117357782967,0.3260976178987432,0.33896749816617683,0.27450229758643785,0.0057118589403429435,-0.10848630592112588,-0.2536145116485751,0.3736663132693803,0.41715489099011616,0.4140786805551927,0.40673936063297195,0.4003714553549351,0.4003714553549351,0.40138475761950887,0.40239187003495236,0.38526822005663847,0.37599562597923636,0.36481824816100455,0.36481824816100455,0.36481824816100455,0.36481824816100455,0.36481824816100455,0.36481824816100455,0.36481824816100455,0.36481824816100455,0.36481824816100455,0.36481824816100455,0.36481824816100455,0.36481824816100455,0.3689638295273245,0.39849698930063127,0.4199006057784512,0.4452838479757668,0.47081907565007836,0.48407998982305683,0.5838631257531376,0.5976071113546422,0.6031245400725357,0.6045594935555512,0.6045594935555512,0.5603489955108588,0.5402095215004354,0.5402095215004354,0.5402095215004354,0.6124622381341669,0.6572347398262921,0.6951437045181866,0.6990806473462007,0.7026304846037886,0.7284082881030982,0.7590294337545382,0.7638685433195816,0.7638685433195816,0.7666238746316438,0.7629932206296565,0.7700208378185193,0.7992170227072974,0.7901508901863563,0.7862964667064016,0.7483226293174872,0.6906869527457461,0.6485744975398118,0.6271630075754904,0.6215107833656167,0.6206901738758396,0.6206901738758396,0.6206901738758396,0.6206901738758396,0.6206901738758396,0.6206901738758396,0.6206901738758396,0.6206901738758396,0.5700326936010461,0.4878287844048774,0.4324197708428264,0.38982110000062115,0.3866206955283794,0.3871029087844931,0.3871029087844931,0.3802258763192966,0.26606462985409557,0.2229712631685881,0.17699899037803693,0.16064171460560847,0.1440978674117128,0.13746441593095182,0.13746441593095182,0.13746441593095182,0.13746441593095182,0.13746441593095182,0.13746441593095182,0.13746441593095182,0.13746441593095182,0.13669480741594572,0.1676741106483711,0.2051447931050312,0.21186903394315632,0.2053857075164176,0.20586049231872697,0.20586049231872697,0.205849313705123,0.2078565334809673,0.2078565334809673,0.2078565334809673,0.2078565334809673,0.2135400197158496,0.2017726987219927,0.12734216630689876,0.09990491573463739,0.08589380800715336,0.0820436773669163,0.08075774364869612,0.07947056454624099,0.07947056454624099,0.07947056454624099,0.07947056454624099,0.07818215990944383,0.07818215990944383,0.07818215990944383,0.07818215990944383,0.08573527130120218,0.10404114273187562,0.1176171863300086,0.1499382988582225,0.1512448872478505,0.15610095557520054,0.15929035567528138,0.16244045326595372,0.16244045326595372,0.16244045326595372,0.16244045326595372,0.15431028524014087,0.15283881688748688,0.14180252074628488,0.11145172473062578,0.08464114511539185,0.07057945234005888,0.06492308308222718,0.06492308308222718,0.06492308308222718,0.06492308308222718,0.06492308308222718,0.06492308308222718,0.06988353695517899,0.051898870328348556,0.04011993877010815,0.013020268561175746,-0.0101530620694853,-0.017348301748034,-0.017348301748034,-0.017348301748034,-0.017348301748034,-0.017348301748034,-0.017348301748034,-0.017348301748034,-0.017348301748034,-0.01548172895389793,-0.01548172895389793,-0.01548172895389793,-0.013172704289348131,-0.019824473761823846,-0.02092607282826114,-0.026060630865793473,-0.03522855645357162,-0.040500928081342986,-0.040500928081342986,-0.040500928081342986,-0.040500928081342986,-0.040500928081342986,-0.040500928081342986,-0.040500928081342986,-0.07404024867138997,-0.1322313084337284,-0.1867631764413446,-0.19812122464383586,-0.2290954162091381,-0.24858733990384818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-0.2568843760463292,-0.25412260200002157,-0.25412260200002157,-0.25412260200002157,-0.25412260200002157,-0.25412260200002157,-0.25412260200002157,-0.25412260200002157,-0.25412260200002157,-0.26154544150891884,-0.26154544150891884,-0.2653677629374731,-0.26558594407527003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,-0.2674644632262914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</si>
  <si>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0.7136944894051166,0.7494447909033253,0.7600590631631455,0.7606082412269629,0.7595147312971406,0.7562586019331157,0.7518819712065351,0.7474404726899925,0.7424904135036797,0.720998615015943,0.6998810978278223,0.6570822300953421,0.6223091394710263,0.6223091394710263,0.62480567502598,0.6536760169070591,0.6791343484142532,0.7134736703371874,0.7403790989815408,0.7575181341568108,0.7819638626181252,0.7957994409130729,0.8079294863372821,0.8109675978929884,0.812700386432543,0.813228001147666,0.8130128129120201,0.8107085516714733,0.8030058289039818,0.7937910245107456,0.7703250447097033,0.7092892074726722,0.6342025323484086,0.5049642820055504,0.43707568511380224,0.31156309646622016,-0.17535705480731154,-0.11496369582252848,-0.13325543876547963,-0.1542117315990941,-0.17006135183480417,-0.17006135183480417,-0.16667327771318502,-0.16328263328359202,-0.20853137654674184,-0.22887129346089446,-0.25580550739186797,-0.25580550739186797,-0.25580550739186797,-0.25580550739186797,-0.25580550739186797,-0.25580550739186797,-0.25580550739186797,-0.25580550739186797,-0.25580550739186797,-0.25580550739186797,-0.25580550739186797,-0.25580550739186797,-0.2575203553678245,-0.21650910912172674,-0.17163043892346885,-0.10763922428621316,-0.0446290980917236,-0.016652862804755773,0.1873486953812197,0.2253696143621405,0.2465100914296561,0.25431057681586666,0.25431057681586666,0.15005351267812136,0.11310258621250822,0.11310258621250822,0.11310258621250822,0.20295444556204686,0.2039511303852935,0.10279604811973073,-0.007160243261432736,-0.1277695476928467,-0.23432637908477863,-0.31410745946783236,-0.32647065089770116,-0.32647065089770116,-0.30824074708693294,-0.29270308158669406,-0.29926004322474775,-0.4400424171841288,-0.45833326211271286,-0.46484292718844683,-0.42666107037518936,-0.2760507373183968,-0.18777017112866384,-0.1979346704417516,-0.20774669884629737,-0.21018575778405332,-0.21018575778405332,-0.21018575778405332,-0.21018575778405332,-0.21018575778405332,-0.21018575778405332,-0.21018575778405332,-0.21018575778405332,-0.1925767648576586,-0.18961155194097334,-0.2382778456902728,-0.3029896037108628,-0.34198778423366233,-0.3460976921238181,-0.3460976921238181,-0.3398540477542625,-0.2981606388059391,-0.2671907034699259,-0.2267265711734285,-0.20877523104022833,-0.19945830191032135,-0.19570979751261205,-0.19570979751261205,-0.19570979751261205,-0.19570979751261205,-0.19570979751261205,-0.19570979751261205,-0.19570979751261205,-0.19570979751261205,-0.19624810856459948,-0.19452436770944154,-0.17246581357199472,-0.15155477792199187,-0.12130654585607223,-0.12049906481729282,-0.12049906481729282,-0.13434182774541276,-0.13798505525338436,-0.13798505525338436,-0.13798505525338436,-0.13798505525338436,-0.18602431260012187,-0.2621139897518123,-0.31247477878498103,-0.32229725799099146,-0.3263108463451484,-0.3273000912015915,-0.32761975144552596,-0.3279343593879094,-0.3279343593879094,-0.3279343593879094,-0.3279343593879094,-0.3282439101770982,-0.3282439101770982,-0.3282439101770982,-0.3282439101770982,-0.3274787812588122,-0.30592849754387463,-0.2764672747439387,-0.22663819956666315,-0.2078989122222459,-0.20427791190022815,-0.2018007834738271,-0.19927386372668038,-0.19927386372668038,-0.19927386372668038,-0.19927386372668038,-0.21946355889195904,-0.27314322588811735,-0.32015758864345223,-0.34749894225722,-0.3565079883826766,-0.35955612932403863,-0.36062038559987936,-0.36062038559987936,-0.36062038559987936,-0.36062038559987936,-0.36062038559987936,-0.36062038559987936,-0.36489446964382827,-0.36899287617929505,-0.3695910200787033,-0.37055605042916295,-0.36657378669833884,-0.3663037840238689,-0.3663037840238689,-0.3663037840238689,-0.3663037840238689,-0.3663037840238689,-0.3663037840238689,-0.3663037840238689,-0.3663037840238689,-0.36467251856323485,-0.36467251856323485,-0.36467251856323485,-0.36131452692231275,-0.3591742800448105,-0.35128162915740635,-0.34877017388752846,-0.33594010610005226,-0.3353453159071507,-0.3353453159071507,-0.3353453159071507,-0.3353453159071507,-0.3353453159071507,-0.3353453159071507,-0.3353453159071507,-0.35959392007244806,-0.40222637597068145,-0.4404341267808228,-0.44817245865225847,-0.4688770488233366,-0.4815996062982054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-0.48694128575864215,-0.4851681986789978,-0.4851681986789978,-0.4851681986789978,-0.4851681986789978,-0.4851681986789978,-0.4851681986789978,-0.4851681986789978,-0.4851681986789978,-0.48770518928968554,-0.48770518928968554,-0.4856359953995836,-0.4788836949016485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,-0.47783705156054973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</si>
  <si>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0.3472392614310192,0.37453220488116884,0.41130196860706514,0.4308794987636108,0.44028364109253804,0.44926659168482175,0.4523299102406397,0.45529110364475417,0.4600382137399099,0.46451732532206236,0.4624292502185717,0.4478732646442915,0.4351386268890839,0.4351386268890839,0.4688923991738695,0.5019643842909298,0.5229167457619704,0.5427827813350642,0.5539348438612622,0.5602712082676511,0.5568413829580737,0.5507873379974272,0.5385155435686972,0.5333828520410276,0.5283027958417212,0.5234513440418678,0.5161187819408543,0.5065426861887248,0.4934067952295321,0.4830383103322071,0.466712605366613,0.47463760648683656,0.5160368917998626,0.6558060865767497,0.6939731676100981,0.6603800798012788,-0.51160360050837,-0.403424836595837,-0.33555698305320286,-0.29248157119134205,-0.2588221021990882,-0.2588221021990882,-0.25724785558000707,-0.25566964188099855,-0.21032856552645643,-0.18233388802520725,-0.1570245466892536,-0.1570245466892536,-0.1570245466892536,-0.1570245466892536,-0.1570245466892536,-0.1570245466892536,-0.1570245466892536,-0.1570245466892536,-0.1570245466892536,-0.1570245466892536,-0.1570245466892536,-0.1570245466892536,-0.18200400220132337,-0.3008828312426643,-0.3752472834811044,-0.43324252189613827,-0.4567176359359261,-0.45536706948642686,-0.34132731814024436,-0.318974298593934,-0.31028196558825555,-0.30824773804883443,-0.30824773804883443,-0.3803632311772132,-0.40846157381309356,-0.40846157381309356,-0.40846157381309356,-0.25296884171659434,-0.1011294429383105,0.13339730613455514,0.28339620205963123,0.34828390269216125,0.30429059733258046,0.21433971743869146,0.19639766878518028,0.19639766878518028,0.19723149734461645,0.21317914244853692,0.19090153655379946,-0.16066584026054873,-0.2088459013131035,-0.19852612125836808,0.08038126801348988,0.28808010104946397,0.37283447900575944,0.42262725642203597,0.43725483811611066,0.43967022483653895,0.43967022483653895,0.43967022483653895,0.43967022483653895,0.43967022483653895,0.43967022483653895,0.43967022483653895,0.43967022483653895,0.5223716238488619,0.6453031861504357,0.7359021362620876,0.799324455212128,0.8127038012779708,0.81326688895118,0.81326688895118,0.8157152161138924,0.8588805997418248,0.8605181140856291,0.8507146072522068,0.8410482389520552,0.8440401088355811,0.8451458069874956,0.8451458069874956,0.8451458069874956,0.8451458069874956,0.8451458069874956,0.8451458069874956,0.8451458069874956,0.8451458069874956,0.8470165751402117,0.8064909269341283,0.7138921306381376,0.6652835033025835,0.6248753874656657,0.6219512819559478,0.6219512819559478,0.6491167617490767,0.651123248908815,0.651123248908815,0.651123248908815,0.651123248908815,0.7205754181018363,0.8308738314567311,0.9198841902688878,0.9337012685633894,0.9380024607941777,0.9388720514283723,0.9391329635747742,0.9393793931299779,0.9393793931299779,0.9393793931299779,0.9393793931299779,0.9396113362937352,0.9396113362937352,0.9396113362937352,0.9396113362937352,0.9385729990341608,0.9184897691883869,0.8699870571861453,0.7535132740144912,0.7192550101081837,0.703849272568538,0.6933611692214654,0.6827019893910661,0.6827019893910661,0.6827019893910661,0.6827019893910661,0.7322936470901934,0.8184127324466384,0.8842525625924342,0.9187417418503987,0.9278438587737762,0.9298608794531888,0.9302663298010151,0.9302663298010151,0.9302663298010151,0.9302663298010151,0.9302663298010151,0.9302663298010151,0.9267987644784986,0.9116369438915961,0.9012450048783803,0.8797672868044366,0.8491817469132553,0.841556973660122,0.841556973660122,0.841556973660122,0.841556973660122,0.841556973660122,0.841556973660122,0.841556973660122,0.841556973660122,0.8400546317560961,0.8400546317560961,0.8400546317560961,0.8353582131597428,0.8237126062951828,0.8060418912540734,0.7947042732503168,0.7581821119598514,0.7493281305041002,0.7493281305041002,0.7493281305041002,0.7493281305041002,0.7493281305041002,0.7493281305041002,0.7493281305041002,0.7445829233760531,0.7364784920664382,0.7245724284928937,0.7215494914087163,0.7123208395649478,0.7057549310108141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0.7027774224815695,0.7037807835962054,0.7037807835962054,0.7037807835962054,0.7037807835962054,0.7037807835962054,0.7037807835962054,0.7037807835962054,0.7037807835962054,0.6999809925120072,0.6999809925120072,0.6964141328563032,0.6930384829355123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,0.6911919246899001</t>
  </si>
  <si>
    <t>27.110934800342097,27.11093480034212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</si>
  <si>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</si>
  <si>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-0.5685496128540931,-0.38540481413966854,-0.11496050394041889,0.09087439613690562,0.10878379341931564,0.1109293695562615,0.1109293695562615,0.1109293695562615,0.1109293695562615,0.10877437127270216,0.08317686343958788,0.079870546664513,0.07940022289283107,0.07300828327400682,0.0694758101631042,0.050483753034425476,0.04461127127134557,0.041670812034216895,0.0401996071535598,0.032834737918962395,0.020844455158401647,0.019360108084870178,0.019360108084870178,0.019360108084870178,0.01178363862955051,-0.0140295309638336,-0.029172080558870224,-0.03986735728800005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-0.060888735072052835,-0.05431699496423653,-0.04227929307507683,-0.06038691588334662,-0.06724135581072176,-0.06951806126729242,-0.06951806126729242,-0.06951806126729242,-0.06951806126729242,-0.06951806126729242,-0.06951806126729242,-0.06951806126729242,-0.06951806126729242,-0.06951806126729242,-0.06951806126729242,-0.06951806126729242,-0.06951806126729242,-0.06951806126729242,-0.06951806126729242,-0.06724135581072177,-0.057883344516541015,-0.14770769634564693,-0.4380164280099595,-0.5147296821208772,-0.5426812530380251,0.7100253038566305,0.8005409825135331,0.8005409825135331,0.8005409825135331,0.8005409825135331,0.8005409825135331,0.8005409825135331,0.8005409825135331,0.8005409825135331,0.8379038667783815,0.8381797071642405,0.8342086297818775,0.8245380102504866,0.7929638726335847,0.7606532972540265,0.7417651352994978,0.6809425428650383,-0.48694685455650355,-0.3606295643493693,-0.2780104354831489,-0.19817364576628388,-0.10842559241189349,-0.11111217924985688,-0.15449379181571501,-0.2014228219214211,-0.21675441861544373,-0.21675441861544373,-0.2454954553156658,-0.4566900041674652,0.6738152262569107,0.6738152262569107,0.6738152262569107,0.6738152262569107,0.6738152262569107,0.6738152262569107,0.6738152262569107,-0.5333682554725729,-0.4023901020661772,-0.21174515402512126,-0.1631772825936105,-0.1631772825936105,-0.1631772825936105,-0.1631772825936105,-0.16013842749428747,-0.13980131141873584,-0.13613863693408082,-0.1501160117333955,-0.16609416633276947,-0.1663613178765237,-0.1663613178765237,-0.16674279906090078,-0.163562135430771,-0.153579287688175,-0.1407653856639004,-0.14119417710428617,-0.14119417710428617,-0.14119417710428617,-0.14119417710428617,-0.14119417710428617,-0.14119417710428617,-0.14119417710428617,-0.14119417710428617,-0.14119417710428617,-0.14119417710428617,-0.1717458184264173,-0.14380604216886245,-0.032089671205861675,-0.03333861203342019,-0.13275099692762388,-0.24409330993998046,-0.32208387221085943,-0.42782074435771955,-0.49567741955652,-0.5408606135806778,-0.5581960771236182,0.6156014098175584,-0.5960609805487586,-0.48855608638991926,-0.2420699926781758,-0.1955770263491045,-0.16450289783964853,-0.18694701467071123,-0.29000549176968954,-0.4061184337685089,-0.4061184337685089,-0.4061184337685089,-0.4061184337685089,-0.4061184337685089,-0.4061184337685089,-0.4061184337685089,-0.4061184337685089,-0.4061184337685089,-0.40360922352162126,-0.20501855413428222,-0.045786193539931797,0.05937958472048524,0.12145258551539696,0.15042058275144554,0.1543026322797343,0.1543026322797343,0.21128144778432903,-0.3459068950187913,-0.4092524892091744,-0.48178600100067576,0.46693367534523533,0.45769974235769434,0.45769974235769434,0.45769974235769434,0.45769974235769434,0.45769974235769434,0.45769974235769434,0.45769974235769434,0.45769974235769434,0.45769974235769434,0.45769974235769434,0.39952985094014665,0.21891467008810797,0.09644041402702487,0.016787861484698147,-0.047373914240449205,-0.09478567440807475,-0.11131788925227831,-0.13155662606684337,-0.27577589690840065,-0.30115389663506414,-0.30115389663506414,-0.30115389663506414,-0.30115389663506414,-0.30115389663506414,-0.30115389663506414,-0.30115389663506414,-0.30115389663506414,-0.30115389663506414,-0.30115389663506414,-0.2794145320830844,-0.21022294631357433,-0.05600090535483893,0.027606361530285083,0.027606361530285083,0.027606361530285083,-0.24434320295643389,-0.41848562626603,-0.5215206338070199,-0.6042043560287668,-0.6284177152889777,-0.6284177152889777,-0.6284177152889777,-0.6284177152889777,-0.6284177152889777,-0.6284177152889777,-0.6314012628009847,-0.6556322296147594,-0.6585304524996697,-0.6735010269909475,-0.6850913854457065,-0.6850913854457065,-0.6766268769366202,-0.6766268769366202,-0.6766268769366202,-0.6766268769366202,-0.6766268769366202,-0.6794588723724622,-0.6688000872665827,-0.6504742198978276,-0.6353117680553002,-0.6248727589706924,-0.6099340923750671,-0.600445189220341,-0.5934508858133463,-0.5751436525216163,-0.5676552936865705,-0.5651720780306608,-0.5587572603712563,-0.552233616924061,-0.5283020716033148,-0.4824376647938365,-0.4564716834748358,-0.4218885510229548,-0.40109979112540284,-0.39278761029151077,-0.3885885192521504,-0.374128429137632,-0.35636664935109713,-0.35636664935109713,-0.35636664935109713,-0.35636664935109713,-0.35636664935109713,-0.35636664935109713,-0.35636664935109713,-0.35636664935109713,-0.35636664935109713,-0.35636664935109713,-0.35636664935109713,-0.35636664935109713,-0.34718718199907705,-0.3441165884387557,-0.3379595286427874,-0.3348731573566134,-0.3277649639322334,-0.30780578668717795,-0.27670427717774265,-0.269013085056065,-0.26707984144795155,-0.26707984144795155,-0.26707984144795155,-0.26707984144795155,-0.27291110919873895,-0.2835763893374875,-0.2931840436584744,-0.29609406411440803,-0.30378063394697064,-0.30378063394697064,-0.31247180365876875,-0.33176497710309083,-0.33176497710309083,-0.33176497710309083,-0.33176497710309083,-0.31781640712218784,-0.30560700540821606,-0.30560700540821606,-0.30560700540821606,-0.30560700540821606,-0.2858151515947666,-0.2858151515947666,-0.2858151515947666,-0.2858151515947666,-0.2858151515947666,-0.2858151515947666,-0.2858151515947666,-0.2858151515947666,-0.2858151515947666,-0.2858151515947666,-0.2858151515947666,-0.2858151515947666,-0.2858151515947666,-0.30473358841699943,-0.3140183983206847,-0.32899445757742285,-0.32899445757742285,-0.32899445757742285,-0.32899445757742285,-0.3337191101424128,-0.3337191101424128,-0.33843891118230773,-0.34427076668181156,-0.34427076668181156,-0.3254365546762948,-0.2825147972366638,-0.24274396232086767,-0.2309302937636601,-0.21820482030391333,-0.19436302324505553,-0.18941466923502992,-0.18941466923502992,-0.2147876925302736,-0.26405334348186216,-0.28537076695067204,-0.2921318931108217,-0.30152481459090585,-0.3017858397087861,-0.30310512150223967,-0.30247773085456164,-0.30431789521289715,-0.3030605325441044,-0.3030605325441044,-0.29995900837598305,-0.2856482480246007,-0.26625768645780445,-0.2530663937186211,-0.24297385686761466,-0.24297385686761466,-0.27488260641373874,-0.3021472253637103,-0.3285618008784216,-0.362464708518017,-0.38635670869563105,-0.40649281748913557,-0.43468017000209536,-0.4414633638270937,-0.44425689513668537,-0.44425689513668537,-0.44425689513668537,-0.44425689513668537,-0.44425689513668537,-0.44425689513668537,-0.44425689513668537,-0.43377364759788545,-0.42652088343042166,-0.40175342258707836,-0.324326750352904,-0.30300067300764433,-0.30300067300764433,-0.30102879009365446,-0.31638052356221147,-0.3205943312379524,-0.34220110215542576,-0.3476079502135279,-0.3631380896421104,-0.3701042259256359,-0.3735531564886955,-0.3735531564886955,-0.3735531564886955,-0.3735531564886955,-0.3735531564886955,-0.3735531564886955,-0.3735531564886955,-0.3735531564886955,-0.3735531564886955,-0.3735531564886955,-0.3735531564886955,-0.38011247008879495,-0.40293934457126107,-0.4560555486728382,-0.46042789855365474,-0.46187117763780466,-0.4675728468076055,-0.4703805057359667,-0.4703805057359667,-0.4703805057359667,-0.5174976716426969,-0.5385296213647759,-0.5460157807414051,-0.5548255667614902,-0.5636278769427079,-0.5636278769427079,-0.5665095838163301,-0.5665095838163301,-0.5665095838163301,-0.5665095838163301,-0.5665095838163301,-0.5622145290076036,-0.5622145290076036,-0.5607888868924583,-0.5607888868924583,-0.5535743667788878,-0.5535743667788878,-0.5535743667788878,-0.5535743667788878,-0.5535743667788878,-0.5535743667788878,-0.5535743667788878,-0.5535743667788878,-0.5462567418278671,-0.526252618790925,-0.5065689711906484,-0.47858247440478274,-0.47128625189166956,-0.4628758186634091,-0.4628758186634091,-0.4628758186634091,-0.4628758186634091,-0.4628758186634091,-0.4628758186634091,-0.4628758186634091,-0.4628758186634091,-0.4628758186634091,-0.4628758186634091,-0.4628758186634091,-0.4572105249706306,-0.4533983602141485,-0.4476277475149703,-0.4476277475149703,-0.4476277475149703,-0.4476277475149703,-0.4476277475149703,-0.4476277475149703,-0.4476277475149703,-0.4476277475149703,-0.4514817751669969,-0.4591060458916682,-0.46475001237955604,-0.4703294763534053,-0.4703294763534053,-0.4703294763534053,-0.4703294763534053,-0.4703294763534053,-0.4703294763534053,-0.4703294763534053,-0.4703294763534053,-0.4703294763534053,-0.4703294763534053,-0.4703294763534053,-0.4703294763534053,-0.4703294763534053,-0.4703294763534053,-0.4730614492579511,-0.4730614492579511,-0.46935722199363816,-0.4674942369496939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-0.46562404256672746,-0.46645441908202356,-0.47827301211429135,-0.4854811569247951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,-0.48815358822244953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</si>
  <si>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0.02299784556028352,0.05568199940832326,0.09970642728075124,0.1519502833212569,0.1591337521226487,0.16413983864692797,0.16413983864692797,0.16413983864692797,0.16413983864692797,0.1798389237824126,0.2721100721109837,0.29919716876916785,0.3192355601130098,0.3526306473239478,0.378928261756817,0.4215646525553075,0.4344676378202377,0.4408791290115111,0.4440747009476698,0.45994885603484104,0.477283828184199,0.4803944257033292,0.4803944257033292,0.4803944257033292,0.48819396778144775,0.509615948745817,0.5170107852260104,0.5302759129292249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0.5415128601789396,0.5636442355179638,0.6866969518491695,0.7844461323251511,0.7970449499824904,0.8011465672923459,0.8011465672923459,0.8011465672923459,0.8011465672923459,0.8011465672923459,0.8011465672923459,0.8011465672923459,0.8011465672923459,0.8011465672923459,0.8011465672923459,0.8011465672923459,0.8011465672923459,0.8011465672923459,0.8011465672923459,0.7970449499824904,0.7152264499495039,0.41812663577950276,0.12021239466628848,0.07017005361611131,0.06437977284708075,0.03269964302905289,0.1071760099225686,0.1071760099225686,0.1071760099225686,0.1071760099225686,0.1071760099225686,0.1071760099225686,0.1071760099225686,0.1071760099225686,0.04932840186634885,0.008543700243363067,-0.012547925430136246,-0.04253706201052377,-0.10005607592559308,-0.1392727928945665,-0.16028380228080819,-0.18069495850006792,0.14965749166370765,0.052481414759480066,-0.03404306254416642,-0.0667401207261074,-0.19765537977328645,-0.4074283376689514,-0.5433329998357365,-0.5718510863261901,-0.5840385067604711,-0.5840385067604711,-0.593955792095981,-0.6026148562905915,0.4918107294621076,0.4918107294621076,0.4918107294621076,0.4918107294621076,0.4918107294621076,0.4918107294621076,0.4918107294621076,-0.4424583249391102,-0.5531655735703204,-0.6061522079605344,-0.610061692024928,-0.610061692024928,-0.610061692024928,-0.610061692024928,-0.6098467876896184,-0.5958089855433695,-0.5670020583334728,-0.468395250362425,-0.42415072797358244,-0.4171511741542793,-0.4171511741542793,-0.40660373157205537,-0.39587862588346295,-0.3741077799775199,-0.31912799609145315,-0.30437450312014513,-0.30437450312014513,-0.30437450312014513,-0.30437450312014513,-0.30437450312014513,-0.30437450312014513,-0.30437450312014513,-0.30437450312014513,-0.30437450312014513,-0.30437450312014513,-0.3955905344606502,-0.38371889724912434,-0.06666254095385236,0.11767170811538606,0.2662471941434553,0.33961243421271614,0.34653981697418307,0.29310202016761844,0.23074778120007677,0.16329707550243122,0.1438907099695282,-0.05029709526234858,-0.023366993627008184,-0.1773829538780378,-0.3308319978372757,-0.36512360990616577,-0.42618845488425927,-0.4570328249460901,-0.505351580815401,-0.5421286239176829,-0.5421286239176829,-0.5421286239176829,-0.5421286239176829,-0.5421286239176829,-0.5421286239176829,-0.5421286239176829,-0.5421286239176829,-0.5421286239176829,-0.5361544537918884,-0.4818718063096331,-0.48252966295319144,-0.5330252039011776,-0.5812135176835601,-0.6184717916181781,-0.6239976783565364,-0.6239976783565364,-0.6659656878722217,0.7281532727799382,0.717300099082827,0.6501053809596239,-0.5396960166330201,-0.5072705897319323,-0.5072705897319323,-0.5072705897319323,-0.5072705897319323,-0.5072705897319323,-0.5072705897319323,-0.5072705897319323,-0.5072705897319323,-0.5072705897319323,-0.5072705897319323,-0.4551243737177125,-0.28011917426419525,-0.22727911423302116,-0.20718624478988204,-0.20196924498688587,-0.20029646918960028,-0.19588149622636902,-0.19215483071344458,-0.19933390850642718,-0.2035758257591464,-0.2035758257591464,-0.2035758257591464,-0.2035758257591464,-0.2035758257591464,-0.2035758257591464,-0.2035758257591464,-0.2035758257591464,-0.2035758257591464,-0.2035758257591464,-0.19994919404224673,-0.1841006480393387,-0.15451865862063868,-0.13694447155625689,-0.13694447155625689,-0.13694447155625689,-0.13127233422863466,-0.11045480409380057,-0.11742583643239596,-0.12807063431676521,-0.13108237376252002,-0.13108237376252002,-0.13108237376252002,-0.13108237376252002,-0.13108237376252002,-0.13108237376252002,-0.13144980496923572,-0.12833544288509433,-0.1286650847068576,-0.12451359410393817,-0.12285495819878803,-0.12285495819878803,-0.1220061271036064,-0.1220061271036064,-0.1220061271036064,-0.1220061271036064,-0.1220061271036064,-0.1222909581341981,-0.16102646798387266,-0.2241157961585014,-0.25842704815941114,-0.2821102906786784,-0.307178478967131,-0.31585168729419055,-0.3255257794448425,-0.3461113403938388,-0.35547755259686054,-0.36075174764301077,-0.3673506635853289,-0.37392739670944414,-0.3879846920525586,-0.3831563866942465,-0.3717183221339573,-0.34764808296066596,-0.3238922331324727,-0.3112612350188538,-0.30490631083690367,-0.28866677876447744,-0.270541764746035,-0.270541764746035,-0.270541764746035,-0.270541764746035,-0.270541764746035,-0.270541764746035,-0.270541764746035,-0.270541764746035,-0.270541764746035,-0.270541764746035,-0.270541764746035,-0.270541764746035,-0.265308365304033,-0.2635556801246627,-0.2600381437940338,-0.25827334688753356,-0.2705968214579571,-0.30413302940663817,-0.34703903361274613,-0.3588066040594199,-0.36173477677670973,-0.36173477677670973,-0.36173477677670973,-0.36173477677670973,-0.3656023936907149,-0.36842060462869675,-0.366383859475072,-0.368263624330422,-0.3690909555058811,-0.3690909555058811,-0.3746481489576003,-0.3949540091249516,-0.3949540091249516,-0.3949540091249516,-0.3949540091249516,-0.39796849846332966,-0.3980731281822763,-0.3980731281822763,-0.3980731281822763,-0.3980731281822763,-0.40932685955008075,-0.40932685955008075,-0.40932685955008075,-0.40932685955008075,-0.40932685955008075,-0.40932685955008075,-0.40932685955008075,-0.40932685955008075,-0.40932685955008075,-0.40932685955008075,-0.40932685955008075,-0.40932685955008075,-0.40932685955008075,-0.3808886982273069,-0.36644660226695586,-0.3555276295739005,-0.3555276295739005,-0.3555276295739005,-0.3555276295739005,-0.35441077005769867,-0.35441077005769867,-0.35327783909310234,-0.35684291732849693,-0.35684291732849693,-0.36128887722018704,-0.37061261409481333,-0.37332940265705594,-0.37800721736496656,-0.37770371397921515,-0.3866914265221499,-0.38746563982973053,-0.38746563982973053,-0.3884549746202374,-0.35405676351659987,-0.3342899692143157,-0.3302470076237251,-0.31530872017337996,-0.2946220040202804,-0.2787023789096876,-0.2657992913320654,-0.26271082617930297,-0.25777847883073085,-0.25777847883073085,-0.2559393432897612,-0.25166365651322486,-0.24855622646110165,-0.2491206331232762,-0.2515489855971434,-0.2515489855971434,-0.26241959768605655,-0.2661440349813776,-0.2776028178605259,-0.2892294088709119,-0.30305340728675334,-0.32242169144772853,-0.3464219869949218,-0.35415130123901006,-0.3557791304591477,-0.3557791304591477,-0.3557791304591477,-0.3557791304591477,-0.3557791304591477,-0.3557791304591477,-0.3557791304591477,-0.36084265689744993,-0.36030928874327434,-0.356806100342807,-0.33965545311289863,-0.33399912506976354,-0.33399912506976354,-0.3242485748380853,-0.3005675675045998,-0.2738886075441345,-0.22423962476470266,-0.21494704843631282,-0.19493795686569693,-0.18243767964666657,-0.17617046766652034,-0.17617046766652034,-0.17617046766652034,-0.17617046766652034,-0.17617046766652034,-0.17617046766652034,-0.17617046766652034,-0.17617046766652034,-0.17617046766652034,-0.17617046766652034,-0.17617046766652034,-0.17160974665043496,-0.15153649884063458,-0.07604432044345964,-0.06656688812324163,-0.06340562595497484,-0.05075128707797654,-0.04441922657299357,-0.04441922657299357,-0.04441922657299357,-0.08053759615152696,-0.0903881306047965,-0.09754774874947222,-0.1017607540296889,-0.11321708475280956,-0.11321708475280956,-0.11462874921531155,-0.11462874921531155,-0.11462874921531155,-0.11462874921531155,-0.11462874921531155,-0.11608479208325195,-0.11608479208325195,-0.11896813808495886,-0.11896813808495886,-0.11897740703661391,-0.11897740703661391,-0.11897740703661391,-0.11897740703661391,-0.11897740703661391,-0.11897740703661391,-0.11897740703661391,-0.11897740703661391,-0.13344236290105743,-0.1707966262538585,-0.204884682469058,-0.2496148704137142,-0.2606503086173705,-0.27891128792916803,-0.27891128792916803,-0.27891128792916803,-0.27891128792916803,-0.27891128792916803,-0.27891128792916803,-0.27891128792916803,-0.27891128792916803,-0.27891128792916803,-0.27891128792916803,-0.27891128792916803,-0.2870479580408443,-0.29245034132097036,-0.30051998794309803,-0.30051998794309803,-0.30051998794309803,-0.30051998794309803,-0.30051998794309803,-0.30051998794309803,-0.30051998794309803,-0.30051998794309803,-0.2951447888530046,-0.28434010560418077,-0.27619040640989806,-0.2680023748324153,-0.2680023748324153,-0.2680023748324153,-0.2680023748324153,-0.2680023748324153,-0.2680023748324153,-0.2680023748324153,-0.2680023748324153,-0.2680023748324153,-0.2680023748324153,-0.2680023748324153,-0.2680023748324153,-0.2680023748324153,-0.2680023748324153,-0.26984928822997756,-0.26984928822997756,-0.27529757398549776,-0.27801536970853175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-0.2807288780908989,-0.2853096655467289,-0.2854897672610829,-0.28648262816170345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,-0.2883131677531265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</si>
  <si>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0.7329830090851599,0.8327732441213292,0.9069653887087734,0.9130689378012611,0.9111087351903032,0.9100425804839708,0.9100425804839708,0.9100425804839708,0.9100425804839708,0.9068982841617421,0.8834440416364095,0.874922198439095,0.8682422666429566,0.8558097201214667,0.845211760952306,0.8247743886215574,0.8180509886902182,0.8146134924074067,0.8128758874443123,0.8040003720411961,0.7930463590861588,0.7911659598713442,0.7911659598713442,0.7911659598713442,0.7855332917310284,0.7679106890741173,0.7595987379058964,0.7491750640202868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0.7357316132145592,0.7260121641650645,0.6460542532165813,0.544001888752482,0.5253695244240627,0.5190934089370111,0.5190934089370111,0.5190934089370111,0.5190934089370111,0.5190934089370111,0.5190934089370111,0.5190934089370111,0.5190934089370111,0.5190934089370111,0.5190934089370111,0.5190934089370111,0.5190934089370111,0.5190934089370111,0.5190934089370111,0.5253695244240625,0.6118504608179398,0.7382456512571814,0.6309218118463376,0.5801494724478886,0.5641685920838733,-0.41336316872682255,-0.286201529996379,-0.286201529996379,-0.286201529996379,-0.286201529996379,-0.286201529996379,-0.286201529996379,-0.286201529996379,-0.286201529996379,-0.3433792621377154,-0.3909568222460595,-0.4172117343416953,-0.45546619233446556,-0.5309566445612981,-0.5847747811305136,-0.6113234036813517,-0.6784165926264852,0.8302799456400516,0.8906441092501829,0.9091568788663065,0.9219860177051142,0.9078401264698577,0.8379535010044808,0.7642272669792274,0.7457911420789408,0.7363291649108679,0.7363291649108679,0.7272517435572149,0.6532817404053861,-0.49377953007948994,-0.49377953007948994,-0.49377953007948994,-0.49377953007948994,-0.49377953007948994,-0.49377953007948994,-0.49377953007948994,0.652488376580494,0.7124760496811854,0.7665216299459706,0.7735197103708905,0.7735197103708905,0.7735197103708905,0.7735197103708905,0.7741545400800529,0.7877324910467087,0.8093513413411021,0.8692509119538735,0.8895544163074591,0.892858218035949,0.892858218035949,0.8977105909391423,0.9030871628217985,0.9140285085736402,0.9367687104643828,0.941665788188577,0.941665788188577,0.941665788188577,0.941665788188577,0.941665788188577,0.941665788188577,0.941665788188577,0.941665788188577,0.941665788188577,0.941665788188577,0.9016872899991618,0.9112255995435911,0.9959138145858117,0.9914077716810079,0.9532338842598218,0.9055058585732809,0.875566592983719,0.8406923947653512,0.811469644440439,0.785195457947623,0.7725131357722901,-0.7156514787637995,0.7048476785698486,0.6849941196963356,0.6376442581927275,0.6175944992831739,0.5851498484988699,0.5758845575467354,0.5712082836666311,0.5561323436028195,0.5561323436028195,0.5561323436028195,0.5561323436028195,0.5561323436028195,0.5561323436028195,0.5561323436028195,0.5561323436028195,0.5561323436028195,0.5614442070767591,0.5665509376752605,0.5157830635381742,0.4486767906713496,0.39765599442883937,0.3680112303436454,0.3637407967472116,0.3637407967472116,0.3057171933802064,-0.14956753267917738,-0.05733446959937922,0.09276313921401609,-0.1850187900483209,-0.20680898357676444,-0.20680898357676444,-0.20680898357676444,-0.20680898357676444,-0.20680898357676444,-0.20680898357676444,-0.20680898357676444,-0.20680898357676444,-0.20680898357676444,-0.20680898357676444,-0.2166808287065884,-0.2496442766316159,-0.23576116594436639,-0.22182532056507137,-0.20847495992121107,-0.19811316120913333,-0.19416268517679283,-0.18936977075449174,-0.1570729741790083,-0.15153484571005357,-0.15153484571005357,-0.15153484571005357,-0.15153484571005357,-0.15153484571005357,-0.15153484571005357,-0.15153484571005357,-0.15153484571005357,-0.15153484571005357,-0.15153484571005357,-0.156288982656309,-0.1696749236659404,-0.19699394017996016,-0.20959208009780517,-0.20959208009780517,-0.20959208009780517,-0.16540320111715712,-0.12712931892627716,-0.11043802200343576,-0.09789431235562436,-0.09382321170511136,-0.09382321170511136,-0.09382321170511136,-0.09382321170511136,-0.09382321170511136,-0.09382321170511136,-0.0933077303304985,-0.08419480523383512,-0.08369018524447111,-0.07595069681648602,-0.07132900620753044,-0.07132900620753044,-0.07277137369706933,-0.07277137369706933,-0.07277137369706933,-0.07277137369706933,-0.07277137369706933,-0.07229169688975129,-0.11054268346402943,-0.17176411762078642,-0.2065089480072436,-0.22984216404026253,-0.25642617476746093,-0.2683899340800148,-0.2789946933959828,-0.30357281086871774,-0.3139469085668322,-0.3183955339880918,-0.32646635229228854,-0.3344456193493951,-0.3589424595389144,-0.3921293607451996,-0.40734639224054425,-0.4240751854667488,-0.43114040737898696,-0.4330000787799842,-0.4338855120830917,-0.43789514140856506,-0.4426413897625055,-0.4426413897625055,-0.4426413897625055,-0.4426413897625055,-0.4426413897625055,-0.4426413897625055,-0.4426413897625055,-0.4426413897625055,-0.4426413897625055,-0.4426413897625055,-0.4426413897625055,-0.4426413897625055,-0.4457978439859068,-0.4468362674143714,-0.4488924260610047,-0.44991012957066545,-0.45511458406293887,-0.4688440613787995,-0.4874833735006421,-0.491769515643906,-0.4928221329649883,-0.4928221329649883,-0.4928221329649883,-0.4928221329649883,-0.4899429577261787,-0.4845493843268481,-0.4793988282213526,-0.4779563494492747,-0.47389430672155514,-0.47389430672155514,-0.469513271230954,-0.4600097676645003,-0.4600097676645003,-0.4600097676645003,-0.4600097676645003,-0.4685626059583669,-0.4757110914177161,-0.4757110914177161,-0.4757110914177161,-0.4757110914177161,-0.4874905837600269,-0.4874905837600269,-0.4874905837600269,-0.4874905837600269,-0.4874905837600269,-0.4874905837600269,-0.4874905837600269,-0.4874905837600269,-0.4874905837600269,-0.4874905837600269,-0.4874905837600269,-0.4874905837600269,-0.4874905837600269,-0.4758936963506978,-0.4698189179374785,-0.46070491227138566,-0.46070491227138566,-0.46070491227138566,-0.46070491227138566,-0.4580097095890841,-0.4580097095890841,-0.45531186509044347,-0.4525232131492457,-0.4525232131492457,-0.4634237240209722,-0.4871627805625748,-0.5075207145526156,-0.5132273583379287,-0.5194200264680091,-0.5303299479327469,-0.5326035532909614,-0.5326035532909614,-0.5201524695354576,-0.4961954587977488,-0.48486075879432167,-0.4812764068719643,-0.47544800869287596,-0.4731296339571007,-0.47065426492516715,-0.469189138696802,-0.4679976967754903,-0.4678270899485154,-0.4678270899485154,-0.4688357737997259,-0.47392344442816803,-0.48095282809327344,-0.4859484554288127,-0.48989947128982614,-0.48989947128982614,-0.47879412368938695,-0.46811738338413045,-0.4583974140377404,-0.4446475184592528,-0.43534319675363925,-0.4287692197007632,-0.41764827626453777,-0.41521976012027034,-0.4138258132274394,-0.4138258132274394,-0.4138258132274394,-0.4138258132274394,-0.4138258132274394,-0.4138258132274394,-0.4138258132274394,-0.4218449511134262,-0.42635515434431814,-0.4411025196935423,-0.4828681504466826,-0.4932227524992112,-0.4932227524992112,-0.4934701965925619,-0.4837711563341205,-0.4783880577216855,-0.4609739016279274,-0.45691054403111747,-0.4463483989946753,-0.44058940907154953,-0.4376690584349818,-0.4376690584349818,-0.4376690584349818,-0.4376690584349818,-0.4376690584349818,-0.4376690584349818,-0.4376690584349818,-0.4376690584349818,-0.4376690584349818,-0.4376690584349818,-0.4376690584349818,-0.4340265322897022,-0.41983393737179864,-0.3738316009808183,-0.3684330055798891,-0.3666220733052398,-0.3593220871243466,-0.35563873409787816,-0.35563873409787816,-0.35563873409787816,-0.3594975894975333,-0.35714815846392606,-0.35819388829946397,-0.3570198507653155,-0.3597006396590073,-0.3597006396590073,-0.35925326484857034,-0.35925326484857034,-0.35925326484857034,-0.35925326484857034,-0.35925326484857034,-0.3619338203937923,-0.3619338203937923,-0.3641388352126217,-0.3641388352126217,-0.36727265941169546,-0.36727265941169546,-0.36727265941169546,-0.36727265941169546,-0.36727265941169546,-0.36727265941169546,-0.36727265941169546,-0.36727265941169546,-0.37807057266281496,-0.4054527927165864,-0.4297925817564022,-0.46075221225576446,-0.46821261696358335,-0.47816960734096275,-0.47816960734096275,-0.47816960734096275,-0.47816960734096275,-0.47816960734096275,-0.47816960734096275,-0.47816960734096275,-0.47816960734096275,-0.47816960734096275,-0.47816960734096275,-0.47816960734096275,-0.4835894257983852,-0.4871653968038502,-0.4924729399089919,-0.4924729399089919,-0.4924729399089919,-0.4924729399089919,-0.4924729399089919,-0.4924729399089919,-0.4924729399089919,-0.4924729399089919,-0.4889421270252632,-0.48179024016022665,-0.47634821599449084,-0.4708400796035349,-0.4708400796035349,-0.4708400796035349,-0.4708400796035349,-0.4708400796035349,-0.4708400796035349,-0.4708400796035349,-0.4708400796035349,-0.4708400796035349,-0.4708400796035349,-0.4708400796035349,-0.4708400796035349,-0.4708400796035349,-0.4708400796035349,-0.46978400900696055,-0.46978400900696055,-0.47348489738860716,-0.4753244032358412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-0.47715657899320985,-0.4778752985173996,-0.4708347470915358,-0.4667067992059122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,-0.4655781888830511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</si>
  <si>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0.37277117004338023,0.3935115856687017,0.3927550057949826,0.36736639795688897,0.3643122395481614,0.3641088986071148,0.3641088986071148,0.3641088986071148,0.3641088986071148,0.3651870751156177,0.3722423180419352,0.37230752967745173,0.3714022457910056,0.37136389173813406,0.3704099936449327,0.37347267941499795,0.3742195693244985,0.3745584000049494,0.37471915239891085,0.37543618842041815,0.37794593314807867,0.3780248747225038,0.3780248747225038,0.3780248747225038,0.3800858367062227,0.3878246132603618,0.3935207682545094,0.39491109561538806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0.4021882364252473,0.39020658286321,0.3305656660920722,0.29164984296916724,0.2901461882957938,0.28960913257609694,0.28960913257609694,0.28960913257609694,0.28960913257609694,0.28960913257609694,0.28960913257609694,0.28960913257609694,0.28960913257609694,0.28960913257609694,0.28960913257609694,0.28960913257609694,0.28960913257609694,0.28960913257609694,0.28960913257609694,0.2901461882957938,0.3327756861867805,0.508277396007176,0.6289898697900668,0.627340503664228,0.6189233410975348,-0.5691447021357493,-0.5154959965325386,-0.5154959965325386,-0.5154959965325386,-0.5154959965325386,-0.5154959965325386,-0.5154959965325386,-0.5154959965325386,-0.5154959965325386,-0.4213958959706481,-0.38017699407444605,-0.360378801114099,-0.33298380688559565,-0.2815708080830221,-0.24504715033985436,-0.22444884248302546,-0.20836869279769912,0.22609866849321833,0.27192846316627955,0.30819642643151957,0.3259060379395077,0.3535569919093661,0.34567349253449403,0.31125167306435697,0.27606295346053794,0.2640755678462936,0.2640755678462936,0.24094273167700847,0.03889142224576388,0.24551379375663235,0.24551379375663235,0.24551379375663235,0.24551379375663235,0.24551379375663235,0.24551379375663235,0.24551379375663235,-0.30660700118159534,-0.1564222893531525,0.013714275643197766,0.053527227060431136,0.053527227060431136,0.053527227060431136,0.053527227060431136,0.05592251476597241,0.0703190487757615,0.07018079259094105,0.049738561765875954,0.03466739531024103,0.03336183900447425,0.03336183900447425,0.031399671156084816,0.031001899432454013,0.031759358748712996,0.028404425789692513,0.026189875093100955,0.026189875093100955,0.026189875093100955,0.026189875093100955,0.026189875093100955,0.026189875093100955,0.026189875093100955,0.026189875093100955,0.026189875093100955,0.026189875093100955,0.03116943939410163,0.04180355087865339,0.05178834379096448,0.04639543412221706,0.05324252364782934,0.07170070194999001,0.09775109085856147,0.15587467355078624,0.2063404307563985,0.253519140555316,0.26633824007740525,-0.32611051406231717,0.38386852057804977,0.5105206108535748,0.6521979054287345,0.6685891194961932,0.670001382332509,0.6515587364211329,0.5781329355618943,0.4815404336931268,0.4815404336931268,0.4815404336931268,0.4815404336931268,0.4815404336931268,0.4815404336931268,0.4815404336931268,0.4815404336931268,0.4815404336931268,0.4841677381934295,0.6362287244095949,0.7064252120490722,0.7148757475515491,0.6995068451618864,0.6778156280274673,0.6741737371471084,0.6741737371471084,0.6468283003013727,-0.5725126937340205,-0.5609863871143544,-0.5802070689764794,0.6756250437839721,0.7002981786001311,0.7002981786001311,0.7002981786001311,0.7002981786001311,0.7002981786001311,0.7002981786001311,0.7002981786001311,0.7002981786001311,0.7002981786001311,0.7002981786001311,0.7656938821270731,0.9007149108207523,0.9399255946128399,0.9526728477461921,0.955773156881283,0.954802689414367,0.9547458398199347,0.9538912228843421,0.9271147331298738,0.9191846409963708,0.9191846409963708,0.9191846409963708,0.9191846409963708,0.9191846409963708,0.9191846409963708,0.9191846409963708,0.9191846409963708,0.9191846409963708,0.9191846409963708,0.926024617903272,0.9450522125859984,0.9665305325078403,0.9677578521890225,0.9677578521890225,0.9677578521890225,0.9464173257582259,0.8924727744478639,0.8378728094094252,0.7803535816474361,0.7609900073884676,0.7609900073884676,0.7609900073884676,0.7609900073884676,0.7609900073884676,0.7609900073884676,0.7585163555042438,0.7393156486653722,0.7367352930338691,0.7246545543764603,0.7144708711399647,0.7144708711399647,0.7224921463423761,0.7224921463423761,0.7224921463423761,0.7224921463423761,0.7224921463423761,0.7198294748575941,0.717326449403212,0.7050904105563366,0.6978169334023073,0.690739023523959,0.6840083346803366,0.6838641163711427,0.6811835098569701,0.6762102243504877,0.6729342581193838,0.6701216178601109,0.6680295912358901,0.6658546853684093,0.6644735590019203,0.6831395518964163,0.6982320587771474,0.7220187656847048,0.7404935705329897,0.7492297835461067,0.753508106606452,0.7648184454362468,0.7770962391026528,0.7770962391026528,0.7770962391026528,0.7770962391026528,0.7770962391026528,0.7770962391026528,0.7770962391026528,0.7770962391026528,0.7770962391026528,0.7770962391026528,0.7770962391026528,0.7770962391026528,0.7812405610647434,0.7825979345478029,0.7852764548850043,0.7865975604330514,0.782443738557966,0.7700285346762529,0.7519033266990536,0.7463595141989677,0.7449447327300707,0.7449447327300707,0.7449447327300707,0.7449447327300707,0.7428393597394077,0.7409875732047113,0.7416082170258136,0.7404511707144187,0.7395359214124927,0.7395359214124927,0.7359058530402404,0.7227270192106846,0.7227270192106846,0.7227270192106846,0.7227270192106846,0.7218468604158961,0.7223857005552923,0.7223857005552923,0.7223857005552923,0.7223857005552923,0.7163198670391828,0.7163198670391828,0.7163198670391828,0.7163198670391828,0.7163198670391828,0.7163198670391828,0.7163198670391828,0.7163198670391828,0.7163198670391828,0.7163198670391828,0.7163198670391828,0.7163198670391828,0.7163198670391828,0.7318377070272285,0.7391748896919913,0.7437161658199389,0.7437161658199389,0.7437161658199389,0.7437161658199389,0.7438088917961275,0.7438088917961275,0.7438716134598088,0.7411906051225169,0.7411906051225169,0.7408102645697672,0.7385824969836959,0.7376471040873734,0.7351050412666823,0.7347988819713946,0.7290013046455756,0.7282347945901502,0.7282347945901502,0.7296645724348076,0.7474688666912397,0.7561241871769916,0.7576073463024686,0.7639452782749027,0.7734801427121132,0.7803440473386969,0.7859513414922037,0.7869890699839552,0.7892036387245666,0.7892036387245666,0.790387666310722,0.794019553419313,0.7975029929966605,0.7985927680544417,0.7985520150584225,0.7985520150584225,0.7914112044708389,0.7866006116336496,0.7777246487819005,0.7663251714847648,0.7545617450004236,0.7395706852295608,0.7187592601606557,0.7122355684988229,0.7104964586540079,0.7104964586540079,0.7104964586540079,0.7104964586540079,0.7104964586540079,0.7104964586540079,0.7104964586540079,0.7097040487646373,0.7116729830526616,0.7188269341905102,0.7391107369402704,0.7438860753009442,0.7438860753009442,0.7488202016005662,0.7586355976185206,0.7702916146920539,0.7874757509834296,0.7900628038770389,0.7942940434996284,0.797258005673886,0.7986662637723728,0.7986662637723728,0.7986662637723728,0.7986662637723728,0.7986662637723728,0.7986662637723728,0.7986662637723728,0.7986662637723728,0.7986662637723728,0.7986662637723728,0.7986662637723728,0.7985521737533108,0.7990094111751693,0.8040401308150734,0.8048801898658059,0.8051353906207861,0.8060319953281984,0.8064057309713796,0.8064057309713796,0.8064057309713796,0.7723155693082825,0.7578001225021674,0.7510315188327098,0.7445469532316978,0.7349292196409282,0.7349292196409282,0.7327101971401901,0.7327101971401901,0.7327101971401901,0.7327101971401901,0.7327101971401901,0.7344678713700773,0.7344678713700773,0.734006345441579,0.734006345441579,0.7379096087657686,0.7379096087657686,0.7379096087657686,0.7379096087657686,0.7379096087657686,0.7379096087657686,0.7379096087657686,0.7379096087657686,0.7354314039238385,0.7276638829530468,0.7188104624889365,0.7045272390492436,0.7005195434187935,0.6923209491108525,0.6923209491108525,0.6923209491108525,0.6923209491108525,0.6923209491108525,0.6923209491108525,0.6923209491108525,0.6923209491108525,0.6923209491108525,0.6923209491108525,0.6923209491108525,0.6889871355088139,0.6867114393785113,0.6832185155268693,0.6832185155268693,0.6832185155268693,0.6832185155268693,0.6832185155268693,0.6832185155268693,0.6832185155268693,0.6832185155268693,0.6855576975900527,0.6901090547566103,0.693410890107153,0.6966164871694068,0.6966164871694068,0.6966164871694068,0.6966164871694068,0.6966164871694068,0.6966164871694068,0.6966164871694068,0.6966164871694068,0.6966164871694068,0.6966164871694068,0.6966164871694068,0.6966164871694068,0.6966164871694068,0.6966164871694068,0.6947641410932776,0.6947641410932776,0.6926233434306156,0.6915369146424025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0.6904398215001293,0.6874982681660818,0.6841528773626367,0.6814840523500808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,0.6795723225986123</t>
  </si>
  <si>
    <t>27.110934800342125,27.110934800342108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</si>
  <si>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</si>
  <si>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-0.5831653094968199,-0.5670214318105053,-0.5681757616645253,-0.5713910071281425,-0.6026568661565519,0.6945738844734054,0.7828902067501824,0.858088815998149,0.9061319991595956,0.9142793554475384,0.9102406720776393,0.8982007201488578,0.8982007201488578,0.8993342669854403,0.8993342669854403,0.8993342669854403,0.8993342669854403,0.8825453607879589,0.86685596909409,0.8629129687864857,0.8602177322098836,0.8602177322098836,0.9018074940985313,0.9018074940985313,0.9018074940985313,0.9018074940985313,0.8839244423786771,0.8782813704874982,0.8782813704874982,0.8782813704874982,0.8782813704874982,0.8782813704874982,0.8782813704874982,0.8782813704874982,0.8782813704874982,0.8782813704874982,0.8773783145000829,0.8643178353945572,0.8413386603278277,0.8332358552169526,0.8227255617094967,0.8197625894530488,0.8125924248618108,0.8125924248618108,0.8125924248618108,0.8186143802111582,0.8738741650410493,0.9028600003079919,0.9301669198016504,0.9370524709315722,0.9533531413676026,0.9602854867871878,0.9767507420019872,0.980505003866321,0.9815042854341264,0.9824689564473262,0.9833619839123189,0.9833619839123189,0.9825464419417025,0.972041559598554,0.9669397289720708,0.9633061741605441,0.9617656681663841,0.9597332308849559,0.956225084483475,0.9524291018071203,0.9441975749938224,0.9441975749938224,0.9441975749938224,0.939312727024617,0.9331973378708057,0.909659162839644,0.9001052745685737,0.8505048552792552,0.787434856827604,0.7748138454369669,0.7737500420972919,0.8616807105674112,0.9405845282681015,0.9362137333832689,0.9330902189386909,0.9311902235219746,0.9295813890156601,0.9295813890156601,0.9305647434345463,0.9305647434345463,0.931728129318814,0.9371126153588973,0.9396264930285112,0.9409590144208978,0.9437842038114216,0.9519213117748995,0.9530251768100698,0.9541143450189412,0.9578602811730518,0.9578602811730518,0.9627907302240879,0.9651250596479926,0.9660367661080139,0.9654980317716351,0.9525879279484577,0.8900483660709204,0.8685154446150088,0.8372851708011264,0.8134765040658353,0.8112361325878333,0.8112361325878333,0.8112361325878333,0.8159059193162518,0.8350398059697648,0.8224015731626994,0.8229087882857465,0.8240880819544371,0.8340391320156008,0.8612285404660117,0.8712212144017887,0.8751968554337675,0.8702369023545456,0.8702369023545456,0.8702369023545456,0.8702369023545456,0.8702369023545456,0.8702369023545456,0.8702369023545456,0.8702369023545456,0.8702369023545456,0.873281554175815,0.8609996344844397,0.8092200869725943,0.7575470615995279,0.6865943495161931,0.6124732777171635,-0.5363064440914524,-0.5316995383051648,-0.503013451461998,0.44917340082079693,0.3961920241072222,0.38545834536900275,0.3502198219430211,0.30392563152668456,0.2934213208185854,0.2934213208185854,0.2934213208185854,0.2934213208185854,0.2934213208185854,0.2934213208185854,0.2652234790518082,0.12403596619823559,-0.014453942836393447,-0.10735326993239587,-0.2069676276662973,-0.25785733255732946,-0.28537069780326413,-0.3249369931140726,-0.327721171942729,-0.327721171942729,-0.327721171942729,-0.327721171942729,-0.327721171942729,-0.327721171942729,-0.327721171942729,-0.3356370646073658,-0.42138753258129985,-0.47875249394876507,-0.5246856372400168,-0.5658986285018746,-0.6191790000216292,0.6572987442177244,0.6745332548262294,0.6930646538209152,0.7008115354287949,0.7041324713280451,0.7041324713280451,0.7052146011951514,0.7239825858197606,0.7327662607434594,0.7438442364062547,0.745563548015939,0.7608829632247254,0.7757147834819724,0.7757147834819724,0.7757147834819724,0.7757147834819724,0.7757147834819724,0.7757147834819724,0.7812080063661859,0.7875947952771122,0.7896994771311757,0.7894386784430032,0.7300857167060464,0.7013533888166005,0.6619347699655757,0.6138730464238891,-0.5902462372371581,-0.5712060268647328,-0.5557436925669282,-0.5481195453902885,-0.5521346984679419,-0.5639748279245075,-0.5748140867062566,-0.5766967142667538,-0.5741063039107932,-0.563656529715679,-0.5591346301767224,-0.5591346301767224,-0.5591346301767224,-0.5492869202177254,-0.5492869202177254,-0.5492869202177254,-0.5492869202177254,-0.5492869202177254,-0.5492869202177254,-0.5679849471811805,-0.5854813722924903,-0.5971932715661086,-0.6036837434693623,-0.6153794883341199,-0.6153794883341199,-0.6153794883341199,-0.6191131222861881,-0.6030621442363862,-0.5827878360833185,-0.5780482354512513,-0.5780482354512513,-0.5780482354512513,-0.5780482354512513,-0.5780482354512513,-0.5780482354512513,-0.5780482354512513,-0.5780482354512513,-0.5780482354512513,-0.5780482354512513,-0.5780482354512513,-0.5780482354512513,-0.5780482354512513,-0.5780482354512513,-0.5780482354512513,-0.5780482354512513,-0.5709607854770663,-0.5709607854770663,-0.5709607854770663,-0.5709607854770663,-0.59522674619681,-0.6679427991782363,-0.6900681133492598,-0.7094739268302375,0.7232398935029545,0.7281688590012577,0.7281688590012577,0.7281688590012577,0.7281688590012577,0.7077738818675218,-0.6861849508327563,-0.6861849508327563,-0.6861849508327563,-0.6861849508327563,-0.6930277563235773,0.7200342674233685,0.7409123253479121,0.7560363018292694,0.7661233755348628,0.7683026974842625,0.7704701712563374,0.8355194418285048,0.8853299358421933,0.8989738369609714,0.9007344625717686,0.9007344625717686,0.9007344625717686,0.9007344625717686,0.9441445912244355,0.9682732934838116,0.9664093151535872,0.9604601824061657,0.9489513614799981,0.9213128418853636,0.8969842167133318,0.8600828829840677,0.7952833757896217,0.7765202708622073,0.7494959359533622,0.6859292181085478,0.6751905089993948,0.6357118135236892,0.6186247372400347,0.6105191492761035,0.610806620011016,0.6261495984995017,0.6261495984995017,0.6261495984995017,0.6261495984995017,0.6261495984995017,0.6261495984995017,0.6261495984995017,0.6261495984995017,0.6261495984995017,0.6261495984995017,0.6261495984995017,0.6261495984995017,0.6261495984995017,0.6261495984995017,0.6261495984995017,0.5882095122168003,0.5448267641976755,-0.5297703259109795,0.6363669180495608,0.747470782405959,0.747470782405959,0.7335499655736224,0.6032666303124823,0.5919486565432255,0.5920551774090341,0.5920551774090341,0.5920551774090341,0.5920551774090341,0.5920551774090341,0.5540507807327362,0.4500490779146251,-0.3692646131019602,-0.227228964117282,-0.115756619115389,-0.06251976264724722,-0.010823586491345372,0.11429577315524256,0.1864755345164726,0.21080855417754263,0.1938866983089059,0.18603094330430536,0.20672548492652648,0.20672548492652648,0.20672548492652648,0.07757292805786854,0.018023672562633705,0.030330369443115054,0.2813327557136067,0.3842016648248838,0.3218260434101492,0.3218260434101492,0.3218260434101492,0.3218260434101492,0.3218260434101492,0.3218260434101492,0.3218260434101492,0.3218260434101492,0.3218260434101492,0.3218260434101492,0.3642779495730488,0.46956266242421013,0.6113573187402223,0.7080285628922097,0.775880528556246,0.7781767568985185,0.7827331770148656,0.7827331770148656,0.7827331770148656,0.7827331770148656,0.7827331770148656,0.7827331770148656,0.7849932985233095,0.7849932985233095,0.7849932985233095,0.7733065605510151,0.748817785805765,0.7434196708434957,0.7434196708434957,0.7554016385036619,0.7556679773749375,0.7556679773749375,0.7556679773749375,0.7556679773749375,0.7635915854491835,0.8727349966600664,0.9253061515208705,0.9617885933727812,0.9578932457939604,0.9492323530082849,0.9502984318514299,0.9502984318514299,0.9502984318514299,0.9502984318514299,0.9382679314040616,0.8334148058333887,-0.6575802052370623,-0.5725856600211747,-0.5725856600211747,-0.5725856600211747,-0.5896819558519735,-0.5896819558519735,-0.5896819558519735,-0.5896819558519735,-0.5896819558519735,-0.5896819558519735,-0.5896819558519735,-0.5896819558519735,-0.5911288396457852,-0.5883112434011134,-0.5755288284269459,-0.5697758968941277,-0.5697758968941277,-0.5867603895552886,-0.600519275545416,-0.6044122769926714,-0.6044122769926714,-0.6116391343246854,-0.6108038756057488,-0.6034348639560677,-0.5861770880186166,-0.57143336460064,-0.5707575855186956,-0.5692825652110319,-0.5549181023747789,-0.5426014013491667,-0.5406723428915793,-0.5406723428915793,-0.5406723428915793,-0.5406723428915793,-0.5406723428915793,-0.5406723428915793,-0.5406723428915793,-0.5406723428915793,-0.5406723428915793,-0.5406723428915793,-0.5406723428915793,-0.5406723428915793,-0.5406723428915793,-0.5406723428915793,-0.5393047370952485,-0.5334286626486192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-0.5279788615746794,-0.5178775226554336,-0.5054927239294936,-0.5054927239294936,-0.5054927239294936,-0.5054927239294936,-0.5054927239294936,-0.5054927239294936,-0.5054927239294936,0.5082226865281573,0.5130129030574633,0.5177714745362878,0.5201388015765585,0.5201388015765585,0.5201388015765585,0.5201388015765585,0.5153961628198417,-0.5058158036322934,-0.4887513084647946,-0.48380733732948633,-0.4687975918963701,-0.4662704385938378,-0.4662704385938378,-0.4662704385938378,-0.4662704385938378,-0.4662704385938378,-0.4662704385938378,-0.4662704385938378,-0.4662704385938378,-0.4662704385938378,-0.4662704385938378,-0.4662704385938378,-0.4662704385938378,-0.4662704385938378,-0.4662704385938378,-0.48063337519504357,-0.4856375266265632,-0.4902443431371687,-0.4902443431371687,-0.4902443431371687,-0.4902443431371687,-0.4902443431371687,-0.4944454536807035,-0.4981789705091456,-0.4981789705091456,-0.4977265114655222,-0.499792595772027,-0.499792595772027,-0.499792595772027,-0.499792595772027,-0.499792595772027,-0.499792595772027,-0.499792595772027,-0.499792595772027,-0.499792595772027,-0.499792595772027,-0.499792595772027,-0.5039016103833992,-0.51100751378278,-0.51100751378278,-0.51100751378278,-0.51100751378278,-0.51100751378278,-0.51100751378278,-0.51100751378278,-0.51100751378278,-0.51100751378278,-0.51100751378278,-0.51100751378278,-0.51100751378278,-0.51100751378278,-0.51100751378278,-0.51100751378278,-0.51100751378278,-0.517066682575469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-0.5159633804573287,-0.5205204811300448,-0.5230747873237381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,-0.5256210270576173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</si>
  <si>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-0.04033371127577786,-0.113954719955908,-0.17774990391235704,-0.20428592228824607,-0.23378610491602755,0.30231007980350294,0.34572102180546543,0.34807454903425916,0.32761271220846633,0.3079923038922158,0.26372350921627574,0.24597327812962191,0.24597327812962191,0.24510754386159958,0.24510754386159958,0.24510754386159958,0.24510754386159958,0.22357332737131766,0.2079782336712218,0.20430089865301812,0.20183355760672403,0.20183355760672403,0.16904536479955617,0.16904536479955617,0.16904536479955617,0.16904536479955617,0.16065760261785317,0.16345476198884273,0.16345476198884273,0.16345476198884273,0.16345476198884273,0.16345476198884273,0.16345476198884273,0.16345476198884273,0.16345476198884273,0.16345476198884273,0.1649734615919913,0.16534216791089598,0.158056125059421,0.15553950951788906,0.15652059064126483,0.15722954012388488,0.16048042356542788,0.16048042356542788,0.16048042356542788,0.15910707368100158,0.14712277941509702,0.14653149512057417,0.1469188785400243,0.1473310873240529,0.14704852086656592,0.145607209547424,0.13846657304252644,0.13492603958698368,0.13378799018620474,0.1331555536894081,0.13248253749378996,0.13248253749378996,0.13363015142069942,0.1408997983405669,0.14416851097454395,0.14637831529435139,0.1476367539515604,0.14971591561303235,0.15215132566713307,0.15449558410732023,0.16048111758779746,0.16048111758779746,0.16048111758779746,0.1610632713767386,0.16079157967634164,0.16074244806353435,0.1667631158609336,0.21773170765263383,0.24713146714650053,0.25187675697373496,0.2424589878719244,0.18994150153803885,0.09964901451621809,0.055896651139986195,0.05203794337247198,0.0480388310403799,0.046819511633558825,0.046819511633558825,0.04375862680725901,0.04375862680725901,0.042118362620986734,0.033912909843400965,0.02761162226463901,0.02303905580988036,0.019279205275206705,0.016089779538262263,0.015633098523110334,0.015176176426254484,0.012205585361992406,0.012205585361992406,0.009840576746739618,0.009842407682688566,0.009383483455063733,0.01820727443801509,0.029316216217071162,0.06916631924928071,0.07728364226608413,0.08024065329459577,0.0762652392020423,0.07589666880818371,0.07589666880818371,0.07589666880818371,0.08834075805202055,0.18980612535723526,0.29814583838373676,0.30766434061985815,0.30911552073987447,0.31287363925712214,0.31421928396926785,0.30698702231285707,0.2984263258991359,0.2827081536612267,0.2827081536612267,0.2827081536612267,0.2827081536612267,0.2827081536612267,0.2827081536612267,0.2827081536612267,0.2827081536612267,0.2827081536612267,0.28895122185853445,0.3111111231759312,0.3201921399245076,0.2924490668651293,0.25005520048167945,0.204128359247149,-0.15412812539661813,-0.15382391550712934,-0.12164627394192978,0.05912249787983005,-0.013440161490098829,-0.033590293922056674,-0.07595201003485261,-0.10713586915002747,-0.10640782308955589,-0.10640782308955589,-0.10640782308955589,-0.10640782308955589,-0.10640782308955589,-0.10640782308955589,-0.09117654896964232,-0.04642378918848939,-0.042389770550581476,-0.0605074629225345,-0.11047510732031278,-0.144182740765729,-0.15797829922753598,-0.1627696278431153,-0.16513876708921682,-0.16513876708921682,-0.16513876708921682,-0.16513876708921682,-0.16513876708921682,-0.16513876708921682,-0.16513876708921682,-0.16709150204288356,-0.10745683059023287,-0.08983032417889165,-0.09051405328816174,-0.10090176737442395,-0.11336246656435132,0.1273256849786855,0.13330886495450012,0.13695694191217977,0.13597277148532672,0.13160102668911214,0.13160102668911214,0.12558142527089267,0.09901840356761177,0.0856507439704088,0.06775452061687925,0.059674223341745464,0.05354126866317429,0.04746836257527401,0.04746836257527401,0.04746836257527401,0.04746836257527401,0.04746836257527401,0.04746836257527401,0.04764779752272264,0.05114946511337551,0.05231513405588893,0.05765111162336376,0.08624687212875985,0.09962259175684421,0.12047807957177707,0.14353404889508098,-0.1481136019439033,-0.1365796371205156,-0.11997399717422656,-0.11393389376233252,-0.10882219156078549,-0.09344807227257473,-0.07354247132881353,-0.07095705478370755,-0.06907832678856739,-0.06155305204292661,-0.062298740362411044,-0.062298740362411044,-0.062298740362411044,-0.05924437982213664,-0.05924437982213664,-0.05924437982213664,-0.05924437982213664,-0.05924437982213664,-0.05924437982213664,-0.02068763977734198,0.00619443782594014,0.02500867544458358,0.03575209561603443,0.043212367743287204,0.043212367743287204,0.043212367743287204,0.03745029743791221,-0.00004248850248826569,-0.03589051986368988,-0.0481472527795942,-0.0481472527795942,-0.0481472527795942,-0.0481472527795942,-0.0481472527795942,-0.0481472527795942,-0.0481472527795942,-0.0481472527795942,-0.0481472527795942,-0.0481472527795942,-0.0481472527795942,-0.0481472527795942,-0.0481472527795942,-0.0481472527795942,-0.0481472527795942,-0.0481472527795942,-0.04702141819938132,-0.04702141819938132,-0.04702141819938132,-0.04702141819938132,-0.028937509346478985,0.022047959823232533,0.04244942183740553,0.053986798610569695,-0.06201170024300987,-0.06546958082122403,-0.06546958082122403,-0.06546958082122403,-0.06546958082122403,-0.04558926898060215,0.02571796774865404,0.02571796774865404,0.02571796774865404,0.02571796774865404,0.031521897849803235,-0.0446503681147795,-0.05433082218268447,-0.05479447004397229,-0.05200218673649585,-0.05075564590688458,-0.049508322362472344,-0.040594374425736046,-0.029599836014557086,-0.024419866620534355,-0.021052511709186757,-0.021052511709186757,-0.021052511709186757,-0.021052511709186757,-0.05539737081618664,-0.08893341880146317,-0.0889412904981956,-0.08893198743372663,-0.09612661769301639,-0.09124657362891148,-0.041206660218817366,0.037952396246603126,0.15716049034284518,0.18552700581181525,0.20561966151223243,0.20463651656394077,0.19848076402795448,0.15204802424703967,0.10019049299740945,0.06671628779607054,0.062352027028361415,0.06101726647777803,0.06101726647777803,0.06101726647777803,0.06101726647777803,0.06101726647777803,0.06101726647777803,0.06101726647777803,0.06101726647777803,0.06101726647777803,0.06101726647777803,0.06101726647777803,0.06101726647777803,0.06101726647777803,0.06101726647777803,0.06101726647777803,0.01974709433427079,-0.033018035553562815,0.13037587596283393,-0.2413007177335291,-0.3349531336670278,-0.3349531336670278,-0.3055552757554977,-0.1715600919160032,-0.13150449754977014,-0.12709712480653496,-0.12709712480653496,-0.12709712480653496,-0.12709712480653496,-0.12709712480653496,-0.08844071825136268,-0.036306261762765,0.044289938466472924,0.15053971597198548,0.252817968119645,0.3231046568671451,0.3702324459291696,0.4470380223179086,0.5162950616192512,0.566836279698763,0.7419819679275853,0.8737655404722704,0.886035130758584,0.886035130758584,0.886035130758584,0.9291397142633167,0.8417718305363245,0.8455785292082775,0.8389739831193518,0.5322431919751548,0.2571125808023655,0.2571125808023655,0.2571125808023655,0.2571125808023655,0.2571125808023655,0.2571125808023655,0.2571125808023655,0.2571125808023655,0.2571125808023655,0.2571125808023655,0.2750772884605382,0.27937585898262796,0.26414603732582653,0.24102916680113098,0.2299313681891891,0.2300789440407528,0.2303634492176136,0.2303634492176136,0.2303634492176136,0.2303634492176136,0.2303634492176136,0.2303634492176136,0.23050037415548918,0.23050037415548918,0.23050037415548918,0.23418380336266853,0.24150985654014215,0.2458273527258072,0.2458273527258072,0.24723574324906092,0.24486641951439475,0.24486641951439475,0.24486641951439475,0.24486641951439475,0.2577439762169339,0.2712537330133606,0.2659471741276766,0.24241089248091005,0.2255374889410472,0.21402824032482684,0.22085755960265577,0.22085755960265577,0.22085755960265577,0.22085755960265577,0.20530483910519448,0.13984635284508506,-0.07518285655486441,-0.05148602028933976,-0.05148602028933976,-0.05148602028933976,-0.05311191316164805,-0.05311191316164805,-0.05311191316164805,-0.05311191316164805,-0.05311191316164805,-0.05311191316164805,-0.05311191316164805,-0.05311191316164805,-0.050299262724093,-0.04885654906058987,-0.03878266466053826,-0.03590623711163049,-0.03590623711163049,-0.015589639493449338,-0.0011707752710710495,0.007388158328031079,0.007388158328031079,0.0007491016569947172,-0.043644744506138075,-0.06433800776786974,-0.10134212232288937,-0.12577449176978103,-0.13287839298958823,-0.14701982486540738,-0.19088619001489454,-0.22908766575857487,-0.23160908533402585,-0.23160908533402585,-0.23160908533402585,-0.23160908533402585,-0.23160908533402585,-0.23160908533402585,-0.23160908533402585,-0.23160908533402585,-0.23160908533402585,-0.23160908533402585,-0.23160908533402585,-0.23160908533402585,-0.23160908533402585,-0.23160908533402585,-0.2385725732872484,-0.24606802969155508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-0.2579529578292388,-0.27024759031925255,-0.2848632100395551,-0.2848632100395551,-0.2848632100395551,-0.2848632100395551,-0.2848632100395551,-0.2848632100395551,-0.2848632100395551,0.2914660671455559,0.2956301653809624,0.2997760277563122,0.3018420405344984,0.3018420405344984,0.3018420405344984,0.3018420405344984,0.29770539206121277,-0.2893772598059439,-0.27463246936683094,-0.2703810666903087,-0.2575278425137657,-0.25537154533729467,-0.25537154533729467,-0.25537154533729467,-0.25537154533729467,-0.25537154533729467,-0.25537154533729467,-0.25537154533729467,-0.25537154533729467,-0.25537154533729467,-0.25537154533729467,-0.25537154533729467,-0.25537154533729467,-0.25537154533729467,-0.25537154533729467,-0.25891080048966586,-0.2631583075088322,-0.2627793560457063,-0.2627793560457063,-0.2627793560457063,-0.2627793560457063,-0.2627793560457063,-0.2577890167359046,-0.24819421915462833,-0.24819421915462833,-0.24359800760956635,-0.24106607145835765,-0.24106607145835765,-0.24106607145835765,-0.24106607145835765,-0.24106607145835765,-0.24106607145835765,-0.24106607145835765,-0.24106607145835765,-0.24106607145835765,-0.24106607145835765,-0.24106607145835765,-0.23599108564841473,-0.23754208467833943,-0.23754208467833943,-0.23754208467833943,-0.23754208467833943,-0.23754208467833943,-0.23754208467833943,-0.23754208467833943,-0.23754208467833943,-0.23754208467833943,-0.23754208467833943,-0.23754208467833943,-0.23754208467833943,-0.23754208467833943,-0.23754208467833943,-0.23754208467833943,-0.23754208467833943,-0.2299382066991609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-0.22084457407655977,-0.22026902066847004,-0.22225471440702788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,-0.2242369807031515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</si>
  <si>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-0.699006863382204,0.6988009613754578,0.6744821428108969,0.6387297041435485,0.6208935355334642,0.5878432974223488,-0.4867323162218401,-0.3832257845670637,-0.30891672948327153,-0.25927970300165104,-0.2628022524342225,-0.27440183097519427,-0.2904196973382725,-0.2904196973382725,-0.28689024121385037,-0.28689024121385037,-0.28689024121385037,-0.28689024121385037,-0.29990607746033654,-0.3109240137534031,-0.3133525663196281,-0.31494746075074315,-0.31494746075074315,-0.20537050644213253,-0.20537050644213253,-0.20537050644213253,-0.20537050644213253,-0.2165901171527867,-0.22823741315477092,-0.22823741315477092,-0.22823741315477092,-0.22823741315477092,-0.22823741315477092,-0.22823741315477092,-0.22823741315477092,-0.22823741315477092,-0.22823741315477092,-0.23168464721248422,-0.24933529827090697,-0.26705716806075125,-0.2728289407266591,-0.28506982663795677,-0.28891090128038477,-0.2997667965167145,-0.2997667965167145,-0.2997667965167145,-0.2921059666739861,-0.21635471915513718,-0.17984171830910364,-0.14117829388063063,-0.13093375942274116,-0.10112386404716894,-0.08263111936850996,-0.019322869110576926,0.006944613719849916,0.015711090473488638,0.02061965901929114,0.025522748748173462,0.025522748748173462,0.01675753247432613,-0.045693933271732705,-0.07134875740532276,-0.08822708125297081,-0.09636736233337737,-0.10826990155363028,-0.12450686101605463,-0.14071538482827634,-0.17611150002655196,-0.17611150002655196,-0.17611150002655196,-0.1891005054971656,-0.2026736803619902,-0.2507309323803199,-0.27686139289066036,-0.416915072229537,-0.526424764385793,-0.5448304242834893,-0.5456852240980495,-0.39077102259912866,-0.0972468791541087,0.026471863562948162,0.03706468883241417,0.04786079110062281,0.05132816250637836,0.05132816250637836,0.05880526081599836,0.05880526081599836,0.06263049311305485,0.08173088783261627,0.0968234371341208,0.10811490879856218,0.11577541720396926,0.11626157567832468,0.11632386348193316,0.11638435742777418,0.12033681121144853,0.12033681121144853,0.12055325584927276,0.11684507323042546,0.11688282322678677,0.08626510679008453,0.0584961094770871,-0.048104471053757064,-0.07213497343490628,-0.09032536724783218,-0.09370617748608968,-0.09400494706886518,-0.09400494706886518,-0.09400494706886518,-0.10892415972787249,-0.23641656576981215,-0.36524469296499634,-0.37014504215181493,-0.3689339962057403,-0.3530195600401308,-0.29944277881164216,-0.270990972010618,-0.2527798116388093,-0.2424194830766875,-0.2424194830766875,-0.2424194830766875,-0.2424194830766875,-0.2424194830766875,-0.2424194830766875,-0.2424194830766875,-0.2424194830766875,-0.2424194830766875,-0.24479596982413684,-0.2946903866078676,-0.40119455160337697,-0.4682355599833437,-0.5350966119943185,-0.5864548629503765,0.6239502331229679,0.6266519272474366,0.633684952433712,-0.6404490255549496,-0.6357192239435725,-0.6320543335324149,-0.6258311759435939,-0.6228334397079187,-0.6243075752157147,-0.6243075752157147,-0.6243075752157147,-0.6243075752157147,-0.6243075752157147,-0.6243075752157147,-0.6318419148334946,-0.6520971088862787,-0.6539256803072582,-0.6469472020817285,-0.6330847065887071,-0.6233684339342321,-0.6165548990384487,-0.6036175214154843,-0.6029736739793973,-0.6029736739793973,-0.6029736739793973,-0.6029736739793973,-0.6029736739793973,-0.6029736739793973,-0.6029736739793973,-0.6003555858996502,-0.5540781746191862,-0.5256677397986753,-0.505984910302441,-0.49077413776293494,-0.46789423929543733,0.45173008521825264,0.4434204186425929,0.4321625057582453,0.42559114549717775,0.42007391508771963,0.42007391508771963,0.4150357594642994,0.3813548620414814,0.36419215050436343,0.3409956998821837,0.33248130778704454,0.3168457925675864,0.30094040773830716,0.30094040773830716,0.30094040773830716,0.30094040773830716,0.30094040773830716,0.30094040773830716,0.2975183330026801,0.2969363623742899,0.29673320985385904,0.3027349913536139,0.3725899592634327,0.40288204425371543,0.443168374174629,0.48735020525279205,-0.5044191855894484,-0.5106323741472262,-0.5120050630709582,-0.5133829101756414,-0.5090621997820916,-0.4959127362417599,-0.48053706430432364,-0.4782760752955302,-0.47855103446943414,-0.4795770319853469,-0.48202481591661406,-0.48202481591661406,-0.48202481591661406,-0.4849276183588783,-0.4849276183588783,-0.4849276183588783,-0.4849276183588783,-0.4849276183588783,-0.4849276183588783,-0.45681114601691847,-0.4341599774831867,-0.4179037206652589,-0.40847186098985555,-0.3991338288157972,-0.3991338288157972,-0.3991338288157972,-0.4019161662705898,-0.43335962829762426,-0.4635958105728627,-0.47257891814708736,-0.47257891814708736,-0.47257891814708736,-0.47257891814708736,-0.47257891814708736,-0.47257891814708736,-0.47257891814708736,-0.47257891814708736,-0.47257891814708736,-0.47257891814708736,-0.47257891814708736,-0.47257891814708736,-0.47257891814708736,-0.47257891814708736,-0.47257891814708736,-0.47257891814708736,-0.4752292172165985,-0.4752292172165985,-0.4752292172165985,-0.4752292172165985,-0.4542328445718329,-0.38738511962455857,-0.36114584402658545,-0.34269444301506985,0.32933999995542274,0.32389990591028595,0.32389990591028595,0.32389990591028595,0.32389990591028595,0.35138726474547993,-0.3783604251011656,-0.3783604251011656,-0.3783604251011656,-0.3783604251011656,-0.3703294066366667,0.34629861983727295,0.3272067730795027,0.31947788350017403,0.31732773481144044,0.31752949959730076,0.31772636768576634,0.28763205643974893,0.2604184709658666,0.2542603968850945,0.25798350208119125,0.25798350208119125,0.25798350208119125,0.25798350208119125,0.13289198636817343,0.001351508394158222,0.0006529924743053085,-0.0014426246023852651,-0.03129597693187158,-0.035642240582898284,0.07085254991548545,0.23337110181911017,0.43088156073370637,0.4713699017819368,0.5134314546821448,0.5813279875577008,0.5898574991965734,0.6096382751027909,0.6034636515856125,0.5946804721986595,0.5925278139419708,0.5821825793191748,0.5821825793191748,0.5821825793191748,0.5821825793191748,0.5821825793191748,0.5821825793191748,0.5821825793191748,0.5821825793191748,0.5821825793191748,0.5821825793191748,0.5821825793191748,0.5821825793191748,0.5821825793191748,0.5821825793191748,0.5821825793191748,0.585038216475219,0.580161774382415,-0.5329937747068042,0.4275663825601046,0.2992822388530636,0.2992822388530636,0.3427527916020901,0.5155221775348421,0.5470906952009326,0.5499321219215288,0.5499321219215288,0.5499321219215288,0.5499321219215288,0.5499321219215288,0.588202689714527,0.6518622801030431,-0.6740287622878315,-0.6656566939850166,-0.6339117567357798,-0.6063784237219572,-0.580222309361719,-0.512720617327374,-0.46189288872754075,-0.4371072466568962,-0.40154480300686746,-0.3157806874585349,-0.2649714696384281,-0.2649714696384281,-0.2649714696384281,-0.35291854762631353,-0.47738641197085263,-0.48010703952868744,-0.3902237579622029,-0.31677730808835186,-0.2912024752559249,-0.2912024752559249,-0.2912024752559249,-0.2912024752559249,-0.2912024752559249,-0.2912024752559249,-0.2912024752559249,-0.2912024752559249,-0.2912024752559249,-0.2912024752559249,-0.27881701019908006,-0.2328737999634061,-0.15206268958179214,-0.08310169277156454,-0.038031449472083464,-0.037128220202323495,-0.035320057911391416,-0.035320057911391416,-0.035320057911391416,-0.035320057911391416,-0.035320057911391416,-0.035320057911391416,-0.03441515277431699,-0.03441515277431699,-0.03441515277431699,-0.04516815760228487,-0.06640154255269673,-0.07414683349658191,-0.07414683349658191,-0.069306042491489,-0.06633906051430173,-0.06633906051430173,-0.06633906051430173,-0.06633906051430173,-0.07726147097581201,-0.021644271701997873,0.0351795740500818,0.1196878231870008,0.1633014880040297,0.18633454676165065,0.1915183474487942,0.1915183474487942,0.1915183474487942,0.1915183474487942,0.21200680355278206,0.2887135432888625,-0.35374672466959933,-0.3751739794596308,-0.3751739794596308,-0.3751739794596308,-0.3696047298108485,-0.3696047298108485,-0.3696047298108485,-0.3696047298108485,-0.3696047298108485,-0.3696047298108485,-0.3696047298108485,-0.3696047298108485,-0.3672862103251178,-0.3674809025506825,-0.3660896065094489,-0.366382910639809,-0.366382910639809,-0.3481368370833122,-0.3339932712107521,-0.3268955566173767,-0.3268955566173767,-0.3294093253623866,-0.3601922022444276,-0.376724377509896,-0.4068892281144643,-0.42734802245331804,-0.43130433766166015,-0.43915911002811464,-0.46754905048154793,-0.49016658296569215,-0.49229358865871164,-0.49229358865871164,-0.49229358865871164,-0.49229358865871164,-0.49229358865871164,-0.49229358865871164,-0.49229358865871164,-0.49229358865871164,-0.49229358865871164,-0.49229358865871164,-0.49229358865871164,-0.49229358865871164,-0.49229358865871164,-0.49229358865871164,-0.4956114391342217,-0.5019304333460713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-0.5093064533010753,-0.5195744539256002,-0.531631308049249,-0.531631308049249,-0.531631308049249,-0.531631308049249,-0.531631308049249,-0.531631308049249,-0.531631308049249,0.5313395111924196,0.5290339778958645,0.5266958112935244,0.525514535495896,0.525514535495896,0.525514535495896,0.525514535495896,0.527868964790673,-0.5324799958296033,-0.5402324973758685,-0.5423727714652553,-0.5485923393392368,-0.5495994161964998,-0.5495994161964998,-0.5495994161964998,-0.5495994161964998,-0.5495994161964998,-0.5495994161964998,-0.5495994161964998,-0.5495994161964998,-0.5495994161964998,-0.5495994161964998,-0.5495994161964998,-0.5495994161964998,-0.5495994161964998,-0.5495994161964998,-0.5418317119909776,-0.5397815409203617,-0.5368327176710551,-0.5368327176710551,-0.5368327176710551,-0.5368327176710551,-0.5368327176710551,-0.5329658301191251,-0.5280925278079358,-0.5280925278079358,-0.5271027012313938,-0.5251440745857558,-0.5251440745857558,-0.5251440745857558,-0.5251440745857558,-0.5251440745857558,-0.5251440745857558,-0.5251440745857558,-0.5251440745857558,-0.5251440745857558,-0.5251440745857558,-0.5251440745857558,-0.5212025565114657,-0.5173402511156512,-0.5173402511156512,-0.5173402511156512,-0.5173402511156512,-0.5173402511156512,-0.5173402511156512,-0.5173402511156512,-0.5173402511156512,-0.5173402511156512,-0.5173402511156512,-0.5173402511156512,-0.5173402511156512,-0.5173402511156512,-0.5173402511156512,-0.5173402511156512,-0.5173402511156512,-0.5112843243609785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-0.5089777634402962,-0.5060865707860805,-0.5052176763733747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,-0.5043409908795793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</si>
  <si>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-0.34578954544097623,0.4122725189906993,0.45888436091956286,0.48744809011912144,0.49625678480065366,0.4864041699021254,-0.4350487179639158,-0.34741602913423536,-0.21702107367454176,-0.06609649392987917,0.01299911770458964,0.16314246761576548,0.21997502623749562,0.21997502623749562,0.22093926238709427,0.22093926238709427,0.22093926238709427,0.22093926238709427,0.28492981265940465,0.3295937512096035,0.3397830488570103,0.3465498018786866,0.3465498018786866,0.34057284582188,0.34057284582188,0.34057284582188,0.34057284582188,0.38204114443129117,0.38705562684734446,0.38705562684734446,0.38705562684734446,0.38705562684734446,0.38705562684734446,0.38705562684734446,0.38705562684734446,0.38705562684734446,0.38705562684734446,0.3864107587288115,0.4042877143391198,0.44254716014945616,0.45507124679744043,0.46621791981401534,0.4688268974440558,0.47337031214005104,0.47337031214005104,0.47337031214005104,0.4682195423619407,0.40974317193857746,0.36197969160881166,0.30540634206284123,0.28824046917873,0.24345119526436518,0.22320936921556972,0.16251653109071956,0.14267681512691185,0.1360267363150129,0.1288377964764084,0.12163952955997358,0.12163952955997358,0.12831468023711395,0.18219362695483057,0.1978695423644487,0.20695551640230198,0.20957938805145296,0.21160080000992734,0.21675240128366,0.2218312444063028,0.22742359119482977,0.22742359119482977,0.22742359119482977,0.2366246442865058,0.24942368729643974,0.28951005578410194,0.29214435987851445,0.23540649348928178,0.20432658084612834,0.1984475068894678,0.21154703438153077,0.26215756126105855,0.3096996344579761,0.34594602217022097,0.35392217310061785,0.35817088519949464,0.3620107653921743,0.3620107653921743,0.35871490372843495,0.35871490372843495,0.35522691043698246,0.33762393673324,0.327054848513806,0.3199632816166851,0.30902385288395134,0.28296674929036325,0.2792263909112746,0.2754817265160751,0.26052592443845396,0.26052592443845396,0.24166937196921814,0.23405976824785704,0.2302679361099852,0.245031379935571,0.2971447528892607,0.44801326565251054,0.48425686026201425,0.5332506993403068,0.5689101360700342,0.5721002558768288,0.5721002558768288,0.5721002558768288,0.5609179696881444,0.45911802910848093,0.31837246390804347,0.30192122721574294,0.2986873523636931,0.28612235556442783,0.2643589697479215,0.2707331837741638,0.28473594623270304,0.3224850816063487,0.3224850816063487,0.3224850816063487,0.3224850816063487,0.3224850816063487,0.3224850816063487,0.3224850816063487,0.3224850816063487,0.3224850816063487,0.3065313225114033,0.2739472111461871,0.2858019876319845,0.34835535465773604,0.4239483597759288,0.48916131363315324,-0.5470886816353417,-0.5485810478509074,-0.5749982893395537,0.6201393649053728,0.6623536143190577,0.6714170653196939,0.6927573223769761,0.7129022530643114,0.7161154622005367,0.7161154622005367,0.7161154622005367,0.7161154622005367,0.7161154622005367,0.7161154622005367,0.7225781187782947,0.7464779109048066,0.7552320143663374,0.7525114218961184,0.7376743224785823,0.7239701160172833,0.7165657529355809,0.7096251733119537,0.7083436803928721,0.7083436803928721,0.7083436803928721,0.7083436803928721,0.7083436803928721,0.7083436803928721,0.7083436803928721,0.706400284035819,0.709847133793756,0.6974238236041973,0.6785952098103915,0.6547658522735098,0.620355783354035,-0.5896494389916906,-0.5749886668351804,-0.5604817127283529,-0.556099608072986,-0.5571503732913594,-0.5571503732913594,-0.5609340337811403,-0.5662270219461198,-0.5684027046772081,-0.5708125870748006,-0.5744825174978392,-0.5637368114257855,-0.5526736833179545,-0.5526736833179545,-0.5526736833179545,-0.5526736833179545,-0.5526736833179545,-0.5526736833179545,-0.5467417852221498,-0.5375006673213885,-0.534403653371945,-0.5308619851871827,-0.5663153234425954,-0.5795384556913032,-0.5923927622656496,-0.6041917221562147,0.6125626707169223,0.6279524313753339,0.6438990631797892,0.6504014293902483,0.6512761949623463,0.653659245547146,0.6582282282496525,0.6585119527618675,0.6607715520406474,0.6697077039165638,0.6716691217608136,0.6716691217608136,0.6716691217608136,0.6779522016263347,0.6779522016263347,0.6779522016263347,0.6779522016263347,0.6779522016263347,0.6779522016263347,0.6843162267626975,0.6846008366853734,0.6841719395026372,0.6836947157243171,0.6783310130802578,0.6783310130802578,0.6783310130802578,0.6736169626168882,0.6697129840054434,0.6664451463672899,0.6634841713744133,0.6634841713744133,0.6634841713744133,0.6634841713744133,0.6634841713744133,0.6634841713744133,0.6634841713744133,0.6634841713744133,0.6634841713744133,0.6634841713744133,0.6634841713744133,0.6634841713744133,0.6634841713744133,0.6634841713744133,0.6634841713744133,0.6634841713744133,0.6677948478250039,0.6677948478250039,0.6677948478250039,0.6677948478250039,0.6622237266037457,0.6350583229806787,0.6257617157245864,0.6134270058046396,-0.6038325677769961,-0.6004770584453663,-0.6004770584453663,-0.6004770584453663,-0.6004770584453663,-0.6111503422846754,0.6207513093846698,0.6207513093846698,0.6207513093846698,0.6207513093846698,0.6177175968848378,-0.599695142770141,-0.5839801499703516,-0.5686304233183129,-0.5564655018535496,-0.5534526595224392,-0.5504312822671739,-0.4663980694640586,-0.38405334836369037,-0.3558108502417138,-0.34882478745094747,-0.34882478745094747,-0.34882478745094747,-0.34882478745094747,-0.29641498296714325,-0.23352911932208714,-0.2411266389881299,-0.26382808504337085,-0.2987834479083997,-0.37627960463506704,-0.4343975624830873,-0.4520563890187623,-0.3964416893914378,-0.37470843965497513,-0.36381937569617834,-0.3868885817850886,-0.39596880370753085,-0.448434010751502,-0.4930485988242773,-0.5188163849527706,-0.5214770247875826,-0.5150505002693968,-0.5150505002693968,-0.5150505002693968,-0.5150505002693968,-0.5150505002693968,-0.5150505002693968,-0.5150505002693968,-0.5150505002693968,-0.5150505002693968,-0.5150505002693968,-0.5150505002693968,-0.5150505002693968,-0.5150505002693968,-0.5150505002693968,-0.5150505002693968,-0.5579873719597146,-0.604554316738793,0.6467326873406658,-0.5949773926275217,-0.4894118605051894,-0.4894118605051894,-0.5010598220910202,-0.5838436366724531,-0.5770572990313867,-0.5752318220056499,-0.5752318220056499,-0.5752318220056499,-0.5752318220056499,-0.5752318220056499,-0.5824290236047749,-0.609272722681608,0.6382532996154567,0.6946984651877304,0.7216920151969093,0.7238783511293596,0.7253639484256934,0.724024206369072,0.6966500152280818,0.6657279026921253,0.5006320791433015,0.3197011508342099,0.3193688169204294,0.3193688169204294,0.3193688169204294,-0.0782964300114436,-0.25139122142284104,-0.23146112033428398,0.25436185825175367,0.6846593331155093,0.8634362958440712,0.8634362958440712,0.8634362958440712,0.8634362958440712,0.8634362958440712,0.8634362958440712,0.8634362958440712,0.8634362958440712,0.8634362958440712,0.8634362958440712,0.8449231536960574,0.8045059532193666,0.730305441733096,0.6585549358545846,0.5862547058923888,0.5832033177174106,0.5770736074140855,0.5770736074140855,0.5770736074140855,0.5770736074140855,0.5770736074140855,0.5770736074140855,0.5739953798134488,0.5739953798134488,0.5739953798134488,0.5874646773978502,0.6136250874935961,0.6175745726122392,0.6175745726122392,0.60285945649067,0.6038256980407027,0.6038256980407027,0.6038256980407027,0.6038256980407027,0.5869638817318586,0.40532278918604114,0.2680354903754084,0.04329533283582556,-0.07004280662666335,-0.1357545175268036,-0.1071240000072224,-0.1071240000072224,-0.1071240000072224,-0.1071240000072224,-0.18043371964812263,-0.4500080543003696,0.660907759483994,0.7271446464007661,0.7271446464007661,0.7271446464007661,0.7161331296095297,0.7161331296095297,0.7161331296095297,0.7161331296095297,0.7161331296095297,0.7161331296095297,0.7161331296095297,0.7161331296095297,0.7163361772334569,0.7186520053282054,0.7302334370439917,0.7347310611686884,0.7347310611686884,0.7309377203667948,0.7265147787688861,0.7264781549371314,0.7264781549371314,0.7192958393967974,0.7037580118650792,0.6998612213207371,0.6932296529790916,0.6892157534085189,0.6859706112973053,0.6792950817741835,0.6610796075452359,0.6425257050071483,0.6416211279161413,0.6416211279161413,0.6416211279161413,0.6416211279161413,0.6416211279161413,0.6416211279161413,0.6416211279161413,0.6416211279161413,0.6416211279161413,0.6416211279161413,0.6416211279161413,0.6416211279161413,0.6416211279161413,0.6416211279161413,0.6376541611414597,0.6347993594118019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0.6287332740545226,0.623547510846455,0.6170074634249838,0.6170074634249838,0.6170074634249838,0.6170074634249838,0.6170074634249838,0.6170074634249838,0.6170074634249838,-0.6119113959116839,-0.6079009926336989,-0.6038530911612533,-0.6018151565414285,-0.6018151565414285,-0.6018151565414285,-0.6018151565414285,-0.6058817136199653,0.6139024583305668,0.6275731144834419,0.6313923628732365,0.6426154941959155,0.6444514982851746,0.6444514982851746,0.6444514982851746,0.6444514982851746,0.6444514982851746,0.6444514982851746,0.6444514982851746,0.6444514982851746,0.6444514982851746,0.6444514982851746,0.6444514982851746,0.6444514982851746,0.6444514982851746,0.6444514982851746,0.639042370989072,0.6352478146383097,0.6343643490109657,0.6343643490109657,0.6343643490109657,0.6343643490109657,0.6343643490109657,0.6364086266780471,0.641354523640462,0.641354523640462,0.644275618681606,0.6452272555701212,0.6452272555701212,0.6452272555701212,0.6452272555701212,0.6452272555701212,0.6452272555701212,0.6452272555701212,0.6452272555701212,0.6452272555701212,0.6452272555701212,0.6452272555701212,0.6471006642195626,0.6440529042243289,0.6440529042243289,0.6440529042243289,0.6440529042243289,0.6440529042243289,0.6440529042243289,0.6440529042243289,0.6440529042243289,0.6440529042243289,0.6440529042243289,0.6440529042243289,0.6440529042243289,0.6440529042243289,0.6440529042243289,0.6440529042243289,0.6440529042243289,0.6468066222087542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0.6526492936112702,0.6514724630618492,0.6494233659716533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,0.6473642539703759</t>
  </si>
  <si>
    <t>bola_g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</si>
  <si>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</t>
  </si>
  <si>
    <t>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0.624883987936306,-0.6082459995938483,-0.4426704273881117,-0.3544965488542811,-0.29883750449973984,-0.2309066665830836,-0.17012683146414292,-0.15207340202747802,-0.09887830602828916,-0.08653704938659272,-0.08029200465848302,-0.08131963418313394,-0.09570720481508091,-0.10024385081818173,-0.09704398052312367,-0.09117653374908397,-0.08424831580317302,-0.07903841718691529,-0.038227199628739064,0.03608757472041872,0.1017510677885551,0.11918497305397428,0.12927278678909424,0.12927278678909424,0.12927278678909424,0.12927278678909424,0.12927278678909424,0.12927278678909424,0.12927278678909424,0.12927278678909424,0.12927278678909424,0.12927278678909424,0.12927278678909424,0.12927278678909424,0.1669006931907031,0.20146801293256122,0.20870808930296164,0.21359841376158664,0.21832699171299066,0.23006389827363122,0.23659006363829274,0.23659006363829274,0.23659006363829274,0.23659006363829274,0.23659006363829274,0.23659006363829274,0.23659006363829274,0.23659006363829274,0.23659006363829274,0.33941493717744525,0.6535358822908284,0.7781534660774535,0.8847089150871649,0.9295358813456124,0.9455308233552256,0.9565643855183443,0.9663147241326426,0.9820980210644304,0.9820980210644304,0.9820980210644304,0.9820980210644304,0.9820980210644304,0.9820980210644304,0.9820980210644304,0.9820980210644304,0.9820980210644304,0.9919479284687145,0.9656936676291719,0.921656619994695,0.8800782682832128,0.8469203432021117,0.8455559435093004,0.8455559435093004,0.9401463005075766,0.964508526462325,0.9806774035981647,0.9568001886449699,0.9115273480132206,0.8894860428517791,0.882205779524077,0.8749051233598171,0.8814578008073545,0.8828362228283809,0.883693434509371,0.8911269499371637,0.8923833781492927,0.8923833781492927,0.8970915521640517,0.9070293662489541,0.9642949154286661,0.9951912173402477,0.9578110884818819,0.909561273365192,0.8510620219533166,0.7917626412577333,-0.7463836364272627,-0.6588194446109826,-0.5997735712903551,-0.5997735712903551,-0.5997735712903551,-0.5997735712903551,-0.5997735712903551,-0.5997735712903551,-0.5997735712903551,-0.6107603583540815,-0.6645464326973993,-0.6730601930268028,-0.6823575470796382,-0.681604644504607,-0.681604644504607,-0.7119876360762656,-0.7039456253078314,-0.6898154647226244,-0.6666453219481552,-0.6396014783281845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0.6310993918067092,-0.609816114613409,-0.5462224104680313,-0.5176347120523481,-0.49579232976073206,-0.4864038648637075,-0.4864038648637075,-0.48436138078625035,-0.487632118758983,-0.4934963024241078,-0.5013350206740653,-0.5065222439700428,-0.5116782225899409,-0.5116782225899409,-0.5173208110842464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-0.5244064293345635,-0.5284064116758584,-0.532373799422607,-0.532373799422607,-0.5343451937668399,-0.5343451937668399,-0.5343451937668399,-0.5343451937668399,-0.5388510661075818,-0.5388510661075818,-0.5388510661075818,-0.5317878541171074,-0.5272573465624686,-0.525271533289114,-0.5232776196794072,-0.5187147111541093,-0.5187147111541093,-0.5187147111541093,-0.5187147111541093,-0.5135817844450333,-0.5110034211718267,-0.5084171775941941,-0.5084171775941941,-0.5084171775941941,-0.5084171775941941,-0.5011984814222108,-0.4959779080326146,-0.4959779080326146,-0.4959779080326146,-0.4959779080326146,-0.49801631115279443,-0.5014665603336336,-0.5034771510239102,-0.5034771510239102,-0.5094622142304904,-0.5127213924094363,-0.5205066691109651,-0.5205066691109651,-0.5205066691109651,-0.522432995875055,-0.522432995875055,-0.522432995875055,-0.522432995875055,-0.522432995875055,-0.522432995875055,-0.522432995875055,-0.522432995875055,-0.522432995875055,-0.522432995875055,-0.522432995875055,-0.522432995875055,-0.522432995875055,-0.5200324714666923,-0.5200324714666923,-0.5272472790190212,-0.554815964217396,-0.574582425001158,-0.5781192591887132,-0.5781192591887132,-0.5868644260240511,-0.5912089540600842,-0.5955352477737734,-0.600719996121739,-0.600719996121739,-0.6050054892730784,-0.6050054892730784,-0.6050054892730784,-0.6050054892730784,-0.6050054892730784,-0.6050054892730784,-0.5981263857497727,-0.5859632204543506,-0.5763067583733782,-0.5709848278825438,-0.5709848278825438,-0.5656276763600455,-0.5656276763600455,-0.562935995894587,-0.562935995894587,-0.5557686147550562,-0.5530527629153221,-0.5485566849544755,-0.5485566849544755,-0.5485566849544755,-0.5485566849544755,-0.5485566849544755,-0.5485566849544755,-0.5485566849544755,-0.5485566849544755,-0.5485566849544755,-0.5422568826811044,-0.5350053019147413,-0.529479889280692,-0.5238809902925133,-0.5238809902925133,-0.5209176843686725,-0.5217044792558856,-0.5217044792558856,-0.5159503084117542,-0.5081668289498327,-0.5062012923590564,-0.5022468308598985,-0.5022468308598985,-0.5022468308598985,-0.49689401227314317,-0.49689401227314317,-0.49689401227314317,-0.49689401227314317,-0.5110826699613661,-0.5140875300549949,-0.5261987813426031,-0.535345917087323,-0.535345917087323,-0.5498485980707725,-0.5551780084517085,-0.5656049412754682,-0.57070101656743,-0.5790181145921127,-0.5790181145921127,-0.5790181145921127,-0.5790181145921127,-0.567628609283051,-0.5580197072655241,-0.5471465827308447,-0.5264281052105734,-0.5225544270043248,-0.5186485151814878,-0.5186485151814878,-0.5186485151814878,-0.516683546878781,-0.516683546878781,-0.516683546878781,-0.516683546878781,-0.516683546878781,-0.5081039654508395,-0.46927227442011354,-0.4488313478008867,-0.4488313478008867,-0.4488313478008867,-0.4488313478008867,-0.4433555840288562,-0.4460969055977327,-0.46390139103142264,-0.48149060206749544,-0.49356829880885356,-0.5154202213360876,-0.536931178936607,-0.559970413024576,-0.5738211105648153,-0.5738211105648153,-0.5738211105648153,-0.5738211105648153,-0.5738211105648153,-0.5738211105648153,-0.5738211105648153,-0.5738211105648153,-0.5738211105648153,-0.5738211105648153,-0.5738211105648153,-0.5738211105648153,-0.5738211105648153,-0.5738211105648153,-0.5738211105648153,-0.5650461905318442,-0.5561866707630376,-0.5491793169786415,-0.5491793169786415,-0.5491793169786415,-0.5491793169786415,-0.5421384698838014,-0.5421384698838014,-0.5421384698838014,-0.5421384698838014,-0.5421384698838014,-0.5395702732488412,-0.5395702732488412,-0.5395702732488412,-0.5395702732488412,-0.5395702732488412,-0.5395702732488412,-0.5395702732488412,-0.5395702732488412,-0.5395702732488412,-0.5395702732488412,-0.5395702732488412,-0.5395702732488412,-0.5434329653649174,-0.5446826775078933,-0.542086435844595,-0.542086435844595,-0.543993994525736,-0.5477839154209299,-0.5496662191897177,-0.5496662191897177,-0.5496662191897177,-0.5589500140806696,-0.5644170834246095,-0.5707246059855412,-0.5724879601624777,-0.575988156043333,-0.575988156043333,-0.5653818452318287,-0.5375062132013643,-0.5198794169890119,-0.5118355215639581,-0.5118355215639581,-0.5118355215639581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-0.5077660906782994,-0.5103237820137616,-0.5149088906413648,-0.5149088906413648,-0.5194781182261906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,-0.5285683670572902</t>
  </si>
  <si>
    <t>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-0.03659230559987375,-0.03659230559987375,0.044660743786658734,0.06591631074619987,0.0615096748097956,0.0009217747663251623,-0.08811095643371346,-0.18100507834869492,-0.21440678663030827,-0.33072930485875873,-0.3870577243249274,-0.40427669469378197,-0.42988798433352204,-0.47955334805793703,-0.49826488958530496,-0.535458657109754,-0.5510986795496942,-0.562071212714325,-0.5702097488723878,-0.5736742514305212,-0.5428041161810633,-0.49662401452259175,-0.48563306382833393,-0.47646447477142734,-0.47646447477142734,-0.47646447477142734,-0.47646447477142734,-0.47646447477142734,-0.47646447477142734,-0.47646447477142734,-0.47646447477142734,-0.47646447477142734,-0.47646447477142734,-0.47646447477142734,-0.47646447477142734,-0.43613815057743943,-0.3915759275403438,-0.3789613851187377,-0.37383500405634484,-0.3636642404800352,-0.3405519262168946,-0.31737812690153755,-0.31737812690153755,-0.31737812690153755,-0.31737812690153755,-0.31737812690153755,-0.31737812690153755,-0.31737812690153755,-0.31737812690153755,-0.31737812690153755,-0.274176672170053,-0.06843201757545223,-0.023096329568838683,-0.04461193447126259,-0.0951951278766114,-0.1197775336176133,-0.12977052129392813,-0.12902649291867938,-0.10690667081802138,-0.10690667081802138,-0.10690667081802138,-0.10690667081802138,-0.10690667081802138,-0.10690667081802138,-0.10690667081802138,-0.10690667081802138,-0.10690667081802138,-0.10479673188292657,-0.10354661555160267,-0.12924390302359595,-0.16363391027780833,-0.21788907087148368,-0.22021584329073868,-0.22021584329073868,-0.18328929060005436,-0.16745930971285442,-0.17481489865795402,-0.16977509038913802,-0.15421015950224823,-0.14205541015429538,-0.12224845730160355,-0.09758761200333892,-0.06961546631355361,-0.044800670779771734,-0.027881476071532386,-0.006621893664755161,-0.0053654560594702996,-0.0053654560594702996,0.004618117583994262,0.016170530815670187,0.04641908632768319,0.061109109380425,0.07654670602980185,0.06952336834648196,0.04720748746608777,0.014482944490442948,0.01851599064925828,0.06151622724288054,0.07716915410001454,0.07716915410001454,0.07716915410001454,0.07716915410001454,0.07716915410001454,0.07716915410001454,0.07716915410001454,0.11328075038820411,0.21065246127110723,0.23289078445622075,0.2766863647536934,0.2872592678074525,0.2872592678074525,0.18476091776522668,0.038440797033922273,-0.0764545872769573,-0.13537274129454485,-0.17675585943895317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0.1887856743507684,-0.17747940747762195,-0.18516144181255784,-0.18000108632466494,-0.17592850252119036,-0.17720311391614377,-0.17720311391614377,-0.17987233290604054,-0.18662559847547683,-0.19540524029282316,-0.20153192340412618,-0.2056008919449729,-0.2096571780550934,-0.2096571780550934,-0.21829360078749613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-0.21979593190430607,-0.2147284094499878,-0.2096476415367027,-0.2096476415367027,-0.2071023884408348,-0.2071023884408348,-0.2071023884408348,-0.2071023884408348,-0.20651962038897284,-0.20651962038897284,-0.20651962038897284,-0.20515013673317076,-0.2057235242597814,-0.20828203621352256,-0.21083733620079956,-0.21139787601015067,-0.21139787601015067,-0.21139787601015067,-0.21139787601015067,-0.2073729889037887,-0.20535573289922893,-0.20333531005541938,-0.20333531005541938,-0.20333531005541938,-0.20333531005541938,-0.20186583828735621,-0.19778751518066356,-0.19778751518066356,-0.19778751518066356,-0.19778751518066356,-0.19516803467287,-0.1852403839596727,-0.182601526445985,-0.182601526445985,-0.17466822125164658,-0.16473398310070117,-0.1540568981942323,-0.1540568981942323,-0.1540568981942323,-0.15138158459483506,-0.15138158459483506,-0.15138158459483506,-0.15138158459483506,-0.15138158459483506,-0.15138158459483506,-0.15138158459483506,-0.15138158459483506,-0.15138158459483506,-0.15138158459483506,-0.15138158459483506,-0.15138158459483506,-0.15138158459483506,-0.16585127426790172,-0.16585127426790172,-0.16714205819248076,-0.15104893506776637,-0.13367837777659308,-0.12842239559944638,-0.12842239559944638,-0.12666470949309264,-0.12578448214115312,-0.1249003752897955,-0.1283275822998459,-0.1283275822998459,-0.12745411303053306,-0.12745411303053306,-0.12745411303053306,-0.12745411303053306,-0.12745411303053306,-0.12745411303053306,-0.12664290038922713,-0.12237432205218432,-0.11980133297221046,-0.11630802695952512,-0.11630802695952512,-0.1128075465203047,-0.1128075465203047,-0.11105468335072978,-0.11105468335072978,-0.11023903808821447,-0.10847242994752886,-0.10942342641035292,-0.10942342641035292,-0.10942342641035292,-0.10942342641035292,-0.10942342641035292,-0.10942342641035292,-0.10942342641035292,-0.10942342641035292,-0.10942342641035292,-0.11307850157600435,-0.12399154829560592,-0.13215640361707315,-0.1403029169911439,-0.1403029169911439,-0.15030727886574094,-0.1549108787178832,-0.1549108787178832,-0.16296148132081578,-0.1736602428701818,-0.17632834113584137,-0.18165633896076003,-0.18165633896076003,-0.18165633896076003,-0.19428500505109617,-0.19428500505109617,-0.19428500505109617,-0.19428500505109617,-0.1467383487491207,-0.1366347830496952,-0.1248484644618245,-0.12306698652663653,-0.12306698652663653,-0.11306430798990424,-0.10491762732924624,-0.08858171424671205,-0.08039474908128519,-0.0667255734906311,-0.0667255734906311,-0.0667255734906311,-0.0667255734906311,-0.09721331630907179,-0.11786882288343115,-0.13394919768605845,-0.1632303422391511,-0.16852306018879473,-0.17380538284289085,-0.17380538284289085,-0.17380538284289085,-0.17644254408397197,-0.17644254408397197,-0.17644254408397197,-0.17644254408397197,-0.17644254408397197,-0.18235926064223804,-0.17798704384843403,-0.170901889907861,-0.170901889907861,-0.170901889907861,-0.170901889907861,-0.16669859733299228,-0.16880154518467116,-0.1737616521953541,-0.17866499612026532,-0.1794255598063031,-0.18353019352903846,-0.18746084196944543,-0.18870253193716102,-0.1911860282311083,-0.1911860282311083,-0.1911860282311083,-0.1911860282311083,-0.1911860282311083,-0.1911860282311083,-0.1911860282311083,-0.1911860282311083,-0.1911860282311083,-0.1911860282311083,-0.1911860282311083,-0.1911860282311083,-0.1911860282311083,-0.1911860282311083,-0.1911860282311083,-0.1924514086672182,-0.19373657581497705,-0.19246633154010365,-0.19246633154010365,-0.19246633154010365,-0.19246633154010365,-0.19115588276832243,-0.19115588276832243,-0.19115588276832243,-0.19115588276832243,-0.19115588276832243,-0.18921765993072798,-0.18921765993072798,-0.18921765993072798,-0.18921765993072798,-0.18921765993072798,-0.18921765993072798,-0.18921765993072798,-0.18921765993072798,-0.18921765993072798,-0.18921765993072798,-0.18921765993072798,-0.18921765993072798,-0.18406714957120318,-0.1769725512449002,-0.17506216257976562,-0.17506216257976562,-0.17246039125752546,-0.16724891011933365,-0.16463928067086328,-0.16463928067086328,-0.16463928067086328,-0.15155385554170014,-0.14367423173638927,-0.1286700496012793,-0.12601994067965233,-0.12071393358453254,-0.12071393358453254,-0.13660830754065176,-0.17599326018276482,-0.1993398614170894,-0.2096379335343744,-0.2096379335343744,-0.2096379335343744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-0.21476773102520114,-0.2168086365760945,-0.21629077184425585,-0.21629077184425585,-0.21576623617885501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,-0.2146972169644395</t>
  </si>
  <si>
    <t>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-0.699006863382204,-0.699006863382204,0.7135721125587606,0.8166152661442623,0.8540925646363053,0.8660049972654902,0.8673532923978057,0.8543406783538793,0.8465757868761953,0.8090118038698635,0.786072920801076,0.7779835090804892,0.7668716343469699,0.7453494726359596,0.7361581408175192,0.7139274812010294,0.7028903119951619,0.6941473165949146,0.6874775542437447,0.6716693099324008,0.6585508997399091,0.6477397492180358,0.6431726939090391,0.6412212711598613,0.6412212711598613,0.6412212711598613,0.6412212711598613,0.6412212711598613,0.6412212711598613,0.6412212711598613,0.6412212711598613,0.6412212711598613,0.6412212711598613,0.6412212711598613,0.6412212711598613,0.633612860787334,0.6252301412461743,0.6234814676843705,0.6218230654493959,0.620706613382383,0.6172062264615222,0.6155214720562595,0.6155214720562595,0.6155214720562595,0.6155214720562595,0.6155214720562595,0.6155214720562595,0.6155214720562595,0.6155214720562595,0.6155214720562595,0.5669599666866224,0.3332511990742404,0.2309817737903794,0.19660408708979882,0.2324529527341258,0.23773372800250692,0.22011423562965635,0.18358816510340203,0.02322200552730198,0.02322200552730198,0.02322200552730198,0.02322200552730198,0.02322200552730198,0.02322200552730198,0.02322200552730198,0.02322200552730198,0.02322200552730198,-0.00919803456483943,-0.12321226532076786,-0.27415780090935954,-0.3893904295003418,-0.4687419566738743,-0.47120491536137044,-0.47120491536137044,-0.23042405717152922,-0.12118150537314153,-0.014122641696845342,-0.026831484600895204,-0.07039420764066048,-0.09857126268014858,-0.13975163082974873,-0.18842265176180376,-0.23315559145480885,-0.27310540197623906,-0.2982320310042393,-0.3199370387034879,-0.3199605758391779,-0.3199605758391779,-0.32701611665659747,-0.32664871268125406,-0.23243034724569514,-0.07376992216980428,0.12530710489190827,0.1795541486978845,0.19458817750890497,0.18209178444171795,-0.1574833387490321,-0.12672722811376794,-0.11644925892058056,-0.11644925892058056,-0.11644925892058056,-0.11644925892058056,-0.11644925892058056,-0.11644925892058056,-0.11644925892058056,-0.08866933720501086,-0.014259374636431775,0.004129685517582138,0.042573905491802,0.053286659447874744,0.053286659447874744,-0.06579154686723312,-0.21634316139875762,-0.32573517968724364,-0.3831381111324188,-0.4267560736508364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0.43923155070951075,-0.44724085386264173,-0.48973180898732466,-0.5037431391019497,-0.5139167249204057,-0.5191605987274212,-0.5191605987274212,-0.5210666942227292,-0.5215359679865454,-0.5212121049142725,-0.5188739250454738,-0.5172751100473462,-0.5156443870857487,-0.5156443870857487,-0.5151339521510397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-0.5113581704491817,-0.507223762961086,-0.5030580675239177,-0.5030580675239177,-0.5009635670493805,-0.5009635670493805,-0.5009635670493805,-0.5009635670493805,-0.4980441987890933,-0.4980441987890933,-0.4980441987890933,-0.5017530285071438,-0.504649243718948,-0.5067158819361244,-0.5087747059680295,-0.5116396648002611,-0.5116396648002611,-0.5116396648002611,-0.5116396648002611,-0.5132841825457275,-0.514094574513238,-0.5148970385069167,-0.5148970385069167,-0.5148970385069167,-0.5148970385069167,-0.5184808502402694,-0.5200502933101648,-0.5200502933101648,-0.5200502933101648,-0.5200502933101648,-0.518098587774721,-0.512978674735497,-0.5110054698954593,-0.5110054698954593,-0.5050386956834085,-0.49967349239375536,-0.4915583715554556,-0.4915583715554556,-0.4915583715554556,-0.4895105617412744,-0.4895105617412744,-0.4895105617412744,-0.4895105617412744,-0.4895105617412744,-0.4895105617412744,-0.4895105617412744,-0.4895105617412744,-0.4895105617412744,-0.4895105617412744,-0.4895105617412744,-0.4895105617412744,-0.4895105617412744,-0.49652563615348755,-0.49652563615348755,-0.49309946331654875,-0.47145535294340396,-0.4525847496685462,-0.4480580776058448,-0.4480580776058448,-0.4424917578525639,-0.43968292621563576,-0.4368605336876712,-0.43586610474145027,-0.43586610474145027,-0.4329964348124485,-0.4329964348124485,-0.4329964348124485,-0.4329964348124485,-0.4329964348124485,-0.4329964348124485,-0.436336287264905,-0.44060692687883757,-0.4443156605923456,-0.44524286461920226,-0.44524286461920226,-0.44614260397052447,-0.44614260397052447,-0.44658215698278864,-0.44658215698278864,-0.44964778448358933,-0.4500772239859441,-0.45266807317412366,-0.45266807317412366,-0.45266807317412366,-0.45266807317412366,-0.45266807317412366,-0.45266807317412366,-0.45266807317412366,-0.45266807317412366,-0.45266807317412366,-0.4574100055291697,-0.46587097666235955,-0.4721413843548672,-0.4783462636870492,-0.4783462636870492,-0.48393006287059986,-0.48536737558092385,-0.48536737558092385,-0.4914797373277806,-0.4995232996658313,-0.5015150093147656,-0.5054751960731176,-0.5054751960731176,-0.5054751960731176,-0.512553178572375,-0.512553178572375,-0.512553178572375,-0.512553178572375,-0.4884498075568239,-0.48299948688088606,-0.472272730983446,-0.4671518690743669,-0.4671518690743669,-0.45562379401814074,-0.44911457492211676,-0.43591005136455996,-0.42921657955486886,-0.41792887606633994,-0.41792887606633994,-0.41792887606633994,-0.41792887606633994,-0.43991988452096614,-0.4549381341600969,-0.4679586697730155,-0.49114982403964763,-0.49526918986340474,-0.4993580051524249,-0.4993580051524249,-0.4993580051524249,-0.5013908774544406,-0.5013908774544406,-0.5013908774544406,-0.5013908774544406,-0.5013908774544406,-0.5081423097729434,-0.5267873217193308,-0.5345142169391129,-0.5345142169391129,-0.5345142169391129,-0.5345142169391129,-0.5358399777277958,-0.5351812239114702,-0.5282979037616923,-0.5211461692156132,-0.5152181839797276,-0.5049876709149802,-0.4944690369215511,-0.48143151671128076,-0.4739557015888056,-0.4739557015888056,-0.4739557015888056,-0.4739557015888056,-0.4739557015888056,-0.4739557015888056,-0.4739557015888056,-0.4739557015888056,-0.4739557015888056,-0.4739557015888056,-0.4739557015888056,-0.4739557015888056,-0.4739557015888056,-0.4739557015888056,-0.4739557015888056,-0.4799642387946752,-0.485864008346271,-0.4895310020905078,-0.4895310020905078,-0.4895310020905078,-0.4895310020905078,-0.49319034176721366,-0.49319034176721366,-0.49319034176721366,-0.49319034176721366,-0.49319034176721366,-0.4939372044093632,-0.4939372044093632,-0.4939372044093632,-0.4939372044093632,-0.4939372044093632,-0.4939372044093632,-0.4939372044093632,-0.4939372044093632,-0.4939372044093632,-0.4939372044093632,-0.4939372044093632,-0.4939372044093632,-0.4896842389012113,-0.4861302584657074,-0.48682147787763025,-0.48682147787763025,-0.4846889612623644,-0.48040153752436277,-0.4782466965190009,-0.4782466965190009,-0.4782466965190009,-0.4673625327397087,-0.4607452779878633,-0.45015623793165566,-0.4479115424892931,-0.4434014642780668,-0.4434014642780668,-0.4568485345367598,-0.48934066374670127,-0.5080281549454692,-0.516131391499765,-0.516131391499765,-0.516131391499765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-0.5201353781309339,-0.519287978850982,-0.5164245432314016,-0.5164245432314016,-0.5135451798226309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,-0.5077390253523192</t>
  </si>
  <si>
    <t>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-0.34578954544097623,-0.34578954544097623,0.34475652585691585,0.3644687089364086,0.375599051899996,0.400912260908601,0.431991709238165,0.4565041381387328,0.4628313378733177,0.47575320146463307,0.47411709556515275,0.474188999992831,0.46956504816264805,0.45312567898344025,0.44693899123681213,0.44065183984229556,0.440366091332461,0.44174390316817735,0.442705752515725,0.46722250860709597,0.5199731635954385,0.5687218350708096,0.5799002977448952,0.5874567492919803,0.5874567492919803,0.5874567492919803,0.5874567492919803,0.5874567492919803,0.5874567492919803,0.5874567492919803,0.5874567492919803,0.5874567492919803,0.5874567492919803,0.5874567492919803,0.5874567492919803,0.616816354248364,0.6443339221344885,0.6512296534269131,0.6541858930425222,0.6593974105112993,0.6709332770687636,0.6814907070458074,0.6814907070458074,0.6814907070458074,0.6814907070458074,0.6814907070458074,0.6814907070458074,0.6814907070458074,0.6814907070458074,0.6814907070458074,0.6986995413146405,0.676129830612791,0.5836018873930602,0.42029363997996616,0.26993806268249154,0.18736989911856167,0.14033499718240533,0.1260293762720655,0.153346598316447,0.153346598316447,0.153346598316447,0.153346598316447,0.153346598316447,0.153346598316447,0.153346598316447,0.153346598316447,0.153346598316447,0.07051488036880668,-0.20379542777808052,-0.2422448937577935,-0.21693611621017272,-0.12462448843917194,-0.12044109140624756,-0.12044109140624756,-0.17156550780928245,-0.16430375749649484,0.08667255777161027,0.23449923054547764,0.3746755610670635,0.4229876430717779,0.43270978604847626,0.43533273183310917,0.4047521493694201,0.37948194024379495,0.3596751211582327,0.32169737469494786,0.3181954559587398,0.3181954559587398,0.29709574125643395,0.2652109748838418,0.11813855501981116,-0.02044789139805835,-0.24705596540206542,-0.36827313088715335,-0.485386782977898,-0.5828762701176758,0.6463494591785061,0.7389945215242651,0.7878807999525987,0.7878807999525987,0.7878807999525987,0.7878807999525987,0.7878807999525987,0.7878807999525987,0.7878807999525987,0.7786379164247663,0.7167986115950288,0.7019507139220049,0.6752927484239837,0.6708634388408403,0.6708634388408403,0.674246603033264,0.6754098742610675,0.6420326420268176,0.624870725379994,0.6144481822550351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-0.6108593714452155,-0.6108593714452155,0.6297626417273495,0.6538494276470601,0.6677550176585227,0.6775903833424425,0.6800607394880644,0.6800607394880644,0.6793596226076212,0.6748229670399707,0.6682934484570889,0.6624333406484525,0.6584754741981562,0.654476989881335,0.654476989881335,0.6475832715686944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0.6443605098900408,0.6460668917089887,0.6477334210811836,0.6477334210811836,0.6485517088787426,0.6485517088787426,0.6485517088787426,0.6485517088787426,0.647256634575223,0.647256634575223,0.647256634575223,0.65066043217318,0.6519253506928001,0.6511124516552761,0.6502895116588813,0.6515142668075495,0.6515142668075495,0.6515142668075495,0.6515142668075495,0.655568106383864,0.6575798772561082,0.6595815074337844,0.6595815074337844,0.6595815074337844,0.6595815074337844,0.6627426902552276,0.6666586127923781,0.6666586127923781,0.6666586127923781,0.6666586127923781,0.6674301801788174,0.6716175759196872,0.6723398327284796,0.6723398327284796,0.6744443495341551,0.6784584656237483,0.6809622947590601,0.6809622947590601,0.6809622947590601,0.6815620225704406,0.6815620225704406,0.6815620225704406,0.6815620225704406,0.6815620225704406,0.6815620225704406,0.6815620225704406,0.6815620225704406,0.6815620225704406,0.6815620225704406,0.6815620225704406,0.6815620225704406,0.6815620225704406,0.6749236075929836,0.6749236075929836,0.6715108029117234,0.6686503684627874,0.6686943790419226,0.6697236516323306,0.6697236516323306,0.6661435589038112,0.6643260954426784,0.662488142548693,0.6577904351828817,0.6577904351828817,0.6559252201743334,0.6559252201743334,0.6559252201743334,0.6559252201743334,0.6559252201743334,0.6559252201743334,0.6601644089670333,0.6689821862825771,0.6753530592391163,0.6798584857883341,0.6798584857883341,0.6843219754662275,0.6843219754662275,0.6865379078365843,0.6865379078365843,0.6904965396318987,0.6926737080488251,0.694408880036248,0.694408880036248,0.694408880036248,0.694408880036248,0.694408880036248,0.694408880036248,0.694408880036248,0.694408880036248,0.694408880036248,0.6956628583646658,0.6938008763168506,0.6922920229280217,0.6906870865381424,0.6906870865381424,0.6869237092152296,0.6842847117252295,0.6842847117252295,0.682412267366108,0.6797683922427524,0.679081190402377,0.6776753806664372,0.6776753806664372,0.6776753806664372,0.6727844502622986,0.6727844502622986,0.6727844502622986,0.6727844502622986,0.6918664227791659,0.6955260190501238,0.6960504083789596,0.6928408165700878,0.6928408165700878,0.6908617370956939,0.692145771495945,0.6944254873096388,0.6954208523220113,0.6968652490736368,0.6968652490736368,0.6968652490736368,0.6968652490736368,0.6890702636586751,0.6839241485591052,0.6809573502279596,0.6745377348693787,0.6732349356464105,0.6718906081238663,0.6718906081238663,0.6718906081238663,0.6712028970642172,0.6712028970642172,0.6712028970642172,0.6712028970642172,0.6712028970642172,0.6710937739018001,0.6860023778081513,0.6954405202079627,0.6954405202079627,0.6954405202079627,0.6954405202079627,0.6989441480020518,0.6971977099302679,0.6895677722359476,0.6816540835305775,0.6773086636060063,0.667567311755833,0.6573155355989383,0.6473393126441956,0.6399556458152642,0.6399556458152642,0.6399556458152642,0.6399556458152642,0.6399556458152642,0.6399556458152642,0.6399556458152642,0.6399556458152642,0.6399556458152642,0.6399556458152642,0.6399556458152642,0.6399556458152642,0.6399556458152642,0.6399556458152642,0.6399556458152642,0.642899360200098,0.6458008143775478,0.6493983269293386,0.6493983269293386,0.6493983269293386,0.6493983269293386,0.652923115491132,0.652923115491132,0.652923115491132,0.652923115491132,0.652923115491132,0.6550470483078039,0.6550470483078039,0.6550470483078039,0.6550470483078039,0.6550470483078039,0.6550470483078039,0.6550470483078039,0.6550470483078039,0.6550470483078039,0.6550470483078039,0.6550470483078039,0.6550470483078039,0.6565129418184834,0.6600597463357095,0.6621936151785462,0.6621936151785462,0.6628759749739299,0.6642100170986824,0.6648616788554726,0.6648616788554726,0.6648616788554726,0.6679659973537444,0.6697050543973035,0.6745938066047336,0.6750938898590012,0.6760628164693051,0.6760628164693051,0.6730311700692168,0.6638216311209675,0.6571882570649568,0.6539760870225281,0.6539760870225281,0.6539760870225281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0.6523094413575101,0.6503104240576499,0.6491477701584792,0.6491477701584792,0.6479650949629313,0.6455398272054045,0.6455398272054045,0.6455398272054045,0.6455398272054045,0.6455398272054045,0.6455398272054045,0.6455398272054045,0.6455398272054045,0.6455398272054045,0.6455398272054045,0.6455398272054045,0.6455398272054045,0.6455398272054045,0.6455398272054045,0.6455398272054045,0.6455398272054045,0.6455398272054045,0.6455398272054045,0.6455398272054045,0.6455398272054045</t>
  </si>
  <si>
    <t>19.20802320802986,19.20802320802986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</si>
  <si>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</t>
  </si>
  <si>
    <t>0,0,0,0,0,0,0,0,0,0,0,0,0,0,0,0,0,0,0,0,0,0,0,0,0,0,0,0,-0.0510096586213514,-0.09011773925014212,-0.12515141087512863,-0.16370257146531722,-0.19024263875717692,-0.19401161610498308,-0.1939936639966262,-0.1939936639966262,-0.1939936639966262,-0.1939936639966262,-0.1939936639966262,-0.1939936639966262,-0.19397272026616721,-0.18641964867636784,-0.1636933056126864,-0.1484911445088064,-0.13712918845070446,-0.12567527752756094,-0.0875189598255824,-0.0071868306516407856,0.1503570333864518,0.21908973117988959,0.32003128253181556,0.4957834995632159,0.556295297840838,0.569031131219697,0.569031131219697,0.569031131219697,0.569031131219697,0.569031131219697,0.5721932740725097,0.5721932740725097,0.5721932740725097,0.5481108874027325,0.48584353805835573,0.46512807067552403,0.44818442974661005,0.42699104655805226,0.39117474634850097,0.3339132323230181,0.30039239711273685,0.28316457705525183,0.2727750588167791,0.2727750588167791,0.2727750588167791,0.2686800310971532,0.25762908576233257,0.25067092708378785,0.24718602242021323,0.2436973058426164,0.2436973058426164,0.2436973058426164,0.2436973058426164,0.24569837260711114,0.2514958832744427,0.251563341414386,0.252732113625636,0.252732113625636,0.252732113625636,0.252732113625636,0.252732113625636,0.252732113625636,0.252732113625636,0.252732113625636,0.2544560189761983,0.26646070525203597,0.27424901461638945,0.27424901461638945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0.2778686028112338,0.27687860509785267,0.27687860509785267,0.27687860509785267,0.27687860509785267,0.27687860509785267,0.27687860509785267,0.27840946139377765,0.2803904599361359,0.28500810819999783,0.29326559510198597,0.29326559510198597,0.29326559510198597,0.27574815684401593,0.27208651061751726,0.26373974401919,0.26007191037176897,0.26007191037176897,0.25220650878715944,0.2480019934655266,0.2480019934655266,0.2480019934655266,0.2480019934655266,0.2590101750046057,0.2590101750046057,0.2626716557252711,0.27363156801245625,0.27363156801245625,0.27363156801245625,0.2850648940167349,0.2850648940167349,0.2850648940167349,0.2850648940167349,0.2850648940167349,0.2850648940167349,0.2850648940167349,0.2747260172659741,0.2669284738798196,0.2518293454841883,0.23356882583432853,0.2299056905764833,0.22007791066444696,0.22044756438749633,0.24066288190994678,0.255430100489405,0.26279030307479534,0.26279030307479534,0.26279030307479534,0.26279030307479534,0.26279030307479534,0.26279030307479534,0.26279030307479534,0.2577711822816902,0.2601466631512668,0.26152386876664396,0.2619748806395984,0.26286477756315685,0.26286477756315685,0.2827461849191397,0.2840765889392318,0.2840765889392318,0.2829177250343607,0.28413891501515837,0.2810974322995594,0.279220449049469,0.2779475811793312,0.2625822790983679,0.25199379371328723,0.24137033418558446,0.24137033418558446,0.24137033418558446,0.2689220358571785,0.2752652445434355,0.2863822890678343,0.2946080538328781,0.3011125585463952,0.30805665132172,0.3091630219626331,0.31025032197320007,0.31893467046868473,0.31893467046868473,0.31893467046868473,0.31893467046868473,0.31893467046868473,0.31995767781172996,0.32046178419391314,0.32046178419391314,0.32046178419391314,0.32290803454309047,0.3233823754865293,0.3233823754865293,0.3233823754865293,0.3233823754865293,0.3233823754865293,0.3233823754865293,0.3233823754865293,0.3233823754865293,0.3233823754865293,0.3233823754865293,0.32696246846544236,0.32696246846544236,0.32696246846544236,0.32696246846544236,0.32696246846544236,0.32696246846544236,0.32696246846544236,0.32696246846544236,0.32696246846544236,0.32696246846544236,0.32696246846544236,0.32696246846544236,0.32601550965911685,0.32601550965911685,0.31886422725430397,0.31886422725430397,0.31886422725430397,0.31886422725430397,0.31886422725430397,0.31886422725430397,0.31886422725430397,0.31886422725430397,0.31886422725430397,0.31886422725430397,0.322442354686557,0.322442354686557,0.322442354686557,0.322442354686557,0.322442354686557,0.322442354686557,0.322442354686557,0.322442354686557,0.322442354686557,0.322442354686557,0.322442354686557,0.322442354686557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0.3178833268010031,0.31837623190518033,0.31837623190518033,0.31837623190518033,0.318864227254304,0.318864227254304,0.32029867989570615,0.32029867989570615,0.32076696172857905,0.32076696172857905,0.32076696172857905,0.32076696172857905,0.3212302969383892,0.32887674790562166,0.3360477458234795,0.3360477458234795,0.3360477458234795,0.3360477458234795,0.3288767479056217,0.3288767479056217,0.32076696172857894,0.3135687917301507,0.3135687917301507,0.3135687917301507,0.3135687917301507,0.3058765222568167,0.3058765222568167,0.3058765222568167,0.3058765222568167,0.3058765222568167,0.3058765222568167,0.3058765222568167,0.3053904441804136,0.3048996566058559,0.30390398330899066,0.3023753436953889,0.3023753436953889,0.3018564606051636,0.3018564606051636,0.3018564606051636,0.3018564606051636,0.3018564606051636,0.30440416710169466,0.3063578833391403,0.30730642490167426,0.3082360103575071,0.3082360103575071,0.3091465823654326,0.3091465823654326,0.30551217978646017,0.30505638571859095,0.30366080591387884,0.3031862373581364,0.3027069932958333,0.3027069932958333,0.3027069932958333,0.3027069932958333,0.3027069932958333,0.3027069932958333,0.3027069932958333,0.3027069932958333,0.3027069932958333,0.3027069932958333,0.3027069932958333,0.3027069932958333,0.3027069932958333,0.3027069932958333,0.3027069932958333,0.3027069932958333,0.3027069932958333,0.3027069932958333,0.30222308111750523,0.30222308111750523,0.30222308111750523,0.30222308111750523,0.30222308111750523,0.30222308111750523,0.30222308111750523,0.30222308111750523,0.30222308111750523,0.30222308111750523</t>
  </si>
  <si>
    <t>0,0,0,0,0,0,0,0,0,0,0,0,0,0,0,0,0,0,0,0,0,0,0,0,0,0,0,0,0.047085382112880304,0.07052995363852424,0.09384201275195336,0.14782697994165878,0.1859973551951664,0.1897932608321438,0.19357134120839856,0.19357134120839856,0.19357134120839856,0.19357134120839856,0.19357134120839856,0.19357134120839856,0.19734643647529065,0.197295471432761,0.19706957195375108,0.19685818366540092,0.19285652777403334,0.19264559582723387,0.18410646221518237,0.15828878194641233,0.1268906322952489,0.12219800495915725,0.11402290017749285,0.12498062640647847,0.13144993765842847,0.12996693920268218,0.12996693920268218,0.12996693920268218,0.12996693920268218,0.12996693920268218,0.12959116459036177,0.12959116459036177,0.12959116459036177,0.17993248029511266,0.2620003541763912,0.29435174836951133,0.3519642422135926,0.36919625460410427,0.36482715678825545,0.36009551902836323,0.3511538159241158,0.3481950630212797,0.34635530292738825,0.34635530292738825,0.34635530292738825,0.3491982303032379,0.3507431063819768,0.3494300609321941,0.3487654501590666,0.3480954609915748,0.3480954609915748,0.3480954609915748,0.3480954609915748,0.33759973337258364,0.30583727743222466,0.26169270323795124,0.2544616384985591,0.2544616384985591,0.2544616384985591,0.2544616384985591,0.2544616384985591,0.2544616384985591,0.2544616384985591,0.2544616384985591,0.24358575031022894,0.23800585801475796,0.23547360704935952,0.23547360704935952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0.23600985192389856,0.21732929158241138,0.21732929158241138,0.21732929158241138,0.21732929158241138,0.21732929158241138,0.21732929158241138,0.2063969035666153,0.19177608896146162,0.18494154277006222,0.17855456856055685,0.17855456856055685,0.17855456856055685,0.19860018085477174,0.19810038602353766,0.20441289627745252,0.20389552733427888,0.20389552733427888,0.20651558833960493,0.20965377957931436,0.20965377957931436,0.20965377957931436,0.20965377957931436,0.21124839545399487,0.21124839545399487,0.21177342953536146,0.21332890479631095,0.21332890479631095,0.21332890479631095,0.2112060779667279,0.2112060779667279,0.2112060779667279,0.2112060779667279,0.2112060779667279,0.2112060779667279,0.2112060779667279,0.23193760074497385,0.23449333758397264,0.2359176609223721,0.2330607036538749,0.23247849442274662,0.22335275395628493,0.19688582320504266,0.1885153998892181,0.19066324574126223,0.1917195600996411,0.1917195600996411,0.1917195600996411,0.1917195600996411,0.1917195600996411,0.1917195600996411,0.1917195600996411,0.1458064187167074,0.12718284227953763,0.11598470102122584,0.11224833323391663,0.10477046228124305,0.10477046228124305,0.2346869730021679,0.24964795913576482,0.24964795913576482,0.2568193113381238,0.2716826456624969,0.289434393190126,0.30003231835897337,0.30707455825619256,0.31147544587280085,0.30944864196198874,0.3073788897674958,0.3073788897674958,0.3073788897674958,0.31634701700893814,0.32117443398350415,0.3196314343290086,0.31391739983431705,0.2970423662657007,0.2765194661185295,0.26944918576770466,0.26236228452287297,0.2527667040134223,0.2527667040134223,0.2527667040134223,0.2527667040134223,0.2527667040134223,0.24565950519312568,0.2421001958078534,0.2421001958078534,0.2421001958078534,0.22424874639348902,0.22066786142218778,0.22066786142218778,0.22066786142218778,0.22066786142218778,0.22066786142218778,0.22066786142218778,0.22066786142218778,0.22066786142218778,0.22066786142218778,0.22066786142218778,0.22113800740203898,0.22113800740203898,0.22113800740203898,0.22113800740203898,0.22113800740203898,0.22113800740203898,0.22113800740203898,0.22113800740203898,0.22113800740203898,0.22113800740203898,0.22113800740203898,0.22113800740203898,0.22828627560728043,0.22828627560728043,0.2273222208294187,0.2273222208294187,0.2273222208294187,0.2273222208294187,0.2273222208294187,0.2273222208294187,0.2273222208294187,0.2273222208294187,0.2273222208294187,0.2273222208294187,0.22780600474344617,0.22780600474344617,0.22780600474344617,0.22780600474344617,0.22780600474344617,0.22780600474344617,0.22780600474344617,0.22780600474344617,0.22780600474344617,0.22780600474344617,0.22780600474344617,0.22780600474344617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0.23447632660514217,0.2309010541071206,0.2309010541071206,0.2309010541071206,0.22732222082941866,0.22732222082941866,0.21656490848801227,0.21656490848801227,0.21297238452826453,0.21297238452826453,0.21297238452826453,0.21297238452826453,0.20937657627108364,0.20668786958116384,0.20758045741528153,0.20758045741528153,0.20758045741528153,0.20758045741528153,0.20668786958116386,0.20668786958116386,0.2129723845282645,0.21203420609938228,0.21203420609938228,0.21203420609938228,0.21203420609938228,0.21468522726892877,0.21468522726892877,0.21468522726892877,0.21468522726892877,0.21468522726892877,0.21468522726892877,0.21468522726892877,0.21829378267484068,0.22189897172078205,0.22909902839963767,0.23987247753938473,0.23987247753938473,0.24345630277653918,0.24345630277653918,0.24345630277653918,0.24345630277653918,0.24345630277653918,0.22550073881028132,0.21107336115143144,0.20383991962963782,0.19659390430217877,0.19659390430217877,0.18933576213738498,0.18933576213738498,0.18888378016793833,0.19251908202395632,0.20340695028504782,0.20703004070923106,0.21064993847426838,0.21064993847426838,0.21064993847426838,0.21064993847426838,0.21064993847426838,0.21064993847426838,0.21064993847426838,0.21064993847426838,0.21064993847426838,0.21064993847426838,0.21064993847426838,0.21064993847426838,0.21064993847426838,0.21064993847426838,0.21064993847426838,0.21064993847426838,0.21064993847426838,0.21064993847426838,0.21426658775686167,0.21426658775686167,0.21426658775686167,0.21426658775686167,0.21426658775686167,0.21426658775686167,0.21426658775686167,0.21426658775686167,0.21426658775686167,0.21426658775686167</t>
  </si>
  <si>
    <t>0,0,0,0,0,0,0,0,0,0,0,0,0,0,0,0,0,0,0,0,0,0,0,0,0,0,0,0,-0.0002158275965654115,-0.0009547369207605757,-0.0014303793029867282,0.001812124104507553,0.004159065254643762,0.0041905373444838705,0.004952384886792912,0.004952384886792912,0.004952384886792912,0.004952384886792912,0.004952384886792912,0.004952384886792912,0.005714156057205155,0.007263919125829504,0.01191013765274563,0.01500410253568299,0.01676884260570841,0.019039663751273396,0.025570540466057362,0.03854983199846695,0.06195586128590517,0.07076304753166138,0.08329789641449468,0.0926812340510802,0.09338207274303184,0.09543527824906223,0.09543527824906223,0.09543527824906223,0.09543527824906223,0.09543527824906223,0.09594492003385789,0.09594492003385789,0.09594492003385789,0.057364376667126016,-0.012014858638194806,-0.03693623388074612,-0.07420278618967137,-0.09319994239670563,-0.10905617518621111,-0.1345290023406769,-0.14725018019423405,-0.15411624214504224,-0.15820752870637766,-0.15820752870637766,-0.15820752870637766,-0.16063639562853152,-0.1658064908378981,-0.16855607848837656,-0.1699269838895525,-0.17129526880658333,-0.17129526880658333,-0.17129526880658333,-0.17129526880658333,-0.1684124570472343,-0.15962539486709887,-0.14980212615890773,-0.1478217524169527,-0.1478217524169527,-0.1478217524169527,-0.1478217524169527,-0.1478217524169527,-0.1478217524169527,-0.1478217524169527,-0.1478217524169527,-0.14483413324242608,-0.13995161920066726,-0.13701634295168996,-0.13701634295168996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-0.1360905861826994,-0.13157709639213863,-0.13157709639213863,-0.13157709639213863,-0.13157709639213863,-0.13157709639213863,-0.13157709639213863,-0.12830614195098142,-0.1239172475191445,-0.12092849541016214,-0.11723013608425048,-0.11723013608425048,-0.11723013608425048,-0.1268820885505623,-0.12766100926996513,-0.131345897788779,-0.13214761051019147,-0.13214761051019147,-0.1347795810247595,-0.136593311405217,-0.136593311405217,-0.136593311405217,-0.136593311405217,-0.13411396433871806,-0.13411396433871806,-0.13328336188499157,-0.13077927355258107,-0.13077927355258107,-0.13077927355258107,-0.12718149803200757,-0.12718149803200757,-0.12718149803200757,-0.12718149803200757,-0.12718149803200757,-0.12718149803200757,-0.12718149803200757,-0.1356025256367891,-0.13848349877013572,-0.14319680243527838,-0.1478011345529261,-0.14871521977828775,-0.14971980667551762,-0.14457679555385103,-0.1382223679119768,-0.1352442446464645,-0.13374262320511654,-0.13374262320511654,-0.13374262320511654,-0.13374262320511654,-0.13374262320511654,-0.13374262320511654,-0.13374262320511654,-0.12352076882896497,-0.11843595905914846,-0.1153630305267946,-0.11433514184565977,-0.1122740907942302,-0.1122740907942302,-0.14292206280507158,-0.14643708456326054,-0.14643708456326054,-0.14866367740681885,-0.1521217841998335,-0.15767115718712382,-0.16097174002521372,-0.16315974494553243,-0.1702096810646902,-0.1738672680457266,-0.17750072404107348,-0.17750072404107348,-0.17750072404107348,-0.16870467494511815,-0.1672558806837941,-0.1623509556480258,-0.15755403942960503,-0.15045083862403383,-0.14207867938054267,-0.13965485100419256,-0.1372224080593127,-0.13150714329837412,-0.13150714329837412,-0.13150714329837412,-0.13150714329837412,-0.13150714329837412,-0.12899820609137488,-0.12774074383970627,-0.12774074383970627,-0.12774074383970627,-0.12142427266813612,-0.12015528282250816,-0.12015528282250816,-0.12015528282250816,-0.12015528282250816,-0.12015528282250816,-0.12015528282250816,-0.12015528282250816,-0.12015528282250816,-0.12015528282250816,-0.12015528282250816,-0.11928779793865993,-0.11928779793865993,-0.11928779793865993,-0.11928779793865993,-0.11928779793865993,-0.11928779793865993,-0.11928779793865993,-0.11928779793865993,-0.11928779793865993,-0.11928779793865993,-0.11928779793865993,-0.11928779793865993,-0.12185204956740035,-0.12185204956740035,-0.1236412290928895,-0.1236412290928895,-0.1236412290928895,-0.1236412290928895,-0.1236412290928895,-0.1236412290928895,-0.1236412290928895,-0.1236412290928895,-0.1236412290928895,-0.1236412290928895,-0.12274758578989796,-0.12274758578989796,-0.12274758578989796,-0.12274758578989796,-0.12274758578989796,-0.12274758578989796,-0.12274758578989796,-0.12274758578989796,-0.12274758578989796,-0.12274758578989796,-0.12274758578989796,-0.12274758578989796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-0.12614174366961742,-0.12489244937923044,-0.12489244937923044,-0.12489244937923044,-0.12364122909288948,-0.12364122909288948,-0.11987620535849816,-0.11987620535849816,-0.11861747433452258,-0.11861747433452258,-0.11861747433452258,-0.11861747433452258,-0.11735691408246494,-0.11446065005751631,-0.11283381382746882,-0.11283381382746882,-0.11283381382746882,-0.11283381382746882,-0.11446065005751631,-0.11446065005751631,-0.11861747433452256,-0.1202864798427519,-0.1202864798427519,-0.1202864798427519,-0.1202864798427519,-0.1231784996654559,-0.1231784996654559,-0.1231784996654559,-0.1231784996654559,-0.1231784996654559,-0.1231784996654559,-0.1231784996654559,-0.1243787210540745,-0.12557702436906495,-0.12796780289075183,-0.1315391241146641,-0.1315391241146641,-0.132725531977389,-0.132725531977389,-0.132725531977389,-0.132725531977389,-0.132725531977389,-0.12677339113110883,-0.12197637871210655,-0.11956651229298791,-0.11714927044862189,-0.11714927044862189,-0.11472480228586283,-0.11472480228586283,-0.11546743555282019,-0.11666628563269375,-0.12025196723028118,-0.12144351010916474,-0.12263318017900124,-0.12263318017900124,-0.12263318017900124,-0.12263318017900124,-0.12263318017900124,-0.12263318017900124,-0.12263318017900124,-0.12263318017900124,-0.12263318017900124,-0.12263318017900124,-0.12263318017900124,-0.12263318017900124,-0.12263318017900124,-0.12263318017900124,-0.12263318017900124,-0.12263318017900124,-0.12263318017900124,-0.12263318017900124,-0.12382095909360759,-0.12382095909360759,-0.12382095909360759,-0.12382095909360759,-0.12382095909360759,-0.12382095909360759,-0.12382095909360759,-0.12382095909360759,-0.12382095909360759,-0.12382095909360759</t>
  </si>
  <si>
    <t>1,1,1,1,1,1,1,1,1,1,1,1,1,1,1,1,1,1,1,1,1,1,1,1,1,1,1,1,0.9975875575291955,0.9934301219459792,0.9876885921249049,0.9753693496841086,0.9639478328391621,0.9624554277242137,0.9617026921434081,0.9617026921434081,0.9617026921434081,0.9617026921434081,0.9617026921434081,0.9617026921434081,0.9609351259182907,0.9624289308922699,0.9665537926720114,0.9690057339528609,0.971452907395649,0.973000971341231,0.9786681713951523,0.986613866427994,0.9784952739790105,0.9654325084538831,0.9368245390088128,0.8543937929541995,0.8151909248636072,0.8063524502862517,0.8063524502862517,0.8063524502862517,0.8063524502862517,0.8063524502862517,0.8041116585935013,0.8041116585935013,0.8041116585935013,0.8148055509966962,0.8337670622603703,0.8340555381556932,0.8183800068778604,0.8201747024157785,0.8378485627741671,0.860659699291485,0.8745128871272058,0.8802421282214442,0.8835169207673387,0.8835169207673387,0.8835169207673387,0.8832143484127694,0.8849377012484027,0.8869338009324579,0.8879113419940171,0.8888751903651,0.8888751903651,0.8888751903651,0.8888751903651,0.892914315058444,0.9042859690066932,0.9196695805161288,0.9216965242352426,0.9216965242352426,0.9216965242352426,0.9216965242352426,0.9216965242352426,0.9216965242352426,0.9216965242352426,0.9216965242352426,0.9246302993632112,0.9234530028054253,0.9222614489011491,0.9222614489011491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0.921177367133518,0.9267112197250917,0.9267112197250917,0.9267112197250917,0.9267112197250917,0.9267112197250917,0.9267112197250917,0.9292072018350876,0.9323345094153308,0.9327075120400397,0.9318640737625301,0.9318640737625301,0.9318640737625301,0.9318915482858645,0.9329672204903459,0.9334907446751756,0.9345192477445824,0.9345192477445824,0.9357230643929474,0.9358859819575187,0.9358859819575187,0.9358859819575187,0.9358859819575187,0.9328993993092436,0.9328993993092436,0.9318750781440658,0.9287159549477485,0.9287159549477485,0.9287159549477485,0.9262585305342526,0.9262585305342526,0.9262585305342526,0.9262585305342526,0.9262585305342526,0.9262585305342526,0.9262585305342526,0.9232239814036262,0.9244373342900531,0.927588008649439,0.9323535470172244,0.9332635782445262,0.9376903753514582,0.9443179518381885,0.9420392233257654,0.9381428381527968,0.9361077809863934,0.9361077809863934,0.9361077809863934,0.9361077809863934,0.9361077809863934,0.9361077809863934,0.9361077809863934,0.9471204387584543,0.9498005905887283,0.9512329821773505,0.9516811172547275,0.9525333524272909,0.9525333524272909,0.9189939627550837,0.9140747061266975,0.9140747061266975,0.9120858036418902,0.906814523368308,0.9013055928954002,0.8978333072937342,0.895449191979997,0.8972526164875199,0.9002837547241308,0.9031899428499705,0.9031899428499705,0.9031899428499705,0.8939486764415708,0.8905624618624479,0.8885173593674003,0.8887286905222972,0.8935667881508573,0.8991394404092447,0.9012834652488901,0.9033718946822871,0.9039333717574102,0.9039333717574102,0.9039333717574102,0.9039333717574102,0.9039333717574102,0.9058906969070817,0.906848412042679,0.906848412042679,0.906848412042679,0.9114269290379114,0.9123005218511538,0.9123005218511538,0.9123005218511538,0.9123005218511538,0.9123005218511538,0.9123005218511538,0.9123005218511538,0.9123005218511538,0.9123005218511538,0.9123005218511538,0.9110235711331419,0.9110235711331419,0.9110235711331419,0.9110235711331419,0.9110235711331419,0.9110235711331419,0.9110235711331419,0.9110235711331419,0.9110235711331419,0.9110235711331419,0.9110235711331419,0.9110235711331419,0.9092586770811064,0.9092586770811064,0.9117911268284492,0.9117911268284492,0.9117911268284492,0.9117911268284492,0.9117911268284492,0.9117911268284492,0.9117911268284492,0.9117911268284492,0.9117911268284492,0.9117911268284492,0.9105319227186744,0.9105319227186744,0.9105319227186744,0.9105319227186744,0.9105319227186744,0.9105319227186744,0.9105319227186744,0.9105319227186744,0.9105319227186744,0.9105319227186744,0.9105319227186744,0.9105319227186744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0.9099776389053035,0.9108914064026143,0.9108914064026143,0.9108914064026143,0.9117911268284492,0.9117911268284492,0.9144058680134828,0.9144058680134828,0.9152492635748237,0.9152492635748237,0.9152492635748237,0.9152492635748237,0.9160785448611442,0.9143407290739212,0.911729563348346,0.911729563348346,0.911729563348346,0.911729563348346,0.914340729073921,0.914340729073921,0.9152492635748237,0.9177403069843528,0.9177403069843528,0.9177403069843528,0.9177403069843528,0.9193350115951897,0.9193350115951897,0.9193350115951897,0.9193350115951897,0.9193350115951897,0.9193350115951897,0.9193350115951897,0.9184848582299812,0.9176205406928829,0.9158494666366199,0.9130869645720261,0.9130869645720261,0.9121379495397706,0.9121379495397706,0.9121379495397706,0.9121379495397706,0.9121379495397706,0.9167420723127396,0.9201709876780926,0.9218003566486735,0.9233728646345769,0.9233728646345769,0.9248884146361087,0.9248884146361087,0.9260952958083997,0.925346412099615,0.9230141883550401,0.9222082961960988,0.9213881824452516,0.9213881824452516,0.9213881824452516,0.9213881824452516,0.9213881824452516,0.9213881824452516,0.9213881824452516,0.9213881824452516,0.9213881824452516,0.9213881824452516,0.9213881824452516,0.9213881824452516,0.9213881824452516,0.9213881824452516,0.9213881824452516,0.9213881824452516,0.9213881824452516,0.9213881824452516,0.9205538597496664,0.9205538597496664,0.9205538597496664,0.9205538597496664,0.9205538597496664,0.9205538597496664,0.9205538597496664,0.9205538597496664,0.9205538597496664,0.9205538597496664</t>
  </si>
  <si>
    <t>source &gt;</t>
  </si>
  <si>
    <t>func</t>
  </si>
  <si>
    <t>Tabela de dados "crús"</t>
  </si>
  <si>
    <t>Tabela com precisão alterada</t>
  </si>
  <si>
    <t>precision</t>
  </si>
  <si>
    <t>decimals</t>
  </si>
  <si>
    <t>extra char</t>
  </si>
  <si>
    <t>cell char limit</t>
  </si>
  <si>
    <t>char/cell unit</t>
  </si>
  <si>
    <t>Max rows</t>
  </si>
  <si>
    <t>Max minutes @10Hz</t>
  </si>
  <si>
    <t>Dados "idênticos"</t>
  </si>
  <si>
    <t>X</t>
  </si>
  <si>
    <t>Shets: 50000. Excel/odp/csv: 32767. JSON/XML: 2mi</t>
  </si>
  <si>
    <t>Excel é + prático. No futuro usaremos json/xml</t>
  </si>
  <si>
    <t>Epoch (1673007423790)</t>
  </si>
  <si>
    <t>O tempo de sistema (numeros inteiros) tem 13 caracteres+1 da vírgula.</t>
  </si>
  <si>
    <t>Os seis primeiros caracteres determinam anos, meses, dias horas e dezenas de minutos.</t>
  </si>
  <si>
    <t>Na prática, os 6 primeiros caracteres não mudam durante um teste,</t>
  </si>
  <si>
    <t xml:space="preserve">então podemos registrar uma vez o epoch inicial completo </t>
  </si>
  <si>
    <t>e o array registra como uma sequência para somar com o epoch inicial</t>
  </si>
  <si>
    <t>Quaternion</t>
  </si>
  <si>
    <t xml:space="preserve">O tamanho mínimo encontrado sem juntar estados diferentes como um só é de 6 decimais. </t>
  </si>
  <si>
    <t>Com os outro 4 caracteres fixos {,-0.} cada dado vai ter um total de 6+4 = 10 caracteres</t>
  </si>
  <si>
    <t>&lt;---</t>
  </si>
  <si>
    <t xml:space="preserve">5~6 decimals </t>
  </si>
  <si>
    <t>Excel limit</t>
  </si>
  <si>
    <t>lines</t>
  </si>
  <si>
    <t>columns</t>
  </si>
  <si>
    <t>Como estruturar os dados?</t>
  </si>
  <si>
    <t>Max subjects estimated in sheet</t>
  </si>
  <si>
    <t>thing</t>
  </si>
  <si>
    <t>times</t>
  </si>
  <si>
    <t>Char limit</t>
  </si>
  <si>
    <t>Tudo na mesma planilha</t>
  </si>
  <si>
    <t>Task amount</t>
  </si>
  <si>
    <t>id_subject</t>
  </si>
  <si>
    <t>id_task</t>
  </si>
  <si>
    <t>expected subjects</t>
  </si>
  <si>
    <t>Mean task duration</t>
  </si>
  <si>
    <t>Separado por tasks (em abas)</t>
  </si>
  <si>
    <t>Max task duration</t>
  </si>
  <si>
    <t>Data/second</t>
  </si>
  <si>
    <t>Lines limit</t>
  </si>
  <si>
    <t>Separado por subjects</t>
  </si>
  <si>
    <t>line/(subject * task)</t>
  </si>
  <si>
    <t>NOPE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</si>
</sst>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0.0000000000000000"/>
    <numFmt numFmtId="166" formatCode="#,##0.0000000"/>
    <numFmt numFmtId="167" formatCode="0.0"/>
    <numFmt numFmtId="168" formatCode="0.0 &quot;s&quot;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nsolas"/>
    </font>
    <font>
      <color rgb="FF000000"/>
      <name val="Roboto"/>
    </font>
    <font>
      <color rgb="FF000000"/>
      <name val="Arial"/>
    </font>
    <font>
      <sz val="11.0"/>
      <color rgb="FF000000"/>
      <name val="Calibri"/>
    </font>
    <font>
      <color theme="1"/>
      <name val="Arial"/>
    </font>
    <font>
      <sz val="9.0"/>
      <color rgb="FF000000"/>
      <name val="&quot;Google Sans Mono&quot;"/>
    </font>
    <font>
      <sz val="9.0"/>
      <color rgb="FF1155CC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164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2" fontId="3" numFmtId="49" xfId="0" applyAlignment="1" applyFill="1" applyFont="1" applyNumberFormat="1">
      <alignment readingOrder="0"/>
    </xf>
    <xf borderId="0" fillId="2" fontId="4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 shrinkToFit="0" wrapText="0"/>
    </xf>
    <xf borderId="0" fillId="0" fontId="5" numFmtId="164" xfId="0" applyAlignment="1" applyFont="1" applyNumberFormat="1">
      <alignment readingOrder="0" shrinkToFit="0" vertical="bottom" wrapText="0"/>
    </xf>
    <xf borderId="0" fillId="3" fontId="1" numFmtId="0" xfId="0" applyAlignment="1" applyFill="1" applyFont="1">
      <alignment readingOrder="0"/>
    </xf>
    <xf borderId="0" fillId="0" fontId="2" numFmtId="49" xfId="0" applyAlignment="1" applyFont="1" applyNumberFormat="1">
      <alignment vertical="bottom"/>
    </xf>
    <xf borderId="0" fillId="3" fontId="1" numFmtId="165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3" fontId="1" numFmtId="0" xfId="0" applyFont="1"/>
    <xf borderId="0" fillId="3" fontId="1" numFmtId="1" xfId="0" applyAlignment="1" applyFont="1" applyNumberFormat="1">
      <alignment readingOrder="0"/>
    </xf>
    <xf borderId="0" fillId="3" fontId="1" numFmtId="1" xfId="0" applyFont="1" applyNumberFormat="1"/>
    <xf borderId="0" fillId="4" fontId="1" numFmtId="11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5" fontId="1" numFmtId="11" xfId="0" applyBorder="1" applyFill="1" applyFont="1" applyNumberFormat="1"/>
    <xf borderId="0" fillId="3" fontId="1" numFmtId="2" xfId="0" applyFont="1" applyNumberFormat="1"/>
    <xf borderId="0" fillId="4" fontId="1" numFmtId="11" xfId="0" applyFont="1" applyNumberFormat="1"/>
    <xf borderId="0" fillId="3" fontId="1" numFmtId="165" xfId="0" applyAlignment="1" applyFont="1" applyNumberFormat="1">
      <alignment readingOrder="0"/>
    </xf>
    <xf borderId="0" fillId="3" fontId="1" numFmtId="166" xfId="0" applyFont="1" applyNumberFormat="1"/>
    <xf borderId="0" fillId="0" fontId="1" numFmtId="11" xfId="0" applyFont="1" applyNumberFormat="1"/>
    <xf borderId="0" fillId="0" fontId="1" numFmtId="11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6" fontId="1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0" fontId="6" numFmtId="20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 shrinkToFit="0" wrapText="1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5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readingOrder="0" vertical="bottom"/>
    </xf>
    <xf borderId="0" fillId="0" fontId="6" numFmtId="167" xfId="0" applyAlignment="1" applyFont="1" applyNumberFormat="1">
      <alignment vertical="bottom"/>
    </xf>
    <xf borderId="5" fillId="0" fontId="6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/>
    </xf>
    <xf borderId="5" fillId="0" fontId="6" numFmtId="168" xfId="0" applyAlignment="1" applyBorder="1" applyFont="1" applyNumberFormat="1">
      <alignment horizontal="right" readingOrder="0" vertical="bottom"/>
    </xf>
    <xf borderId="4" fillId="0" fontId="6" numFmtId="0" xfId="0" applyAlignment="1" applyBorder="1" applyFont="1">
      <alignment readingOrder="0" shrinkToFit="0" vertical="bottom" wrapText="0"/>
    </xf>
    <xf borderId="0" fillId="2" fontId="7" numFmtId="167" xfId="0" applyFont="1" applyNumberFormat="1"/>
    <xf borderId="0" fillId="2" fontId="8" numFmtId="0" xfId="0" applyAlignment="1" applyFont="1">
      <alignment horizontal="left"/>
    </xf>
    <xf borderId="5" fillId="0" fontId="6" numFmtId="3" xfId="0" applyAlignment="1" applyBorder="1" applyFont="1" applyNumberFormat="1">
      <alignment horizontal="right" vertical="bottom"/>
    </xf>
    <xf borderId="6" fillId="0" fontId="6" numFmtId="0" xfId="0" applyAlignment="1" applyBorder="1" applyFont="1">
      <alignment readingOrder="0" vertical="bottom"/>
    </xf>
    <xf borderId="7" fillId="7" fontId="6" numFmtId="0" xfId="0" applyAlignment="1" applyBorder="1" applyFill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0" fillId="0" fontId="1" numFmtId="167" xfId="0" applyFont="1" applyNumberFormat="1"/>
    <xf borderId="0" fillId="0" fontId="6" numFmtId="3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7.88"/>
    <col customWidth="1" min="3" max="3" width="15.5"/>
    <col customWidth="1" min="4" max="4" width="11.13"/>
    <col customWidth="1" min="5" max="5" width="11.0"/>
    <col customWidth="1" min="6" max="6" width="7.0"/>
    <col customWidth="1" min="7" max="7" width="12.88"/>
    <col customWidth="1" min="8" max="8" width="18.25"/>
    <col customWidth="1" min="10" max="13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</row>
    <row r="2">
      <c r="A2" s="5">
        <v>45017.59558109954</v>
      </c>
      <c r="B2" s="6"/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4"/>
      <c r="O2" s="4"/>
      <c r="P2" s="4"/>
      <c r="Q2" s="4"/>
      <c r="R2" s="4"/>
    </row>
    <row r="3">
      <c r="A3" s="5">
        <v>45017.595671874995</v>
      </c>
      <c r="B3" s="6"/>
      <c r="C3" s="7" t="s">
        <v>13</v>
      </c>
      <c r="D3" s="7" t="s">
        <v>14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4"/>
      <c r="O3" s="4"/>
      <c r="P3" s="4"/>
      <c r="Q3" s="4"/>
      <c r="R3" s="4"/>
    </row>
    <row r="4">
      <c r="A4" s="5">
        <v>45017.59721792824</v>
      </c>
      <c r="B4" s="6"/>
      <c r="C4" s="7" t="s">
        <v>13</v>
      </c>
      <c r="D4" s="7" t="s">
        <v>33</v>
      </c>
      <c r="E4" s="7" t="s">
        <v>15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4"/>
      <c r="O4" s="4"/>
      <c r="P4" s="4"/>
      <c r="Q4" s="4"/>
      <c r="R4" s="4"/>
    </row>
    <row r="5">
      <c r="A5" s="5">
        <v>45018.68912494213</v>
      </c>
      <c r="B5" s="6"/>
      <c r="C5" s="7" t="s">
        <v>42</v>
      </c>
      <c r="D5" s="7" t="s">
        <v>43</v>
      </c>
      <c r="E5" s="7" t="s">
        <v>15</v>
      </c>
      <c r="F5" s="7" t="s">
        <v>34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48</v>
      </c>
      <c r="L5" s="7" t="s">
        <v>49</v>
      </c>
      <c r="M5" s="7" t="s">
        <v>50</v>
      </c>
      <c r="N5" s="4"/>
      <c r="O5" s="4"/>
      <c r="P5" s="4"/>
      <c r="Q5" s="4"/>
      <c r="R5" s="4"/>
    </row>
    <row r="6">
      <c r="A6" s="5">
        <v>45018.68973912037</v>
      </c>
      <c r="B6" s="6"/>
      <c r="C6" s="7" t="s">
        <v>42</v>
      </c>
      <c r="D6" s="7" t="s">
        <v>51</v>
      </c>
      <c r="E6" s="7" t="s">
        <v>15</v>
      </c>
      <c r="F6" s="7" t="s">
        <v>52</v>
      </c>
      <c r="G6" s="7" t="s">
        <v>53</v>
      </c>
      <c r="H6" s="7" t="s">
        <v>54</v>
      </c>
      <c r="I6" s="7" t="s">
        <v>55</v>
      </c>
      <c r="J6" s="7" t="s">
        <v>56</v>
      </c>
      <c r="K6" s="7" t="s">
        <v>57</v>
      </c>
      <c r="L6" s="7" t="s">
        <v>58</v>
      </c>
      <c r="M6" s="7" t="s">
        <v>59</v>
      </c>
      <c r="N6" s="4"/>
      <c r="O6" s="4"/>
      <c r="P6" s="4"/>
      <c r="Q6" s="4"/>
      <c r="R6" s="4"/>
    </row>
    <row r="7">
      <c r="A7" s="5">
        <v>45021.85462978009</v>
      </c>
      <c r="B7" s="6"/>
      <c r="C7" s="7"/>
      <c r="D7" s="7" t="s">
        <v>60</v>
      </c>
      <c r="E7" s="7" t="s">
        <v>15</v>
      </c>
      <c r="F7" s="7" t="s">
        <v>61</v>
      </c>
      <c r="G7" s="7" t="s">
        <v>62</v>
      </c>
      <c r="H7" s="7" t="s">
        <v>63</v>
      </c>
      <c r="I7" s="7" t="s">
        <v>64</v>
      </c>
      <c r="J7" s="7" t="s">
        <v>65</v>
      </c>
      <c r="K7" s="7" t="s">
        <v>66</v>
      </c>
      <c r="L7" s="7" t="s">
        <v>67</v>
      </c>
      <c r="M7" s="7" t="s">
        <v>68</v>
      </c>
      <c r="N7" s="4"/>
      <c r="O7" s="4"/>
      <c r="P7" s="4"/>
      <c r="Q7" s="4"/>
      <c r="R7" s="4"/>
    </row>
    <row r="8">
      <c r="A8" s="5">
        <v>45027.69855035879</v>
      </c>
      <c r="B8" s="6"/>
      <c r="C8" s="7" t="s">
        <v>69</v>
      </c>
      <c r="D8" s="7" t="s">
        <v>70</v>
      </c>
      <c r="E8" s="7" t="s">
        <v>71</v>
      </c>
      <c r="F8" s="7" t="s">
        <v>72</v>
      </c>
      <c r="G8" s="7" t="s">
        <v>73</v>
      </c>
      <c r="H8" s="7" t="s">
        <v>74</v>
      </c>
      <c r="I8" s="7" t="s">
        <v>75</v>
      </c>
      <c r="J8" s="7" t="s">
        <v>76</v>
      </c>
      <c r="K8" s="7" t="s">
        <v>77</v>
      </c>
      <c r="L8" s="7" t="s">
        <v>78</v>
      </c>
      <c r="M8" s="7" t="s">
        <v>79</v>
      </c>
      <c r="N8" s="4"/>
      <c r="O8" s="4"/>
      <c r="P8" s="4"/>
      <c r="Q8" s="4"/>
      <c r="R8" s="4"/>
    </row>
    <row r="9">
      <c r="A9" s="5">
        <v>45027.69875631944</v>
      </c>
      <c r="B9" s="6"/>
      <c r="C9" s="7" t="s">
        <v>69</v>
      </c>
      <c r="D9" s="7" t="s">
        <v>70</v>
      </c>
      <c r="E9" s="7" t="s">
        <v>80</v>
      </c>
      <c r="F9" s="7" t="s">
        <v>81</v>
      </c>
      <c r="G9" s="7" t="s">
        <v>82</v>
      </c>
      <c r="H9" s="7" t="s">
        <v>83</v>
      </c>
      <c r="I9" s="7" t="s">
        <v>84</v>
      </c>
      <c r="J9" s="7" t="s">
        <v>85</v>
      </c>
      <c r="K9" s="7" t="s">
        <v>86</v>
      </c>
      <c r="L9" s="7" t="s">
        <v>87</v>
      </c>
      <c r="M9" s="7" t="s">
        <v>88</v>
      </c>
      <c r="N9" s="4"/>
      <c r="O9" s="4"/>
      <c r="P9" s="4"/>
      <c r="Q9" s="4"/>
      <c r="R9" s="4"/>
    </row>
    <row r="10">
      <c r="A10" s="5">
        <v>45027.69938539352</v>
      </c>
      <c r="B10" s="6"/>
      <c r="C10" s="7" t="s">
        <v>69</v>
      </c>
      <c r="D10" s="7" t="s">
        <v>70</v>
      </c>
      <c r="E10" s="7" t="s">
        <v>89</v>
      </c>
      <c r="F10" s="7" t="s">
        <v>90</v>
      </c>
      <c r="G10" s="7" t="s">
        <v>91</v>
      </c>
      <c r="H10" s="7" t="s">
        <v>92</v>
      </c>
      <c r="I10" s="7" t="s">
        <v>93</v>
      </c>
      <c r="J10" s="7" t="s">
        <v>94</v>
      </c>
      <c r="K10" s="7" t="s">
        <v>95</v>
      </c>
      <c r="L10" s="7" t="s">
        <v>96</v>
      </c>
      <c r="M10" s="7" t="s">
        <v>97</v>
      </c>
      <c r="N10" s="4"/>
      <c r="O10" s="4"/>
      <c r="P10" s="4"/>
      <c r="Q10" s="4"/>
      <c r="R10" s="4"/>
    </row>
    <row r="11">
      <c r="A11" s="5">
        <v>45044.631369490744</v>
      </c>
      <c r="B11" s="6"/>
      <c r="C11" s="7" t="s">
        <v>98</v>
      </c>
      <c r="D11" s="7" t="s">
        <v>99</v>
      </c>
      <c r="E11" s="7" t="s">
        <v>71</v>
      </c>
      <c r="F11" s="7" t="s">
        <v>100</v>
      </c>
      <c r="G11" s="7" t="s">
        <v>101</v>
      </c>
      <c r="H11" s="7" t="s">
        <v>102</v>
      </c>
      <c r="I11" s="7" t="s">
        <v>103</v>
      </c>
      <c r="J11" s="7" t="s">
        <v>104</v>
      </c>
      <c r="K11" s="7" t="s">
        <v>105</v>
      </c>
      <c r="L11" s="7" t="s">
        <v>106</v>
      </c>
      <c r="M11" s="7" t="s">
        <v>107</v>
      </c>
      <c r="N11" s="4"/>
      <c r="O11" s="4"/>
      <c r="P11" s="4"/>
      <c r="Q11" s="4"/>
      <c r="R11" s="4"/>
    </row>
    <row r="12">
      <c r="A12" s="5">
        <v>45044.632078124996</v>
      </c>
      <c r="B12" s="6"/>
      <c r="C12" s="7" t="s">
        <v>98</v>
      </c>
      <c r="D12" s="7" t="s">
        <v>99</v>
      </c>
      <c r="E12" s="7" t="s">
        <v>80</v>
      </c>
      <c r="F12" s="7" t="s">
        <v>108</v>
      </c>
      <c r="G12" s="7" t="s">
        <v>109</v>
      </c>
      <c r="H12" s="7" t="s">
        <v>110</v>
      </c>
      <c r="I12" s="7" t="s">
        <v>111</v>
      </c>
      <c r="J12" s="7" t="s">
        <v>112</v>
      </c>
      <c r="K12" s="7" t="s">
        <v>113</v>
      </c>
      <c r="L12" s="7" t="s">
        <v>114</v>
      </c>
      <c r="M12" s="7" t="s">
        <v>115</v>
      </c>
      <c r="N12" s="4"/>
      <c r="O12" s="4"/>
      <c r="P12" s="4"/>
      <c r="Q12" s="4"/>
      <c r="R12" s="4"/>
    </row>
    <row r="13">
      <c r="A13" s="5">
        <v>45044.63271295139</v>
      </c>
      <c r="B13" s="6"/>
      <c r="C13" s="7" t="s">
        <v>98</v>
      </c>
      <c r="D13" s="7" t="s">
        <v>99</v>
      </c>
      <c r="E13" s="7" t="s">
        <v>89</v>
      </c>
      <c r="F13" s="7" t="s">
        <v>116</v>
      </c>
      <c r="G13" s="7" t="s">
        <v>117</v>
      </c>
      <c r="H13" s="7" t="s">
        <v>118</v>
      </c>
      <c r="I13" s="7" t="s">
        <v>119</v>
      </c>
      <c r="J13" s="7" t="s">
        <v>120</v>
      </c>
      <c r="K13" s="7" t="s">
        <v>121</v>
      </c>
      <c r="L13" s="7" t="s">
        <v>122</v>
      </c>
      <c r="M13" s="7" t="s">
        <v>123</v>
      </c>
      <c r="N13" s="4"/>
      <c r="O13" s="4"/>
      <c r="P13" s="4"/>
      <c r="Q13" s="4"/>
      <c r="R13" s="4"/>
    </row>
    <row r="14">
      <c r="A14" s="5">
        <v>45044.65521415509</v>
      </c>
      <c r="B14" s="6"/>
      <c r="C14" s="7"/>
      <c r="D14" s="7" t="s">
        <v>124</v>
      </c>
      <c r="E14" s="7" t="s">
        <v>71</v>
      </c>
      <c r="F14" s="7" t="s">
        <v>125</v>
      </c>
      <c r="G14" s="7" t="s">
        <v>126</v>
      </c>
      <c r="H14" s="7" t="s">
        <v>127</v>
      </c>
      <c r="I14" s="7" t="s">
        <v>128</v>
      </c>
      <c r="J14" s="7" t="s">
        <v>129</v>
      </c>
      <c r="K14" s="7" t="s">
        <v>130</v>
      </c>
      <c r="L14" s="7" t="s">
        <v>131</v>
      </c>
      <c r="M14" s="7" t="s">
        <v>132</v>
      </c>
      <c r="N14" s="7"/>
      <c r="O14" s="7"/>
      <c r="P14" s="7"/>
      <c r="Q14" s="7"/>
      <c r="R14" s="7"/>
    </row>
    <row r="15">
      <c r="A15" s="5">
        <v>45044.659038067126</v>
      </c>
      <c r="B15" s="6"/>
      <c r="C15" s="7" t="s">
        <v>133</v>
      </c>
      <c r="D15" s="7" t="s">
        <v>134</v>
      </c>
      <c r="E15" s="7" t="s">
        <v>71</v>
      </c>
      <c r="F15" s="7" t="s">
        <v>135</v>
      </c>
      <c r="G15" s="7" t="s">
        <v>136</v>
      </c>
      <c r="H15" s="7" t="s">
        <v>137</v>
      </c>
      <c r="I15" s="7" t="s">
        <v>138</v>
      </c>
      <c r="J15" s="7" t="s">
        <v>139</v>
      </c>
      <c r="K15" s="7" t="s">
        <v>140</v>
      </c>
      <c r="L15" s="7" t="s">
        <v>141</v>
      </c>
      <c r="M15" s="7" t="s">
        <v>142</v>
      </c>
      <c r="N15" s="2"/>
      <c r="O15" s="2"/>
      <c r="P15" s="2"/>
      <c r="Q15" s="2"/>
      <c r="R15" s="2"/>
    </row>
    <row r="16">
      <c r="A16" s="5">
        <v>45044.65945475694</v>
      </c>
      <c r="B16" s="6"/>
      <c r="C16" s="7" t="s">
        <v>133</v>
      </c>
      <c r="D16" s="7" t="s">
        <v>134</v>
      </c>
      <c r="E16" s="7" t="s">
        <v>80</v>
      </c>
      <c r="F16" s="7" t="s">
        <v>143</v>
      </c>
      <c r="G16" s="7" t="s">
        <v>144</v>
      </c>
      <c r="H16" s="7" t="s">
        <v>145</v>
      </c>
      <c r="I16" s="7" t="s">
        <v>146</v>
      </c>
      <c r="J16" s="7" t="s">
        <v>147</v>
      </c>
      <c r="K16" s="7" t="s">
        <v>148</v>
      </c>
      <c r="L16" s="7" t="s">
        <v>149</v>
      </c>
      <c r="M16" s="7" t="s">
        <v>150</v>
      </c>
      <c r="N16" s="4"/>
      <c r="O16" s="4"/>
      <c r="P16" s="4"/>
      <c r="Q16" s="4"/>
      <c r="R16" s="4"/>
    </row>
    <row r="17">
      <c r="A17" s="5">
        <v>45044.66030243055</v>
      </c>
      <c r="B17" s="6"/>
      <c r="C17" s="7" t="s">
        <v>133</v>
      </c>
      <c r="D17" s="7" t="s">
        <v>134</v>
      </c>
      <c r="E17" s="7" t="s">
        <v>89</v>
      </c>
      <c r="F17" s="7" t="s">
        <v>151</v>
      </c>
      <c r="G17" s="7" t="s">
        <v>152</v>
      </c>
      <c r="H17" s="7" t="s">
        <v>153</v>
      </c>
      <c r="I17" s="7" t="s">
        <v>154</v>
      </c>
      <c r="J17" s="7" t="s">
        <v>155</v>
      </c>
      <c r="K17" s="7" t="s">
        <v>156</v>
      </c>
      <c r="L17" s="7" t="s">
        <v>157</v>
      </c>
      <c r="M17" s="7" t="s">
        <v>158</v>
      </c>
      <c r="N17" s="4"/>
      <c r="O17" s="4"/>
      <c r="P17" s="4"/>
      <c r="Q17" s="4"/>
      <c r="R17" s="4"/>
    </row>
    <row r="18">
      <c r="A18" s="5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4"/>
      <c r="O18" s="4"/>
      <c r="P18" s="4"/>
      <c r="Q18" s="4"/>
      <c r="R18" s="4"/>
    </row>
    <row r="19">
      <c r="A19" s="5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4"/>
      <c r="O19" s="4"/>
      <c r="P19" s="4"/>
      <c r="Q19" s="4"/>
      <c r="R19" s="4"/>
    </row>
    <row r="20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4"/>
      <c r="O20" s="4"/>
      <c r="P20" s="4"/>
      <c r="Q20" s="4"/>
      <c r="R20" s="4"/>
    </row>
    <row r="21">
      <c r="A21" s="5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4"/>
      <c r="O21" s="4"/>
      <c r="P21" s="4"/>
      <c r="Q21" s="4"/>
      <c r="R21" s="4"/>
    </row>
    <row r="22">
      <c r="A22" s="5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4"/>
      <c r="O22" s="4"/>
      <c r="P22" s="4"/>
      <c r="Q22" s="4"/>
      <c r="R22" s="4"/>
    </row>
    <row r="23">
      <c r="A23" s="5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4"/>
      <c r="O23" s="4"/>
      <c r="P23" s="4"/>
      <c r="Q23" s="4"/>
      <c r="R23" s="4"/>
    </row>
    <row r="24">
      <c r="A24" s="5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4"/>
      <c r="O24" s="4"/>
      <c r="P24" s="4"/>
      <c r="Q24" s="4"/>
      <c r="R24" s="4"/>
    </row>
    <row r="25">
      <c r="A25" s="5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4"/>
      <c r="O25" s="4"/>
      <c r="P25" s="4"/>
      <c r="Q25" s="4"/>
      <c r="R25" s="4"/>
    </row>
    <row r="26">
      <c r="A26" s="5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4"/>
      <c r="O26" s="4"/>
      <c r="P26" s="4"/>
      <c r="Q26" s="4"/>
      <c r="R26" s="4"/>
    </row>
    <row r="27">
      <c r="A27" s="5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4"/>
      <c r="O27" s="4"/>
      <c r="P27" s="4"/>
      <c r="Q27" s="4"/>
      <c r="R27" s="4"/>
    </row>
    <row r="28">
      <c r="A28" s="5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4"/>
      <c r="O28" s="4"/>
      <c r="P28" s="4"/>
      <c r="Q28" s="4"/>
      <c r="R28" s="4"/>
    </row>
    <row r="29">
      <c r="A29" s="5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4"/>
      <c r="O29" s="4"/>
      <c r="P29" s="4"/>
      <c r="Q29" s="4"/>
      <c r="R29" s="4"/>
    </row>
    <row r="30">
      <c r="A30" s="5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4"/>
      <c r="O30" s="4"/>
      <c r="P30" s="4"/>
      <c r="Q30" s="4"/>
      <c r="R30" s="4"/>
    </row>
    <row r="31">
      <c r="A31" s="5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4"/>
      <c r="O31" s="4"/>
      <c r="P31" s="4"/>
      <c r="Q31" s="4"/>
      <c r="R31" s="4"/>
    </row>
    <row r="32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4"/>
      <c r="O32" s="4"/>
      <c r="P32" s="4"/>
      <c r="Q32" s="4"/>
      <c r="R32" s="4"/>
    </row>
    <row r="33">
      <c r="A33" s="5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4"/>
      <c r="O33" s="4"/>
      <c r="P33" s="4"/>
      <c r="Q33" s="4"/>
      <c r="R33" s="4"/>
    </row>
    <row r="34">
      <c r="A34" s="5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4"/>
      <c r="O34" s="4"/>
      <c r="P34" s="4"/>
      <c r="Q34" s="4"/>
      <c r="R34" s="4"/>
    </row>
    <row r="35">
      <c r="A35" s="5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4"/>
      <c r="O35" s="4"/>
      <c r="P35" s="4"/>
      <c r="Q35" s="4"/>
      <c r="R35" s="4"/>
    </row>
    <row r="36">
      <c r="A36" s="5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4"/>
      <c r="O36" s="4"/>
      <c r="P36" s="4"/>
      <c r="Q36" s="4"/>
      <c r="R36" s="4"/>
    </row>
    <row r="37">
      <c r="A37" s="5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4"/>
      <c r="O37" s="4"/>
      <c r="P37" s="4"/>
      <c r="Q37" s="4"/>
      <c r="R37" s="4"/>
    </row>
    <row r="38">
      <c r="A38" s="5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4"/>
      <c r="O38" s="4"/>
      <c r="P38" s="4"/>
      <c r="Q38" s="4"/>
      <c r="R38" s="4"/>
    </row>
    <row r="39">
      <c r="A39" s="5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4"/>
      <c r="O39" s="4"/>
      <c r="P39" s="4"/>
      <c r="Q39" s="4"/>
      <c r="R39" s="4"/>
    </row>
    <row r="40">
      <c r="A40" s="5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</row>
    <row r="41">
      <c r="A41" s="5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4"/>
      <c r="O41" s="4"/>
      <c r="P41" s="4"/>
      <c r="Q41" s="4"/>
      <c r="R41" s="4"/>
    </row>
    <row r="42">
      <c r="A42" s="5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4"/>
      <c r="O42" s="4"/>
      <c r="P42" s="4"/>
      <c r="Q42" s="4"/>
      <c r="R42" s="4"/>
    </row>
    <row r="43">
      <c r="A43" s="5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4"/>
      <c r="O43" s="4"/>
      <c r="P43" s="4"/>
      <c r="Q43" s="4"/>
      <c r="R43" s="4"/>
    </row>
    <row r="44">
      <c r="A44" s="5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4"/>
      <c r="O44" s="4"/>
      <c r="P44" s="4"/>
      <c r="Q44" s="4"/>
      <c r="R44" s="4"/>
    </row>
    <row r="45">
      <c r="A45" s="5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4"/>
      <c r="O45" s="4"/>
      <c r="P45" s="4"/>
      <c r="Q45" s="4"/>
      <c r="R45" s="4"/>
    </row>
    <row r="46">
      <c r="A46" s="5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4"/>
      <c r="O46" s="4"/>
      <c r="P46" s="4"/>
      <c r="Q46" s="4"/>
      <c r="R46" s="4"/>
    </row>
    <row r="47">
      <c r="A47" s="5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4"/>
      <c r="O47" s="4"/>
      <c r="P47" s="4"/>
      <c r="Q47" s="4"/>
      <c r="R47" s="4"/>
    </row>
    <row r="48">
      <c r="A48" s="5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4"/>
      <c r="O48" s="4"/>
      <c r="P48" s="4"/>
      <c r="Q48" s="4"/>
      <c r="R48" s="4"/>
    </row>
    <row r="49">
      <c r="A49" s="5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4"/>
      <c r="O49" s="4"/>
      <c r="P49" s="4"/>
      <c r="Q49" s="4"/>
      <c r="R49" s="4"/>
    </row>
    <row r="50">
      <c r="A50" s="5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4"/>
      <c r="O50" s="4"/>
      <c r="P50" s="4"/>
      <c r="Q50" s="4"/>
      <c r="R50" s="4"/>
    </row>
    <row r="51">
      <c r="A51" s="5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4"/>
      <c r="O51" s="4"/>
      <c r="P51" s="4"/>
      <c r="Q51" s="4"/>
      <c r="R51" s="4"/>
    </row>
    <row r="52">
      <c r="A52" s="5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4"/>
      <c r="O52" s="4"/>
      <c r="P52" s="4"/>
      <c r="Q52" s="4"/>
      <c r="R52" s="4"/>
    </row>
    <row r="53">
      <c r="A53" s="5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4"/>
      <c r="O53" s="4"/>
      <c r="P53" s="4"/>
      <c r="Q53" s="4"/>
      <c r="R53" s="4"/>
    </row>
    <row r="54">
      <c r="A54" s="5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4"/>
      <c r="O54" s="4"/>
      <c r="P54" s="4"/>
      <c r="Q54" s="4"/>
      <c r="R54" s="4"/>
    </row>
    <row r="55">
      <c r="A55" s="5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4"/>
      <c r="O55" s="4"/>
      <c r="P55" s="4"/>
      <c r="Q55" s="4"/>
      <c r="R55" s="4"/>
    </row>
    <row r="56">
      <c r="A56" s="5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4"/>
      <c r="O56" s="4"/>
      <c r="P56" s="4"/>
      <c r="Q56" s="4"/>
      <c r="R56" s="4"/>
    </row>
    <row r="57">
      <c r="A57" s="5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4"/>
      <c r="O57" s="4"/>
      <c r="P57" s="4"/>
      <c r="Q57" s="4"/>
      <c r="R57" s="4"/>
    </row>
    <row r="58">
      <c r="A58" s="5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4"/>
      <c r="O58" s="4"/>
      <c r="P58" s="4"/>
      <c r="Q58" s="4"/>
      <c r="R58" s="4"/>
    </row>
    <row r="59">
      <c r="A59" s="5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4"/>
      <c r="O59" s="4"/>
      <c r="P59" s="4"/>
      <c r="Q59" s="4"/>
      <c r="R59" s="4"/>
    </row>
    <row r="60">
      <c r="A60" s="5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4"/>
      <c r="O60" s="4"/>
      <c r="P60" s="4"/>
      <c r="Q60" s="4"/>
      <c r="R60" s="4"/>
    </row>
    <row r="61">
      <c r="A61" s="5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4"/>
      <c r="O61" s="4"/>
      <c r="P61" s="4"/>
      <c r="Q61" s="4"/>
      <c r="R61" s="4"/>
    </row>
    <row r="62">
      <c r="A62" s="5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4"/>
      <c r="O62" s="4"/>
      <c r="P62" s="4"/>
      <c r="Q62" s="4"/>
      <c r="R62" s="4"/>
    </row>
    <row r="63">
      <c r="A63" s="5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4"/>
      <c r="O63" s="4"/>
      <c r="P63" s="4"/>
      <c r="Q63" s="4"/>
      <c r="R63" s="4"/>
    </row>
    <row r="64">
      <c r="A64" s="5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4"/>
      <c r="O64" s="4"/>
      <c r="P64" s="4"/>
      <c r="Q64" s="4"/>
      <c r="R64" s="4"/>
    </row>
    <row r="65">
      <c r="A65" s="5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4"/>
      <c r="O65" s="4"/>
      <c r="P65" s="4"/>
      <c r="Q65" s="4"/>
      <c r="R65" s="4"/>
    </row>
    <row r="66">
      <c r="A66" s="5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4"/>
      <c r="O66" s="4"/>
      <c r="P66" s="4"/>
      <c r="Q66" s="4"/>
      <c r="R66" s="4"/>
    </row>
    <row r="67">
      <c r="A67" s="5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4"/>
      <c r="O67" s="4"/>
      <c r="P67" s="4"/>
      <c r="Q67" s="4"/>
      <c r="R67" s="4"/>
    </row>
    <row r="68">
      <c r="A68" s="5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4"/>
      <c r="O68" s="4"/>
      <c r="P68" s="4"/>
      <c r="Q68" s="4"/>
      <c r="R68" s="4"/>
    </row>
    <row r="69">
      <c r="A69" s="5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4"/>
      <c r="O69" s="4"/>
      <c r="P69" s="4"/>
      <c r="Q69" s="4"/>
      <c r="R69" s="4"/>
    </row>
    <row r="70">
      <c r="A70" s="5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4"/>
      <c r="O70" s="4"/>
      <c r="P70" s="4"/>
      <c r="Q70" s="4"/>
      <c r="R70" s="4"/>
    </row>
    <row r="71">
      <c r="A71" s="5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4"/>
      <c r="O71" s="4"/>
      <c r="P71" s="4"/>
      <c r="Q71" s="4"/>
      <c r="R71" s="4"/>
    </row>
    <row r="72">
      <c r="A72" s="5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4"/>
      <c r="O72" s="4"/>
      <c r="P72" s="4"/>
      <c r="Q72" s="4"/>
      <c r="R72" s="4"/>
    </row>
    <row r="73">
      <c r="A73" s="5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4"/>
      <c r="O73" s="4"/>
      <c r="P73" s="4"/>
      <c r="Q73" s="4"/>
      <c r="R73" s="4"/>
    </row>
    <row r="74">
      <c r="A74" s="5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4"/>
      <c r="O74" s="4"/>
      <c r="P74" s="4"/>
      <c r="Q74" s="4"/>
      <c r="R74" s="4"/>
    </row>
    <row r="75">
      <c r="A75" s="5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4"/>
      <c r="O75" s="4"/>
      <c r="P75" s="4"/>
      <c r="Q75" s="4"/>
      <c r="R75" s="4"/>
    </row>
    <row r="76">
      <c r="A76" s="5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4"/>
      <c r="O76" s="4"/>
      <c r="P76" s="4"/>
      <c r="Q76" s="4"/>
      <c r="R76" s="4"/>
    </row>
    <row r="77">
      <c r="A77" s="5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4"/>
      <c r="O77" s="4"/>
      <c r="P77" s="4"/>
      <c r="Q77" s="4"/>
      <c r="R77" s="4"/>
    </row>
    <row r="78">
      <c r="A78" s="5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4"/>
      <c r="O78" s="4"/>
      <c r="P78" s="4"/>
      <c r="Q78" s="4"/>
      <c r="R78" s="4"/>
    </row>
    <row r="79">
      <c r="A79" s="5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4"/>
      <c r="O79" s="4"/>
      <c r="P79" s="4"/>
      <c r="Q79" s="4"/>
      <c r="R79" s="4"/>
    </row>
    <row r="80">
      <c r="A80" s="5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4"/>
      <c r="O80" s="4"/>
      <c r="P80" s="4"/>
      <c r="Q80" s="4"/>
      <c r="R80" s="4"/>
    </row>
    <row r="81">
      <c r="A81" s="5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4"/>
      <c r="O81" s="4"/>
      <c r="P81" s="4"/>
      <c r="Q81" s="4"/>
      <c r="R81" s="4"/>
    </row>
    <row r="82">
      <c r="A82" s="5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4"/>
      <c r="O82" s="4"/>
      <c r="P82" s="4"/>
      <c r="Q82" s="4"/>
      <c r="R82" s="4"/>
    </row>
    <row r="83">
      <c r="A83" s="5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4"/>
      <c r="O83" s="4"/>
      <c r="P83" s="4"/>
      <c r="Q83" s="4"/>
      <c r="R83" s="4"/>
    </row>
    <row r="84">
      <c r="A84" s="5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4"/>
      <c r="O84" s="4"/>
      <c r="P84" s="4"/>
      <c r="Q84" s="4"/>
      <c r="R84" s="4"/>
    </row>
    <row r="85">
      <c r="A85" s="5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4"/>
      <c r="O85" s="4"/>
      <c r="P85" s="4"/>
      <c r="Q85" s="4"/>
      <c r="R85" s="4"/>
    </row>
    <row r="86">
      <c r="A86" s="5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4"/>
      <c r="O86" s="4"/>
      <c r="P86" s="4"/>
      <c r="Q86" s="4"/>
      <c r="R86" s="4"/>
    </row>
    <row r="87">
      <c r="A87" s="5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4"/>
      <c r="O87" s="4"/>
      <c r="P87" s="4"/>
      <c r="Q87" s="4"/>
      <c r="R87" s="4"/>
    </row>
    <row r="88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4"/>
      <c r="O88" s="4"/>
      <c r="P88" s="4"/>
      <c r="Q88" s="4"/>
      <c r="R88" s="4"/>
    </row>
    <row r="89">
      <c r="A89" s="5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4"/>
      <c r="O89" s="4"/>
      <c r="P89" s="4"/>
      <c r="Q89" s="4"/>
      <c r="R89" s="4"/>
    </row>
    <row r="90">
      <c r="A90" s="5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4"/>
      <c r="O90" s="4"/>
      <c r="P90" s="4"/>
      <c r="Q90" s="4"/>
      <c r="R90" s="4"/>
    </row>
    <row r="91">
      <c r="A91" s="5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4"/>
      <c r="O91" s="4"/>
      <c r="P91" s="4"/>
      <c r="Q91" s="4"/>
      <c r="R91" s="4"/>
    </row>
    <row r="92">
      <c r="A92" s="5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4"/>
      <c r="O92" s="4"/>
      <c r="P92" s="4"/>
      <c r="Q92" s="4"/>
      <c r="R92" s="4"/>
    </row>
    <row r="93">
      <c r="A93" s="5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4"/>
      <c r="O93" s="4"/>
      <c r="P93" s="4"/>
      <c r="Q93" s="4"/>
      <c r="R93" s="4"/>
    </row>
    <row r="94">
      <c r="A94" s="5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4"/>
      <c r="O94" s="4"/>
      <c r="P94" s="4"/>
      <c r="Q94" s="4"/>
      <c r="R94" s="4"/>
    </row>
    <row r="95">
      <c r="A95" s="5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4"/>
      <c r="O95" s="4"/>
      <c r="P95" s="4"/>
      <c r="Q95" s="4"/>
      <c r="R95" s="4"/>
    </row>
    <row r="96">
      <c r="A96" s="5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4"/>
      <c r="O96" s="4"/>
      <c r="P96" s="4"/>
      <c r="Q96" s="4"/>
      <c r="R96" s="4"/>
    </row>
    <row r="97">
      <c r="A97" s="5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4"/>
      <c r="O97" s="4"/>
      <c r="P97" s="4"/>
      <c r="Q97" s="4"/>
      <c r="R97" s="4"/>
    </row>
    <row r="98">
      <c r="A98" s="5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4"/>
      <c r="O98" s="4"/>
      <c r="P98" s="4"/>
      <c r="Q98" s="4"/>
      <c r="R98" s="4"/>
    </row>
    <row r="99">
      <c r="A99" s="5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4"/>
      <c r="O99" s="4"/>
      <c r="P99" s="4"/>
      <c r="Q99" s="4"/>
      <c r="R99" s="4"/>
    </row>
    <row r="100">
      <c r="A100" s="5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"/>
      <c r="O100" s="4"/>
      <c r="P100" s="4"/>
      <c r="Q100" s="4"/>
      <c r="R100" s="4"/>
    </row>
    <row r="101">
      <c r="A101" s="5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4"/>
      <c r="O101" s="4"/>
      <c r="P101" s="4"/>
      <c r="Q101" s="4"/>
      <c r="R101" s="4"/>
    </row>
    <row r="102">
      <c r="A102" s="5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4"/>
      <c r="O102" s="4"/>
      <c r="P102" s="4"/>
      <c r="Q102" s="4"/>
      <c r="R102" s="4"/>
    </row>
    <row r="103">
      <c r="A103" s="5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4"/>
      <c r="O103" s="4"/>
      <c r="P103" s="4"/>
      <c r="Q103" s="4"/>
      <c r="R103" s="4"/>
    </row>
    <row r="104">
      <c r="A104" s="5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4"/>
      <c r="O104" s="4"/>
      <c r="P104" s="4"/>
      <c r="Q104" s="4"/>
      <c r="R104" s="4"/>
    </row>
    <row r="105">
      <c r="A105" s="5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4"/>
      <c r="O105" s="4"/>
      <c r="P105" s="4"/>
      <c r="Q105" s="4"/>
      <c r="R105" s="4"/>
    </row>
    <row r="106">
      <c r="A106" s="5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4"/>
      <c r="O106" s="4"/>
      <c r="P106" s="4"/>
      <c r="Q106" s="4"/>
      <c r="R106" s="4"/>
    </row>
    <row r="107">
      <c r="A107" s="5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4"/>
      <c r="O107" s="4"/>
      <c r="P107" s="4"/>
      <c r="Q107" s="4"/>
      <c r="R107" s="4"/>
    </row>
    <row r="108">
      <c r="A108" s="5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4"/>
      <c r="O108" s="4"/>
      <c r="P108" s="4"/>
      <c r="Q108" s="4"/>
      <c r="R108" s="4"/>
    </row>
    <row r="109">
      <c r="A109" s="5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4"/>
      <c r="O109" s="4"/>
      <c r="P109" s="4"/>
      <c r="Q109" s="4"/>
      <c r="R109" s="4"/>
    </row>
    <row r="110">
      <c r="A110" s="5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4"/>
      <c r="O110" s="4"/>
      <c r="P110" s="4"/>
      <c r="Q110" s="4"/>
      <c r="R110" s="4"/>
    </row>
    <row r="111">
      <c r="A111" s="5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4"/>
      <c r="O111" s="4"/>
      <c r="P111" s="4"/>
      <c r="Q111" s="4"/>
      <c r="R111" s="4"/>
    </row>
    <row r="112">
      <c r="A112" s="5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4"/>
      <c r="O112" s="4"/>
      <c r="P112" s="4"/>
      <c r="Q112" s="4"/>
      <c r="R112" s="4"/>
    </row>
    <row r="113">
      <c r="A113" s="5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4"/>
      <c r="O113" s="4"/>
      <c r="P113" s="4"/>
      <c r="Q113" s="4"/>
      <c r="R113" s="4"/>
    </row>
    <row r="114">
      <c r="A114" s="5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4"/>
      <c r="O114" s="4"/>
      <c r="P114" s="4"/>
      <c r="Q114" s="4"/>
      <c r="R114" s="4"/>
    </row>
    <row r="115">
      <c r="A115" s="5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4"/>
      <c r="O115" s="4"/>
      <c r="P115" s="4"/>
      <c r="Q115" s="4"/>
      <c r="R115" s="4"/>
    </row>
    <row r="116">
      <c r="A116" s="5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4"/>
      <c r="O116" s="4"/>
      <c r="P116" s="4"/>
      <c r="Q116" s="4"/>
      <c r="R116" s="4"/>
    </row>
    <row r="117">
      <c r="A117" s="5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4"/>
      <c r="O117" s="4"/>
      <c r="P117" s="4"/>
      <c r="Q117" s="4"/>
      <c r="R117" s="4"/>
    </row>
    <row r="118">
      <c r="A118" s="5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4"/>
      <c r="O118" s="4"/>
      <c r="P118" s="4"/>
      <c r="Q118" s="4"/>
      <c r="R118" s="4"/>
    </row>
    <row r="119">
      <c r="A119" s="5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4"/>
      <c r="O119" s="4"/>
      <c r="P119" s="4"/>
      <c r="Q119" s="4"/>
      <c r="R119" s="4"/>
    </row>
    <row r="120">
      <c r="A120" s="5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4"/>
      <c r="O120" s="4"/>
      <c r="P120" s="4"/>
      <c r="Q120" s="4"/>
      <c r="R120" s="4"/>
    </row>
    <row r="121">
      <c r="A121" s="5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4"/>
      <c r="O121" s="4"/>
      <c r="P121" s="4"/>
      <c r="Q121" s="4"/>
      <c r="R121" s="4"/>
    </row>
    <row r="122">
      <c r="A122" s="5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4"/>
      <c r="O122" s="4"/>
      <c r="P122" s="4"/>
      <c r="Q122" s="4"/>
      <c r="R122" s="4"/>
    </row>
    <row r="123">
      <c r="A123" s="5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4"/>
      <c r="O123" s="4"/>
      <c r="P123" s="4"/>
      <c r="Q123" s="4"/>
      <c r="R123" s="4"/>
    </row>
    <row r="124">
      <c r="A124" s="5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4"/>
      <c r="O124" s="4"/>
      <c r="P124" s="4"/>
      <c r="Q124" s="4"/>
      <c r="R124" s="4"/>
    </row>
    <row r="125">
      <c r="A125" s="5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4"/>
      <c r="O125" s="4"/>
      <c r="P125" s="4"/>
      <c r="Q125" s="4"/>
      <c r="R125" s="4"/>
    </row>
    <row r="126">
      <c r="A126" s="5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4"/>
      <c r="O126" s="4"/>
      <c r="P126" s="4"/>
      <c r="Q126" s="4"/>
      <c r="R126" s="4"/>
    </row>
    <row r="127">
      <c r="A127" s="5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4"/>
      <c r="O127" s="4"/>
      <c r="P127" s="4"/>
      <c r="Q127" s="4"/>
      <c r="R127" s="4"/>
    </row>
    <row r="128">
      <c r="A128" s="5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4"/>
      <c r="O128" s="4"/>
      <c r="P128" s="4"/>
      <c r="Q128" s="4"/>
      <c r="R128" s="4"/>
    </row>
    <row r="129">
      <c r="A129" s="5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4"/>
      <c r="O129" s="4"/>
      <c r="P129" s="4"/>
      <c r="Q129" s="4"/>
      <c r="R129" s="4"/>
    </row>
    <row r="130">
      <c r="A130" s="5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4"/>
      <c r="O130" s="4"/>
      <c r="P130" s="4"/>
      <c r="Q130" s="4"/>
      <c r="R130" s="4"/>
    </row>
    <row r="131">
      <c r="A131" s="5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4"/>
      <c r="O131" s="4"/>
      <c r="P131" s="4"/>
      <c r="Q131" s="4"/>
      <c r="R131" s="4"/>
    </row>
    <row r="132">
      <c r="A132" s="5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4"/>
      <c r="O132" s="4"/>
      <c r="P132" s="4"/>
      <c r="Q132" s="4"/>
      <c r="R132" s="4"/>
    </row>
    <row r="133">
      <c r="A133" s="5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4"/>
      <c r="O133" s="4"/>
      <c r="P133" s="4"/>
      <c r="Q133" s="4"/>
      <c r="R133" s="4"/>
    </row>
    <row r="134">
      <c r="A134" s="5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4"/>
      <c r="O134" s="4"/>
      <c r="P134" s="4"/>
      <c r="Q134" s="4"/>
      <c r="R134" s="4"/>
    </row>
    <row r="135">
      <c r="A135" s="5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4"/>
      <c r="O135" s="4"/>
      <c r="P135" s="4"/>
      <c r="Q135" s="4"/>
      <c r="R135" s="4"/>
    </row>
    <row r="136">
      <c r="A136" s="5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4"/>
      <c r="O136" s="4"/>
      <c r="P136" s="4"/>
      <c r="Q136" s="4"/>
      <c r="R136" s="4"/>
    </row>
    <row r="137">
      <c r="A137" s="5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4"/>
      <c r="O137" s="4"/>
      <c r="P137" s="4"/>
      <c r="Q137" s="4"/>
      <c r="R137" s="4"/>
    </row>
    <row r="138">
      <c r="A138" s="5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4"/>
      <c r="O138" s="4"/>
      <c r="P138" s="4"/>
      <c r="Q138" s="4"/>
      <c r="R138" s="4"/>
    </row>
    <row r="139">
      <c r="A139" s="5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4"/>
      <c r="O139" s="4"/>
      <c r="P139" s="4"/>
      <c r="Q139" s="4"/>
      <c r="R139" s="4"/>
    </row>
    <row r="140">
      <c r="A140" s="5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4"/>
      <c r="O140" s="4"/>
      <c r="P140" s="4"/>
      <c r="Q140" s="4"/>
      <c r="R140" s="4"/>
    </row>
    <row r="141">
      <c r="A141" s="5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4"/>
      <c r="O141" s="4"/>
      <c r="P141" s="4"/>
      <c r="Q141" s="4"/>
      <c r="R141" s="4"/>
    </row>
    <row r="142">
      <c r="A142" s="5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4"/>
      <c r="O142" s="4"/>
      <c r="P142" s="4"/>
      <c r="Q142" s="4"/>
      <c r="R142" s="4"/>
    </row>
    <row r="143">
      <c r="A143" s="5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4"/>
      <c r="O143" s="4"/>
      <c r="P143" s="4"/>
      <c r="Q143" s="4"/>
      <c r="R143" s="4"/>
    </row>
    <row r="144">
      <c r="A144" s="5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4"/>
      <c r="O144" s="4"/>
      <c r="P144" s="4"/>
      <c r="Q144" s="4"/>
      <c r="R144" s="4"/>
    </row>
    <row r="145">
      <c r="A145" s="5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4"/>
      <c r="O145" s="4"/>
      <c r="P145" s="4"/>
      <c r="Q145" s="4"/>
      <c r="R145" s="4"/>
    </row>
    <row r="146">
      <c r="A146" s="5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4"/>
      <c r="O146" s="4"/>
      <c r="P146" s="4"/>
      <c r="Q146" s="4"/>
      <c r="R146" s="4"/>
    </row>
    <row r="147">
      <c r="A147" s="5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4"/>
      <c r="O147" s="4"/>
      <c r="P147" s="4"/>
      <c r="Q147" s="4"/>
      <c r="R147" s="4"/>
    </row>
    <row r="148">
      <c r="A148" s="5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4"/>
      <c r="O148" s="4"/>
      <c r="P148" s="4"/>
      <c r="Q148" s="4"/>
      <c r="R148" s="4"/>
    </row>
    <row r="149">
      <c r="A149" s="5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4"/>
      <c r="O149" s="4"/>
      <c r="P149" s="4"/>
      <c r="Q149" s="4"/>
      <c r="R149" s="4"/>
    </row>
    <row r="150">
      <c r="A150" s="5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4"/>
      <c r="O150" s="4"/>
      <c r="P150" s="4"/>
      <c r="Q150" s="4"/>
      <c r="R150" s="4"/>
    </row>
    <row r="151">
      <c r="A151" s="5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4"/>
      <c r="O151" s="4"/>
      <c r="P151" s="4"/>
      <c r="Q151" s="4"/>
      <c r="R151" s="4"/>
    </row>
    <row r="152">
      <c r="A152" s="5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4"/>
      <c r="O152" s="4"/>
      <c r="P152" s="4"/>
      <c r="Q152" s="4"/>
      <c r="R152" s="4"/>
    </row>
    <row r="153">
      <c r="A153" s="5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4"/>
      <c r="O153" s="4"/>
      <c r="P153" s="4"/>
      <c r="Q153" s="4"/>
      <c r="R153" s="4"/>
    </row>
    <row r="154">
      <c r="A154" s="5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4"/>
      <c r="O154" s="4"/>
      <c r="P154" s="4"/>
      <c r="Q154" s="4"/>
      <c r="R154" s="4"/>
    </row>
    <row r="155">
      <c r="A155" s="5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4"/>
      <c r="O155" s="4"/>
      <c r="P155" s="4"/>
      <c r="Q155" s="4"/>
      <c r="R155" s="4"/>
    </row>
    <row r="156">
      <c r="A156" s="5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4"/>
      <c r="O156" s="4"/>
      <c r="P156" s="4"/>
      <c r="Q156" s="4"/>
      <c r="R156" s="4"/>
    </row>
    <row r="157">
      <c r="A157" s="5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4"/>
      <c r="O157" s="4"/>
      <c r="P157" s="4"/>
      <c r="Q157" s="4"/>
      <c r="R157" s="4"/>
    </row>
    <row r="158">
      <c r="A158" s="5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4"/>
      <c r="O158" s="4"/>
      <c r="P158" s="4"/>
      <c r="Q158" s="4"/>
      <c r="R158" s="4"/>
    </row>
    <row r="159">
      <c r="A159" s="5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4"/>
      <c r="O159" s="4"/>
      <c r="P159" s="4"/>
      <c r="Q159" s="4"/>
      <c r="R159" s="4"/>
    </row>
    <row r="160">
      <c r="A160" s="5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4"/>
      <c r="O160" s="4"/>
      <c r="P160" s="4"/>
      <c r="Q160" s="4"/>
      <c r="R160" s="4"/>
    </row>
    <row r="161">
      <c r="A161" s="5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4"/>
      <c r="O161" s="4"/>
      <c r="P161" s="4"/>
      <c r="Q161" s="4"/>
      <c r="R161" s="4"/>
    </row>
    <row r="162">
      <c r="A162" s="5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4"/>
      <c r="O162" s="4"/>
      <c r="P162" s="4"/>
      <c r="Q162" s="4"/>
      <c r="R162" s="4"/>
    </row>
    <row r="163">
      <c r="A163" s="5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4"/>
      <c r="O163" s="4"/>
      <c r="P163" s="4"/>
      <c r="Q163" s="4"/>
      <c r="R163" s="4"/>
    </row>
    <row r="164">
      <c r="A164" s="5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4"/>
      <c r="O164" s="4"/>
      <c r="P164" s="4"/>
      <c r="Q164" s="4"/>
      <c r="R164" s="4"/>
    </row>
    <row r="165">
      <c r="A165" s="5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4"/>
      <c r="O165" s="4"/>
      <c r="P165" s="4"/>
      <c r="Q165" s="4"/>
      <c r="R165" s="4"/>
    </row>
    <row r="166">
      <c r="A166" s="5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4"/>
      <c r="O166" s="4"/>
      <c r="P166" s="4"/>
      <c r="Q166" s="4"/>
      <c r="R166" s="4"/>
    </row>
    <row r="167">
      <c r="A167" s="5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4"/>
      <c r="O167" s="4"/>
      <c r="P167" s="4"/>
      <c r="Q167" s="4"/>
      <c r="R167" s="4"/>
    </row>
    <row r="168">
      <c r="A168" s="5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4"/>
      <c r="O168" s="4"/>
      <c r="P168" s="4"/>
      <c r="Q168" s="4"/>
      <c r="R168" s="4"/>
    </row>
    <row r="169">
      <c r="A169" s="5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4"/>
      <c r="O169" s="4"/>
      <c r="P169" s="4"/>
      <c r="Q169" s="4"/>
      <c r="R169" s="4"/>
    </row>
    <row r="170">
      <c r="A170" s="5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4"/>
      <c r="O170" s="4"/>
      <c r="P170" s="4"/>
      <c r="Q170" s="4"/>
      <c r="R170" s="4"/>
    </row>
    <row r="171">
      <c r="A171" s="5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4"/>
      <c r="O171" s="4"/>
      <c r="P171" s="4"/>
      <c r="Q171" s="4"/>
      <c r="R171" s="4"/>
    </row>
    <row r="172">
      <c r="A172" s="5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4"/>
      <c r="O172" s="4"/>
      <c r="P172" s="4"/>
      <c r="Q172" s="4"/>
      <c r="R172" s="4"/>
    </row>
    <row r="173">
      <c r="A173" s="5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4"/>
      <c r="O173" s="4"/>
      <c r="P173" s="4"/>
      <c r="Q173" s="4"/>
      <c r="R173" s="4"/>
    </row>
    <row r="174">
      <c r="A174" s="5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4"/>
      <c r="O174" s="4"/>
      <c r="P174" s="4"/>
      <c r="Q174" s="4"/>
      <c r="R174" s="4"/>
    </row>
    <row r="175">
      <c r="A175" s="5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4"/>
      <c r="O175" s="4"/>
      <c r="P175" s="4"/>
      <c r="Q175" s="4"/>
      <c r="R175" s="4"/>
    </row>
    <row r="176">
      <c r="A176" s="5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4"/>
      <c r="O176" s="4"/>
      <c r="P176" s="4"/>
      <c r="Q176" s="4"/>
      <c r="R176" s="4"/>
    </row>
    <row r="177">
      <c r="A177" s="5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4"/>
      <c r="O177" s="4"/>
      <c r="P177" s="4"/>
      <c r="Q177" s="4"/>
      <c r="R177" s="4"/>
    </row>
    <row r="178">
      <c r="A178" s="5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4"/>
      <c r="O178" s="4"/>
      <c r="P178" s="4"/>
      <c r="Q178" s="4"/>
      <c r="R178" s="4"/>
    </row>
    <row r="179">
      <c r="A179" s="5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4"/>
      <c r="O179" s="4"/>
      <c r="P179" s="4"/>
      <c r="Q179" s="4"/>
      <c r="R179" s="4"/>
    </row>
    <row r="180">
      <c r="A180" s="5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4"/>
      <c r="O180" s="4"/>
      <c r="P180" s="4"/>
      <c r="Q180" s="4"/>
      <c r="R180" s="4"/>
    </row>
    <row r="181">
      <c r="A181" s="5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4"/>
      <c r="O181" s="4"/>
      <c r="P181" s="4"/>
      <c r="Q181" s="4"/>
      <c r="R181" s="4"/>
    </row>
    <row r="182">
      <c r="A182" s="5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4"/>
      <c r="O182" s="4"/>
      <c r="P182" s="4"/>
      <c r="Q182" s="4"/>
      <c r="R182" s="4"/>
    </row>
    <row r="183">
      <c r="A183" s="5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4"/>
      <c r="O183" s="4"/>
      <c r="P183" s="4"/>
      <c r="Q183" s="4"/>
      <c r="R183" s="4"/>
    </row>
    <row r="184">
      <c r="A184" s="5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4"/>
      <c r="O184" s="4"/>
      <c r="P184" s="4"/>
      <c r="Q184" s="4"/>
      <c r="R184" s="4"/>
    </row>
    <row r="185">
      <c r="A185" s="5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4"/>
      <c r="O185" s="4"/>
      <c r="P185" s="4"/>
      <c r="Q185" s="4"/>
      <c r="R185" s="4"/>
    </row>
    <row r="186">
      <c r="A186" s="5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4"/>
      <c r="O186" s="4"/>
      <c r="P186" s="4"/>
      <c r="Q186" s="4"/>
      <c r="R186" s="4"/>
    </row>
    <row r="187">
      <c r="A187" s="5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4"/>
      <c r="O187" s="4"/>
      <c r="P187" s="4"/>
      <c r="Q187" s="4"/>
      <c r="R187" s="4"/>
    </row>
    <row r="188">
      <c r="A188" s="5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4"/>
      <c r="O188" s="4"/>
      <c r="P188" s="4"/>
      <c r="Q188" s="4"/>
      <c r="R188" s="4"/>
    </row>
    <row r="189">
      <c r="A189" s="5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4"/>
      <c r="O189" s="4"/>
      <c r="P189" s="4"/>
      <c r="Q189" s="4"/>
      <c r="R189" s="4"/>
    </row>
    <row r="190">
      <c r="A190" s="5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4"/>
      <c r="O190" s="4"/>
      <c r="P190" s="4"/>
      <c r="Q190" s="4"/>
      <c r="R190" s="4"/>
    </row>
    <row r="191">
      <c r="A191" s="5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4"/>
      <c r="O191" s="4"/>
      <c r="P191" s="4"/>
      <c r="Q191" s="4"/>
      <c r="R191" s="4"/>
    </row>
    <row r="192">
      <c r="A192" s="5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4"/>
      <c r="O192" s="4"/>
      <c r="P192" s="4"/>
      <c r="Q192" s="4"/>
      <c r="R192" s="4"/>
    </row>
    <row r="193">
      <c r="A193" s="5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4"/>
      <c r="O193" s="4"/>
      <c r="P193" s="4"/>
      <c r="Q193" s="4"/>
      <c r="R193" s="4"/>
    </row>
    <row r="194">
      <c r="A194" s="5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4"/>
      <c r="O194" s="4"/>
      <c r="P194" s="4"/>
      <c r="Q194" s="4"/>
      <c r="R194" s="4"/>
    </row>
    <row r="195">
      <c r="A195" s="5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4"/>
      <c r="O195" s="4"/>
      <c r="P195" s="4"/>
      <c r="Q195" s="4"/>
      <c r="R195" s="4"/>
    </row>
    <row r="196">
      <c r="A196" s="5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4"/>
      <c r="O196" s="4"/>
      <c r="P196" s="4"/>
      <c r="Q196" s="4"/>
      <c r="R196" s="4"/>
    </row>
    <row r="197">
      <c r="A197" s="5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4"/>
      <c r="O197" s="4"/>
      <c r="P197" s="4"/>
      <c r="Q197" s="4"/>
      <c r="R197" s="4"/>
    </row>
    <row r="198">
      <c r="A198" s="5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4"/>
      <c r="O198" s="4"/>
      <c r="P198" s="4"/>
      <c r="Q198" s="4"/>
      <c r="R198" s="4"/>
    </row>
    <row r="199">
      <c r="A199" s="5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4"/>
      <c r="O199" s="4"/>
      <c r="P199" s="4"/>
      <c r="Q199" s="4"/>
      <c r="R199" s="4"/>
    </row>
    <row r="200">
      <c r="A200" s="5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4"/>
      <c r="O200" s="4"/>
      <c r="P200" s="4"/>
      <c r="Q200" s="4"/>
      <c r="R200" s="4"/>
    </row>
    <row r="201">
      <c r="A201" s="5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4"/>
      <c r="O201" s="4"/>
      <c r="P201" s="4"/>
      <c r="Q201" s="4"/>
      <c r="R201" s="4"/>
    </row>
    <row r="202">
      <c r="A202" s="5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4"/>
      <c r="O202" s="4"/>
      <c r="P202" s="4"/>
      <c r="Q202" s="4"/>
      <c r="R202" s="4"/>
    </row>
    <row r="203">
      <c r="A203" s="5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4"/>
      <c r="O203" s="4"/>
      <c r="P203" s="4"/>
      <c r="Q203" s="4"/>
      <c r="R203" s="4"/>
    </row>
    <row r="204">
      <c r="A204" s="5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4"/>
      <c r="O204" s="4"/>
      <c r="P204" s="4"/>
      <c r="Q204" s="4"/>
      <c r="R204" s="4"/>
    </row>
    <row r="205">
      <c r="A205" s="5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4"/>
      <c r="O205" s="4"/>
      <c r="P205" s="4"/>
      <c r="Q205" s="4"/>
      <c r="R205" s="4"/>
    </row>
    <row r="206">
      <c r="A206" s="5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4"/>
      <c r="O206" s="4"/>
      <c r="P206" s="4"/>
      <c r="Q206" s="4"/>
      <c r="R206" s="4"/>
    </row>
    <row r="207">
      <c r="A207" s="5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4"/>
      <c r="O207" s="4"/>
      <c r="P207" s="4"/>
      <c r="Q207" s="4"/>
      <c r="R207" s="4"/>
    </row>
    <row r="208">
      <c r="A208" s="5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4"/>
      <c r="O208" s="4"/>
      <c r="P208" s="4"/>
      <c r="Q208" s="4"/>
      <c r="R208" s="4"/>
    </row>
    <row r="209">
      <c r="A209" s="5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4"/>
      <c r="O209" s="4"/>
      <c r="P209" s="4"/>
      <c r="Q209" s="4"/>
      <c r="R209" s="4"/>
    </row>
    <row r="210">
      <c r="A210" s="5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4"/>
      <c r="O210" s="4"/>
      <c r="P210" s="4"/>
      <c r="Q210" s="4"/>
      <c r="R210" s="4"/>
    </row>
    <row r="211">
      <c r="A211" s="5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4"/>
      <c r="O211" s="4"/>
      <c r="P211" s="4"/>
      <c r="Q211" s="4"/>
      <c r="R211" s="4"/>
    </row>
    <row r="212">
      <c r="A212" s="5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4"/>
      <c r="O212" s="4"/>
      <c r="P212" s="4"/>
      <c r="Q212" s="4"/>
      <c r="R212" s="4"/>
    </row>
    <row r="213">
      <c r="A213" s="5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4"/>
      <c r="O213" s="4"/>
      <c r="P213" s="4"/>
      <c r="Q213" s="4"/>
      <c r="R213" s="4"/>
    </row>
    <row r="214">
      <c r="A214" s="5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4"/>
      <c r="O214" s="4"/>
      <c r="P214" s="4"/>
      <c r="Q214" s="4"/>
      <c r="R214" s="4"/>
    </row>
    <row r="215">
      <c r="A215" s="5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4"/>
      <c r="O215" s="4"/>
      <c r="P215" s="4"/>
      <c r="Q215" s="4"/>
      <c r="R215" s="4"/>
    </row>
    <row r="216">
      <c r="A216" s="5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4"/>
      <c r="O216" s="4"/>
      <c r="P216" s="4"/>
      <c r="Q216" s="4"/>
      <c r="R216" s="4"/>
    </row>
    <row r="217">
      <c r="A217" s="5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4"/>
      <c r="O217" s="4"/>
      <c r="P217" s="4"/>
      <c r="Q217" s="4"/>
      <c r="R217" s="4"/>
    </row>
    <row r="218">
      <c r="A218" s="5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4"/>
      <c r="O218" s="4"/>
      <c r="P218" s="4"/>
      <c r="Q218" s="4"/>
      <c r="R218" s="4"/>
    </row>
    <row r="219">
      <c r="A219" s="5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4"/>
      <c r="O219" s="4"/>
      <c r="P219" s="4"/>
      <c r="Q219" s="4"/>
      <c r="R219" s="4"/>
    </row>
    <row r="220">
      <c r="A220" s="5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4"/>
      <c r="O220" s="4"/>
      <c r="P220" s="4"/>
      <c r="Q220" s="4"/>
      <c r="R220" s="4"/>
    </row>
    <row r="221">
      <c r="A221" s="5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4"/>
      <c r="O221" s="4"/>
      <c r="P221" s="4"/>
      <c r="Q221" s="4"/>
      <c r="R221" s="4"/>
    </row>
    <row r="222">
      <c r="A222" s="5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4"/>
      <c r="O222" s="4"/>
      <c r="P222" s="4"/>
      <c r="Q222" s="4"/>
      <c r="R222" s="4"/>
    </row>
    <row r="223">
      <c r="A223" s="5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4"/>
      <c r="O223" s="4"/>
      <c r="P223" s="4"/>
      <c r="Q223" s="4"/>
      <c r="R223" s="4"/>
    </row>
    <row r="224">
      <c r="A224" s="5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4"/>
      <c r="O224" s="4"/>
      <c r="P224" s="4"/>
      <c r="Q224" s="4"/>
      <c r="R224" s="4"/>
    </row>
    <row r="225">
      <c r="A225" s="5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4"/>
      <c r="O225" s="4"/>
      <c r="P225" s="4"/>
      <c r="Q225" s="4"/>
      <c r="R225" s="4"/>
    </row>
    <row r="226">
      <c r="A226" s="5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4"/>
      <c r="O226" s="4"/>
      <c r="P226" s="4"/>
      <c r="Q226" s="4"/>
      <c r="R226" s="4"/>
    </row>
    <row r="227">
      <c r="A227" s="5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4"/>
      <c r="O227" s="4"/>
      <c r="P227" s="4"/>
      <c r="Q227" s="4"/>
      <c r="R227" s="4"/>
    </row>
    <row r="228">
      <c r="A228" s="5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4"/>
      <c r="O228" s="4"/>
      <c r="P228" s="4"/>
      <c r="Q228" s="4"/>
      <c r="R228" s="4"/>
    </row>
    <row r="229">
      <c r="A229" s="5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4"/>
      <c r="O229" s="4"/>
      <c r="P229" s="4"/>
      <c r="Q229" s="4"/>
      <c r="R229" s="4"/>
    </row>
    <row r="230">
      <c r="A230" s="5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4"/>
      <c r="O230" s="4"/>
      <c r="P230" s="4"/>
      <c r="Q230" s="4"/>
      <c r="R230" s="4"/>
    </row>
    <row r="231">
      <c r="A231" s="5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4"/>
      <c r="O231" s="4"/>
      <c r="P231" s="4"/>
      <c r="Q231" s="4"/>
      <c r="R231" s="4"/>
    </row>
    <row r="232">
      <c r="A232" s="5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4"/>
      <c r="O232" s="4"/>
      <c r="P232" s="4"/>
      <c r="Q232" s="4"/>
      <c r="R232" s="4"/>
    </row>
    <row r="233">
      <c r="A233" s="5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4"/>
      <c r="O233" s="4"/>
      <c r="P233" s="4"/>
      <c r="Q233" s="4"/>
      <c r="R233" s="4"/>
    </row>
    <row r="234">
      <c r="A234" s="5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4"/>
      <c r="O234" s="4"/>
      <c r="P234" s="4"/>
      <c r="Q234" s="4"/>
      <c r="R234" s="4"/>
    </row>
    <row r="235">
      <c r="A235" s="5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4"/>
      <c r="O235" s="4"/>
      <c r="P235" s="4"/>
      <c r="Q235" s="4"/>
      <c r="R235" s="4"/>
    </row>
    <row r="236">
      <c r="A236" s="5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4"/>
      <c r="O236" s="4"/>
      <c r="P236" s="4"/>
      <c r="Q236" s="4"/>
      <c r="R236" s="4"/>
    </row>
    <row r="237">
      <c r="A237" s="5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4"/>
      <c r="O237" s="4"/>
      <c r="P237" s="4"/>
      <c r="Q237" s="4"/>
      <c r="R237" s="4"/>
    </row>
    <row r="238">
      <c r="A238" s="5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4"/>
      <c r="O238" s="4"/>
      <c r="P238" s="4"/>
      <c r="Q238" s="4"/>
      <c r="R238" s="4"/>
    </row>
    <row r="239">
      <c r="A239" s="5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4"/>
      <c r="O239" s="4"/>
      <c r="P239" s="4"/>
      <c r="Q239" s="4"/>
      <c r="R239" s="4"/>
    </row>
    <row r="240">
      <c r="A240" s="5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4"/>
      <c r="O240" s="4"/>
      <c r="P240" s="4"/>
      <c r="Q240" s="4"/>
      <c r="R240" s="4"/>
    </row>
    <row r="241">
      <c r="A241" s="5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4"/>
      <c r="O241" s="4"/>
      <c r="P241" s="4"/>
      <c r="Q241" s="4"/>
      <c r="R241" s="4"/>
    </row>
    <row r="242">
      <c r="A242" s="5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4"/>
      <c r="O242" s="4"/>
      <c r="P242" s="4"/>
      <c r="Q242" s="4"/>
      <c r="R242" s="4"/>
    </row>
    <row r="243">
      <c r="A243" s="5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4"/>
      <c r="O243" s="4"/>
      <c r="P243" s="4"/>
      <c r="Q243" s="4"/>
      <c r="R243" s="4"/>
    </row>
    <row r="244">
      <c r="A244" s="5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4"/>
      <c r="O244" s="4"/>
      <c r="P244" s="4"/>
      <c r="Q244" s="4"/>
      <c r="R244" s="4"/>
    </row>
    <row r="245">
      <c r="A245" s="5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4"/>
      <c r="O245" s="4"/>
      <c r="P245" s="4"/>
      <c r="Q245" s="4"/>
      <c r="R245" s="4"/>
    </row>
    <row r="246">
      <c r="A246" s="5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4"/>
      <c r="O246" s="4"/>
      <c r="P246" s="4"/>
      <c r="Q246" s="4"/>
      <c r="R246" s="4"/>
    </row>
    <row r="247">
      <c r="A247" s="5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4"/>
      <c r="O247" s="4"/>
      <c r="P247" s="4"/>
      <c r="Q247" s="4"/>
      <c r="R247" s="4"/>
    </row>
    <row r="248">
      <c r="A248" s="5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4"/>
      <c r="O248" s="4"/>
      <c r="P248" s="4"/>
      <c r="Q248" s="4"/>
      <c r="R248" s="4"/>
    </row>
    <row r="249">
      <c r="A249" s="5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4"/>
      <c r="O249" s="4"/>
      <c r="P249" s="4"/>
      <c r="Q249" s="4"/>
      <c r="R249" s="4"/>
    </row>
    <row r="250">
      <c r="A250" s="5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4"/>
      <c r="O250" s="4"/>
      <c r="P250" s="4"/>
      <c r="Q250" s="4"/>
      <c r="R250" s="4"/>
    </row>
    <row r="251">
      <c r="A251" s="5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4"/>
      <c r="O251" s="4"/>
      <c r="P251" s="4"/>
      <c r="Q251" s="4"/>
      <c r="R251" s="4"/>
    </row>
    <row r="252">
      <c r="A252" s="5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4"/>
      <c r="O252" s="4"/>
      <c r="P252" s="4"/>
      <c r="Q252" s="4"/>
      <c r="R252" s="4"/>
    </row>
    <row r="253">
      <c r="A253" s="5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4"/>
      <c r="O253" s="4"/>
      <c r="P253" s="4"/>
      <c r="Q253" s="4"/>
      <c r="R253" s="4"/>
    </row>
    <row r="254">
      <c r="A254" s="5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4"/>
      <c r="O254" s="4"/>
      <c r="P254" s="4"/>
      <c r="Q254" s="4"/>
      <c r="R254" s="4"/>
    </row>
    <row r="255">
      <c r="A255" s="5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4"/>
      <c r="O255" s="4"/>
      <c r="P255" s="4"/>
      <c r="Q255" s="4"/>
      <c r="R255" s="4"/>
    </row>
    <row r="256">
      <c r="A256" s="5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4"/>
      <c r="O256" s="4"/>
      <c r="P256" s="4"/>
      <c r="Q256" s="4"/>
      <c r="R256" s="4"/>
    </row>
    <row r="257">
      <c r="A257" s="5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4"/>
      <c r="O257" s="4"/>
      <c r="P257" s="4"/>
      <c r="Q257" s="4"/>
      <c r="R257" s="4"/>
    </row>
    <row r="258">
      <c r="A258" s="5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4"/>
      <c r="O258" s="4"/>
      <c r="P258" s="4"/>
      <c r="Q258" s="4"/>
      <c r="R258" s="4"/>
    </row>
    <row r="259">
      <c r="A259" s="5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4"/>
      <c r="O259" s="4"/>
      <c r="P259" s="4"/>
      <c r="Q259" s="4"/>
      <c r="R259" s="4"/>
    </row>
    <row r="260">
      <c r="A260" s="5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4"/>
      <c r="O260" s="4"/>
      <c r="P260" s="4"/>
      <c r="Q260" s="4"/>
      <c r="R260" s="4"/>
    </row>
    <row r="261">
      <c r="A261" s="5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4"/>
      <c r="O261" s="4"/>
      <c r="P261" s="4"/>
      <c r="Q261" s="4"/>
      <c r="R261" s="4"/>
    </row>
    <row r="262">
      <c r="A262" s="5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4"/>
      <c r="O262" s="4"/>
      <c r="P262" s="4"/>
      <c r="Q262" s="4"/>
      <c r="R262" s="4"/>
    </row>
    <row r="263">
      <c r="A263" s="5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4"/>
      <c r="O263" s="4"/>
      <c r="P263" s="4"/>
      <c r="Q263" s="4"/>
      <c r="R263" s="4"/>
    </row>
    <row r="264">
      <c r="A264" s="5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4"/>
      <c r="O264" s="4"/>
      <c r="P264" s="4"/>
      <c r="Q264" s="4"/>
      <c r="R264" s="4"/>
    </row>
    <row r="265">
      <c r="A265" s="5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4"/>
      <c r="O265" s="4"/>
      <c r="P265" s="4"/>
      <c r="Q265" s="4"/>
      <c r="R265" s="4"/>
    </row>
    <row r="266">
      <c r="A266" s="5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4"/>
      <c r="O266" s="4"/>
      <c r="P266" s="4"/>
      <c r="Q266" s="4"/>
      <c r="R266" s="4"/>
    </row>
    <row r="267">
      <c r="A267" s="5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4"/>
      <c r="O267" s="4"/>
      <c r="P267" s="4"/>
      <c r="Q267" s="4"/>
      <c r="R267" s="4"/>
    </row>
    <row r="268">
      <c r="A268" s="5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4"/>
      <c r="O268" s="4"/>
      <c r="P268" s="4"/>
      <c r="Q268" s="4"/>
      <c r="R268" s="4"/>
    </row>
    <row r="269">
      <c r="A269" s="5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4"/>
      <c r="O269" s="4"/>
      <c r="P269" s="4"/>
      <c r="Q269" s="4"/>
      <c r="R269" s="4"/>
    </row>
    <row r="270">
      <c r="A270" s="5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4"/>
      <c r="O270" s="4"/>
      <c r="P270" s="4"/>
      <c r="Q270" s="4"/>
      <c r="R270" s="4"/>
    </row>
    <row r="271">
      <c r="A271" s="5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4"/>
      <c r="O271" s="4"/>
      <c r="P271" s="4"/>
      <c r="Q271" s="4"/>
      <c r="R271" s="4"/>
    </row>
    <row r="272">
      <c r="A272" s="5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4"/>
      <c r="O272" s="4"/>
      <c r="P272" s="4"/>
      <c r="Q272" s="4"/>
      <c r="R272" s="4"/>
    </row>
    <row r="273">
      <c r="A273" s="5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4"/>
      <c r="O273" s="4"/>
      <c r="P273" s="4"/>
      <c r="Q273" s="4"/>
      <c r="R273" s="4"/>
    </row>
    <row r="274">
      <c r="A274" s="5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4"/>
      <c r="O274" s="4"/>
      <c r="P274" s="4"/>
      <c r="Q274" s="4"/>
      <c r="R274" s="4"/>
    </row>
    <row r="275">
      <c r="A275" s="5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4"/>
      <c r="O275" s="4"/>
      <c r="P275" s="4"/>
      <c r="Q275" s="4"/>
      <c r="R275" s="4"/>
    </row>
    <row r="276">
      <c r="A276" s="5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4"/>
      <c r="O276" s="4"/>
      <c r="P276" s="4"/>
      <c r="Q276" s="4"/>
      <c r="R276" s="4"/>
    </row>
    <row r="277">
      <c r="A277" s="5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4"/>
      <c r="O277" s="4"/>
      <c r="P277" s="4"/>
      <c r="Q277" s="4"/>
      <c r="R277" s="4"/>
    </row>
    <row r="278">
      <c r="A278" s="5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4"/>
      <c r="O278" s="4"/>
      <c r="P278" s="4"/>
      <c r="Q278" s="4"/>
      <c r="R278" s="4"/>
    </row>
    <row r="279">
      <c r="A279" s="5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4"/>
      <c r="O279" s="4"/>
      <c r="P279" s="4"/>
      <c r="Q279" s="4"/>
      <c r="R279" s="4"/>
    </row>
    <row r="280">
      <c r="A280" s="5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4"/>
      <c r="O280" s="4"/>
      <c r="P280" s="4"/>
      <c r="Q280" s="4"/>
      <c r="R280" s="4"/>
    </row>
    <row r="281">
      <c r="A281" s="5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4"/>
      <c r="O281" s="4"/>
      <c r="P281" s="4"/>
      <c r="Q281" s="4"/>
      <c r="R281" s="4"/>
    </row>
    <row r="282">
      <c r="A282" s="5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4"/>
      <c r="O282" s="4"/>
      <c r="P282" s="4"/>
      <c r="Q282" s="4"/>
      <c r="R282" s="4"/>
    </row>
    <row r="283">
      <c r="A283" s="5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4"/>
      <c r="O283" s="4"/>
      <c r="P283" s="4"/>
      <c r="Q283" s="4"/>
      <c r="R283" s="4"/>
    </row>
    <row r="284">
      <c r="A284" s="5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4"/>
      <c r="O284" s="4"/>
      <c r="P284" s="4"/>
      <c r="Q284" s="4"/>
      <c r="R284" s="4"/>
    </row>
    <row r="285">
      <c r="A285" s="5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4"/>
      <c r="O285" s="4"/>
      <c r="P285" s="4"/>
      <c r="Q285" s="4"/>
      <c r="R285" s="4"/>
    </row>
    <row r="286">
      <c r="A286" s="5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4"/>
      <c r="O286" s="4"/>
      <c r="P286" s="4"/>
      <c r="Q286" s="4"/>
      <c r="R286" s="4"/>
    </row>
    <row r="287">
      <c r="A287" s="5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4"/>
      <c r="O287" s="4"/>
      <c r="P287" s="4"/>
      <c r="Q287" s="4"/>
      <c r="R287" s="4"/>
    </row>
    <row r="288">
      <c r="A288" s="5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4"/>
      <c r="O288" s="4"/>
      <c r="P288" s="4"/>
      <c r="Q288" s="4"/>
      <c r="R288" s="4"/>
    </row>
    <row r="289">
      <c r="A289" s="5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4"/>
      <c r="O289" s="4"/>
      <c r="P289" s="4"/>
      <c r="Q289" s="4"/>
      <c r="R289" s="4"/>
    </row>
    <row r="290">
      <c r="A290" s="5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4"/>
      <c r="O290" s="4"/>
      <c r="P290" s="4"/>
      <c r="Q290" s="4"/>
      <c r="R290" s="4"/>
    </row>
    <row r="291">
      <c r="A291" s="5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4"/>
      <c r="O291" s="4"/>
      <c r="P291" s="4"/>
      <c r="Q291" s="4"/>
      <c r="R291" s="4"/>
    </row>
    <row r="292">
      <c r="A292" s="5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4"/>
      <c r="O292" s="4"/>
      <c r="P292" s="4"/>
      <c r="Q292" s="4"/>
      <c r="R292" s="4"/>
    </row>
    <row r="293">
      <c r="A293" s="5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4"/>
      <c r="O293" s="4"/>
      <c r="P293" s="4"/>
      <c r="Q293" s="4"/>
      <c r="R293" s="4"/>
    </row>
    <row r="294">
      <c r="A294" s="5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4"/>
      <c r="O294" s="4"/>
      <c r="P294" s="4"/>
      <c r="Q294" s="4"/>
      <c r="R294" s="4"/>
    </row>
    <row r="295">
      <c r="A295" s="5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4"/>
      <c r="O295" s="4"/>
      <c r="P295" s="4"/>
      <c r="Q295" s="4"/>
      <c r="R295" s="4"/>
    </row>
    <row r="296">
      <c r="A296" s="5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4"/>
      <c r="O296" s="4"/>
      <c r="P296" s="4"/>
      <c r="Q296" s="4"/>
      <c r="R296" s="4"/>
    </row>
    <row r="297">
      <c r="A297" s="5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4"/>
      <c r="O297" s="4"/>
      <c r="P297" s="4"/>
      <c r="Q297" s="4"/>
      <c r="R297" s="4"/>
    </row>
    <row r="298">
      <c r="A298" s="5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4"/>
      <c r="O298" s="4"/>
      <c r="P298" s="4"/>
      <c r="Q298" s="4"/>
      <c r="R298" s="4"/>
    </row>
    <row r="299">
      <c r="A299" s="5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4"/>
      <c r="O299" s="4"/>
      <c r="P299" s="4"/>
      <c r="Q299" s="4"/>
      <c r="R299" s="4"/>
    </row>
    <row r="300">
      <c r="A300" s="5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4"/>
      <c r="O300" s="4"/>
      <c r="P300" s="4"/>
      <c r="Q300" s="4"/>
      <c r="R300" s="4"/>
    </row>
    <row r="301">
      <c r="A301" s="5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4"/>
      <c r="O301" s="4"/>
      <c r="P301" s="4"/>
      <c r="Q301" s="4"/>
      <c r="R301" s="4"/>
    </row>
    <row r="302">
      <c r="A302" s="5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4"/>
      <c r="O302" s="4"/>
      <c r="P302" s="4"/>
      <c r="Q302" s="4"/>
      <c r="R302" s="4"/>
    </row>
    <row r="303">
      <c r="A303" s="5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4"/>
      <c r="O303" s="4"/>
      <c r="P303" s="4"/>
      <c r="Q303" s="4"/>
      <c r="R303" s="4"/>
    </row>
    <row r="304">
      <c r="A304" s="5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4"/>
      <c r="O304" s="4"/>
      <c r="P304" s="4"/>
      <c r="Q304" s="4"/>
      <c r="R304" s="4"/>
    </row>
    <row r="305">
      <c r="A305" s="5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4"/>
      <c r="O305" s="4"/>
      <c r="P305" s="4"/>
      <c r="Q305" s="4"/>
      <c r="R305" s="4"/>
    </row>
    <row r="306">
      <c r="A306" s="5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4"/>
      <c r="O306" s="4"/>
      <c r="P306" s="4"/>
      <c r="Q306" s="4"/>
      <c r="R306" s="4"/>
    </row>
    <row r="307">
      <c r="A307" s="5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4"/>
      <c r="O307" s="4"/>
      <c r="P307" s="4"/>
      <c r="Q307" s="4"/>
      <c r="R307" s="4"/>
    </row>
    <row r="308">
      <c r="A308" s="5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4"/>
      <c r="O308" s="4"/>
      <c r="P308" s="4"/>
      <c r="Q308" s="4"/>
      <c r="R308" s="4"/>
    </row>
    <row r="309">
      <c r="A309" s="5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4"/>
      <c r="O309" s="4"/>
      <c r="P309" s="4"/>
      <c r="Q309" s="4"/>
      <c r="R309" s="4"/>
    </row>
    <row r="310">
      <c r="A310" s="5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4"/>
      <c r="O310" s="4"/>
      <c r="P310" s="4"/>
      <c r="Q310" s="4"/>
      <c r="R310" s="4"/>
    </row>
    <row r="311">
      <c r="A311" s="5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4"/>
      <c r="O311" s="4"/>
      <c r="P311" s="4"/>
      <c r="Q311" s="4"/>
      <c r="R311" s="4"/>
    </row>
    <row r="312">
      <c r="A312" s="5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4"/>
      <c r="O312" s="4"/>
      <c r="P312" s="4"/>
      <c r="Q312" s="4"/>
      <c r="R312" s="4"/>
    </row>
    <row r="313">
      <c r="A313" s="5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4"/>
      <c r="O313" s="4"/>
      <c r="P313" s="4"/>
      <c r="Q313" s="4"/>
      <c r="R313" s="4"/>
    </row>
    <row r="314">
      <c r="A314" s="5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4"/>
      <c r="O314" s="4"/>
      <c r="P314" s="4"/>
      <c r="Q314" s="4"/>
      <c r="R314" s="4"/>
    </row>
    <row r="315">
      <c r="A315" s="5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4"/>
      <c r="O315" s="4"/>
      <c r="P315" s="4"/>
      <c r="Q315" s="4"/>
      <c r="R315" s="4"/>
    </row>
    <row r="316">
      <c r="A316" s="5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4"/>
      <c r="O316" s="4"/>
      <c r="P316" s="4"/>
      <c r="Q316" s="4"/>
      <c r="R316" s="4"/>
    </row>
    <row r="317">
      <c r="A317" s="5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4"/>
      <c r="O317" s="4"/>
      <c r="P317" s="4"/>
      <c r="Q317" s="4"/>
      <c r="R317" s="4"/>
    </row>
    <row r="318">
      <c r="A318" s="5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4"/>
      <c r="O318" s="4"/>
      <c r="P318" s="4"/>
      <c r="Q318" s="4"/>
      <c r="R318" s="4"/>
    </row>
    <row r="319">
      <c r="A319" s="5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4"/>
      <c r="O319" s="4"/>
      <c r="P319" s="4"/>
      <c r="Q319" s="4"/>
      <c r="R319" s="4"/>
    </row>
    <row r="320">
      <c r="A320" s="5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4"/>
      <c r="O320" s="4"/>
      <c r="P320" s="4"/>
      <c r="Q320" s="4"/>
      <c r="R320" s="4"/>
    </row>
    <row r="321">
      <c r="A321" s="5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4"/>
      <c r="O321" s="4"/>
      <c r="P321" s="4"/>
      <c r="Q321" s="4"/>
      <c r="R321" s="4"/>
    </row>
    <row r="322">
      <c r="A322" s="5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4"/>
      <c r="O322" s="4"/>
      <c r="P322" s="4"/>
      <c r="Q322" s="4"/>
      <c r="R322" s="4"/>
    </row>
    <row r="323">
      <c r="A323" s="5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4"/>
      <c r="O323" s="4"/>
      <c r="P323" s="4"/>
      <c r="Q323" s="4"/>
      <c r="R323" s="4"/>
    </row>
    <row r="324">
      <c r="A324" s="5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4"/>
      <c r="O324" s="4"/>
      <c r="P324" s="4"/>
      <c r="Q324" s="4"/>
      <c r="R324" s="4"/>
    </row>
    <row r="325">
      <c r="A325" s="5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4"/>
      <c r="O325" s="4"/>
      <c r="P325" s="4"/>
      <c r="Q325" s="4"/>
      <c r="R325" s="4"/>
    </row>
    <row r="326">
      <c r="A326" s="5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4"/>
      <c r="O326" s="4"/>
      <c r="P326" s="4"/>
      <c r="Q326" s="4"/>
      <c r="R326" s="4"/>
    </row>
    <row r="327">
      <c r="A327" s="5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4"/>
      <c r="O327" s="4"/>
      <c r="P327" s="4"/>
      <c r="Q327" s="4"/>
      <c r="R327" s="4"/>
    </row>
    <row r="328">
      <c r="A328" s="5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4"/>
      <c r="O328" s="4"/>
      <c r="P328" s="4"/>
      <c r="Q328" s="4"/>
      <c r="R328" s="4"/>
    </row>
    <row r="329">
      <c r="A329" s="5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4"/>
      <c r="O329" s="4"/>
      <c r="P329" s="4"/>
      <c r="Q329" s="4"/>
      <c r="R329" s="4"/>
    </row>
    <row r="330">
      <c r="A330" s="5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4"/>
      <c r="O330" s="4"/>
      <c r="P330" s="4"/>
      <c r="Q330" s="4"/>
      <c r="R330" s="4"/>
    </row>
    <row r="331">
      <c r="A331" s="5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4"/>
      <c r="O331" s="4"/>
      <c r="P331" s="4"/>
      <c r="Q331" s="4"/>
      <c r="R331" s="4"/>
    </row>
    <row r="332">
      <c r="A332" s="5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4"/>
      <c r="O332" s="4"/>
      <c r="P332" s="4"/>
      <c r="Q332" s="4"/>
      <c r="R332" s="4"/>
    </row>
    <row r="333">
      <c r="A333" s="5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4"/>
      <c r="O333" s="4"/>
      <c r="P333" s="4"/>
      <c r="Q333" s="4"/>
      <c r="R333" s="4"/>
    </row>
    <row r="334">
      <c r="A334" s="5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4"/>
      <c r="O334" s="4"/>
      <c r="P334" s="4"/>
      <c r="Q334" s="4"/>
      <c r="R334" s="4"/>
    </row>
    <row r="335">
      <c r="A335" s="5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4"/>
      <c r="O335" s="4"/>
      <c r="P335" s="4"/>
      <c r="Q335" s="4"/>
      <c r="R335" s="4"/>
    </row>
    <row r="336">
      <c r="A336" s="5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4"/>
      <c r="O336" s="4"/>
      <c r="P336" s="4"/>
      <c r="Q336" s="4"/>
      <c r="R336" s="4"/>
    </row>
    <row r="337">
      <c r="A337" s="5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4"/>
      <c r="O337" s="4"/>
      <c r="P337" s="4"/>
      <c r="Q337" s="4"/>
      <c r="R337" s="4"/>
    </row>
    <row r="338">
      <c r="A338" s="5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4"/>
      <c r="O338" s="4"/>
      <c r="P338" s="4"/>
      <c r="Q338" s="4"/>
      <c r="R338" s="4"/>
    </row>
    <row r="339">
      <c r="A339" s="5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4"/>
      <c r="O339" s="4"/>
      <c r="P339" s="4"/>
      <c r="Q339" s="4"/>
      <c r="R339" s="4"/>
    </row>
    <row r="340">
      <c r="A340" s="5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4"/>
      <c r="O340" s="4"/>
      <c r="P340" s="4"/>
      <c r="Q340" s="4"/>
      <c r="R340" s="4"/>
    </row>
    <row r="341">
      <c r="A341" s="5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4"/>
      <c r="O341" s="4"/>
      <c r="P341" s="4"/>
      <c r="Q341" s="4"/>
      <c r="R341" s="4"/>
    </row>
    <row r="342">
      <c r="A342" s="5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4"/>
      <c r="O342" s="4"/>
      <c r="P342" s="4"/>
      <c r="Q342" s="4"/>
      <c r="R342" s="4"/>
    </row>
    <row r="343">
      <c r="A343" s="5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4"/>
      <c r="O343" s="4"/>
      <c r="P343" s="4"/>
      <c r="Q343" s="4"/>
      <c r="R343" s="4"/>
    </row>
    <row r="344">
      <c r="A344" s="5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4"/>
      <c r="O344" s="4"/>
      <c r="P344" s="4"/>
      <c r="Q344" s="4"/>
      <c r="R344" s="4"/>
    </row>
    <row r="345">
      <c r="A345" s="5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4"/>
      <c r="O345" s="4"/>
      <c r="P345" s="4"/>
      <c r="Q345" s="4"/>
      <c r="R345" s="4"/>
    </row>
    <row r="346">
      <c r="A346" s="5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4"/>
      <c r="O346" s="4"/>
      <c r="P346" s="4"/>
      <c r="Q346" s="4"/>
      <c r="R346" s="4"/>
    </row>
    <row r="347">
      <c r="A347" s="5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4"/>
      <c r="O347" s="4"/>
      <c r="P347" s="4"/>
      <c r="Q347" s="4"/>
      <c r="R347" s="4"/>
    </row>
    <row r="348">
      <c r="A348" s="5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4"/>
      <c r="O348" s="4"/>
      <c r="P348" s="4"/>
      <c r="Q348" s="4"/>
      <c r="R348" s="4"/>
    </row>
    <row r="349">
      <c r="A349" s="5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4"/>
      <c r="O349" s="4"/>
      <c r="P349" s="4"/>
      <c r="Q349" s="4"/>
      <c r="R349" s="4"/>
    </row>
    <row r="350">
      <c r="A350" s="5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4"/>
      <c r="O350" s="4"/>
      <c r="P350" s="4"/>
      <c r="Q350" s="4"/>
      <c r="R350" s="4"/>
    </row>
    <row r="351">
      <c r="A351" s="5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4"/>
      <c r="O351" s="4"/>
      <c r="P351" s="4"/>
      <c r="Q351" s="4"/>
      <c r="R351" s="4"/>
    </row>
    <row r="352">
      <c r="A352" s="5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4"/>
      <c r="O352" s="4"/>
      <c r="P352" s="4"/>
      <c r="Q352" s="4"/>
      <c r="R352" s="4"/>
    </row>
    <row r="353">
      <c r="A353" s="5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4"/>
      <c r="O353" s="4"/>
      <c r="P353" s="4"/>
      <c r="Q353" s="4"/>
      <c r="R353" s="4"/>
    </row>
    <row r="354">
      <c r="A354" s="5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4"/>
      <c r="O354" s="4"/>
      <c r="P354" s="4"/>
      <c r="Q354" s="4"/>
      <c r="R354" s="4"/>
    </row>
    <row r="355">
      <c r="A355" s="5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4"/>
      <c r="O355" s="4"/>
      <c r="P355" s="4"/>
      <c r="Q355" s="4"/>
      <c r="R355" s="4"/>
    </row>
    <row r="356">
      <c r="A356" s="5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4"/>
      <c r="O356" s="4"/>
      <c r="P356" s="4"/>
      <c r="Q356" s="4"/>
      <c r="R356" s="4"/>
    </row>
    <row r="357">
      <c r="A357" s="5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4"/>
      <c r="O357" s="4"/>
      <c r="P357" s="4"/>
      <c r="Q357" s="4"/>
      <c r="R357" s="4"/>
    </row>
    <row r="358">
      <c r="A358" s="5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4"/>
      <c r="O358" s="4"/>
      <c r="P358" s="4"/>
      <c r="Q358" s="4"/>
      <c r="R358" s="4"/>
    </row>
    <row r="359">
      <c r="A359" s="5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4"/>
      <c r="O359" s="4"/>
      <c r="P359" s="4"/>
      <c r="Q359" s="4"/>
      <c r="R359" s="4"/>
    </row>
    <row r="360">
      <c r="A360" s="5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4"/>
      <c r="O360" s="4"/>
      <c r="P360" s="4"/>
      <c r="Q360" s="4"/>
      <c r="R360" s="4"/>
    </row>
    <row r="361">
      <c r="A361" s="5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4"/>
      <c r="O361" s="4"/>
      <c r="P361" s="4"/>
      <c r="Q361" s="4"/>
      <c r="R361" s="4"/>
    </row>
    <row r="362">
      <c r="A362" s="5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4"/>
      <c r="O362" s="4"/>
      <c r="P362" s="4"/>
      <c r="Q362" s="4"/>
      <c r="R362" s="4"/>
    </row>
    <row r="363">
      <c r="A363" s="5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4"/>
      <c r="O363" s="4"/>
      <c r="P363" s="4"/>
      <c r="Q363" s="4"/>
      <c r="R363" s="4"/>
    </row>
    <row r="364">
      <c r="A364" s="5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4"/>
      <c r="O364" s="4"/>
      <c r="P364" s="4"/>
      <c r="Q364" s="4"/>
      <c r="R364" s="4"/>
    </row>
    <row r="365">
      <c r="A365" s="5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4"/>
      <c r="O365" s="4"/>
      <c r="P365" s="4"/>
      <c r="Q365" s="4"/>
      <c r="R365" s="4"/>
    </row>
    <row r="366">
      <c r="A366" s="5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4"/>
      <c r="O366" s="4"/>
      <c r="P366" s="4"/>
      <c r="Q366" s="4"/>
      <c r="R366" s="4"/>
    </row>
    <row r="367">
      <c r="A367" s="5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4"/>
      <c r="O367" s="4"/>
      <c r="P367" s="4"/>
      <c r="Q367" s="4"/>
      <c r="R367" s="4"/>
    </row>
    <row r="368">
      <c r="A368" s="5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4"/>
      <c r="O368" s="4"/>
      <c r="P368" s="4"/>
      <c r="Q368" s="4"/>
      <c r="R368" s="4"/>
    </row>
    <row r="369">
      <c r="A369" s="5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4"/>
      <c r="O369" s="4"/>
      <c r="P369" s="4"/>
      <c r="Q369" s="4"/>
      <c r="R369" s="4"/>
    </row>
    <row r="370">
      <c r="A370" s="5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4"/>
      <c r="O370" s="4"/>
      <c r="P370" s="4"/>
      <c r="Q370" s="4"/>
      <c r="R370" s="4"/>
    </row>
    <row r="371">
      <c r="A371" s="5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4"/>
      <c r="O371" s="4"/>
      <c r="P371" s="4"/>
      <c r="Q371" s="4"/>
      <c r="R371" s="4"/>
    </row>
    <row r="372">
      <c r="A372" s="5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4"/>
      <c r="O372" s="4"/>
      <c r="P372" s="4"/>
      <c r="Q372" s="4"/>
      <c r="R372" s="4"/>
    </row>
    <row r="373">
      <c r="A373" s="5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4"/>
      <c r="O373" s="4"/>
      <c r="P373" s="4"/>
      <c r="Q373" s="4"/>
      <c r="R373" s="4"/>
    </row>
    <row r="374">
      <c r="A374" s="5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4"/>
      <c r="O374" s="4"/>
      <c r="P374" s="4"/>
      <c r="Q374" s="4"/>
      <c r="R374" s="4"/>
    </row>
    <row r="375">
      <c r="A375" s="5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4"/>
      <c r="O375" s="4"/>
      <c r="P375" s="4"/>
      <c r="Q375" s="4"/>
      <c r="R375" s="4"/>
    </row>
    <row r="376">
      <c r="A376" s="5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4"/>
      <c r="O376" s="4"/>
      <c r="P376" s="4"/>
      <c r="Q376" s="4"/>
      <c r="R376" s="4"/>
    </row>
    <row r="377">
      <c r="A377" s="5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4"/>
      <c r="O377" s="4"/>
      <c r="P377" s="4"/>
      <c r="Q377" s="4"/>
      <c r="R377" s="4"/>
    </row>
    <row r="378">
      <c r="A378" s="5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4"/>
      <c r="O378" s="4"/>
      <c r="P378" s="4"/>
      <c r="Q378" s="4"/>
      <c r="R378" s="4"/>
    </row>
    <row r="379">
      <c r="A379" s="5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4"/>
      <c r="O379" s="4"/>
      <c r="P379" s="4"/>
      <c r="Q379" s="4"/>
      <c r="R379" s="4"/>
    </row>
    <row r="380">
      <c r="A380" s="5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4"/>
      <c r="O380" s="4"/>
      <c r="P380" s="4"/>
      <c r="Q380" s="4"/>
      <c r="R380" s="4"/>
    </row>
    <row r="381">
      <c r="A381" s="5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4"/>
      <c r="O381" s="4"/>
      <c r="P381" s="4"/>
      <c r="Q381" s="4"/>
      <c r="R381" s="4"/>
    </row>
    <row r="382">
      <c r="A382" s="5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4"/>
      <c r="O382" s="4"/>
      <c r="P382" s="4"/>
      <c r="Q382" s="4"/>
      <c r="R382" s="4"/>
    </row>
    <row r="383">
      <c r="A383" s="5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4"/>
      <c r="O383" s="4"/>
      <c r="P383" s="4"/>
      <c r="Q383" s="4"/>
      <c r="R383" s="4"/>
    </row>
    <row r="384">
      <c r="A384" s="5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4"/>
      <c r="O384" s="4"/>
      <c r="P384" s="4"/>
      <c r="Q384" s="4"/>
      <c r="R384" s="4"/>
    </row>
    <row r="385">
      <c r="A385" s="5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4"/>
      <c r="O385" s="4"/>
      <c r="P385" s="4"/>
      <c r="Q385" s="4"/>
      <c r="R385" s="4"/>
    </row>
    <row r="386">
      <c r="A386" s="5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4"/>
      <c r="O386" s="4"/>
      <c r="P386" s="4"/>
      <c r="Q386" s="4"/>
      <c r="R386" s="4"/>
    </row>
    <row r="387">
      <c r="A387" s="5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4"/>
      <c r="O387" s="4"/>
      <c r="P387" s="4"/>
      <c r="Q387" s="4"/>
      <c r="R387" s="4"/>
    </row>
    <row r="388">
      <c r="A388" s="5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4"/>
      <c r="O388" s="4"/>
      <c r="P388" s="4"/>
      <c r="Q388" s="4"/>
      <c r="R388" s="4"/>
    </row>
    <row r="389">
      <c r="A389" s="5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4"/>
      <c r="O389" s="4"/>
      <c r="P389" s="4"/>
      <c r="Q389" s="4"/>
      <c r="R389" s="4"/>
    </row>
    <row r="390">
      <c r="A390" s="5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4"/>
      <c r="O390" s="4"/>
      <c r="P390" s="4"/>
      <c r="Q390" s="4"/>
      <c r="R390" s="4"/>
    </row>
    <row r="391">
      <c r="A391" s="5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4"/>
      <c r="O391" s="4"/>
      <c r="P391" s="4"/>
      <c r="Q391" s="4"/>
      <c r="R391" s="4"/>
    </row>
    <row r="392">
      <c r="A392" s="5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4"/>
      <c r="O392" s="4"/>
      <c r="P392" s="4"/>
      <c r="Q392" s="4"/>
      <c r="R392" s="4"/>
    </row>
    <row r="393">
      <c r="A393" s="5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4"/>
      <c r="O393" s="4"/>
      <c r="P393" s="4"/>
      <c r="Q393" s="4"/>
      <c r="R393" s="4"/>
    </row>
    <row r="394">
      <c r="A394" s="5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4"/>
      <c r="O394" s="4"/>
      <c r="P394" s="4"/>
      <c r="Q394" s="4"/>
      <c r="R394" s="4"/>
    </row>
    <row r="395">
      <c r="A395" s="5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4"/>
      <c r="O395" s="4"/>
      <c r="P395" s="4"/>
      <c r="Q395" s="4"/>
      <c r="R395" s="4"/>
    </row>
    <row r="396">
      <c r="A396" s="5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4"/>
      <c r="O396" s="4"/>
      <c r="P396" s="4"/>
      <c r="Q396" s="4"/>
      <c r="R396" s="4"/>
    </row>
    <row r="397">
      <c r="A397" s="5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4"/>
      <c r="O397" s="4"/>
      <c r="P397" s="4"/>
      <c r="Q397" s="4"/>
      <c r="R397" s="4"/>
    </row>
    <row r="398">
      <c r="A398" s="5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4"/>
      <c r="O398" s="4"/>
      <c r="P398" s="4"/>
      <c r="Q398" s="4"/>
      <c r="R398" s="4"/>
    </row>
    <row r="399">
      <c r="A399" s="5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4"/>
      <c r="O399" s="4"/>
      <c r="P399" s="4"/>
      <c r="Q399" s="4"/>
      <c r="R399" s="4"/>
    </row>
    <row r="400">
      <c r="A400" s="5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4"/>
      <c r="O400" s="4"/>
      <c r="P400" s="4"/>
      <c r="Q400" s="4"/>
      <c r="R400" s="4"/>
    </row>
    <row r="401">
      <c r="A401" s="5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4"/>
      <c r="O401" s="4"/>
      <c r="P401" s="4"/>
      <c r="Q401" s="4"/>
      <c r="R401" s="4"/>
    </row>
    <row r="402">
      <c r="A402" s="5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4"/>
      <c r="O402" s="4"/>
      <c r="P402" s="4"/>
      <c r="Q402" s="4"/>
      <c r="R402" s="4"/>
    </row>
    <row r="403">
      <c r="A403" s="5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4"/>
      <c r="O403" s="4"/>
      <c r="P403" s="4"/>
      <c r="Q403" s="4"/>
      <c r="R403" s="4"/>
    </row>
    <row r="404">
      <c r="A404" s="5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4"/>
      <c r="O404" s="4"/>
      <c r="P404" s="4"/>
      <c r="Q404" s="4"/>
      <c r="R404" s="4"/>
    </row>
    <row r="405">
      <c r="A405" s="5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4"/>
      <c r="O405" s="4"/>
      <c r="P405" s="4"/>
      <c r="Q405" s="4"/>
      <c r="R405" s="4"/>
    </row>
    <row r="406">
      <c r="A406" s="5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4"/>
      <c r="O406" s="4"/>
      <c r="P406" s="4"/>
      <c r="Q406" s="4"/>
      <c r="R406" s="4"/>
    </row>
    <row r="407">
      <c r="A407" s="5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4"/>
      <c r="O407" s="4"/>
      <c r="P407" s="4"/>
      <c r="Q407" s="4"/>
      <c r="R407" s="4"/>
    </row>
    <row r="408">
      <c r="A408" s="5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4"/>
      <c r="O408" s="4"/>
      <c r="P408" s="4"/>
      <c r="Q408" s="4"/>
      <c r="R408" s="4"/>
    </row>
    <row r="409">
      <c r="A409" s="5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4"/>
      <c r="O409" s="4"/>
      <c r="P409" s="4"/>
      <c r="Q409" s="4"/>
      <c r="R409" s="4"/>
    </row>
    <row r="410">
      <c r="A410" s="5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4"/>
      <c r="O410" s="4"/>
      <c r="P410" s="4"/>
      <c r="Q410" s="4"/>
      <c r="R410" s="4"/>
    </row>
    <row r="411">
      <c r="A411" s="5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4"/>
      <c r="O411" s="4"/>
      <c r="P411" s="4"/>
      <c r="Q411" s="4"/>
      <c r="R411" s="4"/>
    </row>
    <row r="412">
      <c r="A412" s="5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4"/>
      <c r="O412" s="4"/>
      <c r="P412" s="4"/>
      <c r="Q412" s="4"/>
      <c r="R412" s="4"/>
    </row>
    <row r="413">
      <c r="A413" s="5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4"/>
      <c r="O413" s="4"/>
      <c r="P413" s="4"/>
      <c r="Q413" s="4"/>
      <c r="R413" s="4"/>
    </row>
    <row r="414">
      <c r="A414" s="5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4"/>
      <c r="O414" s="4"/>
      <c r="P414" s="4"/>
      <c r="Q414" s="4"/>
      <c r="R414" s="4"/>
    </row>
    <row r="415">
      <c r="A415" s="5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4"/>
      <c r="O415" s="4"/>
      <c r="P415" s="4"/>
      <c r="Q415" s="4"/>
      <c r="R415" s="4"/>
    </row>
    <row r="416">
      <c r="A416" s="5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4"/>
      <c r="O416" s="4"/>
      <c r="P416" s="4"/>
      <c r="Q416" s="4"/>
      <c r="R416" s="4"/>
    </row>
    <row r="417">
      <c r="A417" s="5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4"/>
      <c r="O417" s="4"/>
      <c r="P417" s="4"/>
      <c r="Q417" s="4"/>
      <c r="R417" s="4"/>
    </row>
    <row r="418">
      <c r="A418" s="5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4"/>
      <c r="O418" s="4"/>
      <c r="P418" s="4"/>
      <c r="Q418" s="4"/>
      <c r="R418" s="4"/>
    </row>
    <row r="419">
      <c r="A419" s="5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4"/>
      <c r="O419" s="4"/>
      <c r="P419" s="4"/>
      <c r="Q419" s="4"/>
      <c r="R419" s="4"/>
    </row>
    <row r="420">
      <c r="A420" s="5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4"/>
      <c r="O420" s="4"/>
      <c r="P420" s="4"/>
      <c r="Q420" s="4"/>
      <c r="R420" s="4"/>
    </row>
    <row r="421">
      <c r="A421" s="5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4"/>
      <c r="O421" s="4"/>
      <c r="P421" s="4"/>
      <c r="Q421" s="4"/>
      <c r="R421" s="4"/>
    </row>
    <row r="422">
      <c r="A422" s="5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4"/>
      <c r="O422" s="4"/>
      <c r="P422" s="4"/>
      <c r="Q422" s="4"/>
      <c r="R422" s="4"/>
    </row>
    <row r="423">
      <c r="A423" s="5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4"/>
      <c r="O423" s="4"/>
      <c r="P423" s="4"/>
      <c r="Q423" s="4"/>
      <c r="R423" s="4"/>
    </row>
    <row r="424">
      <c r="A424" s="5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4"/>
      <c r="O424" s="4"/>
      <c r="P424" s="4"/>
      <c r="Q424" s="4"/>
      <c r="R424" s="4"/>
    </row>
    <row r="425">
      <c r="A425" s="5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4"/>
      <c r="O425" s="4"/>
      <c r="P425" s="4"/>
      <c r="Q425" s="4"/>
      <c r="R425" s="4"/>
    </row>
    <row r="426">
      <c r="A426" s="5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4"/>
      <c r="O426" s="4"/>
      <c r="P426" s="4"/>
      <c r="Q426" s="4"/>
      <c r="R426" s="4"/>
    </row>
    <row r="427">
      <c r="A427" s="5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4"/>
      <c r="O427" s="4"/>
      <c r="P427" s="4"/>
      <c r="Q427" s="4"/>
      <c r="R427" s="4"/>
    </row>
    <row r="428">
      <c r="A428" s="5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4"/>
      <c r="O428" s="4"/>
      <c r="P428" s="4"/>
      <c r="Q428" s="4"/>
      <c r="R428" s="4"/>
    </row>
    <row r="429">
      <c r="A429" s="5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4"/>
      <c r="O429" s="4"/>
      <c r="P429" s="4"/>
      <c r="Q429" s="4"/>
      <c r="R429" s="4"/>
    </row>
    <row r="430">
      <c r="A430" s="5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4"/>
      <c r="O430" s="4"/>
      <c r="P430" s="4"/>
      <c r="Q430" s="4"/>
      <c r="R430" s="4"/>
    </row>
    <row r="431">
      <c r="A431" s="5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4"/>
      <c r="O431" s="4"/>
      <c r="P431" s="4"/>
      <c r="Q431" s="4"/>
      <c r="R431" s="4"/>
    </row>
    <row r="432">
      <c r="A432" s="5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4"/>
      <c r="O432" s="4"/>
      <c r="P432" s="4"/>
      <c r="Q432" s="4"/>
      <c r="R432" s="4"/>
    </row>
    <row r="433">
      <c r="A433" s="5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4"/>
      <c r="O433" s="4"/>
      <c r="P433" s="4"/>
      <c r="Q433" s="4"/>
      <c r="R433" s="4"/>
    </row>
    <row r="434">
      <c r="A434" s="5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4"/>
      <c r="O434" s="4"/>
      <c r="P434" s="4"/>
      <c r="Q434" s="4"/>
      <c r="R434" s="4"/>
    </row>
    <row r="435">
      <c r="A435" s="5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4"/>
      <c r="O435" s="4"/>
      <c r="P435" s="4"/>
      <c r="Q435" s="4"/>
      <c r="R435" s="4"/>
    </row>
    <row r="436">
      <c r="A436" s="5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4"/>
      <c r="O436" s="4"/>
      <c r="P436" s="4"/>
      <c r="Q436" s="4"/>
      <c r="R436" s="4"/>
    </row>
    <row r="437">
      <c r="A437" s="5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4"/>
      <c r="O437" s="4"/>
      <c r="P437" s="4"/>
      <c r="Q437" s="4"/>
      <c r="R437" s="4"/>
    </row>
    <row r="438">
      <c r="A438" s="5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4"/>
      <c r="O438" s="4"/>
      <c r="P438" s="4"/>
      <c r="Q438" s="4"/>
      <c r="R438" s="4"/>
    </row>
    <row r="439">
      <c r="A439" s="5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4"/>
      <c r="O439" s="4"/>
      <c r="P439" s="4"/>
      <c r="Q439" s="4"/>
      <c r="R439" s="4"/>
    </row>
    <row r="440">
      <c r="A440" s="5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4"/>
      <c r="O440" s="4"/>
      <c r="P440" s="4"/>
      <c r="Q440" s="4"/>
      <c r="R440" s="4"/>
    </row>
    <row r="441">
      <c r="A441" s="5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4"/>
      <c r="O441" s="4"/>
      <c r="P441" s="4"/>
      <c r="Q441" s="4"/>
      <c r="R441" s="4"/>
    </row>
    <row r="442">
      <c r="A442" s="5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4"/>
      <c r="O442" s="4"/>
      <c r="P442" s="4"/>
      <c r="Q442" s="4"/>
      <c r="R442" s="4"/>
    </row>
    <row r="443">
      <c r="A443" s="5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4"/>
      <c r="O443" s="4"/>
      <c r="P443" s="4"/>
      <c r="Q443" s="4"/>
      <c r="R443" s="4"/>
    </row>
    <row r="444">
      <c r="A444" s="5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4"/>
      <c r="O444" s="4"/>
      <c r="P444" s="4"/>
      <c r="Q444" s="4"/>
      <c r="R444" s="4"/>
    </row>
    <row r="445">
      <c r="A445" s="5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4"/>
      <c r="O445" s="4"/>
      <c r="P445" s="4"/>
      <c r="Q445" s="4"/>
      <c r="R445" s="4"/>
    </row>
    <row r="446">
      <c r="A446" s="5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4"/>
      <c r="O446" s="4"/>
      <c r="P446" s="4"/>
      <c r="Q446" s="4"/>
      <c r="R446" s="4"/>
    </row>
    <row r="447">
      <c r="A447" s="5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4"/>
      <c r="O447" s="4"/>
      <c r="P447" s="4"/>
      <c r="Q447" s="4"/>
      <c r="R447" s="4"/>
    </row>
    <row r="448">
      <c r="A448" s="5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4"/>
      <c r="O448" s="4"/>
      <c r="P448" s="4"/>
      <c r="Q448" s="4"/>
      <c r="R448" s="4"/>
    </row>
    <row r="449">
      <c r="A449" s="5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4"/>
      <c r="O449" s="4"/>
      <c r="P449" s="4"/>
      <c r="Q449" s="4"/>
      <c r="R449" s="4"/>
    </row>
    <row r="450">
      <c r="A450" s="5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4"/>
      <c r="O450" s="4"/>
      <c r="P450" s="4"/>
      <c r="Q450" s="4"/>
      <c r="R450" s="4"/>
    </row>
    <row r="451">
      <c r="A451" s="5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4"/>
      <c r="O451" s="4"/>
      <c r="P451" s="4"/>
      <c r="Q451" s="4"/>
      <c r="R451" s="4"/>
    </row>
    <row r="452">
      <c r="A452" s="5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4"/>
      <c r="O452" s="4"/>
      <c r="P452" s="4"/>
      <c r="Q452" s="4"/>
      <c r="R452" s="4"/>
    </row>
    <row r="453">
      <c r="A453" s="5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4"/>
      <c r="O453" s="4"/>
      <c r="P453" s="4"/>
      <c r="Q453" s="4"/>
      <c r="R453" s="4"/>
    </row>
    <row r="454">
      <c r="A454" s="5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4"/>
      <c r="O454" s="4"/>
      <c r="P454" s="4"/>
      <c r="Q454" s="4"/>
      <c r="R454" s="4"/>
    </row>
    <row r="455">
      <c r="A455" s="5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4"/>
      <c r="O455" s="4"/>
      <c r="P455" s="4"/>
      <c r="Q455" s="4"/>
      <c r="R455" s="4"/>
    </row>
    <row r="456">
      <c r="A456" s="5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4"/>
      <c r="O456" s="4"/>
      <c r="P456" s="4"/>
      <c r="Q456" s="4"/>
      <c r="R456" s="4"/>
    </row>
    <row r="457">
      <c r="A457" s="5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4"/>
      <c r="O457" s="4"/>
      <c r="P457" s="4"/>
      <c r="Q457" s="4"/>
      <c r="R457" s="4"/>
    </row>
    <row r="458">
      <c r="A458" s="5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4"/>
      <c r="O458" s="4"/>
      <c r="P458" s="4"/>
      <c r="Q458" s="4"/>
      <c r="R458" s="4"/>
    </row>
    <row r="459">
      <c r="A459" s="5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4"/>
      <c r="O459" s="4"/>
      <c r="P459" s="4"/>
      <c r="Q459" s="4"/>
      <c r="R459" s="4"/>
    </row>
    <row r="460">
      <c r="A460" s="5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4"/>
      <c r="O460" s="4"/>
      <c r="P460" s="4"/>
      <c r="Q460" s="4"/>
      <c r="R460" s="4"/>
    </row>
    <row r="461">
      <c r="A461" s="5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4"/>
      <c r="O461" s="4"/>
      <c r="P461" s="4"/>
      <c r="Q461" s="4"/>
      <c r="R461" s="4"/>
    </row>
    <row r="462">
      <c r="A462" s="5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4"/>
      <c r="O462" s="4"/>
      <c r="P462" s="4"/>
      <c r="Q462" s="4"/>
      <c r="R462" s="4"/>
    </row>
    <row r="463">
      <c r="A463" s="5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4"/>
      <c r="O463" s="4"/>
      <c r="P463" s="4"/>
      <c r="Q463" s="4"/>
      <c r="R463" s="4"/>
    </row>
    <row r="464">
      <c r="A464" s="5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4"/>
      <c r="O464" s="4"/>
      <c r="P464" s="4"/>
      <c r="Q464" s="4"/>
      <c r="R464" s="4"/>
    </row>
    <row r="465">
      <c r="A465" s="5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4"/>
      <c r="O465" s="4"/>
      <c r="P465" s="4"/>
      <c r="Q465" s="4"/>
      <c r="R465" s="4"/>
    </row>
    <row r="466">
      <c r="A466" s="5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4"/>
      <c r="O466" s="4"/>
      <c r="P466" s="4"/>
      <c r="Q466" s="4"/>
      <c r="R466" s="4"/>
    </row>
    <row r="467">
      <c r="A467" s="5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4"/>
      <c r="O467" s="4"/>
      <c r="P467" s="4"/>
      <c r="Q467" s="4"/>
      <c r="R467" s="4"/>
    </row>
    <row r="468">
      <c r="A468" s="5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4"/>
      <c r="O468" s="4"/>
      <c r="P468" s="4"/>
      <c r="Q468" s="4"/>
      <c r="R468" s="4"/>
    </row>
    <row r="469">
      <c r="A469" s="5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4"/>
      <c r="O469" s="4"/>
      <c r="P469" s="4"/>
      <c r="Q469" s="4"/>
      <c r="R469" s="4"/>
    </row>
    <row r="470">
      <c r="A470" s="5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4"/>
      <c r="O470" s="4"/>
      <c r="P470" s="4"/>
      <c r="Q470" s="4"/>
      <c r="R470" s="4"/>
    </row>
    <row r="471">
      <c r="A471" s="5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4"/>
      <c r="O471" s="4"/>
      <c r="P471" s="4"/>
      <c r="Q471" s="4"/>
      <c r="R471" s="4"/>
    </row>
    <row r="472">
      <c r="A472" s="5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4"/>
      <c r="O472" s="4"/>
      <c r="P472" s="4"/>
      <c r="Q472" s="4"/>
      <c r="R472" s="4"/>
    </row>
    <row r="473">
      <c r="A473" s="5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4"/>
      <c r="O473" s="4"/>
      <c r="P473" s="4"/>
      <c r="Q473" s="4"/>
      <c r="R473" s="4"/>
    </row>
    <row r="474">
      <c r="A474" s="5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4"/>
      <c r="O474" s="4"/>
      <c r="P474" s="4"/>
      <c r="Q474" s="4"/>
      <c r="R474" s="4"/>
    </row>
    <row r="475">
      <c r="A475" s="5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4"/>
      <c r="O475" s="4"/>
      <c r="P475" s="4"/>
      <c r="Q475" s="4"/>
      <c r="R475" s="4"/>
    </row>
    <row r="476">
      <c r="A476" s="5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4"/>
      <c r="O476" s="4"/>
      <c r="P476" s="4"/>
      <c r="Q476" s="4"/>
      <c r="R476" s="4"/>
    </row>
    <row r="477">
      <c r="A477" s="5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4"/>
      <c r="O477" s="4"/>
      <c r="P477" s="4"/>
      <c r="Q477" s="4"/>
      <c r="R477" s="4"/>
    </row>
    <row r="478">
      <c r="A478" s="5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4"/>
      <c r="O478" s="4"/>
      <c r="P478" s="4"/>
      <c r="Q478" s="4"/>
      <c r="R478" s="4"/>
    </row>
    <row r="479">
      <c r="A479" s="5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4"/>
      <c r="O479" s="4"/>
      <c r="P479" s="4"/>
      <c r="Q479" s="4"/>
      <c r="R479" s="4"/>
    </row>
    <row r="480">
      <c r="A480" s="5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4"/>
      <c r="O480" s="4"/>
      <c r="P480" s="4"/>
      <c r="Q480" s="4"/>
      <c r="R480" s="4"/>
    </row>
    <row r="481">
      <c r="A481" s="5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4"/>
      <c r="O481" s="4"/>
      <c r="P481" s="4"/>
      <c r="Q481" s="4"/>
      <c r="R481" s="4"/>
    </row>
    <row r="482">
      <c r="A482" s="5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4"/>
      <c r="O482" s="4"/>
      <c r="P482" s="4"/>
      <c r="Q482" s="4"/>
      <c r="R482" s="4"/>
    </row>
    <row r="483">
      <c r="A483" s="5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4"/>
      <c r="O483" s="4"/>
      <c r="P483" s="4"/>
      <c r="Q483" s="4"/>
      <c r="R483" s="4"/>
    </row>
    <row r="484">
      <c r="A484" s="5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4"/>
      <c r="O484" s="4"/>
      <c r="P484" s="4"/>
      <c r="Q484" s="4"/>
      <c r="R484" s="4"/>
    </row>
    <row r="485">
      <c r="A485" s="5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4"/>
      <c r="O485" s="4"/>
      <c r="P485" s="4"/>
      <c r="Q485" s="4"/>
      <c r="R485" s="4"/>
    </row>
    <row r="486">
      <c r="A486" s="5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4"/>
      <c r="O486" s="4"/>
      <c r="P486" s="4"/>
      <c r="Q486" s="4"/>
      <c r="R486" s="4"/>
    </row>
    <row r="487">
      <c r="A487" s="5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4"/>
      <c r="O487" s="4"/>
      <c r="P487" s="4"/>
      <c r="Q487" s="4"/>
      <c r="R487" s="4"/>
    </row>
    <row r="488">
      <c r="A488" s="5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4"/>
      <c r="O488" s="4"/>
      <c r="P488" s="4"/>
      <c r="Q488" s="4"/>
      <c r="R488" s="4"/>
    </row>
    <row r="489">
      <c r="A489" s="5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4"/>
      <c r="O489" s="4"/>
      <c r="P489" s="4"/>
      <c r="Q489" s="4"/>
      <c r="R489" s="4"/>
    </row>
    <row r="490">
      <c r="A490" s="5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4"/>
      <c r="O490" s="4"/>
      <c r="P490" s="4"/>
      <c r="Q490" s="4"/>
      <c r="R490" s="4"/>
    </row>
    <row r="491">
      <c r="A491" s="5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4"/>
      <c r="O491" s="4"/>
      <c r="P491" s="4"/>
      <c r="Q491" s="4"/>
      <c r="R491" s="4"/>
    </row>
    <row r="492">
      <c r="A492" s="5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4"/>
      <c r="O492" s="4"/>
      <c r="P492" s="4"/>
      <c r="Q492" s="4"/>
      <c r="R492" s="4"/>
    </row>
    <row r="493">
      <c r="A493" s="5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4"/>
      <c r="O493" s="4"/>
      <c r="P493" s="4"/>
      <c r="Q493" s="4"/>
      <c r="R493" s="4"/>
    </row>
    <row r="494">
      <c r="A494" s="5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4"/>
      <c r="O494" s="4"/>
      <c r="P494" s="4"/>
      <c r="Q494" s="4"/>
      <c r="R494" s="4"/>
    </row>
    <row r="495">
      <c r="A495" s="5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4"/>
      <c r="O495" s="4"/>
      <c r="P495" s="4"/>
      <c r="Q495" s="4"/>
      <c r="R495" s="4"/>
    </row>
    <row r="496">
      <c r="A496" s="5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4"/>
      <c r="O496" s="4"/>
      <c r="P496" s="4"/>
      <c r="Q496" s="4"/>
      <c r="R496" s="4"/>
    </row>
    <row r="497">
      <c r="A497" s="5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4"/>
      <c r="O497" s="4"/>
      <c r="P497" s="4"/>
      <c r="Q497" s="4"/>
      <c r="R497" s="4"/>
    </row>
    <row r="498">
      <c r="A498" s="5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4"/>
      <c r="O498" s="4"/>
      <c r="P498" s="4"/>
      <c r="Q498" s="4"/>
      <c r="R498" s="4"/>
    </row>
    <row r="499">
      <c r="A499" s="5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4"/>
      <c r="O499" s="4"/>
      <c r="P499" s="4"/>
      <c r="Q499" s="4"/>
      <c r="R499" s="4"/>
    </row>
    <row r="500">
      <c r="A500" s="5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4"/>
      <c r="O500" s="4"/>
      <c r="P500" s="4"/>
      <c r="Q500" s="4"/>
      <c r="R500" s="4"/>
    </row>
    <row r="501">
      <c r="A501" s="5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4"/>
      <c r="O501" s="4"/>
      <c r="P501" s="4"/>
      <c r="Q501" s="4"/>
      <c r="R501" s="4"/>
    </row>
    <row r="502">
      <c r="A502" s="5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4"/>
      <c r="O502" s="4"/>
      <c r="P502" s="4"/>
      <c r="Q502" s="4"/>
      <c r="R502" s="4"/>
    </row>
    <row r="503">
      <c r="A503" s="5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4"/>
      <c r="O503" s="4"/>
      <c r="P503" s="4"/>
      <c r="Q503" s="4"/>
      <c r="R503" s="4"/>
    </row>
    <row r="504">
      <c r="A504" s="5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4"/>
      <c r="O504" s="4"/>
      <c r="P504" s="4"/>
      <c r="Q504" s="4"/>
      <c r="R504" s="4"/>
    </row>
    <row r="505">
      <c r="A505" s="5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4"/>
      <c r="O505" s="4"/>
      <c r="P505" s="4"/>
      <c r="Q505" s="4"/>
      <c r="R505" s="4"/>
    </row>
    <row r="506">
      <c r="A506" s="5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4"/>
      <c r="O506" s="4"/>
      <c r="P506" s="4"/>
      <c r="Q506" s="4"/>
      <c r="R506" s="4"/>
    </row>
    <row r="507">
      <c r="A507" s="5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4"/>
      <c r="O507" s="4"/>
      <c r="P507" s="4"/>
      <c r="Q507" s="4"/>
      <c r="R507" s="4"/>
    </row>
    <row r="508">
      <c r="A508" s="5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4"/>
      <c r="O508" s="4"/>
      <c r="P508" s="4"/>
      <c r="Q508" s="4"/>
      <c r="R508" s="4"/>
    </row>
    <row r="509">
      <c r="A509" s="5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4"/>
      <c r="O509" s="4"/>
      <c r="P509" s="4"/>
      <c r="Q509" s="4"/>
      <c r="R509" s="4"/>
    </row>
    <row r="510">
      <c r="A510" s="5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4"/>
      <c r="O510" s="4"/>
      <c r="P510" s="4"/>
      <c r="Q510" s="4"/>
      <c r="R510" s="4"/>
    </row>
    <row r="511">
      <c r="A511" s="5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4"/>
      <c r="O511" s="4"/>
      <c r="P511" s="4"/>
      <c r="Q511" s="4"/>
      <c r="R511" s="4"/>
    </row>
    <row r="512">
      <c r="A512" s="5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4"/>
      <c r="O512" s="4"/>
      <c r="P512" s="4"/>
      <c r="Q512" s="4"/>
      <c r="R512" s="4"/>
    </row>
    <row r="513">
      <c r="A513" s="5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4"/>
      <c r="O513" s="4"/>
      <c r="P513" s="4"/>
      <c r="Q513" s="4"/>
      <c r="R513" s="4"/>
    </row>
    <row r="514">
      <c r="A514" s="5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4"/>
      <c r="O514" s="4"/>
      <c r="P514" s="4"/>
      <c r="Q514" s="4"/>
      <c r="R514" s="4"/>
    </row>
    <row r="515">
      <c r="A515" s="5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4"/>
      <c r="O515" s="4"/>
      <c r="P515" s="4"/>
      <c r="Q515" s="4"/>
      <c r="R515" s="4"/>
    </row>
    <row r="516">
      <c r="A516" s="5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4"/>
      <c r="O516" s="4"/>
      <c r="P516" s="4"/>
      <c r="Q516" s="4"/>
      <c r="R516" s="4"/>
    </row>
    <row r="517">
      <c r="A517" s="5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4"/>
      <c r="O517" s="4"/>
      <c r="P517" s="4"/>
      <c r="Q517" s="4"/>
      <c r="R517" s="4"/>
    </row>
    <row r="518">
      <c r="A518" s="5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4"/>
      <c r="O518" s="4"/>
      <c r="P518" s="4"/>
      <c r="Q518" s="4"/>
      <c r="R518" s="4"/>
    </row>
    <row r="519">
      <c r="A519" s="5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4"/>
      <c r="O519" s="4"/>
      <c r="P519" s="4"/>
      <c r="Q519" s="4"/>
      <c r="R519" s="4"/>
    </row>
    <row r="520">
      <c r="A520" s="5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4"/>
      <c r="O520" s="4"/>
      <c r="P520" s="4"/>
      <c r="Q520" s="4"/>
      <c r="R520" s="4"/>
    </row>
    <row r="521">
      <c r="A521" s="5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4"/>
      <c r="O521" s="4"/>
      <c r="P521" s="4"/>
      <c r="Q521" s="4"/>
      <c r="R521" s="4"/>
    </row>
    <row r="522">
      <c r="A522" s="5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4"/>
      <c r="O522" s="4"/>
      <c r="P522" s="4"/>
      <c r="Q522" s="4"/>
      <c r="R522" s="4"/>
    </row>
    <row r="523">
      <c r="A523" s="5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4"/>
      <c r="O523" s="4"/>
      <c r="P523" s="4"/>
      <c r="Q523" s="4"/>
      <c r="R523" s="4"/>
    </row>
    <row r="524">
      <c r="A524" s="5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4"/>
      <c r="O524" s="4"/>
      <c r="P524" s="4"/>
      <c r="Q524" s="4"/>
      <c r="R524" s="4"/>
    </row>
    <row r="525">
      <c r="A525" s="5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4"/>
      <c r="O525" s="4"/>
      <c r="P525" s="4"/>
      <c r="Q525" s="4"/>
      <c r="R525" s="4"/>
    </row>
    <row r="526">
      <c r="A526" s="5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4"/>
      <c r="O526" s="4"/>
      <c r="P526" s="4"/>
      <c r="Q526" s="4"/>
      <c r="R526" s="4"/>
    </row>
    <row r="527">
      <c r="A527" s="5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4"/>
      <c r="O527" s="4"/>
      <c r="P527" s="4"/>
      <c r="Q527" s="4"/>
      <c r="R527" s="4"/>
    </row>
    <row r="528">
      <c r="A528" s="5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4"/>
      <c r="O528" s="4"/>
      <c r="P528" s="4"/>
      <c r="Q528" s="4"/>
      <c r="R528" s="4"/>
    </row>
    <row r="529">
      <c r="A529" s="5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4"/>
      <c r="O529" s="4"/>
      <c r="P529" s="4"/>
      <c r="Q529" s="4"/>
      <c r="R529" s="4"/>
    </row>
    <row r="530">
      <c r="A530" s="5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4"/>
      <c r="O530" s="4"/>
      <c r="P530" s="4"/>
      <c r="Q530" s="4"/>
      <c r="R530" s="4"/>
    </row>
    <row r="531">
      <c r="A531" s="5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4"/>
      <c r="O531" s="4"/>
      <c r="P531" s="4"/>
      <c r="Q531" s="4"/>
      <c r="R531" s="4"/>
    </row>
    <row r="532">
      <c r="A532" s="5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4"/>
      <c r="O532" s="4"/>
      <c r="P532" s="4"/>
      <c r="Q532" s="4"/>
      <c r="R532" s="4"/>
    </row>
    <row r="533">
      <c r="A533" s="5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4"/>
      <c r="O533" s="4"/>
      <c r="P533" s="4"/>
      <c r="Q533" s="4"/>
      <c r="R533" s="4"/>
    </row>
    <row r="534">
      <c r="A534" s="5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4"/>
      <c r="O534" s="4"/>
      <c r="P534" s="4"/>
      <c r="Q534" s="4"/>
      <c r="R534" s="4"/>
    </row>
    <row r="535">
      <c r="A535" s="5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4"/>
      <c r="O535" s="4"/>
      <c r="P535" s="4"/>
      <c r="Q535" s="4"/>
      <c r="R535" s="4"/>
    </row>
    <row r="536">
      <c r="A536" s="5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4"/>
      <c r="O536" s="4"/>
      <c r="P536" s="4"/>
      <c r="Q536" s="4"/>
      <c r="R536" s="4"/>
    </row>
    <row r="537">
      <c r="A537" s="5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4"/>
      <c r="O537" s="4"/>
      <c r="P537" s="4"/>
      <c r="Q537" s="4"/>
      <c r="R537" s="4"/>
    </row>
    <row r="538">
      <c r="A538" s="5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4"/>
      <c r="O538" s="4"/>
      <c r="P538" s="4"/>
      <c r="Q538" s="4"/>
      <c r="R538" s="4"/>
    </row>
    <row r="539">
      <c r="A539" s="5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4"/>
      <c r="O539" s="4"/>
      <c r="P539" s="4"/>
      <c r="Q539" s="4"/>
      <c r="R539" s="4"/>
    </row>
    <row r="540">
      <c r="A540" s="5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4"/>
      <c r="O540" s="4"/>
      <c r="P540" s="4"/>
      <c r="Q540" s="4"/>
      <c r="R540" s="4"/>
    </row>
    <row r="541">
      <c r="A541" s="5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4"/>
      <c r="O541" s="4"/>
      <c r="P541" s="4"/>
      <c r="Q541" s="4"/>
      <c r="R541" s="4"/>
    </row>
    <row r="542">
      <c r="A542" s="5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4"/>
      <c r="O542" s="4"/>
      <c r="P542" s="4"/>
      <c r="Q542" s="4"/>
      <c r="R542" s="4"/>
    </row>
    <row r="543">
      <c r="A543" s="5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4"/>
      <c r="O543" s="4"/>
      <c r="P543" s="4"/>
      <c r="Q543" s="4"/>
      <c r="R543" s="4"/>
    </row>
    <row r="544">
      <c r="A544" s="5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4"/>
      <c r="O544" s="4"/>
      <c r="P544" s="4"/>
      <c r="Q544" s="4"/>
      <c r="R544" s="4"/>
    </row>
    <row r="545">
      <c r="A545" s="5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4"/>
      <c r="O545" s="4"/>
      <c r="P545" s="4"/>
      <c r="Q545" s="4"/>
      <c r="R545" s="4"/>
    </row>
    <row r="546">
      <c r="A546" s="5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4"/>
      <c r="O546" s="4"/>
      <c r="P546" s="4"/>
      <c r="Q546" s="4"/>
      <c r="R546" s="4"/>
    </row>
    <row r="547">
      <c r="A547" s="5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4"/>
      <c r="O547" s="4"/>
      <c r="P547" s="4"/>
      <c r="Q547" s="4"/>
      <c r="R547" s="4"/>
    </row>
    <row r="548">
      <c r="A548" s="5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4"/>
      <c r="O548" s="4"/>
      <c r="P548" s="4"/>
      <c r="Q548" s="4"/>
      <c r="R548" s="4"/>
    </row>
    <row r="549">
      <c r="A549" s="5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4"/>
      <c r="O549" s="4"/>
      <c r="P549" s="4"/>
      <c r="Q549" s="4"/>
      <c r="R549" s="4"/>
    </row>
    <row r="550">
      <c r="A550" s="5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4"/>
      <c r="O550" s="4"/>
      <c r="P550" s="4"/>
      <c r="Q550" s="4"/>
      <c r="R550" s="4"/>
    </row>
    <row r="551">
      <c r="A551" s="5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4"/>
      <c r="O551" s="4"/>
      <c r="P551" s="4"/>
      <c r="Q551" s="4"/>
      <c r="R551" s="4"/>
    </row>
    <row r="552">
      <c r="A552" s="5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4"/>
      <c r="O552" s="4"/>
      <c r="P552" s="4"/>
      <c r="Q552" s="4"/>
      <c r="R552" s="4"/>
    </row>
    <row r="553">
      <c r="A553" s="5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4"/>
      <c r="O553" s="4"/>
      <c r="P553" s="4"/>
      <c r="Q553" s="4"/>
      <c r="R553" s="4"/>
    </row>
    <row r="554">
      <c r="A554" s="5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4"/>
      <c r="O554" s="4"/>
      <c r="P554" s="4"/>
      <c r="Q554" s="4"/>
      <c r="R554" s="4"/>
    </row>
    <row r="555">
      <c r="A555" s="5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4"/>
      <c r="O555" s="4"/>
      <c r="P555" s="4"/>
      <c r="Q555" s="4"/>
      <c r="R555" s="4"/>
    </row>
    <row r="556">
      <c r="A556" s="5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4"/>
      <c r="O556" s="4"/>
      <c r="P556" s="4"/>
      <c r="Q556" s="4"/>
      <c r="R556" s="4"/>
    </row>
    <row r="557">
      <c r="A557" s="5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4"/>
      <c r="O557" s="4"/>
      <c r="P557" s="4"/>
      <c r="Q557" s="4"/>
      <c r="R557" s="4"/>
    </row>
    <row r="558">
      <c r="A558" s="5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4"/>
      <c r="O558" s="4"/>
      <c r="P558" s="4"/>
      <c r="Q558" s="4"/>
      <c r="R558" s="4"/>
    </row>
    <row r="559">
      <c r="A559" s="5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4"/>
      <c r="O559" s="4"/>
      <c r="P559" s="4"/>
      <c r="Q559" s="4"/>
      <c r="R559" s="4"/>
    </row>
    <row r="560">
      <c r="A560" s="5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4"/>
      <c r="O560" s="4"/>
      <c r="P560" s="4"/>
      <c r="Q560" s="4"/>
      <c r="R560" s="4"/>
    </row>
    <row r="561">
      <c r="A561" s="5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4"/>
      <c r="O561" s="4"/>
      <c r="P561" s="4"/>
      <c r="Q561" s="4"/>
      <c r="R561" s="4"/>
    </row>
    <row r="562">
      <c r="A562" s="5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4"/>
      <c r="O562" s="4"/>
      <c r="P562" s="4"/>
      <c r="Q562" s="4"/>
      <c r="R562" s="4"/>
    </row>
    <row r="563">
      <c r="A563" s="5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4"/>
      <c r="O563" s="4"/>
      <c r="P563" s="4"/>
      <c r="Q563" s="4"/>
      <c r="R563" s="4"/>
    </row>
    <row r="564">
      <c r="A564" s="5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4"/>
      <c r="O564" s="4"/>
      <c r="P564" s="4"/>
      <c r="Q564" s="4"/>
      <c r="R564" s="4"/>
    </row>
    <row r="565">
      <c r="A565" s="5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4"/>
      <c r="O565" s="4"/>
      <c r="P565" s="4"/>
      <c r="Q565" s="4"/>
      <c r="R565" s="4"/>
    </row>
    <row r="566">
      <c r="A566" s="5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4"/>
      <c r="O566" s="4"/>
      <c r="P566" s="4"/>
      <c r="Q566" s="4"/>
      <c r="R566" s="4"/>
    </row>
    <row r="567">
      <c r="A567" s="5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4"/>
      <c r="O567" s="4"/>
      <c r="P567" s="4"/>
      <c r="Q567" s="4"/>
      <c r="R567" s="4"/>
    </row>
    <row r="568">
      <c r="A568" s="5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4"/>
      <c r="O568" s="4"/>
      <c r="P568" s="4"/>
      <c r="Q568" s="4"/>
      <c r="R568" s="4"/>
    </row>
    <row r="569">
      <c r="A569" s="5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4"/>
      <c r="O569" s="4"/>
      <c r="P569" s="4"/>
      <c r="Q569" s="4"/>
      <c r="R569" s="4"/>
    </row>
    <row r="570">
      <c r="A570" s="5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4"/>
      <c r="O570" s="4"/>
      <c r="P570" s="4"/>
      <c r="Q570" s="4"/>
      <c r="R570" s="4"/>
    </row>
    <row r="571">
      <c r="A571" s="5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4"/>
      <c r="O571" s="4"/>
      <c r="P571" s="4"/>
      <c r="Q571" s="4"/>
      <c r="R571" s="4"/>
    </row>
    <row r="572">
      <c r="A572" s="5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4"/>
      <c r="O572" s="4"/>
      <c r="P572" s="4"/>
      <c r="Q572" s="4"/>
      <c r="R572" s="4"/>
    </row>
    <row r="573">
      <c r="A573" s="5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4"/>
      <c r="O573" s="4"/>
      <c r="P573" s="4"/>
      <c r="Q573" s="4"/>
      <c r="R573" s="4"/>
    </row>
    <row r="574">
      <c r="A574" s="5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4"/>
      <c r="O574" s="4"/>
      <c r="P574" s="4"/>
      <c r="Q574" s="4"/>
      <c r="R574" s="4"/>
    </row>
    <row r="575">
      <c r="A575" s="5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4"/>
      <c r="O575" s="4"/>
      <c r="P575" s="4"/>
      <c r="Q575" s="4"/>
      <c r="R575" s="4"/>
    </row>
    <row r="576">
      <c r="A576" s="5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4"/>
      <c r="O576" s="4"/>
      <c r="P576" s="4"/>
      <c r="Q576" s="4"/>
      <c r="R576" s="4"/>
    </row>
    <row r="577">
      <c r="A577" s="5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4"/>
      <c r="O577" s="4"/>
      <c r="P577" s="4"/>
      <c r="Q577" s="4"/>
      <c r="R577" s="4"/>
    </row>
    <row r="578">
      <c r="A578" s="5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4"/>
      <c r="O578" s="4"/>
      <c r="P578" s="4"/>
      <c r="Q578" s="4"/>
      <c r="R578" s="4"/>
    </row>
    <row r="579">
      <c r="A579" s="5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4"/>
      <c r="O579" s="4"/>
      <c r="P579" s="4"/>
      <c r="Q579" s="4"/>
      <c r="R579" s="4"/>
    </row>
    <row r="580">
      <c r="A580" s="5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4"/>
      <c r="O580" s="4"/>
      <c r="P580" s="4"/>
      <c r="Q580" s="4"/>
      <c r="R580" s="4"/>
    </row>
    <row r="581">
      <c r="A581" s="5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4"/>
      <c r="O581" s="4"/>
      <c r="P581" s="4"/>
      <c r="Q581" s="4"/>
      <c r="R581" s="4"/>
    </row>
    <row r="582">
      <c r="A582" s="5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4"/>
      <c r="O582" s="4"/>
      <c r="P582" s="4"/>
      <c r="Q582" s="4"/>
      <c r="R582" s="4"/>
    </row>
    <row r="583">
      <c r="A583" s="5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4"/>
      <c r="O583" s="4"/>
      <c r="P583" s="4"/>
      <c r="Q583" s="4"/>
      <c r="R583" s="4"/>
    </row>
    <row r="584">
      <c r="A584" s="5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4"/>
      <c r="O584" s="4"/>
      <c r="P584" s="4"/>
      <c r="Q584" s="4"/>
      <c r="R584" s="4"/>
    </row>
    <row r="585">
      <c r="A585" s="5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4"/>
      <c r="O585" s="4"/>
      <c r="P585" s="4"/>
      <c r="Q585" s="4"/>
      <c r="R585" s="4"/>
    </row>
    <row r="586">
      <c r="A586" s="5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4"/>
      <c r="O586" s="4"/>
      <c r="P586" s="4"/>
      <c r="Q586" s="4"/>
      <c r="R586" s="4"/>
    </row>
    <row r="587">
      <c r="A587" s="5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4"/>
      <c r="O587" s="4"/>
      <c r="P587" s="4"/>
      <c r="Q587" s="4"/>
      <c r="R587" s="4"/>
    </row>
    <row r="588">
      <c r="A588" s="5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4"/>
      <c r="O588" s="4"/>
      <c r="P588" s="4"/>
      <c r="Q588" s="4"/>
      <c r="R588" s="4"/>
    </row>
    <row r="589">
      <c r="A589" s="5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4"/>
      <c r="O589" s="4"/>
      <c r="P589" s="4"/>
      <c r="Q589" s="4"/>
      <c r="R589" s="4"/>
    </row>
    <row r="590">
      <c r="A590" s="5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4"/>
      <c r="O590" s="4"/>
      <c r="P590" s="4"/>
      <c r="Q590" s="4"/>
      <c r="R590" s="4"/>
    </row>
    <row r="591">
      <c r="A591" s="5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4"/>
      <c r="O591" s="4"/>
      <c r="P591" s="4"/>
      <c r="Q591" s="4"/>
      <c r="R591" s="4"/>
    </row>
    <row r="592">
      <c r="A592" s="5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4"/>
      <c r="O592" s="4"/>
      <c r="P592" s="4"/>
      <c r="Q592" s="4"/>
      <c r="R592" s="4"/>
    </row>
    <row r="593">
      <c r="A593" s="5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4"/>
      <c r="O593" s="4"/>
      <c r="P593" s="4"/>
      <c r="Q593" s="4"/>
      <c r="R593" s="4"/>
    </row>
    <row r="594">
      <c r="A594" s="5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4"/>
      <c r="O594" s="4"/>
      <c r="P594" s="4"/>
      <c r="Q594" s="4"/>
      <c r="R594" s="4"/>
    </row>
    <row r="595">
      <c r="A595" s="5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4"/>
      <c r="O595" s="4"/>
      <c r="P595" s="4"/>
      <c r="Q595" s="4"/>
      <c r="R595" s="4"/>
    </row>
    <row r="596">
      <c r="A596" s="5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4"/>
      <c r="O596" s="4"/>
      <c r="P596" s="4"/>
      <c r="Q596" s="4"/>
      <c r="R596" s="4"/>
    </row>
    <row r="597">
      <c r="A597" s="5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4"/>
      <c r="O597" s="4"/>
      <c r="P597" s="4"/>
      <c r="Q597" s="4"/>
      <c r="R597" s="4"/>
    </row>
    <row r="598">
      <c r="A598" s="5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4"/>
      <c r="O598" s="4"/>
      <c r="P598" s="4"/>
      <c r="Q598" s="4"/>
      <c r="R598" s="4"/>
    </row>
    <row r="599">
      <c r="A599" s="5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4"/>
      <c r="O599" s="4"/>
      <c r="P599" s="4"/>
      <c r="Q599" s="4"/>
      <c r="R599" s="4"/>
    </row>
    <row r="600">
      <c r="A600" s="5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4"/>
      <c r="O600" s="4"/>
      <c r="P600" s="4"/>
      <c r="Q600" s="4"/>
      <c r="R600" s="4"/>
    </row>
    <row r="601">
      <c r="A601" s="5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4"/>
      <c r="O601" s="4"/>
      <c r="P601" s="4"/>
      <c r="Q601" s="4"/>
      <c r="R601" s="4"/>
    </row>
    <row r="602">
      <c r="A602" s="5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4"/>
      <c r="O602" s="4"/>
      <c r="P602" s="4"/>
      <c r="Q602" s="4"/>
      <c r="R602" s="4"/>
    </row>
    <row r="603">
      <c r="A603" s="5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4"/>
      <c r="O603" s="4"/>
      <c r="P603" s="4"/>
      <c r="Q603" s="4"/>
      <c r="R603" s="4"/>
    </row>
    <row r="604">
      <c r="A604" s="5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4"/>
      <c r="O604" s="4"/>
      <c r="P604" s="4"/>
      <c r="Q604" s="4"/>
      <c r="R604" s="4"/>
    </row>
    <row r="605">
      <c r="A605" s="5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4"/>
      <c r="O605" s="4"/>
      <c r="P605" s="4"/>
      <c r="Q605" s="4"/>
      <c r="R605" s="4"/>
    </row>
    <row r="606">
      <c r="A606" s="5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4"/>
      <c r="O606" s="4"/>
      <c r="P606" s="4"/>
      <c r="Q606" s="4"/>
      <c r="R606" s="4"/>
    </row>
    <row r="607">
      <c r="A607" s="5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4"/>
      <c r="O607" s="4"/>
      <c r="P607" s="4"/>
      <c r="Q607" s="4"/>
      <c r="R607" s="4"/>
    </row>
    <row r="608">
      <c r="A608" s="5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4"/>
      <c r="O608" s="4"/>
      <c r="P608" s="4"/>
      <c r="Q608" s="4"/>
      <c r="R608" s="4"/>
    </row>
    <row r="609">
      <c r="A609" s="5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4"/>
      <c r="O609" s="4"/>
      <c r="P609" s="4"/>
      <c r="Q609" s="4"/>
      <c r="R609" s="4"/>
    </row>
    <row r="610">
      <c r="A610" s="5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4"/>
      <c r="O610" s="4"/>
      <c r="P610" s="4"/>
      <c r="Q610" s="4"/>
      <c r="R610" s="4"/>
    </row>
    <row r="611">
      <c r="A611" s="5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4"/>
      <c r="O611" s="4"/>
      <c r="P611" s="4"/>
      <c r="Q611" s="4"/>
      <c r="R611" s="4"/>
    </row>
    <row r="612">
      <c r="A612" s="5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4"/>
      <c r="O612" s="4"/>
      <c r="P612" s="4"/>
      <c r="Q612" s="4"/>
      <c r="R612" s="4"/>
    </row>
    <row r="613">
      <c r="A613" s="5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4"/>
      <c r="O613" s="4"/>
      <c r="P613" s="4"/>
      <c r="Q613" s="4"/>
      <c r="R613" s="4"/>
    </row>
    <row r="614">
      <c r="A614" s="5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4"/>
      <c r="O614" s="4"/>
      <c r="P614" s="4"/>
      <c r="Q614" s="4"/>
      <c r="R614" s="4"/>
    </row>
    <row r="615">
      <c r="A615" s="5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4"/>
      <c r="O615" s="4"/>
      <c r="P615" s="4"/>
      <c r="Q615" s="4"/>
      <c r="R615" s="4"/>
    </row>
    <row r="616">
      <c r="A616" s="5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4"/>
      <c r="O616" s="4"/>
      <c r="P616" s="4"/>
      <c r="Q616" s="4"/>
      <c r="R616" s="4"/>
    </row>
    <row r="617">
      <c r="A617" s="5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4"/>
      <c r="O617" s="4"/>
      <c r="P617" s="4"/>
      <c r="Q617" s="4"/>
      <c r="R617" s="4"/>
    </row>
    <row r="618">
      <c r="A618" s="5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4"/>
      <c r="O618" s="4"/>
      <c r="P618" s="4"/>
      <c r="Q618" s="4"/>
      <c r="R618" s="4"/>
    </row>
    <row r="619">
      <c r="A619" s="5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4"/>
      <c r="O619" s="4"/>
      <c r="P619" s="4"/>
      <c r="Q619" s="4"/>
      <c r="R619" s="4"/>
    </row>
    <row r="620">
      <c r="A620" s="5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4"/>
      <c r="O620" s="4"/>
      <c r="P620" s="4"/>
      <c r="Q620" s="4"/>
      <c r="R620" s="4"/>
    </row>
    <row r="621">
      <c r="A621" s="5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4"/>
      <c r="O621" s="4"/>
      <c r="P621" s="4"/>
      <c r="Q621" s="4"/>
      <c r="R621" s="4"/>
    </row>
    <row r="622">
      <c r="A622" s="5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4"/>
      <c r="O622" s="4"/>
      <c r="P622" s="4"/>
      <c r="Q622" s="4"/>
      <c r="R622" s="4"/>
    </row>
    <row r="623">
      <c r="A623" s="5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4"/>
      <c r="O623" s="4"/>
      <c r="P623" s="4"/>
      <c r="Q623" s="4"/>
      <c r="R623" s="4"/>
    </row>
    <row r="624">
      <c r="A624" s="5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4"/>
      <c r="O624" s="4"/>
      <c r="P624" s="4"/>
      <c r="Q624" s="4"/>
      <c r="R624" s="4"/>
    </row>
    <row r="625">
      <c r="A625" s="5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4"/>
      <c r="O625" s="4"/>
      <c r="P625" s="4"/>
      <c r="Q625" s="4"/>
      <c r="R625" s="4"/>
    </row>
    <row r="626">
      <c r="A626" s="5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4"/>
      <c r="O626" s="4"/>
      <c r="P626" s="4"/>
      <c r="Q626" s="4"/>
      <c r="R626" s="4"/>
    </row>
    <row r="627">
      <c r="A627" s="5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4"/>
      <c r="O627" s="4"/>
      <c r="P627" s="4"/>
      <c r="Q627" s="4"/>
      <c r="R627" s="4"/>
    </row>
    <row r="628">
      <c r="A628" s="5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4"/>
      <c r="O628" s="4"/>
      <c r="P628" s="4"/>
      <c r="Q628" s="4"/>
      <c r="R628" s="4"/>
    </row>
    <row r="629">
      <c r="A629" s="5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4"/>
      <c r="O629" s="4"/>
      <c r="P629" s="4"/>
      <c r="Q629" s="4"/>
      <c r="R629" s="4"/>
    </row>
    <row r="630">
      <c r="A630" s="5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4"/>
      <c r="O630" s="4"/>
      <c r="P630" s="4"/>
      <c r="Q630" s="4"/>
      <c r="R630" s="4"/>
    </row>
    <row r="631">
      <c r="A631" s="5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4"/>
      <c r="O631" s="4"/>
      <c r="P631" s="4"/>
      <c r="Q631" s="4"/>
      <c r="R631" s="4"/>
    </row>
    <row r="632">
      <c r="A632" s="5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4"/>
      <c r="O632" s="4"/>
      <c r="P632" s="4"/>
      <c r="Q632" s="4"/>
      <c r="R632" s="4"/>
    </row>
    <row r="633">
      <c r="A633" s="5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4"/>
      <c r="O633" s="4"/>
      <c r="P633" s="4"/>
      <c r="Q633" s="4"/>
      <c r="R633" s="4"/>
    </row>
    <row r="634">
      <c r="A634" s="5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4"/>
      <c r="O634" s="4"/>
      <c r="P634" s="4"/>
      <c r="Q634" s="4"/>
      <c r="R634" s="4"/>
    </row>
    <row r="635">
      <c r="A635" s="5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4"/>
      <c r="O635" s="4"/>
      <c r="P635" s="4"/>
      <c r="Q635" s="4"/>
      <c r="R635" s="4"/>
    </row>
    <row r="636">
      <c r="A636" s="5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4"/>
      <c r="O636" s="4"/>
      <c r="P636" s="4"/>
      <c r="Q636" s="4"/>
      <c r="R636" s="4"/>
    </row>
    <row r="637">
      <c r="A637" s="5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4"/>
      <c r="O637" s="4"/>
      <c r="P637" s="4"/>
      <c r="Q637" s="4"/>
      <c r="R637" s="4"/>
    </row>
    <row r="638">
      <c r="A638" s="5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4"/>
      <c r="O638" s="4"/>
      <c r="P638" s="4"/>
      <c r="Q638" s="4"/>
      <c r="R638" s="4"/>
    </row>
    <row r="639">
      <c r="A639" s="5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4"/>
      <c r="O639" s="4"/>
      <c r="P639" s="4"/>
      <c r="Q639" s="4"/>
      <c r="R639" s="4"/>
    </row>
    <row r="640">
      <c r="A640" s="5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4"/>
      <c r="O640" s="4"/>
      <c r="P640" s="4"/>
      <c r="Q640" s="4"/>
      <c r="R640" s="4"/>
    </row>
    <row r="641">
      <c r="A641" s="5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4"/>
      <c r="O641" s="4"/>
      <c r="P641" s="4"/>
      <c r="Q641" s="4"/>
      <c r="R641" s="4"/>
    </row>
    <row r="642">
      <c r="A642" s="5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4"/>
      <c r="O642" s="4"/>
      <c r="P642" s="4"/>
      <c r="Q642" s="4"/>
      <c r="R642" s="4"/>
    </row>
    <row r="643">
      <c r="A643" s="5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4"/>
      <c r="O643" s="4"/>
      <c r="P643" s="4"/>
      <c r="Q643" s="4"/>
      <c r="R643" s="4"/>
    </row>
    <row r="644">
      <c r="A644" s="5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4"/>
      <c r="O644" s="4"/>
      <c r="P644" s="4"/>
      <c r="Q644" s="4"/>
      <c r="R644" s="4"/>
    </row>
    <row r="645">
      <c r="A645" s="5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4"/>
      <c r="O645" s="4"/>
      <c r="P645" s="4"/>
      <c r="Q645" s="4"/>
      <c r="R645" s="4"/>
    </row>
    <row r="646">
      <c r="A646" s="5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4"/>
      <c r="O646" s="4"/>
      <c r="P646" s="4"/>
      <c r="Q646" s="4"/>
      <c r="R646" s="4"/>
    </row>
    <row r="647">
      <c r="A647" s="5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4"/>
      <c r="O647" s="4"/>
      <c r="P647" s="4"/>
      <c r="Q647" s="4"/>
      <c r="R647" s="4"/>
    </row>
    <row r="648">
      <c r="A648" s="5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4"/>
      <c r="O648" s="4"/>
      <c r="P648" s="4"/>
      <c r="Q648" s="4"/>
      <c r="R648" s="4"/>
    </row>
    <row r="649">
      <c r="A649" s="5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4"/>
      <c r="O649" s="4"/>
      <c r="P649" s="4"/>
      <c r="Q649" s="4"/>
      <c r="R649" s="4"/>
    </row>
    <row r="650">
      <c r="A650" s="5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4"/>
      <c r="O650" s="4"/>
      <c r="P650" s="4"/>
      <c r="Q650" s="4"/>
      <c r="R650" s="4"/>
    </row>
    <row r="651">
      <c r="A651" s="5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4"/>
      <c r="O651" s="4"/>
      <c r="P651" s="4"/>
      <c r="Q651" s="4"/>
      <c r="R651" s="4"/>
    </row>
    <row r="652">
      <c r="A652" s="5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4"/>
      <c r="O652" s="4"/>
      <c r="P652" s="4"/>
      <c r="Q652" s="4"/>
      <c r="R652" s="4"/>
    </row>
    <row r="653">
      <c r="A653" s="5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4"/>
      <c r="O653" s="4"/>
      <c r="P653" s="4"/>
      <c r="Q653" s="4"/>
      <c r="R653" s="4"/>
    </row>
    <row r="654">
      <c r="A654" s="5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4"/>
      <c r="O654" s="4"/>
      <c r="P654" s="4"/>
      <c r="Q654" s="4"/>
      <c r="R654" s="4"/>
    </row>
    <row r="655">
      <c r="A655" s="5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4"/>
      <c r="O655" s="4"/>
      <c r="P655" s="4"/>
      <c r="Q655" s="4"/>
      <c r="R655" s="4"/>
    </row>
    <row r="656">
      <c r="A656" s="5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4"/>
      <c r="O656" s="4"/>
      <c r="P656" s="4"/>
      <c r="Q656" s="4"/>
      <c r="R656" s="4"/>
    </row>
    <row r="657">
      <c r="A657" s="5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4"/>
      <c r="O657" s="4"/>
      <c r="P657" s="4"/>
      <c r="Q657" s="4"/>
      <c r="R657" s="4"/>
    </row>
    <row r="658">
      <c r="A658" s="5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4"/>
      <c r="O658" s="4"/>
      <c r="P658" s="4"/>
      <c r="Q658" s="4"/>
      <c r="R658" s="4"/>
    </row>
    <row r="659">
      <c r="A659" s="5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4"/>
      <c r="O659" s="4"/>
      <c r="P659" s="4"/>
      <c r="Q659" s="4"/>
      <c r="R659" s="4"/>
    </row>
    <row r="660">
      <c r="A660" s="5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4"/>
      <c r="O660" s="4"/>
      <c r="P660" s="4"/>
      <c r="Q660" s="4"/>
      <c r="R660" s="4"/>
    </row>
    <row r="661">
      <c r="A661" s="5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4"/>
      <c r="O661" s="4"/>
      <c r="P661" s="4"/>
      <c r="Q661" s="4"/>
      <c r="R661" s="4"/>
    </row>
    <row r="662">
      <c r="A662" s="5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4"/>
      <c r="O662" s="4"/>
      <c r="P662" s="4"/>
      <c r="Q662" s="4"/>
      <c r="R662" s="4"/>
    </row>
    <row r="663">
      <c r="A663" s="5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4"/>
      <c r="O663" s="4"/>
      <c r="P663" s="4"/>
      <c r="Q663" s="4"/>
      <c r="R663" s="4"/>
    </row>
    <row r="664">
      <c r="A664" s="5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4"/>
      <c r="O664" s="4"/>
      <c r="P664" s="4"/>
      <c r="Q664" s="4"/>
      <c r="R664" s="4"/>
    </row>
    <row r="665">
      <c r="A665" s="5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4"/>
      <c r="O665" s="4"/>
      <c r="P665" s="4"/>
      <c r="Q665" s="4"/>
      <c r="R665" s="4"/>
    </row>
    <row r="666">
      <c r="A666" s="5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4"/>
      <c r="O666" s="4"/>
      <c r="P666" s="4"/>
      <c r="Q666" s="4"/>
      <c r="R666" s="4"/>
    </row>
    <row r="667">
      <c r="A667" s="5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4"/>
      <c r="O667" s="4"/>
      <c r="P667" s="4"/>
      <c r="Q667" s="4"/>
      <c r="R667" s="4"/>
    </row>
    <row r="668">
      <c r="A668" s="5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4"/>
      <c r="O668" s="4"/>
      <c r="P668" s="4"/>
      <c r="Q668" s="4"/>
      <c r="R668" s="4"/>
    </row>
    <row r="669">
      <c r="A669" s="5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4"/>
      <c r="O669" s="4"/>
      <c r="P669" s="4"/>
      <c r="Q669" s="4"/>
      <c r="R669" s="4"/>
    </row>
    <row r="670">
      <c r="A670" s="5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4"/>
      <c r="O670" s="4"/>
      <c r="P670" s="4"/>
      <c r="Q670" s="4"/>
      <c r="R670" s="4"/>
    </row>
    <row r="671">
      <c r="A671" s="5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4"/>
      <c r="O671" s="4"/>
      <c r="P671" s="4"/>
      <c r="Q671" s="4"/>
      <c r="R671" s="4"/>
    </row>
    <row r="672">
      <c r="A672" s="5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4"/>
      <c r="O672" s="4"/>
      <c r="P672" s="4"/>
      <c r="Q672" s="4"/>
      <c r="R672" s="4"/>
    </row>
    <row r="673">
      <c r="A673" s="5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4"/>
      <c r="O673" s="4"/>
      <c r="P673" s="4"/>
      <c r="Q673" s="4"/>
      <c r="R673" s="4"/>
    </row>
    <row r="674">
      <c r="A674" s="5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4"/>
      <c r="O674" s="4"/>
      <c r="P674" s="4"/>
      <c r="Q674" s="4"/>
      <c r="R674" s="4"/>
    </row>
    <row r="675">
      <c r="A675" s="5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4"/>
      <c r="O675" s="4"/>
      <c r="P675" s="4"/>
      <c r="Q675" s="4"/>
      <c r="R675" s="4"/>
    </row>
    <row r="676">
      <c r="A676" s="5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4"/>
      <c r="O676" s="4"/>
      <c r="P676" s="4"/>
      <c r="Q676" s="4"/>
      <c r="R676" s="4"/>
    </row>
    <row r="677">
      <c r="A677" s="5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4"/>
      <c r="O677" s="4"/>
      <c r="P677" s="4"/>
      <c r="Q677" s="4"/>
      <c r="R677" s="4"/>
    </row>
    <row r="678">
      <c r="A678" s="5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4"/>
      <c r="O678" s="4"/>
      <c r="P678" s="4"/>
      <c r="Q678" s="4"/>
      <c r="R678" s="4"/>
    </row>
    <row r="679">
      <c r="A679" s="5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4"/>
      <c r="O679" s="4"/>
      <c r="P679" s="4"/>
      <c r="Q679" s="4"/>
      <c r="R679" s="4"/>
    </row>
    <row r="680">
      <c r="A680" s="5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4"/>
      <c r="O680" s="4"/>
      <c r="P680" s="4"/>
      <c r="Q680" s="4"/>
      <c r="R680" s="4"/>
    </row>
    <row r="681">
      <c r="A681" s="5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4"/>
      <c r="O681" s="4"/>
      <c r="P681" s="4"/>
      <c r="Q681" s="4"/>
      <c r="R681" s="4"/>
    </row>
    <row r="682">
      <c r="A682" s="5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4"/>
      <c r="O682" s="4"/>
      <c r="P682" s="4"/>
      <c r="Q682" s="4"/>
      <c r="R682" s="4"/>
    </row>
    <row r="683">
      <c r="A683" s="5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4"/>
      <c r="O683" s="4"/>
      <c r="P683" s="4"/>
      <c r="Q683" s="4"/>
      <c r="R683" s="4"/>
    </row>
    <row r="684">
      <c r="A684" s="5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4"/>
      <c r="O684" s="4"/>
      <c r="P684" s="4"/>
      <c r="Q684" s="4"/>
      <c r="R684" s="4"/>
    </row>
    <row r="685">
      <c r="A685" s="5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4"/>
      <c r="O685" s="4"/>
      <c r="P685" s="4"/>
      <c r="Q685" s="4"/>
      <c r="R685" s="4"/>
    </row>
    <row r="686">
      <c r="A686" s="5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4"/>
      <c r="O686" s="4"/>
      <c r="P686" s="4"/>
      <c r="Q686" s="4"/>
      <c r="R686" s="4"/>
    </row>
    <row r="687">
      <c r="A687" s="5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4"/>
      <c r="O687" s="4"/>
      <c r="P687" s="4"/>
      <c r="Q687" s="4"/>
      <c r="R687" s="4"/>
    </row>
    <row r="688">
      <c r="A688" s="5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4"/>
      <c r="O688" s="4"/>
      <c r="P688" s="4"/>
      <c r="Q688" s="4"/>
      <c r="R688" s="4"/>
    </row>
    <row r="689">
      <c r="A689" s="5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4"/>
      <c r="O689" s="4"/>
      <c r="P689" s="4"/>
      <c r="Q689" s="4"/>
      <c r="R689" s="4"/>
    </row>
    <row r="690">
      <c r="A690" s="5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4"/>
      <c r="O690" s="4"/>
      <c r="P690" s="4"/>
      <c r="Q690" s="4"/>
      <c r="R690" s="4"/>
    </row>
    <row r="691">
      <c r="A691" s="5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4"/>
      <c r="O691" s="4"/>
      <c r="P691" s="4"/>
      <c r="Q691" s="4"/>
      <c r="R691" s="4"/>
    </row>
    <row r="692">
      <c r="A692" s="5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4"/>
      <c r="O692" s="4"/>
      <c r="P692" s="4"/>
      <c r="Q692" s="4"/>
      <c r="R692" s="4"/>
    </row>
    <row r="693">
      <c r="A693" s="5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4"/>
      <c r="O693" s="4"/>
      <c r="P693" s="4"/>
      <c r="Q693" s="4"/>
      <c r="R693" s="4"/>
    </row>
    <row r="694">
      <c r="A694" s="5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4"/>
      <c r="O694" s="4"/>
      <c r="P694" s="4"/>
      <c r="Q694" s="4"/>
      <c r="R694" s="4"/>
    </row>
    <row r="695">
      <c r="A695" s="5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4"/>
      <c r="O695" s="4"/>
      <c r="P695" s="4"/>
      <c r="Q695" s="4"/>
      <c r="R695" s="4"/>
    </row>
    <row r="696">
      <c r="A696" s="5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4"/>
      <c r="O696" s="4"/>
      <c r="P696" s="4"/>
      <c r="Q696" s="4"/>
      <c r="R696" s="4"/>
    </row>
    <row r="697">
      <c r="A697" s="5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4"/>
      <c r="O697" s="4"/>
      <c r="P697" s="4"/>
      <c r="Q697" s="4"/>
      <c r="R697" s="4"/>
    </row>
    <row r="698">
      <c r="A698" s="5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4"/>
      <c r="O698" s="4"/>
      <c r="P698" s="4"/>
      <c r="Q698" s="4"/>
      <c r="R698" s="4"/>
    </row>
    <row r="699">
      <c r="A699" s="5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4"/>
      <c r="O699" s="4"/>
      <c r="P699" s="4"/>
      <c r="Q699" s="4"/>
      <c r="R699" s="4"/>
    </row>
    <row r="700">
      <c r="A700" s="5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4"/>
      <c r="O700" s="4"/>
      <c r="P700" s="4"/>
      <c r="Q700" s="4"/>
      <c r="R700" s="4"/>
    </row>
    <row r="701">
      <c r="A701" s="5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4"/>
      <c r="O701" s="4"/>
      <c r="P701" s="4"/>
      <c r="Q701" s="4"/>
      <c r="R701" s="4"/>
    </row>
    <row r="702">
      <c r="A702" s="5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4"/>
      <c r="O702" s="4"/>
      <c r="P702" s="4"/>
      <c r="Q702" s="4"/>
      <c r="R702" s="4"/>
    </row>
    <row r="703">
      <c r="A703" s="5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4"/>
      <c r="O703" s="4"/>
      <c r="P703" s="4"/>
      <c r="Q703" s="4"/>
      <c r="R703" s="4"/>
    </row>
    <row r="704">
      <c r="A704" s="5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4"/>
      <c r="O704" s="4"/>
      <c r="P704" s="4"/>
      <c r="Q704" s="4"/>
      <c r="R704" s="4"/>
    </row>
    <row r="705">
      <c r="A705" s="5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4"/>
      <c r="O705" s="4"/>
      <c r="P705" s="4"/>
      <c r="Q705" s="4"/>
      <c r="R705" s="4"/>
    </row>
    <row r="706">
      <c r="A706" s="5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4"/>
      <c r="O706" s="4"/>
      <c r="P706" s="4"/>
      <c r="Q706" s="4"/>
      <c r="R706" s="4"/>
    </row>
    <row r="707">
      <c r="A707" s="5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4"/>
      <c r="O707" s="4"/>
      <c r="P707" s="4"/>
      <c r="Q707" s="4"/>
      <c r="R707" s="4"/>
    </row>
    <row r="708">
      <c r="A708" s="5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4"/>
      <c r="O708" s="4"/>
      <c r="P708" s="4"/>
      <c r="Q708" s="4"/>
      <c r="R708" s="4"/>
    </row>
    <row r="709">
      <c r="A709" s="5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4"/>
      <c r="O709" s="4"/>
      <c r="P709" s="4"/>
      <c r="Q709" s="4"/>
      <c r="R709" s="4"/>
    </row>
    <row r="710">
      <c r="A710" s="5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4"/>
      <c r="O710" s="4"/>
      <c r="P710" s="4"/>
      <c r="Q710" s="4"/>
      <c r="R710" s="4"/>
    </row>
    <row r="711">
      <c r="A711" s="5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4"/>
      <c r="O711" s="4"/>
      <c r="P711" s="4"/>
      <c r="Q711" s="4"/>
      <c r="R711" s="4"/>
    </row>
    <row r="712">
      <c r="A712" s="5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4"/>
      <c r="O712" s="4"/>
      <c r="P712" s="4"/>
      <c r="Q712" s="4"/>
      <c r="R712" s="4"/>
    </row>
    <row r="713">
      <c r="A713" s="5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4"/>
      <c r="O713" s="4"/>
      <c r="P713" s="4"/>
      <c r="Q713" s="4"/>
      <c r="R713" s="4"/>
    </row>
    <row r="714">
      <c r="A714" s="5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4"/>
      <c r="O714" s="4"/>
      <c r="P714" s="4"/>
      <c r="Q714" s="4"/>
      <c r="R714" s="4"/>
    </row>
    <row r="715">
      <c r="A715" s="5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4"/>
      <c r="O715" s="4"/>
      <c r="P715" s="4"/>
      <c r="Q715" s="4"/>
      <c r="R715" s="4"/>
    </row>
    <row r="716">
      <c r="A716" s="5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4"/>
      <c r="O716" s="4"/>
      <c r="P716" s="4"/>
      <c r="Q716" s="4"/>
      <c r="R716" s="4"/>
    </row>
    <row r="717">
      <c r="A717" s="5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4"/>
      <c r="O717" s="4"/>
      <c r="P717" s="4"/>
      <c r="Q717" s="4"/>
      <c r="R717" s="4"/>
    </row>
    <row r="718">
      <c r="A718" s="5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4"/>
      <c r="O718" s="4"/>
      <c r="P718" s="4"/>
      <c r="Q718" s="4"/>
      <c r="R718" s="4"/>
    </row>
    <row r="719">
      <c r="A719" s="5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4"/>
      <c r="O719" s="4"/>
      <c r="P719" s="4"/>
      <c r="Q719" s="4"/>
      <c r="R719" s="4"/>
    </row>
    <row r="720">
      <c r="A720" s="5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4"/>
      <c r="O720" s="4"/>
      <c r="P720" s="4"/>
      <c r="Q720" s="4"/>
      <c r="R720" s="4"/>
    </row>
    <row r="721">
      <c r="A721" s="5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4"/>
      <c r="O721" s="4"/>
      <c r="P721" s="4"/>
      <c r="Q721" s="4"/>
      <c r="R721" s="4"/>
    </row>
    <row r="722">
      <c r="A722" s="5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4"/>
      <c r="O722" s="4"/>
      <c r="P722" s="4"/>
      <c r="Q722" s="4"/>
      <c r="R722" s="4"/>
    </row>
    <row r="723">
      <c r="A723" s="5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4"/>
      <c r="O723" s="4"/>
      <c r="P723" s="4"/>
      <c r="Q723" s="4"/>
      <c r="R723" s="4"/>
    </row>
    <row r="724">
      <c r="A724" s="5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4"/>
      <c r="O724" s="4"/>
      <c r="P724" s="4"/>
      <c r="Q724" s="4"/>
      <c r="R724" s="4"/>
    </row>
    <row r="725">
      <c r="A725" s="5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4"/>
      <c r="O725" s="4"/>
      <c r="P725" s="4"/>
      <c r="Q725" s="4"/>
      <c r="R725" s="4"/>
    </row>
    <row r="726">
      <c r="A726" s="5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4"/>
      <c r="O726" s="4"/>
      <c r="P726" s="4"/>
      <c r="Q726" s="4"/>
      <c r="R726" s="4"/>
    </row>
    <row r="727">
      <c r="A727" s="5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4"/>
      <c r="O727" s="4"/>
      <c r="P727" s="4"/>
      <c r="Q727" s="4"/>
      <c r="R727" s="4"/>
    </row>
    <row r="728">
      <c r="A728" s="5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4"/>
      <c r="O728" s="4"/>
      <c r="P728" s="4"/>
      <c r="Q728" s="4"/>
      <c r="R728" s="4"/>
    </row>
    <row r="729">
      <c r="A729" s="5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4"/>
      <c r="O729" s="4"/>
      <c r="P729" s="4"/>
      <c r="Q729" s="4"/>
      <c r="R729" s="4"/>
    </row>
    <row r="730">
      <c r="A730" s="5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4"/>
      <c r="O730" s="4"/>
      <c r="P730" s="4"/>
      <c r="Q730" s="4"/>
      <c r="R730" s="4"/>
    </row>
    <row r="731">
      <c r="A731" s="5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4"/>
      <c r="O731" s="4"/>
      <c r="P731" s="4"/>
      <c r="Q731" s="4"/>
      <c r="R731" s="4"/>
    </row>
    <row r="732">
      <c r="A732" s="5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4"/>
      <c r="O732" s="4"/>
      <c r="P732" s="4"/>
      <c r="Q732" s="4"/>
      <c r="R732" s="4"/>
    </row>
    <row r="733">
      <c r="A733" s="5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4"/>
      <c r="O733" s="4"/>
      <c r="P733" s="4"/>
      <c r="Q733" s="4"/>
      <c r="R733" s="4"/>
    </row>
    <row r="734">
      <c r="A734" s="5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4"/>
      <c r="O734" s="4"/>
      <c r="P734" s="4"/>
      <c r="Q734" s="4"/>
      <c r="R734" s="4"/>
    </row>
    <row r="735">
      <c r="A735" s="5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4"/>
      <c r="O735" s="4"/>
      <c r="P735" s="4"/>
      <c r="Q735" s="4"/>
      <c r="R735" s="4"/>
    </row>
    <row r="736">
      <c r="A736" s="5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4"/>
      <c r="O736" s="4"/>
      <c r="P736" s="4"/>
      <c r="Q736" s="4"/>
      <c r="R736" s="4"/>
    </row>
    <row r="737">
      <c r="A737" s="5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4"/>
      <c r="O737" s="4"/>
      <c r="P737" s="4"/>
      <c r="Q737" s="4"/>
      <c r="R737" s="4"/>
    </row>
    <row r="738">
      <c r="A738" s="5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4"/>
      <c r="O738" s="4"/>
      <c r="P738" s="4"/>
      <c r="Q738" s="4"/>
      <c r="R738" s="4"/>
    </row>
    <row r="739">
      <c r="A739" s="5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4"/>
      <c r="O739" s="4"/>
      <c r="P739" s="4"/>
      <c r="Q739" s="4"/>
      <c r="R739" s="4"/>
    </row>
    <row r="740">
      <c r="A740" s="5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4"/>
      <c r="O740" s="4"/>
      <c r="P740" s="4"/>
      <c r="Q740" s="4"/>
      <c r="R740" s="4"/>
    </row>
    <row r="741">
      <c r="A741" s="5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4"/>
      <c r="O741" s="4"/>
      <c r="P741" s="4"/>
      <c r="Q741" s="4"/>
      <c r="R741" s="4"/>
    </row>
    <row r="742">
      <c r="A742" s="5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4"/>
      <c r="O742" s="4"/>
      <c r="P742" s="4"/>
      <c r="Q742" s="4"/>
      <c r="R742" s="4"/>
    </row>
    <row r="743">
      <c r="A743" s="5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4"/>
      <c r="O743" s="4"/>
      <c r="P743" s="4"/>
      <c r="Q743" s="4"/>
      <c r="R743" s="4"/>
    </row>
    <row r="744">
      <c r="A744" s="5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4"/>
      <c r="O744" s="4"/>
      <c r="P744" s="4"/>
      <c r="Q744" s="4"/>
      <c r="R744" s="4"/>
    </row>
    <row r="745">
      <c r="A745" s="5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4"/>
      <c r="O745" s="4"/>
      <c r="P745" s="4"/>
      <c r="Q745" s="4"/>
      <c r="R745" s="4"/>
    </row>
    <row r="746">
      <c r="A746" s="5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4"/>
      <c r="O746" s="4"/>
      <c r="P746" s="4"/>
      <c r="Q746" s="4"/>
      <c r="R746" s="4"/>
    </row>
    <row r="747">
      <c r="A747" s="5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4"/>
      <c r="O747" s="4"/>
      <c r="P747" s="4"/>
      <c r="Q747" s="4"/>
      <c r="R747" s="4"/>
    </row>
    <row r="748">
      <c r="A748" s="5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4"/>
      <c r="O748" s="4"/>
      <c r="P748" s="4"/>
      <c r="Q748" s="4"/>
      <c r="R748" s="4"/>
    </row>
    <row r="749">
      <c r="A749" s="5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4"/>
      <c r="O749" s="4"/>
      <c r="P749" s="4"/>
      <c r="Q749" s="4"/>
      <c r="R749" s="4"/>
    </row>
    <row r="750">
      <c r="A750" s="5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4"/>
      <c r="O750" s="4"/>
      <c r="P750" s="4"/>
      <c r="Q750" s="4"/>
      <c r="R750" s="4"/>
    </row>
    <row r="751">
      <c r="A751" s="5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4"/>
      <c r="O751" s="4"/>
      <c r="P751" s="4"/>
      <c r="Q751" s="4"/>
      <c r="R751" s="4"/>
    </row>
    <row r="752">
      <c r="A752" s="5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4"/>
      <c r="O752" s="4"/>
      <c r="P752" s="4"/>
      <c r="Q752" s="4"/>
      <c r="R752" s="4"/>
    </row>
    <row r="753">
      <c r="A753" s="5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4"/>
      <c r="O753" s="4"/>
      <c r="P753" s="4"/>
      <c r="Q753" s="4"/>
      <c r="R753" s="4"/>
    </row>
    <row r="754">
      <c r="A754" s="5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4"/>
      <c r="O754" s="4"/>
      <c r="P754" s="4"/>
      <c r="Q754" s="4"/>
      <c r="R754" s="4"/>
    </row>
    <row r="755">
      <c r="A755" s="5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4"/>
      <c r="O755" s="4"/>
      <c r="P755" s="4"/>
      <c r="Q755" s="4"/>
      <c r="R755" s="4"/>
    </row>
    <row r="756">
      <c r="A756" s="5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4"/>
      <c r="O756" s="4"/>
      <c r="P756" s="4"/>
      <c r="Q756" s="4"/>
      <c r="R756" s="4"/>
    </row>
    <row r="757">
      <c r="A757" s="5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4"/>
      <c r="O757" s="4"/>
      <c r="P757" s="4"/>
      <c r="Q757" s="4"/>
      <c r="R757" s="4"/>
    </row>
    <row r="758">
      <c r="A758" s="5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4"/>
      <c r="O758" s="4"/>
      <c r="P758" s="4"/>
      <c r="Q758" s="4"/>
      <c r="R758" s="4"/>
    </row>
    <row r="759">
      <c r="A759" s="5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4"/>
      <c r="O759" s="4"/>
      <c r="P759" s="4"/>
      <c r="Q759" s="4"/>
      <c r="R759" s="4"/>
    </row>
    <row r="760">
      <c r="A760" s="5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4"/>
      <c r="O760" s="4"/>
      <c r="P760" s="4"/>
      <c r="Q760" s="4"/>
      <c r="R760" s="4"/>
    </row>
    <row r="761">
      <c r="A761" s="5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4"/>
      <c r="O761" s="4"/>
      <c r="P761" s="4"/>
      <c r="Q761" s="4"/>
      <c r="R761" s="4"/>
    </row>
    <row r="762">
      <c r="A762" s="5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4"/>
      <c r="O762" s="4"/>
      <c r="P762" s="4"/>
      <c r="Q762" s="4"/>
      <c r="R762" s="4"/>
    </row>
    <row r="763">
      <c r="A763" s="5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4"/>
      <c r="O763" s="4"/>
      <c r="P763" s="4"/>
      <c r="Q763" s="4"/>
      <c r="R763" s="4"/>
    </row>
    <row r="764">
      <c r="A764" s="5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4"/>
      <c r="O764" s="4"/>
      <c r="P764" s="4"/>
      <c r="Q764" s="4"/>
      <c r="R764" s="4"/>
    </row>
    <row r="765">
      <c r="A765" s="5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4"/>
      <c r="O765" s="4"/>
      <c r="P765" s="4"/>
      <c r="Q765" s="4"/>
      <c r="R765" s="4"/>
    </row>
    <row r="766">
      <c r="A766" s="5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4"/>
      <c r="O766" s="4"/>
      <c r="P766" s="4"/>
      <c r="Q766" s="4"/>
      <c r="R766" s="4"/>
    </row>
    <row r="767">
      <c r="A767" s="5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4"/>
      <c r="O767" s="4"/>
      <c r="P767" s="4"/>
      <c r="Q767" s="4"/>
      <c r="R767" s="4"/>
    </row>
    <row r="768">
      <c r="A768" s="5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4"/>
      <c r="O768" s="4"/>
      <c r="P768" s="4"/>
      <c r="Q768" s="4"/>
      <c r="R768" s="4"/>
    </row>
    <row r="769">
      <c r="A769" s="5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4"/>
      <c r="O769" s="4"/>
      <c r="P769" s="4"/>
      <c r="Q769" s="4"/>
      <c r="R769" s="4"/>
    </row>
    <row r="770">
      <c r="A770" s="5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4"/>
      <c r="O770" s="4"/>
      <c r="P770" s="4"/>
      <c r="Q770" s="4"/>
      <c r="R770" s="4"/>
    </row>
    <row r="771">
      <c r="A771" s="5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4"/>
      <c r="O771" s="4"/>
      <c r="P771" s="4"/>
      <c r="Q771" s="4"/>
      <c r="R771" s="4"/>
    </row>
    <row r="772">
      <c r="A772" s="5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4"/>
      <c r="O772" s="4"/>
      <c r="P772" s="4"/>
      <c r="Q772" s="4"/>
      <c r="R772" s="4"/>
    </row>
    <row r="773">
      <c r="A773" s="5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4"/>
      <c r="O773" s="4"/>
      <c r="P773" s="4"/>
      <c r="Q773" s="4"/>
      <c r="R773" s="4"/>
    </row>
    <row r="774">
      <c r="A774" s="5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4"/>
      <c r="O774" s="4"/>
      <c r="P774" s="4"/>
      <c r="Q774" s="4"/>
      <c r="R774" s="4"/>
    </row>
    <row r="775">
      <c r="A775" s="5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4"/>
      <c r="O775" s="4"/>
      <c r="P775" s="4"/>
      <c r="Q775" s="4"/>
      <c r="R775" s="4"/>
    </row>
    <row r="776">
      <c r="A776" s="5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4"/>
      <c r="O776" s="4"/>
      <c r="P776" s="4"/>
      <c r="Q776" s="4"/>
      <c r="R776" s="4"/>
    </row>
    <row r="777">
      <c r="A777" s="5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4"/>
      <c r="O777" s="4"/>
      <c r="P777" s="4"/>
      <c r="Q777" s="4"/>
      <c r="R777" s="4"/>
    </row>
    <row r="778">
      <c r="A778" s="5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4"/>
      <c r="O778" s="4"/>
      <c r="P778" s="4"/>
      <c r="Q778" s="4"/>
      <c r="R778" s="4"/>
    </row>
    <row r="779">
      <c r="A779" s="5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4"/>
      <c r="O779" s="4"/>
      <c r="P779" s="4"/>
      <c r="Q779" s="4"/>
      <c r="R779" s="4"/>
    </row>
    <row r="780">
      <c r="A780" s="5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4"/>
      <c r="O780" s="4"/>
      <c r="P780" s="4"/>
      <c r="Q780" s="4"/>
      <c r="R780" s="4"/>
    </row>
    <row r="781">
      <c r="A781" s="5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4"/>
      <c r="O781" s="4"/>
      <c r="P781" s="4"/>
      <c r="Q781" s="4"/>
      <c r="R781" s="4"/>
    </row>
    <row r="782">
      <c r="A782" s="5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4"/>
      <c r="O782" s="4"/>
      <c r="P782" s="4"/>
      <c r="Q782" s="4"/>
      <c r="R782" s="4"/>
    </row>
    <row r="783">
      <c r="A783" s="5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4"/>
      <c r="O783" s="4"/>
      <c r="P783" s="4"/>
      <c r="Q783" s="4"/>
      <c r="R783" s="4"/>
    </row>
    <row r="784">
      <c r="A784" s="5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4"/>
      <c r="O784" s="4"/>
      <c r="P784" s="4"/>
      <c r="Q784" s="4"/>
      <c r="R784" s="4"/>
    </row>
    <row r="785">
      <c r="A785" s="5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4"/>
      <c r="O785" s="4"/>
      <c r="P785" s="4"/>
      <c r="Q785" s="4"/>
      <c r="R785" s="4"/>
    </row>
    <row r="786">
      <c r="A786" s="5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4"/>
      <c r="O786" s="4"/>
      <c r="P786" s="4"/>
      <c r="Q786" s="4"/>
      <c r="R786" s="4"/>
    </row>
    <row r="787">
      <c r="A787" s="5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4"/>
      <c r="O787" s="4"/>
      <c r="P787" s="4"/>
      <c r="Q787" s="4"/>
      <c r="R787" s="4"/>
    </row>
    <row r="788">
      <c r="A788" s="5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4"/>
      <c r="O788" s="4"/>
      <c r="P788" s="4"/>
      <c r="Q788" s="4"/>
      <c r="R788" s="4"/>
    </row>
    <row r="789">
      <c r="A789" s="5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4"/>
      <c r="O789" s="4"/>
      <c r="P789" s="4"/>
      <c r="Q789" s="4"/>
      <c r="R789" s="4"/>
    </row>
    <row r="790">
      <c r="A790" s="5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4"/>
      <c r="O790" s="4"/>
      <c r="P790" s="4"/>
      <c r="Q790" s="4"/>
      <c r="R790" s="4"/>
    </row>
    <row r="791">
      <c r="A791" s="5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4"/>
      <c r="O791" s="4"/>
      <c r="P791" s="4"/>
      <c r="Q791" s="4"/>
      <c r="R791" s="4"/>
    </row>
    <row r="792">
      <c r="A792" s="5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4"/>
      <c r="O792" s="4"/>
      <c r="P792" s="4"/>
      <c r="Q792" s="4"/>
      <c r="R792" s="4"/>
    </row>
    <row r="793">
      <c r="A793" s="5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4"/>
      <c r="O793" s="4"/>
      <c r="P793" s="4"/>
      <c r="Q793" s="4"/>
      <c r="R793" s="4"/>
    </row>
    <row r="794">
      <c r="A794" s="5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4"/>
      <c r="O794" s="4"/>
      <c r="P794" s="4"/>
      <c r="Q794" s="4"/>
      <c r="R794" s="4"/>
    </row>
    <row r="795">
      <c r="A795" s="5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4"/>
      <c r="O795" s="4"/>
      <c r="P795" s="4"/>
      <c r="Q795" s="4"/>
      <c r="R795" s="4"/>
    </row>
    <row r="796">
      <c r="A796" s="5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4"/>
      <c r="O796" s="4"/>
      <c r="P796" s="4"/>
      <c r="Q796" s="4"/>
      <c r="R796" s="4"/>
    </row>
    <row r="797">
      <c r="A797" s="5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4"/>
      <c r="O797" s="4"/>
      <c r="P797" s="4"/>
      <c r="Q797" s="4"/>
      <c r="R797" s="4"/>
    </row>
    <row r="798">
      <c r="A798" s="5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4"/>
      <c r="O798" s="4"/>
      <c r="P798" s="4"/>
      <c r="Q798" s="4"/>
      <c r="R798" s="4"/>
    </row>
    <row r="799">
      <c r="A799" s="5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4"/>
      <c r="O799" s="4"/>
      <c r="P799" s="4"/>
      <c r="Q799" s="4"/>
      <c r="R799" s="4"/>
    </row>
    <row r="800">
      <c r="A800" s="5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4"/>
      <c r="O800" s="4"/>
      <c r="P800" s="4"/>
      <c r="Q800" s="4"/>
      <c r="R800" s="4"/>
    </row>
    <row r="801">
      <c r="A801" s="5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4"/>
      <c r="O801" s="4"/>
      <c r="P801" s="4"/>
      <c r="Q801" s="4"/>
      <c r="R801" s="4"/>
    </row>
    <row r="802">
      <c r="A802" s="5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4"/>
      <c r="O802" s="4"/>
      <c r="P802" s="4"/>
      <c r="Q802" s="4"/>
      <c r="R802" s="4"/>
    </row>
    <row r="803">
      <c r="A803" s="5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4"/>
      <c r="O803" s="4"/>
      <c r="P803" s="4"/>
      <c r="Q803" s="4"/>
      <c r="R803" s="4"/>
    </row>
    <row r="804">
      <c r="A804" s="5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4"/>
      <c r="O804" s="4"/>
      <c r="P804" s="4"/>
      <c r="Q804" s="4"/>
      <c r="R804" s="4"/>
    </row>
    <row r="805">
      <c r="A805" s="5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4"/>
      <c r="O805" s="4"/>
      <c r="P805" s="4"/>
      <c r="Q805" s="4"/>
      <c r="R805" s="4"/>
    </row>
    <row r="806">
      <c r="A806" s="5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4"/>
      <c r="O806" s="4"/>
      <c r="P806" s="4"/>
      <c r="Q806" s="4"/>
      <c r="R806" s="4"/>
    </row>
    <row r="807">
      <c r="A807" s="5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4"/>
      <c r="O807" s="4"/>
      <c r="P807" s="4"/>
      <c r="Q807" s="4"/>
      <c r="R807" s="4"/>
    </row>
    <row r="808">
      <c r="A808" s="5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4"/>
      <c r="O808" s="4"/>
      <c r="P808" s="4"/>
      <c r="Q808" s="4"/>
      <c r="R808" s="4"/>
    </row>
    <row r="809">
      <c r="A809" s="5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4"/>
      <c r="O809" s="4"/>
      <c r="P809" s="4"/>
      <c r="Q809" s="4"/>
      <c r="R809" s="4"/>
    </row>
    <row r="810">
      <c r="A810" s="5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4"/>
      <c r="O810" s="4"/>
      <c r="P810" s="4"/>
      <c r="Q810" s="4"/>
      <c r="R810" s="4"/>
    </row>
    <row r="811">
      <c r="A811" s="5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4"/>
      <c r="O811" s="4"/>
      <c r="P811" s="4"/>
      <c r="Q811" s="4"/>
      <c r="R811" s="4"/>
    </row>
    <row r="812">
      <c r="A812" s="5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4"/>
      <c r="O812" s="4"/>
      <c r="P812" s="4"/>
      <c r="Q812" s="4"/>
      <c r="R812" s="4"/>
    </row>
    <row r="813">
      <c r="A813" s="5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4"/>
      <c r="O813" s="4"/>
      <c r="P813" s="4"/>
      <c r="Q813" s="4"/>
      <c r="R813" s="4"/>
    </row>
    <row r="814">
      <c r="A814" s="5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4"/>
      <c r="O814" s="4"/>
      <c r="P814" s="4"/>
      <c r="Q814" s="4"/>
      <c r="R814" s="4"/>
    </row>
    <row r="815">
      <c r="A815" s="5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4"/>
      <c r="O815" s="4"/>
      <c r="P815" s="4"/>
      <c r="Q815" s="4"/>
      <c r="R815" s="4"/>
    </row>
    <row r="816">
      <c r="A816" s="5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4"/>
      <c r="O816" s="4"/>
      <c r="P816" s="4"/>
      <c r="Q816" s="4"/>
      <c r="R816" s="4"/>
    </row>
    <row r="817">
      <c r="A817" s="5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4"/>
      <c r="O817" s="4"/>
      <c r="P817" s="4"/>
      <c r="Q817" s="4"/>
      <c r="R817" s="4"/>
    </row>
    <row r="818">
      <c r="A818" s="5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4"/>
      <c r="O818" s="4"/>
      <c r="P818" s="4"/>
      <c r="Q818" s="4"/>
      <c r="R818" s="4"/>
    </row>
    <row r="819">
      <c r="A819" s="5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4"/>
      <c r="O819" s="4"/>
      <c r="P819" s="4"/>
      <c r="Q819" s="4"/>
      <c r="R819" s="4"/>
    </row>
    <row r="820">
      <c r="A820" s="5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4"/>
      <c r="O820" s="4"/>
      <c r="P820" s="4"/>
      <c r="Q820" s="4"/>
      <c r="R820" s="4"/>
    </row>
    <row r="821">
      <c r="A821" s="5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4"/>
      <c r="O821" s="4"/>
      <c r="P821" s="4"/>
      <c r="Q821" s="4"/>
      <c r="R821" s="4"/>
    </row>
    <row r="822">
      <c r="A822" s="5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4"/>
      <c r="O822" s="4"/>
      <c r="P822" s="4"/>
      <c r="Q822" s="4"/>
      <c r="R822" s="4"/>
    </row>
    <row r="823">
      <c r="A823" s="5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4"/>
      <c r="O823" s="4"/>
      <c r="P823" s="4"/>
      <c r="Q823" s="4"/>
      <c r="R823" s="4"/>
    </row>
    <row r="824">
      <c r="A824" s="5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4"/>
      <c r="O824" s="4"/>
      <c r="P824" s="4"/>
      <c r="Q824" s="4"/>
      <c r="R824" s="4"/>
    </row>
    <row r="825">
      <c r="A825" s="5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4"/>
      <c r="O825" s="4"/>
      <c r="P825" s="4"/>
      <c r="Q825" s="4"/>
      <c r="R825" s="4"/>
    </row>
    <row r="826">
      <c r="A826" s="5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4"/>
      <c r="O826" s="4"/>
      <c r="P826" s="4"/>
      <c r="Q826" s="4"/>
      <c r="R826" s="4"/>
    </row>
    <row r="827">
      <c r="A827" s="5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4"/>
      <c r="O827" s="4"/>
      <c r="P827" s="4"/>
      <c r="Q827" s="4"/>
      <c r="R827" s="4"/>
    </row>
    <row r="828">
      <c r="A828" s="5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4"/>
      <c r="O828" s="4"/>
      <c r="P828" s="4"/>
      <c r="Q828" s="4"/>
      <c r="R828" s="4"/>
    </row>
    <row r="829">
      <c r="A829" s="5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4"/>
      <c r="O829" s="4"/>
      <c r="P829" s="4"/>
      <c r="Q829" s="4"/>
      <c r="R829" s="4"/>
    </row>
    <row r="830">
      <c r="A830" s="5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4"/>
      <c r="O830" s="4"/>
      <c r="P830" s="4"/>
      <c r="Q830" s="4"/>
      <c r="R830" s="4"/>
    </row>
    <row r="831">
      <c r="A831" s="5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4"/>
      <c r="O831" s="4"/>
      <c r="P831" s="4"/>
      <c r="Q831" s="4"/>
      <c r="R831" s="4"/>
    </row>
    <row r="832">
      <c r="A832" s="5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4"/>
      <c r="O832" s="4"/>
      <c r="P832" s="4"/>
      <c r="Q832" s="4"/>
      <c r="R832" s="4"/>
    </row>
    <row r="833">
      <c r="A833" s="5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4"/>
      <c r="O833" s="4"/>
      <c r="P833" s="4"/>
      <c r="Q833" s="4"/>
      <c r="R833" s="4"/>
    </row>
    <row r="834">
      <c r="A834" s="5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4"/>
      <c r="O834" s="4"/>
      <c r="P834" s="4"/>
      <c r="Q834" s="4"/>
      <c r="R834" s="4"/>
    </row>
    <row r="835">
      <c r="A835" s="5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4"/>
      <c r="O835" s="4"/>
      <c r="P835" s="4"/>
      <c r="Q835" s="4"/>
      <c r="R835" s="4"/>
    </row>
    <row r="836">
      <c r="A836" s="5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4"/>
      <c r="O836" s="4"/>
      <c r="P836" s="4"/>
      <c r="Q836" s="4"/>
      <c r="R836" s="4"/>
    </row>
    <row r="837">
      <c r="A837" s="5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4"/>
      <c r="O837" s="4"/>
      <c r="P837" s="4"/>
      <c r="Q837" s="4"/>
      <c r="R837" s="4"/>
    </row>
    <row r="838">
      <c r="A838" s="5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4"/>
      <c r="O838" s="4"/>
      <c r="P838" s="4"/>
      <c r="Q838" s="4"/>
      <c r="R838" s="4"/>
    </row>
    <row r="839">
      <c r="A839" s="5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4"/>
      <c r="O839" s="4"/>
      <c r="P839" s="4"/>
      <c r="Q839" s="4"/>
      <c r="R839" s="4"/>
    </row>
    <row r="840">
      <c r="A840" s="5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4"/>
      <c r="O840" s="4"/>
      <c r="P840" s="4"/>
      <c r="Q840" s="4"/>
      <c r="R840" s="4"/>
    </row>
    <row r="841">
      <c r="A841" s="5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4"/>
      <c r="O841" s="4"/>
      <c r="P841" s="4"/>
      <c r="Q841" s="4"/>
      <c r="R841" s="4"/>
    </row>
    <row r="842">
      <c r="A842" s="5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4"/>
      <c r="O842" s="4"/>
      <c r="P842" s="4"/>
      <c r="Q842" s="4"/>
      <c r="R842" s="4"/>
    </row>
    <row r="843">
      <c r="A843" s="5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4"/>
      <c r="O843" s="4"/>
      <c r="P843" s="4"/>
      <c r="Q843" s="4"/>
      <c r="R843" s="4"/>
    </row>
    <row r="844">
      <c r="A844" s="5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4"/>
      <c r="O844" s="4"/>
      <c r="P844" s="4"/>
      <c r="Q844" s="4"/>
      <c r="R844" s="4"/>
    </row>
    <row r="845">
      <c r="A845" s="5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4"/>
      <c r="O845" s="4"/>
      <c r="P845" s="4"/>
      <c r="Q845" s="4"/>
      <c r="R845" s="4"/>
    </row>
    <row r="846">
      <c r="A846" s="5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4"/>
      <c r="O846" s="4"/>
      <c r="P846" s="4"/>
      <c r="Q846" s="4"/>
      <c r="R846" s="4"/>
    </row>
    <row r="847">
      <c r="A847" s="5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4"/>
      <c r="O847" s="4"/>
      <c r="P847" s="4"/>
      <c r="Q847" s="4"/>
      <c r="R847" s="4"/>
    </row>
    <row r="848">
      <c r="A848" s="5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4"/>
      <c r="O848" s="4"/>
      <c r="P848" s="4"/>
      <c r="Q848" s="4"/>
      <c r="R848" s="4"/>
    </row>
    <row r="849">
      <c r="A849" s="5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4"/>
      <c r="O849" s="4"/>
      <c r="P849" s="4"/>
      <c r="Q849" s="4"/>
      <c r="R849" s="4"/>
    </row>
    <row r="850">
      <c r="A850" s="5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4"/>
      <c r="O850" s="4"/>
      <c r="P850" s="4"/>
      <c r="Q850" s="4"/>
      <c r="R850" s="4"/>
    </row>
    <row r="851">
      <c r="A851" s="5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4"/>
      <c r="O851" s="4"/>
      <c r="P851" s="4"/>
      <c r="Q851" s="4"/>
      <c r="R851" s="4"/>
    </row>
    <row r="852">
      <c r="A852" s="5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4"/>
      <c r="O852" s="4"/>
      <c r="P852" s="4"/>
      <c r="Q852" s="4"/>
      <c r="R852" s="4"/>
    </row>
    <row r="853">
      <c r="A853" s="5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4"/>
      <c r="O853" s="4"/>
      <c r="P853" s="4"/>
      <c r="Q853" s="4"/>
      <c r="R853" s="4"/>
    </row>
    <row r="854">
      <c r="A854" s="5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4"/>
      <c r="O854" s="4"/>
      <c r="P854" s="4"/>
      <c r="Q854" s="4"/>
      <c r="R854" s="4"/>
    </row>
    <row r="855">
      <c r="A855" s="5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4"/>
      <c r="O855" s="4"/>
      <c r="P855" s="4"/>
      <c r="Q855" s="4"/>
      <c r="R855" s="4"/>
    </row>
    <row r="856">
      <c r="A856" s="5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4"/>
      <c r="O856" s="4"/>
      <c r="P856" s="4"/>
      <c r="Q856" s="4"/>
      <c r="R856" s="4"/>
    </row>
    <row r="857">
      <c r="A857" s="5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4"/>
      <c r="O857" s="4"/>
      <c r="P857" s="4"/>
      <c r="Q857" s="4"/>
      <c r="R857" s="4"/>
    </row>
    <row r="858">
      <c r="A858" s="5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4"/>
      <c r="O858" s="4"/>
      <c r="P858" s="4"/>
      <c r="Q858" s="4"/>
      <c r="R858" s="4"/>
    </row>
    <row r="859">
      <c r="A859" s="5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4"/>
      <c r="O859" s="4"/>
      <c r="P859" s="4"/>
      <c r="Q859" s="4"/>
      <c r="R859" s="4"/>
    </row>
    <row r="860">
      <c r="A860" s="5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4"/>
      <c r="O860" s="4"/>
      <c r="P860" s="4"/>
      <c r="Q860" s="4"/>
      <c r="R860" s="4"/>
    </row>
    <row r="861">
      <c r="A861" s="5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4"/>
      <c r="O861" s="4"/>
      <c r="P861" s="4"/>
      <c r="Q861" s="4"/>
      <c r="R861" s="4"/>
    </row>
    <row r="862">
      <c r="A862" s="5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4"/>
      <c r="O862" s="4"/>
      <c r="P862" s="4"/>
      <c r="Q862" s="4"/>
      <c r="R862" s="4"/>
    </row>
    <row r="863">
      <c r="A863" s="5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4"/>
      <c r="O863" s="4"/>
      <c r="P863" s="4"/>
      <c r="Q863" s="4"/>
      <c r="R863" s="4"/>
    </row>
    <row r="864">
      <c r="A864" s="5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4"/>
      <c r="O864" s="4"/>
      <c r="P864" s="4"/>
      <c r="Q864" s="4"/>
      <c r="R864" s="4"/>
    </row>
    <row r="865">
      <c r="A865" s="5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4"/>
      <c r="O865" s="4"/>
      <c r="P865" s="4"/>
      <c r="Q865" s="4"/>
      <c r="R865" s="4"/>
    </row>
    <row r="866">
      <c r="A866" s="5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4"/>
      <c r="O866" s="4"/>
      <c r="P866" s="4"/>
      <c r="Q866" s="4"/>
      <c r="R866" s="4"/>
    </row>
    <row r="867">
      <c r="A867" s="5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4"/>
      <c r="O867" s="4"/>
      <c r="P867" s="4"/>
      <c r="Q867" s="4"/>
      <c r="R867" s="4"/>
    </row>
    <row r="868">
      <c r="A868" s="5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4"/>
      <c r="O868" s="4"/>
      <c r="P868" s="4"/>
      <c r="Q868" s="4"/>
      <c r="R868" s="4"/>
    </row>
    <row r="869">
      <c r="A869" s="5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4"/>
      <c r="O869" s="4"/>
      <c r="P869" s="4"/>
      <c r="Q869" s="4"/>
      <c r="R869" s="4"/>
    </row>
    <row r="870">
      <c r="A870" s="5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4"/>
      <c r="O870" s="4"/>
      <c r="P870" s="4"/>
      <c r="Q870" s="4"/>
      <c r="R870" s="4"/>
    </row>
    <row r="871">
      <c r="A871" s="5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4"/>
      <c r="O871" s="4"/>
      <c r="P871" s="4"/>
      <c r="Q871" s="4"/>
      <c r="R871" s="4"/>
    </row>
    <row r="872">
      <c r="A872" s="5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4"/>
      <c r="O872" s="4"/>
      <c r="P872" s="4"/>
      <c r="Q872" s="4"/>
      <c r="R872" s="4"/>
    </row>
    <row r="873">
      <c r="A873" s="5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4"/>
      <c r="O873" s="4"/>
      <c r="P873" s="4"/>
      <c r="Q873" s="4"/>
      <c r="R873" s="4"/>
    </row>
    <row r="874">
      <c r="A874" s="5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4"/>
      <c r="O874" s="4"/>
      <c r="P874" s="4"/>
      <c r="Q874" s="4"/>
      <c r="R874" s="4"/>
    </row>
    <row r="875">
      <c r="A875" s="5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4"/>
      <c r="O875" s="4"/>
      <c r="P875" s="4"/>
      <c r="Q875" s="4"/>
      <c r="R875" s="4"/>
    </row>
    <row r="876">
      <c r="A876" s="5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4"/>
      <c r="O876" s="4"/>
      <c r="P876" s="4"/>
      <c r="Q876" s="4"/>
      <c r="R876" s="4"/>
    </row>
    <row r="877">
      <c r="A877" s="5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4"/>
      <c r="O877" s="4"/>
      <c r="P877" s="4"/>
      <c r="Q877" s="4"/>
      <c r="R877" s="4"/>
    </row>
    <row r="878">
      <c r="A878" s="5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4"/>
      <c r="O878" s="4"/>
      <c r="P878" s="4"/>
      <c r="Q878" s="4"/>
      <c r="R878" s="4"/>
    </row>
    <row r="879">
      <c r="A879" s="5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4"/>
      <c r="O879" s="4"/>
      <c r="P879" s="4"/>
      <c r="Q879" s="4"/>
      <c r="R879" s="4"/>
    </row>
    <row r="880">
      <c r="A880" s="5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4"/>
      <c r="O880" s="4"/>
      <c r="P880" s="4"/>
      <c r="Q880" s="4"/>
      <c r="R880" s="4"/>
    </row>
    <row r="881">
      <c r="A881" s="5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4"/>
      <c r="O881" s="4"/>
      <c r="P881" s="4"/>
      <c r="Q881" s="4"/>
      <c r="R881" s="4"/>
    </row>
    <row r="882">
      <c r="A882" s="5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4"/>
      <c r="O882" s="4"/>
      <c r="P882" s="4"/>
      <c r="Q882" s="4"/>
      <c r="R882" s="4"/>
    </row>
    <row r="883">
      <c r="A883" s="5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4"/>
      <c r="O883" s="4"/>
      <c r="P883" s="4"/>
      <c r="Q883" s="4"/>
      <c r="R883" s="4"/>
    </row>
    <row r="884">
      <c r="A884" s="5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4"/>
      <c r="O884" s="4"/>
      <c r="P884" s="4"/>
      <c r="Q884" s="4"/>
      <c r="R884" s="4"/>
    </row>
    <row r="885">
      <c r="A885" s="5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4"/>
      <c r="O885" s="4"/>
      <c r="P885" s="4"/>
      <c r="Q885" s="4"/>
      <c r="R885" s="4"/>
    </row>
    <row r="886">
      <c r="A886" s="5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4"/>
      <c r="O886" s="4"/>
      <c r="P886" s="4"/>
      <c r="Q886" s="4"/>
      <c r="R886" s="4"/>
    </row>
    <row r="887">
      <c r="A887" s="5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4"/>
      <c r="O887" s="4"/>
      <c r="P887" s="4"/>
      <c r="Q887" s="4"/>
      <c r="R887" s="4"/>
    </row>
    <row r="888">
      <c r="A888" s="5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4"/>
      <c r="O888" s="4"/>
      <c r="P888" s="4"/>
      <c r="Q888" s="4"/>
      <c r="R888" s="4"/>
    </row>
    <row r="889">
      <c r="A889" s="5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4"/>
      <c r="O889" s="4"/>
      <c r="P889" s="4"/>
      <c r="Q889" s="4"/>
      <c r="R889" s="4"/>
    </row>
    <row r="890">
      <c r="A890" s="5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4"/>
      <c r="O890" s="4"/>
      <c r="P890" s="4"/>
      <c r="Q890" s="4"/>
      <c r="R890" s="4"/>
    </row>
    <row r="891">
      <c r="A891" s="5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4"/>
      <c r="O891" s="4"/>
      <c r="P891" s="4"/>
      <c r="Q891" s="4"/>
      <c r="R891" s="4"/>
    </row>
    <row r="892">
      <c r="A892" s="5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4"/>
      <c r="O892" s="4"/>
      <c r="P892" s="4"/>
      <c r="Q892" s="4"/>
      <c r="R892" s="4"/>
    </row>
    <row r="893">
      <c r="A893" s="5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4"/>
      <c r="O893" s="4"/>
      <c r="P893" s="4"/>
      <c r="Q893" s="4"/>
      <c r="R893" s="4"/>
    </row>
    <row r="894">
      <c r="A894" s="5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4"/>
      <c r="O894" s="4"/>
      <c r="P894" s="4"/>
      <c r="Q894" s="4"/>
      <c r="R894" s="4"/>
    </row>
    <row r="895">
      <c r="A895" s="5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4"/>
      <c r="O895" s="4"/>
      <c r="P895" s="4"/>
      <c r="Q895" s="4"/>
      <c r="R895" s="4"/>
    </row>
    <row r="896">
      <c r="A896" s="5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4"/>
      <c r="O896" s="4"/>
      <c r="P896" s="4"/>
      <c r="Q896" s="4"/>
      <c r="R896" s="4"/>
    </row>
    <row r="897">
      <c r="A897" s="5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4"/>
      <c r="O897" s="4"/>
      <c r="P897" s="4"/>
      <c r="Q897" s="4"/>
      <c r="R897" s="4"/>
    </row>
    <row r="898">
      <c r="A898" s="5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4"/>
      <c r="O898" s="4"/>
      <c r="P898" s="4"/>
      <c r="Q898" s="4"/>
      <c r="R898" s="4"/>
    </row>
    <row r="899">
      <c r="A899" s="5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4"/>
      <c r="O899" s="4"/>
      <c r="P899" s="4"/>
      <c r="Q899" s="4"/>
      <c r="R899" s="4"/>
    </row>
    <row r="900">
      <c r="A900" s="5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4"/>
      <c r="O900" s="4"/>
      <c r="P900" s="4"/>
      <c r="Q900" s="4"/>
      <c r="R900" s="4"/>
    </row>
    <row r="901">
      <c r="A901" s="5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4"/>
      <c r="O901" s="4"/>
      <c r="P901" s="4"/>
      <c r="Q901" s="4"/>
      <c r="R901" s="4"/>
    </row>
    <row r="902">
      <c r="A902" s="5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4"/>
      <c r="O902" s="4"/>
      <c r="P902" s="4"/>
      <c r="Q902" s="4"/>
      <c r="R902" s="4"/>
    </row>
    <row r="903">
      <c r="A903" s="5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4"/>
      <c r="O903" s="4"/>
      <c r="P903" s="4"/>
      <c r="Q903" s="4"/>
      <c r="R903" s="4"/>
    </row>
    <row r="904">
      <c r="A904" s="5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4"/>
      <c r="O904" s="4"/>
      <c r="P904" s="4"/>
      <c r="Q904" s="4"/>
      <c r="R904" s="4"/>
    </row>
    <row r="905">
      <c r="A905" s="5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4"/>
      <c r="O905" s="4"/>
      <c r="P905" s="4"/>
      <c r="Q905" s="4"/>
      <c r="R905" s="4"/>
    </row>
    <row r="906">
      <c r="A906" s="5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4"/>
      <c r="O906" s="4"/>
      <c r="P906" s="4"/>
      <c r="Q906" s="4"/>
      <c r="R906" s="4"/>
    </row>
    <row r="907">
      <c r="A907" s="5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4"/>
      <c r="O907" s="4"/>
      <c r="P907" s="4"/>
      <c r="Q907" s="4"/>
      <c r="R907" s="4"/>
    </row>
    <row r="908">
      <c r="A908" s="5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4"/>
      <c r="O908" s="4"/>
      <c r="P908" s="4"/>
      <c r="Q908" s="4"/>
      <c r="R908" s="4"/>
    </row>
    <row r="909">
      <c r="A909" s="5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4"/>
      <c r="O909" s="4"/>
      <c r="P909" s="4"/>
      <c r="Q909" s="4"/>
      <c r="R909" s="4"/>
    </row>
    <row r="910">
      <c r="A910" s="5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4"/>
      <c r="O910" s="4"/>
      <c r="P910" s="4"/>
      <c r="Q910" s="4"/>
      <c r="R910" s="4"/>
    </row>
    <row r="911">
      <c r="A911" s="5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4"/>
      <c r="O911" s="4"/>
      <c r="P911" s="4"/>
      <c r="Q911" s="4"/>
      <c r="R911" s="4"/>
    </row>
    <row r="912">
      <c r="A912" s="5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4"/>
      <c r="O912" s="4"/>
      <c r="P912" s="4"/>
      <c r="Q912" s="4"/>
      <c r="R912" s="4"/>
    </row>
    <row r="913">
      <c r="A913" s="5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4"/>
      <c r="O913" s="4"/>
      <c r="P913" s="4"/>
      <c r="Q913" s="4"/>
      <c r="R913" s="4"/>
    </row>
    <row r="914">
      <c r="A914" s="5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4"/>
      <c r="O914" s="4"/>
      <c r="P914" s="4"/>
      <c r="Q914" s="4"/>
      <c r="R914" s="4"/>
    </row>
    <row r="915">
      <c r="A915" s="5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4"/>
      <c r="O915" s="4"/>
      <c r="P915" s="4"/>
      <c r="Q915" s="4"/>
      <c r="R915" s="4"/>
    </row>
    <row r="916">
      <c r="A916" s="5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4"/>
      <c r="O916" s="4"/>
      <c r="P916" s="4"/>
      <c r="Q916" s="4"/>
      <c r="R916" s="4"/>
    </row>
    <row r="917">
      <c r="A917" s="5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4"/>
      <c r="O917" s="4"/>
      <c r="P917" s="4"/>
      <c r="Q917" s="4"/>
      <c r="R917" s="4"/>
    </row>
    <row r="918">
      <c r="A918" s="5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4"/>
      <c r="O918" s="4"/>
      <c r="P918" s="4"/>
      <c r="Q918" s="4"/>
      <c r="R918" s="4"/>
    </row>
    <row r="919">
      <c r="A919" s="5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4"/>
      <c r="O919" s="4"/>
      <c r="P919" s="4"/>
      <c r="Q919" s="4"/>
      <c r="R919" s="4"/>
    </row>
    <row r="920">
      <c r="A920" s="5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4"/>
      <c r="O920" s="4"/>
      <c r="P920" s="4"/>
      <c r="Q920" s="4"/>
      <c r="R920" s="4"/>
    </row>
    <row r="921">
      <c r="A921" s="5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4"/>
      <c r="O921" s="4"/>
      <c r="P921" s="4"/>
      <c r="Q921" s="4"/>
      <c r="R921" s="4"/>
    </row>
    <row r="922">
      <c r="A922" s="5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4"/>
      <c r="O922" s="4"/>
      <c r="P922" s="4"/>
      <c r="Q922" s="4"/>
      <c r="R922" s="4"/>
    </row>
    <row r="923">
      <c r="A923" s="5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4"/>
      <c r="O923" s="4"/>
      <c r="P923" s="4"/>
      <c r="Q923" s="4"/>
      <c r="R923" s="4"/>
    </row>
    <row r="924">
      <c r="A924" s="5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4"/>
      <c r="O924" s="4"/>
      <c r="P924" s="4"/>
      <c r="Q924" s="4"/>
      <c r="R924" s="4"/>
    </row>
    <row r="925">
      <c r="A925" s="5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4"/>
      <c r="O925" s="4"/>
      <c r="P925" s="4"/>
      <c r="Q925" s="4"/>
      <c r="R925" s="4"/>
    </row>
    <row r="926">
      <c r="A926" s="5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4"/>
      <c r="O926" s="4"/>
      <c r="P926" s="4"/>
      <c r="Q926" s="4"/>
      <c r="R926" s="4"/>
    </row>
    <row r="927">
      <c r="A927" s="5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4"/>
      <c r="O927" s="4"/>
      <c r="P927" s="4"/>
      <c r="Q927" s="4"/>
      <c r="R927" s="4"/>
    </row>
    <row r="928">
      <c r="A928" s="5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4"/>
      <c r="O928" s="4"/>
      <c r="P928" s="4"/>
      <c r="Q928" s="4"/>
      <c r="R928" s="4"/>
    </row>
    <row r="929">
      <c r="A929" s="5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4"/>
      <c r="O929" s="4"/>
      <c r="P929" s="4"/>
      <c r="Q929" s="4"/>
      <c r="R929" s="4"/>
    </row>
    <row r="930">
      <c r="A930" s="5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4"/>
      <c r="O930" s="4"/>
      <c r="P930" s="4"/>
      <c r="Q930" s="4"/>
      <c r="R930" s="4"/>
    </row>
    <row r="931">
      <c r="A931" s="5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4"/>
      <c r="O931" s="4"/>
      <c r="P931" s="4"/>
      <c r="Q931" s="4"/>
      <c r="R931" s="4"/>
    </row>
    <row r="932">
      <c r="A932" s="5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4"/>
      <c r="O932" s="4"/>
      <c r="P932" s="4"/>
      <c r="Q932" s="4"/>
      <c r="R932" s="4"/>
    </row>
    <row r="933">
      <c r="A933" s="5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4"/>
      <c r="O933" s="4"/>
      <c r="P933" s="4"/>
      <c r="Q933" s="4"/>
      <c r="R933" s="4"/>
    </row>
    <row r="934">
      <c r="A934" s="5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4"/>
      <c r="O934" s="4"/>
      <c r="P934" s="4"/>
      <c r="Q934" s="4"/>
      <c r="R934" s="4"/>
    </row>
    <row r="935">
      <c r="A935" s="5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4"/>
      <c r="O935" s="4"/>
      <c r="P935" s="4"/>
      <c r="Q935" s="4"/>
      <c r="R935" s="4"/>
    </row>
    <row r="936">
      <c r="A936" s="5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4"/>
      <c r="O936" s="4"/>
      <c r="P936" s="4"/>
      <c r="Q936" s="4"/>
      <c r="R936" s="4"/>
    </row>
    <row r="937">
      <c r="A937" s="5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4"/>
      <c r="O937" s="4"/>
      <c r="P937" s="4"/>
      <c r="Q937" s="4"/>
      <c r="R937" s="4"/>
    </row>
    <row r="938">
      <c r="A938" s="5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4"/>
      <c r="O938" s="4"/>
      <c r="P938" s="4"/>
      <c r="Q938" s="4"/>
      <c r="R938" s="4"/>
    </row>
    <row r="939">
      <c r="A939" s="5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4"/>
      <c r="O939" s="4"/>
      <c r="P939" s="4"/>
      <c r="Q939" s="4"/>
      <c r="R939" s="4"/>
    </row>
    <row r="940">
      <c r="A940" s="5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4"/>
      <c r="O940" s="4"/>
      <c r="P940" s="4"/>
      <c r="Q940" s="4"/>
      <c r="R940" s="4"/>
    </row>
    <row r="941">
      <c r="A941" s="5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4"/>
      <c r="O941" s="4"/>
      <c r="P941" s="4"/>
      <c r="Q941" s="4"/>
      <c r="R941" s="4"/>
    </row>
    <row r="942">
      <c r="A942" s="5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4"/>
      <c r="O942" s="4"/>
      <c r="P942" s="4"/>
      <c r="Q942" s="4"/>
      <c r="R942" s="4"/>
    </row>
    <row r="943">
      <c r="A943" s="5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4"/>
      <c r="O943" s="4"/>
      <c r="P943" s="4"/>
      <c r="Q943" s="4"/>
      <c r="R943" s="4"/>
    </row>
    <row r="944">
      <c r="A944" s="5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4"/>
      <c r="O944" s="4"/>
      <c r="P944" s="4"/>
      <c r="Q944" s="4"/>
      <c r="R944" s="4"/>
    </row>
    <row r="945">
      <c r="A945" s="5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4"/>
      <c r="O945" s="4"/>
      <c r="P945" s="4"/>
      <c r="Q945" s="4"/>
      <c r="R945" s="4"/>
    </row>
    <row r="946">
      <c r="A946" s="5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4"/>
      <c r="O946" s="4"/>
      <c r="P946" s="4"/>
      <c r="Q946" s="4"/>
      <c r="R946" s="4"/>
    </row>
    <row r="947">
      <c r="A947" s="5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4"/>
      <c r="O947" s="4"/>
      <c r="P947" s="4"/>
      <c r="Q947" s="4"/>
      <c r="R947" s="4"/>
    </row>
    <row r="948">
      <c r="A948" s="5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4"/>
      <c r="O948" s="4"/>
      <c r="P948" s="4"/>
      <c r="Q948" s="4"/>
      <c r="R948" s="4"/>
    </row>
    <row r="949">
      <c r="A949" s="5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4"/>
      <c r="O949" s="4"/>
      <c r="P949" s="4"/>
      <c r="Q949" s="4"/>
      <c r="R949" s="4"/>
    </row>
    <row r="950">
      <c r="A950" s="5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4"/>
      <c r="O950" s="4"/>
      <c r="P950" s="4"/>
      <c r="Q950" s="4"/>
      <c r="R950" s="4"/>
    </row>
    <row r="951">
      <c r="A951" s="5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4"/>
      <c r="O951" s="4"/>
      <c r="P951" s="4"/>
      <c r="Q951" s="4"/>
      <c r="R951" s="4"/>
    </row>
    <row r="952">
      <c r="A952" s="5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4"/>
      <c r="O952" s="4"/>
      <c r="P952" s="4"/>
      <c r="Q952" s="4"/>
      <c r="R952" s="4"/>
    </row>
    <row r="953">
      <c r="A953" s="5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4"/>
      <c r="O953" s="4"/>
      <c r="P953" s="4"/>
      <c r="Q953" s="4"/>
      <c r="R953" s="4"/>
    </row>
    <row r="954">
      <c r="A954" s="5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4"/>
      <c r="O954" s="4"/>
      <c r="P954" s="4"/>
      <c r="Q954" s="4"/>
      <c r="R954" s="4"/>
    </row>
    <row r="955">
      <c r="A955" s="5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4"/>
      <c r="O955" s="4"/>
      <c r="P955" s="4"/>
      <c r="Q955" s="4"/>
      <c r="R955" s="4"/>
    </row>
    <row r="956">
      <c r="A956" s="5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4"/>
      <c r="O956" s="4"/>
      <c r="P956" s="4"/>
      <c r="Q956" s="4"/>
      <c r="R956" s="4"/>
    </row>
    <row r="957">
      <c r="A957" s="5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4"/>
      <c r="O957" s="4"/>
      <c r="P957" s="4"/>
      <c r="Q957" s="4"/>
      <c r="R957" s="4"/>
    </row>
    <row r="958">
      <c r="A958" s="5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4"/>
      <c r="O958" s="4"/>
      <c r="P958" s="4"/>
      <c r="Q958" s="4"/>
      <c r="R958" s="4"/>
    </row>
    <row r="959">
      <c r="A959" s="5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4"/>
      <c r="O959" s="4"/>
      <c r="P959" s="4"/>
      <c r="Q959" s="4"/>
      <c r="R959" s="4"/>
    </row>
    <row r="960">
      <c r="A960" s="5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4"/>
      <c r="O960" s="4"/>
      <c r="P960" s="4"/>
      <c r="Q960" s="4"/>
      <c r="R960" s="4"/>
    </row>
    <row r="961">
      <c r="A961" s="5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4"/>
      <c r="O961" s="4"/>
      <c r="P961" s="4"/>
      <c r="Q961" s="4"/>
      <c r="R961" s="4"/>
    </row>
    <row r="962">
      <c r="A962" s="5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4"/>
      <c r="O962" s="4"/>
      <c r="P962" s="4"/>
      <c r="Q962" s="4"/>
      <c r="R962" s="4"/>
    </row>
    <row r="963">
      <c r="A963" s="5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4"/>
      <c r="O963" s="4"/>
      <c r="P963" s="4"/>
      <c r="Q963" s="4"/>
      <c r="R963" s="4"/>
    </row>
    <row r="964">
      <c r="A964" s="5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4"/>
      <c r="O964" s="4"/>
      <c r="P964" s="4"/>
      <c r="Q964" s="4"/>
      <c r="R964" s="4"/>
    </row>
    <row r="965">
      <c r="A965" s="5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4"/>
      <c r="O965" s="4"/>
      <c r="P965" s="4"/>
      <c r="Q965" s="4"/>
      <c r="R965" s="4"/>
    </row>
    <row r="966">
      <c r="A966" s="1"/>
      <c r="B966" s="8"/>
      <c r="C966" s="2"/>
      <c r="D966" s="2"/>
      <c r="E966" s="2"/>
      <c r="F966" s="2"/>
      <c r="G966" s="7"/>
      <c r="H966" s="7"/>
      <c r="I966" s="7"/>
      <c r="J966" s="7"/>
      <c r="K966" s="7"/>
      <c r="L966" s="7"/>
      <c r="M966" s="7"/>
      <c r="N966" s="4"/>
      <c r="O966" s="4"/>
      <c r="P966" s="4"/>
      <c r="Q966" s="4"/>
      <c r="R966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8.63"/>
    <col customWidth="1" min="6" max="6" width="13.5"/>
    <col customWidth="1" min="7" max="7" width="12.88"/>
    <col customWidth="1" min="8" max="8" width="18.25"/>
    <col customWidth="1" min="10" max="13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</row>
    <row r="2">
      <c r="A2" s="1">
        <v>44866.55888888889</v>
      </c>
      <c r="B2" s="2" t="s">
        <v>159</v>
      </c>
      <c r="C2" s="2" t="s">
        <v>160</v>
      </c>
      <c r="D2" s="2"/>
      <c r="E2" s="2" t="s">
        <v>161</v>
      </c>
      <c r="F2" s="8"/>
      <c r="G2" s="2"/>
      <c r="H2" s="2"/>
      <c r="I2" s="8"/>
      <c r="J2" s="2" t="s">
        <v>162</v>
      </c>
      <c r="K2" s="2" t="s">
        <v>163</v>
      </c>
      <c r="L2" s="2" t="s">
        <v>164</v>
      </c>
      <c r="M2" s="2" t="s">
        <v>165</v>
      </c>
      <c r="N2" s="4"/>
      <c r="O2" s="4"/>
      <c r="P2" s="4"/>
      <c r="Q2" s="4"/>
      <c r="R2" s="4"/>
    </row>
    <row r="3">
      <c r="A3" s="1">
        <v>44866.5606712963</v>
      </c>
      <c r="B3" s="2" t="s">
        <v>159</v>
      </c>
      <c r="C3" s="2" t="s">
        <v>160</v>
      </c>
      <c r="D3" s="2"/>
      <c r="E3" s="2" t="s">
        <v>161</v>
      </c>
      <c r="F3" s="8"/>
      <c r="G3" s="2"/>
      <c r="H3" s="2"/>
      <c r="I3" s="8"/>
      <c r="J3" s="2" t="s">
        <v>166</v>
      </c>
      <c r="K3" s="2" t="s">
        <v>167</v>
      </c>
      <c r="L3" s="2" t="s">
        <v>168</v>
      </c>
      <c r="M3" s="2" t="s">
        <v>169</v>
      </c>
      <c r="N3" s="4"/>
      <c r="O3" s="4"/>
      <c r="P3" s="4"/>
      <c r="Q3" s="4"/>
      <c r="R3" s="4"/>
    </row>
    <row r="4">
      <c r="A4" s="1">
        <v>44866.56079861111</v>
      </c>
      <c r="B4" s="2" t="s">
        <v>159</v>
      </c>
      <c r="C4" s="2" t="s">
        <v>170</v>
      </c>
      <c r="D4" s="2"/>
      <c r="E4" s="2" t="s">
        <v>161</v>
      </c>
      <c r="F4" s="8"/>
      <c r="G4" s="2"/>
      <c r="H4" s="2"/>
      <c r="I4" s="8"/>
      <c r="J4" s="2" t="s">
        <v>171</v>
      </c>
      <c r="K4" s="2" t="s">
        <v>172</v>
      </c>
      <c r="L4" s="2" t="s">
        <v>173</v>
      </c>
      <c r="M4" s="2" t="s">
        <v>174</v>
      </c>
      <c r="N4" s="4"/>
      <c r="O4" s="4"/>
      <c r="P4" s="4"/>
      <c r="Q4" s="4"/>
      <c r="R4" s="4"/>
    </row>
    <row r="5">
      <c r="A5" s="1">
        <v>44866.59480324074</v>
      </c>
      <c r="B5" s="2" t="s">
        <v>175</v>
      </c>
      <c r="C5" s="2" t="s">
        <v>176</v>
      </c>
      <c r="D5" s="2"/>
      <c r="E5" s="2" t="s">
        <v>161</v>
      </c>
      <c r="F5" s="8"/>
      <c r="G5" s="2"/>
      <c r="H5" s="2"/>
      <c r="I5" s="8"/>
      <c r="J5" s="2" t="s">
        <v>177</v>
      </c>
      <c r="K5" s="2" t="s">
        <v>178</v>
      </c>
      <c r="L5" s="2" t="s">
        <v>179</v>
      </c>
      <c r="M5" s="2" t="s">
        <v>180</v>
      </c>
      <c r="N5" s="4"/>
      <c r="O5" s="4"/>
      <c r="P5" s="4"/>
      <c r="Q5" s="4"/>
      <c r="R5" s="4"/>
    </row>
    <row r="6">
      <c r="A6" s="1">
        <v>44866.62851851852</v>
      </c>
      <c r="B6" s="2" t="s">
        <v>159</v>
      </c>
      <c r="C6" s="2" t="s">
        <v>181</v>
      </c>
      <c r="D6" s="2"/>
      <c r="E6" s="2" t="s">
        <v>161</v>
      </c>
      <c r="F6" s="8"/>
      <c r="G6" s="2"/>
      <c r="H6" s="2"/>
      <c r="I6" s="8"/>
      <c r="J6" s="2" t="s">
        <v>182</v>
      </c>
      <c r="K6" s="2" t="s">
        <v>183</v>
      </c>
      <c r="L6" s="2" t="s">
        <v>184</v>
      </c>
      <c r="M6" s="2" t="s">
        <v>185</v>
      </c>
      <c r="N6" s="4"/>
      <c r="O6" s="4"/>
      <c r="P6" s="4"/>
      <c r="Q6" s="4"/>
      <c r="R6" s="4"/>
    </row>
    <row r="7">
      <c r="A7" s="1">
        <v>44873.59511574074</v>
      </c>
      <c r="B7" s="2" t="s">
        <v>186</v>
      </c>
      <c r="C7" s="2" t="s">
        <v>187</v>
      </c>
      <c r="D7" s="2"/>
      <c r="E7" s="2" t="s">
        <v>161</v>
      </c>
      <c r="F7" s="2"/>
      <c r="G7" s="2"/>
      <c r="H7" s="2"/>
      <c r="I7" s="2" t="s">
        <v>188</v>
      </c>
      <c r="J7" s="2" t="s">
        <v>189</v>
      </c>
      <c r="K7" s="2" t="s">
        <v>190</v>
      </c>
      <c r="L7" s="2" t="s">
        <v>191</v>
      </c>
      <c r="M7" s="2" t="s">
        <v>192</v>
      </c>
      <c r="N7" s="4"/>
      <c r="O7" s="4"/>
      <c r="P7" s="4"/>
      <c r="Q7" s="4"/>
      <c r="R7" s="4"/>
    </row>
    <row r="8">
      <c r="A8" s="1">
        <v>44932.38711805556</v>
      </c>
      <c r="B8" s="8"/>
      <c r="C8" s="2" t="s">
        <v>193</v>
      </c>
      <c r="D8" s="2"/>
      <c r="E8" s="2" t="s">
        <v>15</v>
      </c>
      <c r="F8" s="4"/>
      <c r="G8" s="2"/>
      <c r="H8" s="2" t="s">
        <v>194</v>
      </c>
      <c r="I8" s="4"/>
      <c r="J8" s="2" t="s">
        <v>195</v>
      </c>
      <c r="K8" s="2" t="s">
        <v>196</v>
      </c>
      <c r="L8" s="2" t="s">
        <v>197</v>
      </c>
      <c r="M8" s="2" t="s">
        <v>198</v>
      </c>
      <c r="N8" s="3"/>
      <c r="O8" s="4"/>
      <c r="P8" s="4"/>
      <c r="Q8" s="4"/>
      <c r="R8" s="4"/>
    </row>
    <row r="9">
      <c r="A9" s="1">
        <v>44986.49099537037</v>
      </c>
      <c r="B9" s="8"/>
      <c r="C9" s="2" t="s">
        <v>199</v>
      </c>
      <c r="D9" s="2"/>
      <c r="E9" s="2" t="s">
        <v>15</v>
      </c>
      <c r="F9" s="4"/>
      <c r="G9" s="2"/>
      <c r="H9" s="2" t="s">
        <v>200</v>
      </c>
      <c r="I9" s="3" t="s">
        <v>201</v>
      </c>
      <c r="J9" s="7" t="s">
        <v>202</v>
      </c>
      <c r="K9" s="7" t="s">
        <v>203</v>
      </c>
      <c r="L9" s="7" t="s">
        <v>204</v>
      </c>
      <c r="M9" s="7" t="s">
        <v>205</v>
      </c>
      <c r="N9" s="4"/>
      <c r="O9" s="4"/>
      <c r="P9" s="4"/>
      <c r="Q9" s="4"/>
      <c r="R9" s="4"/>
    </row>
    <row r="10">
      <c r="A10" s="1">
        <v>44986.49133101852</v>
      </c>
      <c r="B10" s="8"/>
      <c r="C10" s="2" t="s">
        <v>199</v>
      </c>
      <c r="D10" s="2"/>
      <c r="E10" s="2" t="s">
        <v>24</v>
      </c>
      <c r="F10" s="4"/>
      <c r="G10" s="2"/>
      <c r="H10" s="2" t="s">
        <v>206</v>
      </c>
      <c r="I10" s="3" t="s">
        <v>207</v>
      </c>
      <c r="J10" s="7" t="s">
        <v>208</v>
      </c>
      <c r="K10" s="7" t="s">
        <v>209</v>
      </c>
      <c r="L10" s="7" t="s">
        <v>210</v>
      </c>
      <c r="M10" s="7" t="s">
        <v>211</v>
      </c>
      <c r="N10" s="4"/>
      <c r="O10" s="4"/>
      <c r="P10" s="4"/>
      <c r="Q10" s="4"/>
      <c r="R10" s="4"/>
    </row>
    <row r="11">
      <c r="A11" s="1">
        <v>44986.49136574074</v>
      </c>
      <c r="B11" s="8"/>
      <c r="C11" s="2" t="s">
        <v>199</v>
      </c>
      <c r="D11" s="2"/>
      <c r="E11" s="2" t="s">
        <v>71</v>
      </c>
      <c r="F11" s="4"/>
      <c r="G11" s="2"/>
      <c r="H11" s="2" t="s">
        <v>212</v>
      </c>
      <c r="I11" s="3" t="s">
        <v>213</v>
      </c>
      <c r="J11" s="7" t="s">
        <v>214</v>
      </c>
      <c r="K11" s="7" t="s">
        <v>215</v>
      </c>
      <c r="L11" s="7" t="s">
        <v>216</v>
      </c>
      <c r="M11" s="7" t="s">
        <v>217</v>
      </c>
      <c r="N11" s="4"/>
      <c r="O11" s="4"/>
      <c r="P11" s="4"/>
      <c r="Q11" s="4"/>
      <c r="R11" s="4"/>
    </row>
    <row r="12">
      <c r="A12" s="1">
        <v>44986.49140046296</v>
      </c>
      <c r="B12" s="8"/>
      <c r="C12" s="2" t="s">
        <v>199</v>
      </c>
      <c r="D12" s="2"/>
      <c r="E12" s="2" t="s">
        <v>218</v>
      </c>
      <c r="F12" s="4"/>
      <c r="G12" s="2"/>
      <c r="H12" s="2" t="s">
        <v>219</v>
      </c>
      <c r="I12" s="3" t="s">
        <v>220</v>
      </c>
      <c r="J12" s="7" t="s">
        <v>221</v>
      </c>
      <c r="K12" s="7" t="s">
        <v>222</v>
      </c>
      <c r="L12" s="7" t="s">
        <v>223</v>
      </c>
      <c r="M12" s="7" t="s">
        <v>224</v>
      </c>
      <c r="N12" s="4"/>
      <c r="O12" s="4"/>
      <c r="P12" s="4"/>
      <c r="Q12" s="4"/>
      <c r="R12" s="4"/>
    </row>
    <row r="13">
      <c r="A13" s="1">
        <v>44986.491435185184</v>
      </c>
      <c r="B13" s="8"/>
      <c r="C13" s="2" t="s">
        <v>199</v>
      </c>
      <c r="D13" s="2"/>
      <c r="E13" s="2" t="s">
        <v>225</v>
      </c>
      <c r="F13" s="4"/>
      <c r="G13" s="2"/>
      <c r="H13" s="2" t="s">
        <v>226</v>
      </c>
      <c r="I13" s="3" t="s">
        <v>227</v>
      </c>
      <c r="J13" s="7" t="s">
        <v>228</v>
      </c>
      <c r="K13" s="7" t="s">
        <v>229</v>
      </c>
      <c r="L13" s="7" t="s">
        <v>230</v>
      </c>
      <c r="M13" s="7" t="s">
        <v>231</v>
      </c>
      <c r="N13" s="4"/>
      <c r="O13" s="4"/>
      <c r="P13" s="4"/>
      <c r="Q13" s="4"/>
      <c r="R13" s="4"/>
    </row>
    <row r="14">
      <c r="A14" s="1">
        <v>44986.49208333333</v>
      </c>
      <c r="B14" s="8"/>
      <c r="C14" s="2" t="s">
        <v>199</v>
      </c>
      <c r="D14" s="2"/>
      <c r="E14" s="2" t="s">
        <v>225</v>
      </c>
      <c r="F14" s="2"/>
      <c r="G14" s="7"/>
      <c r="H14" s="7" t="s">
        <v>232</v>
      </c>
      <c r="I14" s="2" t="s">
        <v>227</v>
      </c>
      <c r="J14" s="7" t="s">
        <v>228</v>
      </c>
      <c r="K14" s="7" t="s">
        <v>229</v>
      </c>
      <c r="L14" s="7" t="s">
        <v>230</v>
      </c>
      <c r="M14" s="7" t="s">
        <v>231</v>
      </c>
      <c r="N14" s="4"/>
      <c r="O14" s="4"/>
      <c r="P14" s="4"/>
      <c r="Q14" s="4"/>
      <c r="R14" s="4"/>
    </row>
    <row r="15">
      <c r="A15" s="1">
        <v>44986.5096875</v>
      </c>
      <c r="B15" s="8"/>
      <c r="C15" s="2" t="s">
        <v>233</v>
      </c>
      <c r="D15" s="2"/>
      <c r="E15" s="2" t="s">
        <v>15</v>
      </c>
      <c r="F15" s="2"/>
      <c r="G15" s="9"/>
      <c r="H15" s="9" t="s">
        <v>234</v>
      </c>
      <c r="I15" s="2" t="s">
        <v>46</v>
      </c>
      <c r="J15" s="7" t="s">
        <v>235</v>
      </c>
      <c r="K15" s="7" t="s">
        <v>236</v>
      </c>
      <c r="L15" s="7" t="s">
        <v>237</v>
      </c>
      <c r="M15" s="7" t="s">
        <v>238</v>
      </c>
      <c r="N15" s="4"/>
      <c r="O15" s="4"/>
      <c r="P15" s="4"/>
      <c r="Q15" s="4"/>
      <c r="R15" s="4"/>
    </row>
    <row r="16">
      <c r="A16" s="1">
        <v>44986.509722222225</v>
      </c>
      <c r="B16" s="8"/>
      <c r="C16" s="2" t="s">
        <v>233</v>
      </c>
      <c r="D16" s="2"/>
      <c r="E16" s="2" t="s">
        <v>24</v>
      </c>
      <c r="F16" s="2"/>
      <c r="G16" s="9"/>
      <c r="H16" s="9" t="s">
        <v>239</v>
      </c>
      <c r="I16" s="2" t="s">
        <v>240</v>
      </c>
      <c r="J16" s="7" t="s">
        <v>241</v>
      </c>
      <c r="K16" s="7" t="s">
        <v>242</v>
      </c>
      <c r="L16" s="7" t="s">
        <v>243</v>
      </c>
      <c r="M16" s="7" t="s">
        <v>244</v>
      </c>
      <c r="N16" s="4"/>
      <c r="O16" s="4"/>
      <c r="P16" s="4"/>
      <c r="Q16" s="4"/>
      <c r="R16" s="4"/>
    </row>
    <row r="17">
      <c r="A17" s="1">
        <v>44988.94583333333</v>
      </c>
      <c r="B17" s="8"/>
      <c r="C17" s="2" t="s">
        <v>245</v>
      </c>
      <c r="D17" s="2"/>
      <c r="E17" s="2" t="s">
        <v>24</v>
      </c>
      <c r="F17" s="2" t="s">
        <v>246</v>
      </c>
      <c r="G17" s="10"/>
      <c r="H17" s="10" t="s">
        <v>247</v>
      </c>
      <c r="I17" s="2" t="s">
        <v>248</v>
      </c>
      <c r="J17" s="10" t="s">
        <v>249</v>
      </c>
      <c r="K17" s="10" t="s">
        <v>250</v>
      </c>
      <c r="L17" s="10" t="s">
        <v>251</v>
      </c>
      <c r="M17" s="11" t="s">
        <v>252</v>
      </c>
      <c r="N17" s="4"/>
      <c r="O17" s="4"/>
      <c r="P17" s="4"/>
      <c r="Q17" s="4"/>
      <c r="R17" s="4"/>
    </row>
    <row r="18">
      <c r="A18" s="1">
        <v>44989.04464208333</v>
      </c>
      <c r="B18" s="8"/>
      <c r="C18" s="2" t="s">
        <v>245</v>
      </c>
      <c r="D18" s="2"/>
      <c r="E18" s="2" t="s">
        <v>71</v>
      </c>
      <c r="F18" s="2" t="s">
        <v>253</v>
      </c>
      <c r="G18" s="7"/>
      <c r="H18" s="7" t="s">
        <v>254</v>
      </c>
      <c r="I18" s="2" t="s">
        <v>255</v>
      </c>
      <c r="J18" s="7" t="s">
        <v>256</v>
      </c>
      <c r="K18" s="7" t="s">
        <v>257</v>
      </c>
      <c r="L18" s="7" t="s">
        <v>258</v>
      </c>
      <c r="M18" s="7" t="s">
        <v>259</v>
      </c>
      <c r="N18" s="4"/>
      <c r="O18" s="4"/>
      <c r="P18" s="4"/>
      <c r="Q18" s="4"/>
      <c r="R18" s="4"/>
    </row>
    <row r="19">
      <c r="A19" s="12">
        <v>44989.61688393519</v>
      </c>
      <c r="B19" s="8"/>
      <c r="C19" s="2" t="s">
        <v>260</v>
      </c>
      <c r="D19" s="2"/>
      <c r="E19" s="2" t="s">
        <v>15</v>
      </c>
      <c r="F19" s="2" t="s">
        <v>261</v>
      </c>
      <c r="G19" s="7"/>
      <c r="H19" s="7" t="s">
        <v>262</v>
      </c>
      <c r="I19" s="2" t="s">
        <v>263</v>
      </c>
      <c r="J19" s="7" t="s">
        <v>264</v>
      </c>
      <c r="K19" s="7" t="s">
        <v>265</v>
      </c>
      <c r="L19" s="7" t="s">
        <v>266</v>
      </c>
      <c r="M19" s="7" t="s">
        <v>267</v>
      </c>
      <c r="N19" s="4"/>
      <c r="O19" s="4"/>
      <c r="P19" s="4"/>
      <c r="Q19" s="4"/>
      <c r="R19" s="4"/>
    </row>
    <row r="20">
      <c r="A20" s="12">
        <v>44989.617653587964</v>
      </c>
      <c r="B20" s="8"/>
      <c r="C20" s="2" t="s">
        <v>260</v>
      </c>
      <c r="D20" s="2"/>
      <c r="E20" s="2" t="s">
        <v>24</v>
      </c>
      <c r="F20" s="2" t="s">
        <v>268</v>
      </c>
      <c r="G20" s="7"/>
      <c r="H20" s="7" t="s">
        <v>269</v>
      </c>
      <c r="I20" s="2" t="s">
        <v>270</v>
      </c>
      <c r="J20" s="7" t="s">
        <v>271</v>
      </c>
      <c r="K20" s="7" t="s">
        <v>272</v>
      </c>
      <c r="L20" s="7" t="s">
        <v>273</v>
      </c>
      <c r="M20" s="7" t="s">
        <v>274</v>
      </c>
      <c r="N20" s="4"/>
      <c r="O20" s="4"/>
      <c r="P20" s="4"/>
      <c r="Q20" s="4"/>
      <c r="R20" s="4"/>
    </row>
    <row r="21">
      <c r="A21" s="12">
        <v>44998.87267560185</v>
      </c>
      <c r="B21" s="2" t="s">
        <v>275</v>
      </c>
      <c r="C21" s="2" t="s">
        <v>276</v>
      </c>
      <c r="D21" s="2"/>
      <c r="E21" s="2" t="s">
        <v>15</v>
      </c>
      <c r="F21" s="2" t="s">
        <v>277</v>
      </c>
      <c r="G21" s="7"/>
      <c r="H21" s="7" t="s">
        <v>278</v>
      </c>
      <c r="I21" s="2" t="s">
        <v>279</v>
      </c>
      <c r="J21" s="7" t="s">
        <v>280</v>
      </c>
      <c r="K21" s="7" t="s">
        <v>281</v>
      </c>
      <c r="L21" s="7" t="s">
        <v>282</v>
      </c>
      <c r="M21" s="7" t="s">
        <v>283</v>
      </c>
      <c r="N21" s="4"/>
      <c r="O21" s="4"/>
      <c r="P21" s="4"/>
      <c r="Q21" s="4"/>
      <c r="R21" s="4"/>
    </row>
    <row r="22">
      <c r="A22" s="1">
        <v>45017.505432094906</v>
      </c>
      <c r="B22" s="8"/>
      <c r="C22" s="2" t="s">
        <v>284</v>
      </c>
      <c r="D22" s="2"/>
      <c r="E22" s="2" t="s">
        <v>15</v>
      </c>
      <c r="F22" s="2" t="s">
        <v>285</v>
      </c>
      <c r="G22" s="7" t="s">
        <v>286</v>
      </c>
      <c r="H22" s="7" t="s">
        <v>287</v>
      </c>
      <c r="I22" s="2" t="s">
        <v>288</v>
      </c>
      <c r="J22" s="7" t="s">
        <v>289</v>
      </c>
      <c r="K22" s="7" t="s">
        <v>290</v>
      </c>
      <c r="L22" s="7" t="s">
        <v>291</v>
      </c>
      <c r="M22" s="7" t="s">
        <v>292</v>
      </c>
      <c r="N22" s="4"/>
      <c r="O22" s="4"/>
      <c r="P22" s="4"/>
      <c r="Q22" s="4"/>
      <c r="R22" s="4"/>
    </row>
    <row r="23">
      <c r="A23" s="12">
        <v>45017.50635236111</v>
      </c>
      <c r="B23" s="8"/>
      <c r="C23" s="2" t="s">
        <v>284</v>
      </c>
      <c r="D23" s="2"/>
      <c r="E23" s="2" t="s">
        <v>15</v>
      </c>
      <c r="F23" s="2" t="s">
        <v>293</v>
      </c>
      <c r="G23" s="7" t="s">
        <v>294</v>
      </c>
      <c r="H23" s="7" t="s">
        <v>295</v>
      </c>
      <c r="I23" s="2" t="s">
        <v>296</v>
      </c>
      <c r="J23" s="7" t="s">
        <v>297</v>
      </c>
      <c r="K23" s="7" t="s">
        <v>298</v>
      </c>
      <c r="L23" s="7" t="s">
        <v>299</v>
      </c>
      <c r="M23" s="7" t="s">
        <v>300</v>
      </c>
      <c r="N23" s="4"/>
      <c r="O23" s="4"/>
      <c r="P23" s="4"/>
      <c r="Q23" s="4"/>
      <c r="R23" s="4"/>
    </row>
    <row r="24">
      <c r="A24" s="1">
        <v>45017.52918420139</v>
      </c>
      <c r="B24" s="8"/>
      <c r="C24" s="2" t="s">
        <v>301</v>
      </c>
      <c r="D24" s="2"/>
      <c r="E24" s="2" t="s">
        <v>15</v>
      </c>
      <c r="F24" s="2" t="s">
        <v>302</v>
      </c>
      <c r="G24" s="7" t="s">
        <v>303</v>
      </c>
      <c r="H24" s="7" t="s">
        <v>304</v>
      </c>
      <c r="I24" s="2" t="s">
        <v>28</v>
      </c>
      <c r="J24" s="7" t="s">
        <v>305</v>
      </c>
      <c r="K24" s="7" t="s">
        <v>306</v>
      </c>
      <c r="L24" s="7" t="s">
        <v>307</v>
      </c>
      <c r="M24" s="7" t="s">
        <v>308</v>
      </c>
      <c r="N24" s="4"/>
      <c r="P24" s="4"/>
      <c r="Q24" s="4"/>
      <c r="R24" s="4"/>
    </row>
    <row r="25">
      <c r="A25" s="1">
        <v>45017.57333033565</v>
      </c>
      <c r="B25" s="8"/>
      <c r="C25" s="2" t="s">
        <v>309</v>
      </c>
      <c r="D25" s="2"/>
      <c r="E25" s="2" t="s">
        <v>15</v>
      </c>
      <c r="F25" s="2" t="s">
        <v>310</v>
      </c>
      <c r="G25" s="7" t="s">
        <v>311</v>
      </c>
      <c r="H25" s="7" t="s">
        <v>312</v>
      </c>
      <c r="I25" s="2" t="s">
        <v>313</v>
      </c>
      <c r="J25" s="7" t="s">
        <v>314</v>
      </c>
      <c r="K25" s="7" t="s">
        <v>315</v>
      </c>
      <c r="L25" s="7" t="s">
        <v>316</v>
      </c>
      <c r="M25" s="7" t="s">
        <v>317</v>
      </c>
      <c r="N25" s="4"/>
      <c r="O25" s="4"/>
      <c r="P25" s="4"/>
      <c r="Q25" s="4"/>
      <c r="R25" s="4"/>
    </row>
    <row r="26">
      <c r="A26" s="1">
        <v>45017.57346327546</v>
      </c>
      <c r="B26" s="8"/>
      <c r="C26" s="2" t="s">
        <v>309</v>
      </c>
      <c r="D26" s="2"/>
      <c r="E26" s="2" t="s">
        <v>24</v>
      </c>
      <c r="F26" s="2" t="s">
        <v>318</v>
      </c>
      <c r="G26" s="7" t="s">
        <v>319</v>
      </c>
      <c r="H26" s="7" t="s">
        <v>320</v>
      </c>
      <c r="I26" s="2" t="s">
        <v>321</v>
      </c>
      <c r="J26" s="7" t="s">
        <v>322</v>
      </c>
      <c r="K26" s="7" t="s">
        <v>323</v>
      </c>
      <c r="L26" s="7" t="s">
        <v>324</v>
      </c>
      <c r="M26" s="7" t="s">
        <v>325</v>
      </c>
      <c r="N26" s="4"/>
      <c r="O26" s="4"/>
      <c r="P26" s="4"/>
      <c r="Q26" s="4"/>
      <c r="R26" s="4"/>
    </row>
    <row r="27">
      <c r="A27" s="1">
        <v>45017.57378476852</v>
      </c>
      <c r="B27" s="8"/>
      <c r="C27" s="2" t="s">
        <v>309</v>
      </c>
      <c r="D27" s="2"/>
      <c r="E27" s="2" t="s">
        <v>71</v>
      </c>
      <c r="F27" s="2" t="s">
        <v>326</v>
      </c>
      <c r="G27" s="7" t="s">
        <v>327</v>
      </c>
      <c r="H27" s="7" t="s">
        <v>328</v>
      </c>
      <c r="I27" s="2" t="s">
        <v>329</v>
      </c>
      <c r="J27" s="7" t="s">
        <v>330</v>
      </c>
      <c r="K27" s="7" t="s">
        <v>331</v>
      </c>
      <c r="L27" s="7" t="s">
        <v>332</v>
      </c>
      <c r="M27" s="7" t="s">
        <v>333</v>
      </c>
      <c r="N27" s="4"/>
      <c r="O27" s="4"/>
      <c r="P27" s="4"/>
      <c r="Q27" s="4"/>
      <c r="R27" s="4"/>
    </row>
    <row r="28">
      <c r="A28" s="1">
        <v>45017.57581678241</v>
      </c>
      <c r="B28" s="8"/>
      <c r="C28" s="2" t="s">
        <v>309</v>
      </c>
      <c r="D28" s="2"/>
      <c r="E28" s="2" t="s">
        <v>15</v>
      </c>
      <c r="F28" s="2" t="s">
        <v>334</v>
      </c>
      <c r="G28" s="7" t="s">
        <v>335</v>
      </c>
      <c r="H28" s="7" t="s">
        <v>336</v>
      </c>
      <c r="I28" s="2" t="s">
        <v>337</v>
      </c>
      <c r="J28" s="7" t="s">
        <v>338</v>
      </c>
      <c r="K28" s="7" t="s">
        <v>339</v>
      </c>
      <c r="L28" s="7" t="s">
        <v>340</v>
      </c>
      <c r="M28" s="7" t="s">
        <v>341</v>
      </c>
      <c r="N28" s="4"/>
      <c r="O28" s="4"/>
      <c r="P28" s="4"/>
      <c r="Q28" s="4"/>
      <c r="R28" s="4"/>
    </row>
    <row r="29">
      <c r="A29" s="1">
        <v>45017.59558109954</v>
      </c>
      <c r="B29" s="8"/>
      <c r="C29" s="2" t="s">
        <v>13</v>
      </c>
      <c r="D29" s="2" t="s">
        <v>14</v>
      </c>
      <c r="E29" s="2" t="s">
        <v>15</v>
      </c>
      <c r="F29" s="2" t="s">
        <v>16</v>
      </c>
      <c r="G29" s="7" t="s">
        <v>17</v>
      </c>
      <c r="H29" s="7" t="s">
        <v>18</v>
      </c>
      <c r="I29" s="2" t="s">
        <v>19</v>
      </c>
      <c r="J29" s="7" t="s">
        <v>20</v>
      </c>
      <c r="K29" s="7" t="s">
        <v>21</v>
      </c>
      <c r="L29" s="7" t="s">
        <v>22</v>
      </c>
      <c r="M29" s="7" t="s">
        <v>23</v>
      </c>
      <c r="N29" s="4"/>
      <c r="O29" s="4"/>
      <c r="P29" s="4"/>
      <c r="Q29" s="4"/>
      <c r="R29" s="4"/>
    </row>
    <row r="30">
      <c r="A30" s="1">
        <v>45017.595671874995</v>
      </c>
      <c r="B30" s="8"/>
      <c r="C30" s="2" t="s">
        <v>13</v>
      </c>
      <c r="D30" s="2" t="s">
        <v>14</v>
      </c>
      <c r="E30" s="2" t="s">
        <v>24</v>
      </c>
      <c r="F30" s="2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4"/>
      <c r="O30" s="4"/>
      <c r="P30" s="4"/>
      <c r="Q30" s="4"/>
      <c r="R30" s="4"/>
    </row>
    <row r="31">
      <c r="A31" s="1">
        <v>45017.59721792824</v>
      </c>
      <c r="B31" s="8"/>
      <c r="C31" s="2" t="s">
        <v>13</v>
      </c>
      <c r="D31" s="2" t="s">
        <v>33</v>
      </c>
      <c r="E31" s="2" t="s">
        <v>15</v>
      </c>
      <c r="F31" s="2" t="s">
        <v>34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40</v>
      </c>
      <c r="M31" s="7" t="s">
        <v>41</v>
      </c>
      <c r="N31" s="4"/>
      <c r="O31" s="4"/>
      <c r="P31" s="4"/>
      <c r="Q31" s="4"/>
      <c r="R31" s="4"/>
    </row>
    <row r="32">
      <c r="A32" s="5">
        <v>45021.70015290509</v>
      </c>
      <c r="B32" s="7" t="s">
        <v>342</v>
      </c>
      <c r="C32" s="7" t="s">
        <v>343</v>
      </c>
      <c r="D32" s="7"/>
      <c r="E32" s="7" t="s">
        <v>15</v>
      </c>
      <c r="F32" s="7" t="s">
        <v>344</v>
      </c>
      <c r="G32" s="7"/>
      <c r="H32" s="7"/>
      <c r="I32" s="7" t="s">
        <v>345</v>
      </c>
      <c r="J32" s="7" t="s">
        <v>346</v>
      </c>
      <c r="K32" s="7" t="s">
        <v>347</v>
      </c>
      <c r="L32" s="7" t="s">
        <v>348</v>
      </c>
      <c r="M32" s="7" t="s">
        <v>349</v>
      </c>
      <c r="N32" s="3"/>
      <c r="O32" s="4"/>
      <c r="P32" s="4"/>
      <c r="Q32" s="4"/>
      <c r="R32" s="4"/>
    </row>
    <row r="33">
      <c r="A33" s="5">
        <v>45021.700838715275</v>
      </c>
      <c r="B33" s="7" t="s">
        <v>342</v>
      </c>
      <c r="C33" s="7" t="s">
        <v>343</v>
      </c>
      <c r="D33" s="7"/>
      <c r="E33" s="7" t="s">
        <v>24</v>
      </c>
      <c r="F33" s="7" t="s">
        <v>350</v>
      </c>
      <c r="G33" s="7"/>
      <c r="H33" s="7"/>
      <c r="I33" s="7" t="s">
        <v>351</v>
      </c>
      <c r="J33" s="7" t="s">
        <v>352</v>
      </c>
      <c r="K33" s="7" t="s">
        <v>353</v>
      </c>
      <c r="L33" s="7" t="s">
        <v>354</v>
      </c>
      <c r="M33" s="7" t="s">
        <v>355</v>
      </c>
      <c r="N33" s="4"/>
      <c r="O33" s="4"/>
      <c r="P33" s="4"/>
      <c r="Q33" s="4"/>
      <c r="R33" s="4"/>
    </row>
    <row r="34">
      <c r="A34" s="5">
        <v>45021.70130784722</v>
      </c>
      <c r="B34" s="7" t="s">
        <v>342</v>
      </c>
      <c r="C34" s="7" t="s">
        <v>343</v>
      </c>
      <c r="D34" s="7"/>
      <c r="E34" s="7" t="s">
        <v>71</v>
      </c>
      <c r="F34" s="7" t="s">
        <v>302</v>
      </c>
      <c r="G34" s="7"/>
      <c r="H34" s="7"/>
      <c r="I34" s="7" t="s">
        <v>356</v>
      </c>
      <c r="J34" s="7" t="s">
        <v>357</v>
      </c>
      <c r="K34" s="7" t="s">
        <v>358</v>
      </c>
      <c r="L34" s="7" t="s">
        <v>359</v>
      </c>
      <c r="M34" s="7" t="s">
        <v>360</v>
      </c>
      <c r="N34" s="4"/>
      <c r="O34" s="4"/>
      <c r="P34" s="4"/>
      <c r="Q34" s="4"/>
      <c r="R34" s="4"/>
    </row>
    <row r="35">
      <c r="A35" s="5">
        <v>45021.70201641203</v>
      </c>
      <c r="B35" s="7" t="s">
        <v>342</v>
      </c>
      <c r="C35" s="7" t="s">
        <v>343</v>
      </c>
      <c r="D35" s="7"/>
      <c r="E35" s="7" t="s">
        <v>218</v>
      </c>
      <c r="F35" s="7" t="s">
        <v>361</v>
      </c>
      <c r="G35" s="7"/>
      <c r="H35" s="7"/>
      <c r="I35" s="7" t="s">
        <v>362</v>
      </c>
      <c r="J35" s="7" t="s">
        <v>363</v>
      </c>
      <c r="K35" s="7" t="s">
        <v>364</v>
      </c>
      <c r="L35" s="7" t="s">
        <v>365</v>
      </c>
      <c r="M35" s="7" t="s">
        <v>366</v>
      </c>
      <c r="N35" s="4"/>
      <c r="O35" s="4"/>
      <c r="P35" s="4"/>
      <c r="Q35" s="4"/>
      <c r="R35" s="4"/>
    </row>
    <row r="36">
      <c r="A36" s="5">
        <v>45021.70286650463</v>
      </c>
      <c r="B36" s="7" t="s">
        <v>342</v>
      </c>
      <c r="C36" s="7" t="s">
        <v>343</v>
      </c>
      <c r="D36" s="7"/>
      <c r="E36" s="7" t="s">
        <v>225</v>
      </c>
      <c r="F36" s="7" t="s">
        <v>367</v>
      </c>
      <c r="G36" s="7"/>
      <c r="H36" s="7"/>
      <c r="I36" s="7" t="s">
        <v>368</v>
      </c>
      <c r="J36" s="7" t="s">
        <v>369</v>
      </c>
      <c r="K36" s="7" t="s">
        <v>370</v>
      </c>
      <c r="L36" s="7" t="s">
        <v>371</v>
      </c>
      <c r="M36" s="7" t="s">
        <v>372</v>
      </c>
      <c r="N36" s="4"/>
      <c r="O36" s="4"/>
      <c r="P36" s="4"/>
      <c r="Q36" s="4"/>
      <c r="R36" s="4"/>
    </row>
    <row r="37">
      <c r="A37" s="5">
        <v>45021.70349642361</v>
      </c>
      <c r="B37" s="7" t="s">
        <v>342</v>
      </c>
      <c r="C37" s="7" t="s">
        <v>343</v>
      </c>
      <c r="D37" s="7"/>
      <c r="E37" s="7" t="s">
        <v>373</v>
      </c>
      <c r="F37" s="7" t="s">
        <v>16</v>
      </c>
      <c r="G37" s="7"/>
      <c r="H37" s="7"/>
      <c r="I37" s="7" t="s">
        <v>374</v>
      </c>
      <c r="J37" s="7" t="s">
        <v>375</v>
      </c>
      <c r="K37" s="7" t="s">
        <v>376</v>
      </c>
      <c r="L37" s="7" t="s">
        <v>377</v>
      </c>
      <c r="M37" s="7" t="s">
        <v>378</v>
      </c>
      <c r="N37" s="4"/>
      <c r="O37" s="4"/>
      <c r="P37" s="4"/>
      <c r="Q37" s="4"/>
      <c r="R37" s="4"/>
    </row>
    <row r="38">
      <c r="A38" s="5">
        <v>45021.70393040509</v>
      </c>
      <c r="B38" s="7" t="s">
        <v>342</v>
      </c>
      <c r="C38" s="7" t="s">
        <v>343</v>
      </c>
      <c r="D38" s="7"/>
      <c r="E38" s="7" t="s">
        <v>89</v>
      </c>
      <c r="F38" s="7" t="s">
        <v>379</v>
      </c>
      <c r="G38" s="7"/>
      <c r="H38" s="7"/>
      <c r="I38" s="7" t="s">
        <v>380</v>
      </c>
      <c r="J38" s="7" t="s">
        <v>381</v>
      </c>
      <c r="K38" s="7" t="s">
        <v>382</v>
      </c>
      <c r="L38" s="7" t="s">
        <v>383</v>
      </c>
      <c r="M38" s="7" t="s">
        <v>384</v>
      </c>
      <c r="N38" s="4"/>
      <c r="O38" s="4"/>
      <c r="P38" s="4"/>
      <c r="Q38" s="4"/>
      <c r="R38" s="4"/>
    </row>
    <row r="39">
      <c r="A39" s="1"/>
      <c r="B39" s="8"/>
      <c r="C39" s="2"/>
      <c r="D39" s="2"/>
      <c r="E39" s="2"/>
      <c r="F39" s="2"/>
      <c r="G39" s="7"/>
      <c r="H39" s="7"/>
      <c r="I39" s="7"/>
      <c r="J39" s="7"/>
      <c r="K39" s="7"/>
      <c r="L39" s="7"/>
      <c r="M39" s="7"/>
      <c r="N39" s="4"/>
      <c r="O39" s="4"/>
      <c r="P39" s="4"/>
      <c r="Q39" s="4"/>
      <c r="R39" s="4"/>
    </row>
    <row r="40">
      <c r="A40" s="1"/>
      <c r="B40" s="8"/>
      <c r="C40" s="2"/>
      <c r="D40" s="2"/>
      <c r="E40" s="2"/>
      <c r="F40" s="2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</row>
    <row r="41">
      <c r="A41" s="1"/>
      <c r="B41" s="8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4"/>
      <c r="O41" s="4"/>
      <c r="P41" s="4"/>
      <c r="Q41" s="4"/>
      <c r="R41" s="4"/>
    </row>
    <row r="42">
      <c r="A42" s="1"/>
      <c r="B42" s="8"/>
      <c r="C42" s="2"/>
      <c r="D42" s="2"/>
      <c r="E42" s="2"/>
      <c r="F42" s="2"/>
      <c r="G42" s="7"/>
      <c r="H42" s="7"/>
      <c r="I42" s="7"/>
      <c r="J42" s="7"/>
      <c r="K42" s="7"/>
      <c r="L42" s="7"/>
      <c r="M42" s="7"/>
      <c r="N42" s="4"/>
      <c r="O42" s="4"/>
      <c r="P42" s="4"/>
      <c r="Q42" s="4"/>
      <c r="R42" s="4"/>
    </row>
    <row r="43">
      <c r="A43" s="1"/>
      <c r="B43" s="8"/>
      <c r="C43" s="2"/>
      <c r="D43" s="2"/>
      <c r="E43" s="2"/>
      <c r="F43" s="2"/>
      <c r="G43" s="7"/>
      <c r="H43" s="7"/>
      <c r="I43" s="7"/>
      <c r="J43" s="7"/>
      <c r="K43" s="7"/>
      <c r="L43" s="7"/>
      <c r="M43" s="7"/>
      <c r="N43" s="4"/>
      <c r="O43" s="4"/>
      <c r="P43" s="4"/>
      <c r="Q43" s="4"/>
      <c r="R43" s="4"/>
    </row>
    <row r="44">
      <c r="A44" s="1"/>
      <c r="B44" s="8"/>
      <c r="C44" s="2"/>
      <c r="D44" s="2"/>
      <c r="E44" s="2"/>
      <c r="F44" s="2"/>
      <c r="G44" s="7"/>
      <c r="H44" s="7"/>
      <c r="I44" s="7"/>
      <c r="J44" s="7"/>
      <c r="K44" s="7"/>
      <c r="L44" s="7"/>
      <c r="M44" s="7"/>
      <c r="N44" s="4"/>
      <c r="O44" s="4"/>
      <c r="P44" s="4"/>
      <c r="Q44" s="4"/>
      <c r="R44" s="4"/>
    </row>
    <row r="45">
      <c r="A45" s="1"/>
      <c r="B45" s="8"/>
      <c r="C45" s="2"/>
      <c r="D45" s="2"/>
      <c r="E45" s="2"/>
      <c r="F45" s="2"/>
      <c r="G45" s="7"/>
      <c r="H45" s="7"/>
      <c r="I45" s="7"/>
      <c r="J45" s="7"/>
      <c r="K45" s="7"/>
      <c r="L45" s="7"/>
      <c r="M45" s="7"/>
      <c r="N45" s="4"/>
      <c r="O45" s="4"/>
      <c r="P45" s="4"/>
      <c r="Q45" s="4"/>
      <c r="R45" s="4"/>
    </row>
    <row r="46">
      <c r="A46" s="1"/>
      <c r="B46" s="8"/>
      <c r="C46" s="2"/>
      <c r="D46" s="2"/>
      <c r="E46" s="2"/>
      <c r="F46" s="2"/>
      <c r="G46" s="7"/>
      <c r="H46" s="7"/>
      <c r="I46" s="7"/>
      <c r="J46" s="7"/>
      <c r="K46" s="7"/>
      <c r="L46" s="7"/>
      <c r="M46" s="7"/>
      <c r="N46" s="4"/>
      <c r="O46" s="4"/>
      <c r="P46" s="4"/>
      <c r="Q46" s="4"/>
      <c r="R46" s="4"/>
    </row>
    <row r="47">
      <c r="A47" s="1"/>
      <c r="B47" s="8"/>
      <c r="C47" s="2"/>
      <c r="D47" s="2"/>
      <c r="E47" s="2"/>
      <c r="F47" s="2"/>
      <c r="G47" s="7"/>
      <c r="H47" s="7"/>
      <c r="I47" s="7"/>
      <c r="J47" s="7"/>
      <c r="K47" s="7"/>
      <c r="L47" s="7"/>
      <c r="M47" s="7"/>
      <c r="N47" s="4"/>
      <c r="O47" s="4"/>
      <c r="P47" s="4"/>
      <c r="Q47" s="4"/>
      <c r="R47" s="4"/>
    </row>
    <row r="48">
      <c r="A48" s="1"/>
      <c r="B48" s="8"/>
      <c r="C48" s="2"/>
      <c r="D48" s="2"/>
      <c r="E48" s="2"/>
      <c r="F48" s="2"/>
      <c r="G48" s="7"/>
      <c r="H48" s="7"/>
      <c r="I48" s="7"/>
      <c r="J48" s="7"/>
      <c r="K48" s="7"/>
      <c r="L48" s="7"/>
      <c r="M48" s="7"/>
      <c r="N48" s="4"/>
      <c r="O48" s="4"/>
      <c r="P48" s="4"/>
      <c r="Q48" s="4"/>
      <c r="R48" s="4"/>
    </row>
    <row r="49">
      <c r="A49" s="1"/>
      <c r="B49" s="8"/>
      <c r="C49" s="2"/>
      <c r="D49" s="2"/>
      <c r="E49" s="2"/>
      <c r="F49" s="2"/>
      <c r="G49" s="7"/>
      <c r="H49" s="7"/>
      <c r="I49" s="7"/>
      <c r="J49" s="7"/>
      <c r="K49" s="7"/>
      <c r="L49" s="7"/>
      <c r="M49" s="7"/>
      <c r="N49" s="4"/>
      <c r="O49" s="4"/>
      <c r="P49" s="4"/>
      <c r="Q49" s="4"/>
      <c r="R49" s="4"/>
    </row>
    <row r="50">
      <c r="A50" s="1"/>
      <c r="B50" s="8"/>
      <c r="C50" s="2"/>
      <c r="D50" s="2"/>
      <c r="E50" s="2"/>
      <c r="F50" s="2"/>
      <c r="G50" s="7"/>
      <c r="H50" s="7"/>
      <c r="I50" s="7"/>
      <c r="J50" s="7"/>
      <c r="K50" s="7"/>
      <c r="L50" s="7"/>
      <c r="M50" s="7"/>
      <c r="N50" s="4"/>
      <c r="O50" s="4"/>
      <c r="P50" s="4"/>
      <c r="Q50" s="4"/>
      <c r="R50" s="4"/>
    </row>
    <row r="51">
      <c r="A51" s="1"/>
      <c r="B51" s="8"/>
      <c r="C51" s="2"/>
      <c r="D51" s="2"/>
      <c r="E51" s="2"/>
      <c r="F51" s="2"/>
      <c r="G51" s="7"/>
      <c r="H51" s="7"/>
      <c r="I51" s="7"/>
      <c r="J51" s="7"/>
      <c r="K51" s="7"/>
      <c r="L51" s="7"/>
      <c r="M51" s="7"/>
      <c r="N51" s="4"/>
      <c r="O51" s="4"/>
      <c r="P51" s="4"/>
      <c r="Q51" s="4"/>
      <c r="R51" s="4"/>
    </row>
    <row r="52">
      <c r="A52" s="1"/>
      <c r="B52" s="8"/>
      <c r="C52" s="2"/>
      <c r="D52" s="2"/>
      <c r="E52" s="2"/>
      <c r="F52" s="2"/>
      <c r="G52" s="7"/>
      <c r="H52" s="7"/>
      <c r="I52" s="7"/>
      <c r="J52" s="7"/>
      <c r="K52" s="7"/>
      <c r="L52" s="7"/>
      <c r="M52" s="7"/>
      <c r="N52" s="4"/>
      <c r="O52" s="4"/>
      <c r="P52" s="4"/>
      <c r="Q52" s="4"/>
      <c r="R52" s="4"/>
    </row>
    <row r="53">
      <c r="A53" s="1"/>
      <c r="B53" s="8"/>
      <c r="C53" s="2"/>
      <c r="D53" s="2"/>
      <c r="E53" s="2"/>
      <c r="F53" s="2"/>
      <c r="G53" s="7"/>
      <c r="H53" s="7"/>
      <c r="I53" s="7"/>
      <c r="J53" s="7"/>
      <c r="K53" s="7"/>
      <c r="L53" s="7"/>
      <c r="M53" s="7"/>
      <c r="N53" s="4"/>
      <c r="O53" s="4"/>
      <c r="P53" s="4"/>
      <c r="Q53" s="4"/>
      <c r="R53" s="4"/>
    </row>
    <row r="54">
      <c r="A54" s="1"/>
      <c r="B54" s="8"/>
      <c r="C54" s="2"/>
      <c r="D54" s="2"/>
      <c r="E54" s="2"/>
      <c r="F54" s="2"/>
      <c r="G54" s="7"/>
      <c r="H54" s="7"/>
      <c r="I54" s="7"/>
      <c r="J54" s="7"/>
      <c r="K54" s="7"/>
      <c r="L54" s="7"/>
      <c r="M54" s="7"/>
      <c r="N54" s="4"/>
      <c r="O54" s="4"/>
      <c r="P54" s="4"/>
      <c r="Q54" s="4"/>
      <c r="R54" s="4"/>
    </row>
    <row r="55">
      <c r="A55" s="1"/>
      <c r="B55" s="8"/>
      <c r="C55" s="2"/>
      <c r="D55" s="2"/>
      <c r="E55" s="2"/>
      <c r="F55" s="2"/>
      <c r="G55" s="7"/>
      <c r="H55" s="7"/>
      <c r="I55" s="7"/>
      <c r="J55" s="7"/>
      <c r="K55" s="7"/>
      <c r="L55" s="7"/>
      <c r="M55" s="7"/>
      <c r="N55" s="4"/>
      <c r="O55" s="4"/>
      <c r="P55" s="4"/>
      <c r="Q55" s="4"/>
      <c r="R55" s="4"/>
    </row>
    <row r="56">
      <c r="A56" s="1"/>
      <c r="B56" s="8"/>
      <c r="C56" s="2"/>
      <c r="D56" s="2"/>
      <c r="E56" s="2"/>
      <c r="F56" s="2"/>
      <c r="G56" s="7"/>
      <c r="H56" s="7"/>
      <c r="I56" s="7"/>
      <c r="J56" s="7"/>
      <c r="K56" s="7"/>
      <c r="L56" s="7"/>
      <c r="M56" s="7"/>
      <c r="N56" s="4"/>
      <c r="O56" s="4"/>
      <c r="P56" s="4"/>
      <c r="Q56" s="4"/>
      <c r="R56" s="4"/>
    </row>
    <row r="57">
      <c r="A57" s="1"/>
      <c r="B57" s="8"/>
      <c r="C57" s="2"/>
      <c r="D57" s="2"/>
      <c r="E57" s="2"/>
      <c r="F57" s="2"/>
      <c r="G57" s="7"/>
      <c r="H57" s="7"/>
      <c r="I57" s="7"/>
      <c r="J57" s="7"/>
      <c r="K57" s="7"/>
      <c r="L57" s="7"/>
      <c r="M57" s="7"/>
      <c r="N57" s="4"/>
      <c r="O57" s="4"/>
      <c r="P57" s="4"/>
      <c r="Q57" s="4"/>
      <c r="R57" s="4"/>
    </row>
    <row r="58">
      <c r="A58" s="1"/>
      <c r="B58" s="8"/>
      <c r="C58" s="2"/>
      <c r="D58" s="2"/>
      <c r="E58" s="2"/>
      <c r="F58" s="2"/>
      <c r="G58" s="7"/>
      <c r="H58" s="7"/>
      <c r="I58" s="7"/>
      <c r="J58" s="7"/>
      <c r="K58" s="7"/>
      <c r="L58" s="7"/>
      <c r="M58" s="7"/>
      <c r="N58" s="4"/>
      <c r="O58" s="4"/>
      <c r="P58" s="4"/>
      <c r="Q58" s="4"/>
      <c r="R58" s="4"/>
    </row>
    <row r="59">
      <c r="A59" s="1"/>
      <c r="B59" s="8"/>
      <c r="C59" s="2"/>
      <c r="D59" s="2"/>
      <c r="E59" s="2"/>
      <c r="F59" s="2"/>
      <c r="G59" s="7"/>
      <c r="H59" s="7"/>
      <c r="I59" s="7"/>
      <c r="J59" s="7"/>
      <c r="K59" s="7"/>
      <c r="L59" s="7"/>
      <c r="M59" s="7"/>
      <c r="N59" s="4"/>
      <c r="O59" s="4"/>
      <c r="P59" s="4"/>
      <c r="Q59" s="4"/>
      <c r="R59" s="4"/>
    </row>
    <row r="60">
      <c r="A60" s="1"/>
      <c r="B60" s="8"/>
      <c r="C60" s="2"/>
      <c r="D60" s="2"/>
      <c r="E60" s="2"/>
      <c r="F60" s="2"/>
      <c r="G60" s="7"/>
      <c r="H60" s="7"/>
      <c r="I60" s="7"/>
      <c r="J60" s="7"/>
      <c r="K60" s="7"/>
      <c r="L60" s="7"/>
      <c r="M60" s="7"/>
      <c r="N60" s="4"/>
      <c r="O60" s="4"/>
      <c r="P60" s="4"/>
      <c r="Q60" s="4"/>
      <c r="R60" s="4"/>
    </row>
    <row r="61">
      <c r="A61" s="1"/>
      <c r="B61" s="8"/>
      <c r="C61" s="2"/>
      <c r="D61" s="2"/>
      <c r="E61" s="2"/>
      <c r="F61" s="2"/>
      <c r="G61" s="7"/>
      <c r="H61" s="7"/>
      <c r="I61" s="7"/>
      <c r="J61" s="7"/>
      <c r="K61" s="7"/>
      <c r="L61" s="7"/>
      <c r="M61" s="7"/>
      <c r="N61" s="4"/>
      <c r="O61" s="4"/>
      <c r="P61" s="4"/>
      <c r="Q61" s="4"/>
      <c r="R61" s="4"/>
    </row>
    <row r="62">
      <c r="A62" s="1"/>
      <c r="B62" s="8"/>
      <c r="C62" s="2"/>
      <c r="D62" s="2"/>
      <c r="E62" s="2"/>
      <c r="F62" s="2"/>
      <c r="G62" s="7"/>
      <c r="H62" s="7"/>
      <c r="I62" s="7"/>
      <c r="J62" s="7"/>
      <c r="K62" s="7"/>
      <c r="L62" s="7"/>
      <c r="M62" s="7"/>
      <c r="N62" s="4"/>
      <c r="O62" s="4"/>
      <c r="P62" s="4"/>
      <c r="Q62" s="4"/>
      <c r="R62" s="4"/>
    </row>
    <row r="63">
      <c r="A63" s="1"/>
      <c r="B63" s="8"/>
      <c r="C63" s="2"/>
      <c r="D63" s="2"/>
      <c r="E63" s="2"/>
      <c r="F63" s="2"/>
      <c r="G63" s="7"/>
      <c r="H63" s="7"/>
      <c r="I63" s="7"/>
      <c r="J63" s="7"/>
      <c r="K63" s="7"/>
      <c r="L63" s="7"/>
      <c r="M63" s="7"/>
      <c r="N63" s="4"/>
      <c r="O63" s="4"/>
      <c r="P63" s="4"/>
      <c r="Q63" s="4"/>
      <c r="R63" s="4"/>
    </row>
    <row r="64">
      <c r="A64" s="1"/>
      <c r="B64" s="8"/>
      <c r="C64" s="2"/>
      <c r="D64" s="2"/>
      <c r="E64" s="2"/>
      <c r="F64" s="2"/>
      <c r="G64" s="7"/>
      <c r="H64" s="7"/>
      <c r="I64" s="7"/>
      <c r="J64" s="7"/>
      <c r="K64" s="7"/>
      <c r="L64" s="7"/>
      <c r="M64" s="7"/>
      <c r="N64" s="4"/>
      <c r="O64" s="4"/>
      <c r="P64" s="4"/>
      <c r="Q64" s="4"/>
      <c r="R64" s="4"/>
    </row>
    <row r="65">
      <c r="A65" s="1"/>
      <c r="B65" s="8"/>
      <c r="C65" s="2"/>
      <c r="D65" s="2"/>
      <c r="E65" s="2"/>
      <c r="F65" s="2"/>
      <c r="G65" s="7"/>
      <c r="H65" s="7"/>
      <c r="I65" s="7"/>
      <c r="J65" s="7"/>
      <c r="K65" s="7"/>
      <c r="L65" s="7"/>
      <c r="M65" s="7"/>
      <c r="N65" s="4"/>
      <c r="O65" s="4"/>
      <c r="P65" s="4"/>
      <c r="Q65" s="4"/>
      <c r="R65" s="4"/>
    </row>
    <row r="66">
      <c r="A66" s="1"/>
      <c r="B66" s="8"/>
      <c r="C66" s="2"/>
      <c r="D66" s="2"/>
      <c r="E66" s="2"/>
      <c r="F66" s="2"/>
      <c r="G66" s="7"/>
      <c r="H66" s="7"/>
      <c r="I66" s="7"/>
      <c r="J66" s="7"/>
      <c r="K66" s="7"/>
      <c r="L66" s="7"/>
      <c r="M66" s="7"/>
      <c r="N66" s="4"/>
      <c r="O66" s="4"/>
      <c r="P66" s="4"/>
      <c r="Q66" s="4"/>
      <c r="R66" s="4"/>
    </row>
    <row r="67">
      <c r="A67" s="1"/>
      <c r="B67" s="8"/>
      <c r="C67" s="2"/>
      <c r="D67" s="2"/>
      <c r="E67" s="2"/>
      <c r="F67" s="2"/>
      <c r="G67" s="7"/>
      <c r="H67" s="7"/>
      <c r="I67" s="7"/>
      <c r="J67" s="7"/>
      <c r="K67" s="7"/>
      <c r="L67" s="7"/>
      <c r="M67" s="7"/>
      <c r="N67" s="4"/>
      <c r="O67" s="4"/>
      <c r="P67" s="4"/>
      <c r="Q67" s="4"/>
      <c r="R67" s="4"/>
    </row>
    <row r="68">
      <c r="A68" s="1"/>
      <c r="B68" s="8"/>
      <c r="C68" s="2"/>
      <c r="D68" s="2"/>
      <c r="E68" s="2"/>
      <c r="F68" s="2"/>
      <c r="G68" s="7"/>
      <c r="H68" s="7"/>
      <c r="I68" s="7"/>
      <c r="J68" s="7"/>
      <c r="K68" s="7"/>
      <c r="L68" s="7"/>
      <c r="M68" s="7"/>
      <c r="N68" s="4"/>
      <c r="O68" s="4"/>
      <c r="P68" s="4"/>
      <c r="Q68" s="4"/>
      <c r="R68" s="4"/>
    </row>
    <row r="69">
      <c r="A69" s="1"/>
      <c r="B69" s="8"/>
      <c r="C69" s="2"/>
      <c r="D69" s="2"/>
      <c r="E69" s="2"/>
      <c r="F69" s="2"/>
      <c r="G69" s="7"/>
      <c r="H69" s="7"/>
      <c r="I69" s="7"/>
      <c r="J69" s="7"/>
      <c r="K69" s="7"/>
      <c r="L69" s="7"/>
      <c r="M69" s="7"/>
      <c r="N69" s="4"/>
      <c r="O69" s="4"/>
      <c r="P69" s="4"/>
      <c r="Q69" s="4"/>
      <c r="R69" s="4"/>
    </row>
    <row r="70">
      <c r="A70" s="1"/>
      <c r="B70" s="8"/>
      <c r="C70" s="2"/>
      <c r="D70" s="2"/>
      <c r="E70" s="2"/>
      <c r="F70" s="2"/>
      <c r="G70" s="7"/>
      <c r="H70" s="7"/>
      <c r="I70" s="7"/>
      <c r="J70" s="7"/>
      <c r="K70" s="7"/>
      <c r="L70" s="7"/>
      <c r="M70" s="7"/>
      <c r="N70" s="4"/>
      <c r="O70" s="4"/>
      <c r="P70" s="4"/>
      <c r="Q70" s="4"/>
      <c r="R70" s="4"/>
    </row>
    <row r="71">
      <c r="A71" s="1"/>
      <c r="B71" s="8"/>
      <c r="C71" s="2"/>
      <c r="D71" s="2"/>
      <c r="E71" s="2"/>
      <c r="F71" s="2"/>
      <c r="G71" s="7"/>
      <c r="H71" s="7"/>
      <c r="I71" s="7"/>
      <c r="J71" s="7"/>
      <c r="K71" s="7"/>
      <c r="L71" s="7"/>
      <c r="M71" s="7"/>
      <c r="N71" s="4"/>
      <c r="O71" s="4"/>
      <c r="P71" s="4"/>
      <c r="Q71" s="4"/>
      <c r="R71" s="4"/>
    </row>
    <row r="72">
      <c r="A72" s="1"/>
      <c r="B72" s="8"/>
      <c r="C72" s="2"/>
      <c r="D72" s="2"/>
      <c r="E72" s="2"/>
      <c r="F72" s="2"/>
      <c r="G72" s="7"/>
      <c r="H72" s="7"/>
      <c r="I72" s="7"/>
      <c r="J72" s="7"/>
      <c r="K72" s="7"/>
      <c r="L72" s="7"/>
      <c r="M72" s="7"/>
      <c r="N72" s="4"/>
      <c r="O72" s="4"/>
      <c r="P72" s="4"/>
      <c r="Q72" s="4"/>
      <c r="R72" s="4"/>
    </row>
    <row r="73">
      <c r="A73" s="1"/>
      <c r="B73" s="8"/>
      <c r="C73" s="2"/>
      <c r="D73" s="2"/>
      <c r="E73" s="2"/>
      <c r="F73" s="2"/>
      <c r="G73" s="7"/>
      <c r="H73" s="7"/>
      <c r="I73" s="7"/>
      <c r="J73" s="7"/>
      <c r="K73" s="7"/>
      <c r="L73" s="7"/>
      <c r="M73" s="7"/>
      <c r="N73" s="4"/>
      <c r="O73" s="4"/>
      <c r="P73" s="4"/>
      <c r="Q73" s="4"/>
      <c r="R73" s="4"/>
    </row>
    <row r="74">
      <c r="A74" s="1"/>
      <c r="B74" s="8"/>
      <c r="C74" s="2"/>
      <c r="D74" s="2"/>
      <c r="E74" s="2"/>
      <c r="F74" s="2"/>
      <c r="G74" s="7"/>
      <c r="H74" s="7"/>
      <c r="I74" s="7"/>
      <c r="J74" s="7"/>
      <c r="K74" s="7"/>
      <c r="L74" s="7"/>
      <c r="M74" s="7"/>
      <c r="N74" s="4"/>
      <c r="O74" s="4"/>
      <c r="P74" s="4"/>
      <c r="Q74" s="4"/>
      <c r="R74" s="4"/>
    </row>
    <row r="75">
      <c r="A75" s="1"/>
      <c r="B75" s="8"/>
      <c r="C75" s="2"/>
      <c r="D75" s="2"/>
      <c r="E75" s="2"/>
      <c r="F75" s="2"/>
      <c r="G75" s="7"/>
      <c r="H75" s="7"/>
      <c r="I75" s="7"/>
      <c r="J75" s="7"/>
      <c r="K75" s="7"/>
      <c r="L75" s="7"/>
      <c r="M75" s="7"/>
      <c r="N75" s="4"/>
      <c r="O75" s="4"/>
      <c r="P75" s="4"/>
      <c r="Q75" s="4"/>
      <c r="R75" s="4"/>
    </row>
    <row r="76">
      <c r="A76" s="1"/>
      <c r="B76" s="8"/>
      <c r="C76" s="2"/>
      <c r="D76" s="2"/>
      <c r="E76" s="2"/>
      <c r="F76" s="2"/>
      <c r="G76" s="7"/>
      <c r="H76" s="7"/>
      <c r="I76" s="7"/>
      <c r="J76" s="7"/>
      <c r="K76" s="7"/>
      <c r="L76" s="7"/>
      <c r="M76" s="7"/>
      <c r="N76" s="4"/>
      <c r="O76" s="4"/>
      <c r="P76" s="4"/>
      <c r="Q76" s="4"/>
      <c r="R76" s="4"/>
    </row>
    <row r="77">
      <c r="A77" s="1"/>
      <c r="B77" s="8"/>
      <c r="C77" s="2"/>
      <c r="D77" s="2"/>
      <c r="E77" s="2"/>
      <c r="F77" s="2"/>
      <c r="G77" s="7"/>
      <c r="H77" s="7"/>
      <c r="I77" s="7"/>
      <c r="J77" s="7"/>
      <c r="K77" s="7"/>
      <c r="L77" s="7"/>
      <c r="M77" s="7"/>
      <c r="N77" s="4"/>
      <c r="O77" s="4"/>
      <c r="P77" s="4"/>
      <c r="Q77" s="4"/>
      <c r="R77" s="4"/>
    </row>
    <row r="78">
      <c r="A78" s="1"/>
      <c r="B78" s="8"/>
      <c r="C78" s="2"/>
      <c r="D78" s="2"/>
      <c r="E78" s="2"/>
      <c r="F78" s="2"/>
      <c r="G78" s="7"/>
      <c r="H78" s="7"/>
      <c r="I78" s="7"/>
      <c r="J78" s="7"/>
      <c r="K78" s="7"/>
      <c r="L78" s="7"/>
      <c r="M78" s="7"/>
      <c r="N78" s="4"/>
      <c r="O78" s="4"/>
      <c r="P78" s="4"/>
      <c r="Q78" s="4"/>
      <c r="R78" s="4"/>
    </row>
    <row r="79">
      <c r="A79" s="1"/>
      <c r="B79" s="8"/>
      <c r="C79" s="2"/>
      <c r="D79" s="2"/>
      <c r="E79" s="2"/>
      <c r="F79" s="2"/>
      <c r="G79" s="7"/>
      <c r="H79" s="7"/>
      <c r="I79" s="7"/>
      <c r="J79" s="7"/>
      <c r="K79" s="7"/>
      <c r="L79" s="7"/>
      <c r="M79" s="7"/>
      <c r="N79" s="4"/>
      <c r="O79" s="4"/>
      <c r="P79" s="4"/>
      <c r="Q79" s="4"/>
      <c r="R79" s="4"/>
    </row>
    <row r="80">
      <c r="A80" s="1"/>
      <c r="B80" s="8"/>
      <c r="C80" s="2"/>
      <c r="D80" s="2"/>
      <c r="E80" s="2"/>
      <c r="F80" s="2"/>
      <c r="G80" s="7"/>
      <c r="H80" s="7"/>
      <c r="I80" s="7"/>
      <c r="J80" s="7"/>
      <c r="K80" s="7"/>
      <c r="L80" s="7"/>
      <c r="M80" s="7"/>
      <c r="N80" s="4"/>
      <c r="O80" s="4"/>
      <c r="P80" s="4"/>
      <c r="Q80" s="4"/>
      <c r="R80" s="4"/>
    </row>
    <row r="81">
      <c r="A81" s="1"/>
      <c r="B81" s="8"/>
      <c r="C81" s="2"/>
      <c r="D81" s="2"/>
      <c r="E81" s="2"/>
      <c r="F81" s="2"/>
      <c r="G81" s="7"/>
      <c r="H81" s="7"/>
      <c r="I81" s="7"/>
      <c r="J81" s="7"/>
      <c r="K81" s="7"/>
      <c r="L81" s="7"/>
      <c r="M81" s="7"/>
      <c r="N81" s="4"/>
      <c r="O81" s="4"/>
      <c r="P81" s="4"/>
      <c r="Q81" s="4"/>
      <c r="R81" s="4"/>
    </row>
    <row r="82">
      <c r="A82" s="1"/>
      <c r="B82" s="8"/>
      <c r="C82" s="2"/>
      <c r="D82" s="2"/>
      <c r="E82" s="2"/>
      <c r="F82" s="2"/>
      <c r="G82" s="7"/>
      <c r="H82" s="7"/>
      <c r="I82" s="7"/>
      <c r="J82" s="7"/>
      <c r="K82" s="7"/>
      <c r="L82" s="7"/>
      <c r="M82" s="7"/>
      <c r="N82" s="4"/>
      <c r="O82" s="4"/>
      <c r="P82" s="4"/>
      <c r="Q82" s="4"/>
      <c r="R82" s="4"/>
    </row>
    <row r="83">
      <c r="A83" s="1"/>
      <c r="B83" s="8"/>
      <c r="C83" s="2"/>
      <c r="D83" s="2"/>
      <c r="E83" s="2"/>
      <c r="F83" s="2"/>
      <c r="G83" s="7"/>
      <c r="H83" s="7"/>
      <c r="I83" s="7"/>
      <c r="J83" s="7"/>
      <c r="K83" s="7"/>
      <c r="L83" s="7"/>
      <c r="M83" s="7"/>
      <c r="N83" s="4"/>
      <c r="O83" s="4"/>
      <c r="P83" s="4"/>
      <c r="Q83" s="4"/>
      <c r="R83" s="4"/>
    </row>
    <row r="84">
      <c r="A84" s="1"/>
      <c r="B84" s="8"/>
      <c r="C84" s="2"/>
      <c r="D84" s="2"/>
      <c r="E84" s="2"/>
      <c r="F84" s="2"/>
      <c r="G84" s="7"/>
      <c r="H84" s="7"/>
      <c r="I84" s="7"/>
      <c r="J84" s="7"/>
      <c r="K84" s="7"/>
      <c r="L84" s="7"/>
      <c r="M84" s="7"/>
      <c r="N84" s="4"/>
      <c r="O84" s="4"/>
      <c r="P84" s="4"/>
      <c r="Q84" s="4"/>
      <c r="R84" s="4"/>
    </row>
    <row r="85">
      <c r="A85" s="1"/>
      <c r="B85" s="8"/>
      <c r="C85" s="2"/>
      <c r="D85" s="2"/>
      <c r="E85" s="2"/>
      <c r="F85" s="2"/>
      <c r="G85" s="7"/>
      <c r="H85" s="7"/>
      <c r="I85" s="7"/>
      <c r="J85" s="7"/>
      <c r="K85" s="7"/>
      <c r="L85" s="7"/>
      <c r="M85" s="7"/>
      <c r="N85" s="4"/>
      <c r="O85" s="4"/>
      <c r="P85" s="4"/>
      <c r="Q85" s="4"/>
      <c r="R85" s="4"/>
    </row>
    <row r="86">
      <c r="A86" s="1"/>
      <c r="B86" s="8"/>
      <c r="C86" s="2"/>
      <c r="D86" s="2"/>
      <c r="E86" s="2"/>
      <c r="F86" s="2"/>
      <c r="G86" s="7"/>
      <c r="H86" s="7"/>
      <c r="I86" s="7"/>
      <c r="J86" s="7"/>
      <c r="K86" s="7"/>
      <c r="L86" s="7"/>
      <c r="M86" s="7"/>
      <c r="N86" s="4"/>
      <c r="O86" s="4"/>
      <c r="P86" s="4"/>
      <c r="Q86" s="4"/>
      <c r="R86" s="4"/>
    </row>
    <row r="87">
      <c r="A87" s="1"/>
      <c r="B87" s="8"/>
      <c r="C87" s="2"/>
      <c r="D87" s="2"/>
      <c r="E87" s="2"/>
      <c r="F87" s="2"/>
      <c r="G87" s="7"/>
      <c r="H87" s="7"/>
      <c r="I87" s="7"/>
      <c r="J87" s="7"/>
      <c r="K87" s="7"/>
      <c r="L87" s="7"/>
      <c r="M87" s="7"/>
      <c r="N87" s="4"/>
      <c r="O87" s="4"/>
      <c r="P87" s="4"/>
      <c r="Q87" s="4"/>
      <c r="R87" s="4"/>
    </row>
    <row r="88">
      <c r="A88" s="1"/>
      <c r="B88" s="8"/>
      <c r="C88" s="2"/>
      <c r="D88" s="2"/>
      <c r="E88" s="2"/>
      <c r="F88" s="2"/>
      <c r="G88" s="7"/>
      <c r="H88" s="7"/>
      <c r="I88" s="7"/>
      <c r="J88" s="7"/>
      <c r="K88" s="7"/>
      <c r="L88" s="7"/>
      <c r="M88" s="7"/>
      <c r="N88" s="4"/>
      <c r="O88" s="4"/>
      <c r="P88" s="4"/>
      <c r="Q88" s="4"/>
      <c r="R88" s="4"/>
    </row>
    <row r="89">
      <c r="A89" s="1"/>
      <c r="B89" s="8"/>
      <c r="C89" s="2"/>
      <c r="D89" s="2"/>
      <c r="E89" s="2"/>
      <c r="F89" s="2"/>
      <c r="G89" s="7"/>
      <c r="H89" s="7"/>
      <c r="I89" s="7"/>
      <c r="J89" s="7"/>
      <c r="K89" s="7"/>
      <c r="L89" s="7"/>
      <c r="M89" s="7"/>
      <c r="N89" s="4"/>
      <c r="O89" s="4"/>
      <c r="P89" s="4"/>
      <c r="Q89" s="4"/>
      <c r="R89" s="4"/>
    </row>
    <row r="90">
      <c r="A90" s="1"/>
      <c r="B90" s="8"/>
      <c r="C90" s="2"/>
      <c r="D90" s="2"/>
      <c r="E90" s="2"/>
      <c r="F90" s="2"/>
      <c r="G90" s="7"/>
      <c r="H90" s="7"/>
      <c r="I90" s="7"/>
      <c r="J90" s="7"/>
      <c r="K90" s="7"/>
      <c r="L90" s="7"/>
      <c r="M90" s="7"/>
      <c r="N90" s="4"/>
      <c r="O90" s="4"/>
      <c r="P90" s="4"/>
      <c r="Q90" s="4"/>
      <c r="R90" s="4"/>
    </row>
    <row r="91">
      <c r="A91" s="1"/>
      <c r="B91" s="8"/>
      <c r="C91" s="2"/>
      <c r="D91" s="2"/>
      <c r="E91" s="2"/>
      <c r="F91" s="2"/>
      <c r="G91" s="7"/>
      <c r="H91" s="7"/>
      <c r="I91" s="7"/>
      <c r="J91" s="7"/>
      <c r="K91" s="7"/>
      <c r="L91" s="7"/>
      <c r="M91" s="7"/>
      <c r="N91" s="4"/>
      <c r="O91" s="4"/>
      <c r="P91" s="4"/>
      <c r="Q91" s="4"/>
      <c r="R91" s="4"/>
    </row>
    <row r="92">
      <c r="A92" s="1"/>
      <c r="B92" s="8"/>
      <c r="C92" s="2"/>
      <c r="D92" s="2"/>
      <c r="E92" s="2"/>
      <c r="F92" s="2"/>
      <c r="G92" s="7"/>
      <c r="H92" s="7"/>
      <c r="I92" s="7"/>
      <c r="J92" s="7"/>
      <c r="K92" s="7"/>
      <c r="L92" s="7"/>
      <c r="M92" s="7"/>
      <c r="N92" s="4"/>
      <c r="O92" s="4"/>
      <c r="P92" s="4"/>
      <c r="Q92" s="4"/>
      <c r="R92" s="4"/>
    </row>
    <row r="93">
      <c r="A93" s="1"/>
      <c r="B93" s="8"/>
      <c r="C93" s="2"/>
      <c r="D93" s="2"/>
      <c r="E93" s="2"/>
      <c r="F93" s="2"/>
      <c r="G93" s="7"/>
      <c r="H93" s="7"/>
      <c r="I93" s="7"/>
      <c r="J93" s="7"/>
      <c r="K93" s="7"/>
      <c r="L93" s="7"/>
      <c r="M93" s="7"/>
      <c r="N93" s="4"/>
      <c r="O93" s="4"/>
      <c r="P93" s="4"/>
      <c r="Q93" s="4"/>
      <c r="R93" s="4"/>
    </row>
    <row r="94">
      <c r="A94" s="1"/>
      <c r="B94" s="8"/>
      <c r="C94" s="2"/>
      <c r="D94" s="2"/>
      <c r="E94" s="2"/>
      <c r="F94" s="2"/>
      <c r="G94" s="7"/>
      <c r="H94" s="7"/>
      <c r="I94" s="7"/>
      <c r="J94" s="7"/>
      <c r="K94" s="7"/>
      <c r="L94" s="7"/>
      <c r="M94" s="7"/>
      <c r="N94" s="4"/>
      <c r="O94" s="4"/>
      <c r="P94" s="4"/>
      <c r="Q94" s="4"/>
      <c r="R94" s="4"/>
    </row>
    <row r="95">
      <c r="A95" s="1"/>
      <c r="B95" s="8"/>
      <c r="C95" s="2"/>
      <c r="D95" s="2"/>
      <c r="E95" s="2"/>
      <c r="F95" s="2"/>
      <c r="G95" s="7"/>
      <c r="H95" s="7"/>
      <c r="I95" s="7"/>
      <c r="J95" s="7"/>
      <c r="K95" s="7"/>
      <c r="L95" s="7"/>
      <c r="M95" s="7"/>
      <c r="N95" s="4"/>
      <c r="O95" s="4"/>
      <c r="P95" s="4"/>
      <c r="Q95" s="4"/>
      <c r="R95" s="4"/>
    </row>
    <row r="96">
      <c r="A96" s="1"/>
      <c r="B96" s="8"/>
      <c r="C96" s="2"/>
      <c r="D96" s="2"/>
      <c r="E96" s="2"/>
      <c r="F96" s="2"/>
      <c r="G96" s="7"/>
      <c r="H96" s="7"/>
      <c r="I96" s="7"/>
      <c r="J96" s="7"/>
      <c r="K96" s="7"/>
      <c r="L96" s="7"/>
      <c r="M96" s="7"/>
      <c r="N96" s="4"/>
      <c r="O96" s="4"/>
      <c r="P96" s="4"/>
      <c r="Q96" s="4"/>
      <c r="R96" s="4"/>
    </row>
    <row r="97">
      <c r="A97" s="1"/>
      <c r="B97" s="8"/>
      <c r="C97" s="2"/>
      <c r="D97" s="2"/>
      <c r="E97" s="2"/>
      <c r="F97" s="2"/>
      <c r="G97" s="7"/>
      <c r="H97" s="7"/>
      <c r="I97" s="7"/>
      <c r="J97" s="7"/>
      <c r="K97" s="7"/>
      <c r="L97" s="7"/>
      <c r="M97" s="7"/>
      <c r="N97" s="4"/>
      <c r="O97" s="4"/>
      <c r="P97" s="4"/>
      <c r="Q97" s="4"/>
      <c r="R97" s="4"/>
    </row>
    <row r="98">
      <c r="A98" s="1"/>
      <c r="B98" s="8"/>
      <c r="C98" s="2"/>
      <c r="D98" s="2"/>
      <c r="E98" s="2"/>
      <c r="F98" s="2"/>
      <c r="G98" s="7"/>
      <c r="H98" s="7"/>
      <c r="I98" s="7"/>
      <c r="J98" s="7"/>
      <c r="K98" s="7"/>
      <c r="L98" s="7"/>
      <c r="M98" s="7"/>
      <c r="N98" s="4"/>
      <c r="O98" s="4"/>
      <c r="P98" s="4"/>
      <c r="Q98" s="4"/>
      <c r="R98" s="4"/>
    </row>
    <row r="99">
      <c r="A99" s="1"/>
      <c r="B99" s="8"/>
      <c r="C99" s="2"/>
      <c r="D99" s="2"/>
      <c r="E99" s="2"/>
      <c r="F99" s="2"/>
      <c r="G99" s="7"/>
      <c r="H99" s="7"/>
      <c r="I99" s="7"/>
      <c r="J99" s="7"/>
      <c r="K99" s="7"/>
      <c r="L99" s="7"/>
      <c r="M99" s="7"/>
      <c r="N99" s="4"/>
      <c r="O99" s="4"/>
      <c r="P99" s="4"/>
      <c r="Q99" s="4"/>
      <c r="R99" s="4"/>
    </row>
    <row r="100">
      <c r="A100" s="1"/>
      <c r="B100" s="8"/>
      <c r="C100" s="2"/>
      <c r="D100" s="2"/>
      <c r="E100" s="2"/>
      <c r="F100" s="2"/>
      <c r="G100" s="7"/>
      <c r="H100" s="7"/>
      <c r="I100" s="7"/>
      <c r="J100" s="7"/>
      <c r="K100" s="7"/>
      <c r="L100" s="7"/>
      <c r="M100" s="7"/>
      <c r="N100" s="4"/>
      <c r="O100" s="4"/>
      <c r="P100" s="4"/>
      <c r="Q100" s="4"/>
      <c r="R100" s="4"/>
    </row>
    <row r="101">
      <c r="A101" s="1"/>
      <c r="B101" s="8"/>
      <c r="C101" s="2"/>
      <c r="D101" s="2"/>
      <c r="E101" s="2"/>
      <c r="F101" s="2"/>
      <c r="G101" s="7"/>
      <c r="H101" s="7"/>
      <c r="I101" s="7"/>
      <c r="J101" s="7"/>
      <c r="K101" s="7"/>
      <c r="L101" s="7"/>
      <c r="M101" s="7"/>
      <c r="N101" s="4"/>
      <c r="O101" s="4"/>
      <c r="P101" s="4"/>
      <c r="Q101" s="4"/>
      <c r="R101" s="4"/>
    </row>
    <row r="102">
      <c r="A102" s="1"/>
      <c r="B102" s="8"/>
      <c r="C102" s="2"/>
      <c r="D102" s="2"/>
      <c r="E102" s="2"/>
      <c r="F102" s="2"/>
      <c r="G102" s="7"/>
      <c r="H102" s="7"/>
      <c r="I102" s="7"/>
      <c r="J102" s="7"/>
      <c r="K102" s="7"/>
      <c r="L102" s="7"/>
      <c r="M102" s="7"/>
      <c r="N102" s="4"/>
      <c r="O102" s="4"/>
      <c r="P102" s="4"/>
      <c r="Q102" s="4"/>
      <c r="R102" s="4"/>
    </row>
    <row r="103">
      <c r="A103" s="1"/>
      <c r="B103" s="8"/>
      <c r="C103" s="2"/>
      <c r="D103" s="2"/>
      <c r="E103" s="2"/>
      <c r="F103" s="2"/>
      <c r="G103" s="7"/>
      <c r="H103" s="7"/>
      <c r="I103" s="7"/>
      <c r="J103" s="7"/>
      <c r="K103" s="7"/>
      <c r="L103" s="7"/>
      <c r="M103" s="7"/>
      <c r="N103" s="4"/>
      <c r="O103" s="4"/>
      <c r="P103" s="4"/>
      <c r="Q103" s="4"/>
      <c r="R103" s="4"/>
    </row>
    <row r="104">
      <c r="A104" s="1"/>
      <c r="B104" s="8"/>
      <c r="C104" s="2"/>
      <c r="D104" s="2"/>
      <c r="E104" s="2"/>
      <c r="F104" s="2"/>
      <c r="G104" s="7"/>
      <c r="H104" s="7"/>
      <c r="I104" s="7"/>
      <c r="J104" s="7"/>
      <c r="K104" s="7"/>
      <c r="L104" s="7"/>
      <c r="M104" s="7"/>
      <c r="N104" s="4"/>
      <c r="O104" s="4"/>
      <c r="P104" s="4"/>
      <c r="Q104" s="4"/>
      <c r="R104" s="4"/>
    </row>
    <row r="105">
      <c r="A105" s="1"/>
      <c r="B105" s="8"/>
      <c r="C105" s="2"/>
      <c r="D105" s="2"/>
      <c r="E105" s="2"/>
      <c r="F105" s="2"/>
      <c r="G105" s="7"/>
      <c r="H105" s="7"/>
      <c r="I105" s="7"/>
      <c r="J105" s="7"/>
      <c r="K105" s="7"/>
      <c r="L105" s="7"/>
      <c r="M105" s="7"/>
      <c r="N105" s="4"/>
      <c r="O105" s="4"/>
      <c r="P105" s="4"/>
      <c r="Q105" s="4"/>
      <c r="R105" s="4"/>
    </row>
    <row r="106">
      <c r="A106" s="1"/>
      <c r="B106" s="8"/>
      <c r="C106" s="2"/>
      <c r="D106" s="2"/>
      <c r="E106" s="2"/>
      <c r="F106" s="2"/>
      <c r="G106" s="7"/>
      <c r="H106" s="7"/>
      <c r="I106" s="7"/>
      <c r="J106" s="7"/>
      <c r="K106" s="7"/>
      <c r="L106" s="7"/>
      <c r="M106" s="7"/>
      <c r="N106" s="4"/>
      <c r="O106" s="4"/>
      <c r="P106" s="4"/>
      <c r="Q106" s="4"/>
      <c r="R106" s="4"/>
    </row>
    <row r="107">
      <c r="A107" s="1"/>
      <c r="B107" s="8"/>
      <c r="C107" s="2"/>
      <c r="D107" s="2"/>
      <c r="E107" s="2"/>
      <c r="F107" s="2"/>
      <c r="G107" s="7"/>
      <c r="H107" s="7"/>
      <c r="I107" s="7"/>
      <c r="J107" s="7"/>
      <c r="K107" s="7"/>
      <c r="L107" s="7"/>
      <c r="M107" s="7"/>
      <c r="N107" s="4"/>
      <c r="O107" s="4"/>
      <c r="P107" s="4"/>
      <c r="Q107" s="4"/>
      <c r="R107" s="4"/>
    </row>
    <row r="108">
      <c r="A108" s="1"/>
      <c r="B108" s="8"/>
      <c r="C108" s="2"/>
      <c r="D108" s="2"/>
      <c r="E108" s="2"/>
      <c r="F108" s="2"/>
      <c r="G108" s="7"/>
      <c r="H108" s="7"/>
      <c r="I108" s="7"/>
      <c r="J108" s="7"/>
      <c r="K108" s="7"/>
      <c r="L108" s="7"/>
      <c r="M108" s="7"/>
      <c r="N108" s="4"/>
      <c r="O108" s="4"/>
      <c r="P108" s="4"/>
      <c r="Q108" s="4"/>
      <c r="R108" s="4"/>
    </row>
    <row r="109">
      <c r="A109" s="1"/>
      <c r="B109" s="8"/>
      <c r="C109" s="2"/>
      <c r="D109" s="2"/>
      <c r="E109" s="2"/>
      <c r="F109" s="2"/>
      <c r="G109" s="7"/>
      <c r="H109" s="7"/>
      <c r="I109" s="7"/>
      <c r="J109" s="7"/>
      <c r="K109" s="7"/>
      <c r="L109" s="7"/>
      <c r="M109" s="7"/>
      <c r="N109" s="4"/>
      <c r="O109" s="4"/>
      <c r="P109" s="4"/>
      <c r="Q109" s="4"/>
      <c r="R109" s="4"/>
    </row>
    <row r="110">
      <c r="A110" s="1"/>
      <c r="B110" s="8"/>
      <c r="C110" s="2"/>
      <c r="D110" s="2"/>
      <c r="E110" s="2"/>
      <c r="F110" s="2"/>
      <c r="G110" s="7"/>
      <c r="H110" s="7"/>
      <c r="I110" s="7"/>
      <c r="J110" s="7"/>
      <c r="K110" s="7"/>
      <c r="L110" s="7"/>
      <c r="M110" s="7"/>
      <c r="N110" s="4"/>
      <c r="O110" s="4"/>
      <c r="P110" s="4"/>
      <c r="Q110" s="4"/>
      <c r="R110" s="4"/>
    </row>
    <row r="111">
      <c r="A111" s="1"/>
      <c r="B111" s="8"/>
      <c r="C111" s="2"/>
      <c r="D111" s="2"/>
      <c r="E111" s="2"/>
      <c r="F111" s="2"/>
      <c r="G111" s="7"/>
      <c r="H111" s="7"/>
      <c r="I111" s="7"/>
      <c r="J111" s="7"/>
      <c r="K111" s="7"/>
      <c r="L111" s="7"/>
      <c r="M111" s="7"/>
      <c r="N111" s="4"/>
      <c r="O111" s="4"/>
      <c r="P111" s="4"/>
      <c r="Q111" s="4"/>
      <c r="R111" s="4"/>
    </row>
    <row r="112">
      <c r="A112" s="1"/>
      <c r="B112" s="8"/>
      <c r="C112" s="2"/>
      <c r="D112" s="2"/>
      <c r="E112" s="2"/>
      <c r="F112" s="2"/>
      <c r="G112" s="7"/>
      <c r="H112" s="7"/>
      <c r="I112" s="7"/>
      <c r="J112" s="7"/>
      <c r="K112" s="7"/>
      <c r="L112" s="7"/>
      <c r="M112" s="7"/>
      <c r="N112" s="4"/>
      <c r="O112" s="4"/>
      <c r="P112" s="4"/>
      <c r="Q112" s="4"/>
      <c r="R112" s="4"/>
    </row>
    <row r="113">
      <c r="A113" s="1"/>
      <c r="B113" s="8"/>
      <c r="C113" s="2"/>
      <c r="D113" s="2"/>
      <c r="E113" s="2"/>
      <c r="F113" s="2"/>
      <c r="G113" s="7"/>
      <c r="H113" s="7"/>
      <c r="I113" s="7"/>
      <c r="J113" s="7"/>
      <c r="K113" s="7"/>
      <c r="L113" s="7"/>
      <c r="M113" s="7"/>
      <c r="N113" s="4"/>
      <c r="O113" s="4"/>
      <c r="P113" s="4"/>
      <c r="Q113" s="4"/>
      <c r="R113" s="4"/>
    </row>
    <row r="114">
      <c r="A114" s="1"/>
      <c r="B114" s="8"/>
      <c r="C114" s="2"/>
      <c r="D114" s="2"/>
      <c r="E114" s="2"/>
      <c r="F114" s="2"/>
      <c r="G114" s="7"/>
      <c r="H114" s="7"/>
      <c r="I114" s="7"/>
      <c r="J114" s="7"/>
      <c r="K114" s="7"/>
      <c r="L114" s="7"/>
      <c r="M114" s="7"/>
      <c r="N114" s="4"/>
      <c r="O114" s="4"/>
      <c r="P114" s="4"/>
      <c r="Q114" s="4"/>
      <c r="R114" s="4"/>
    </row>
    <row r="115">
      <c r="A115" s="1"/>
      <c r="B115" s="8"/>
      <c r="C115" s="2"/>
      <c r="D115" s="2"/>
      <c r="E115" s="2"/>
      <c r="F115" s="2"/>
      <c r="G115" s="7"/>
      <c r="H115" s="7"/>
      <c r="I115" s="7"/>
      <c r="J115" s="7"/>
      <c r="K115" s="7"/>
      <c r="L115" s="7"/>
      <c r="M115" s="7"/>
      <c r="N115" s="4"/>
      <c r="O115" s="4"/>
      <c r="P115" s="4"/>
      <c r="Q115" s="4"/>
      <c r="R115" s="4"/>
    </row>
    <row r="116">
      <c r="A116" s="1"/>
      <c r="B116" s="8"/>
      <c r="C116" s="2"/>
      <c r="D116" s="2"/>
      <c r="E116" s="2"/>
      <c r="F116" s="2"/>
      <c r="G116" s="7"/>
      <c r="H116" s="7"/>
      <c r="I116" s="7"/>
      <c r="J116" s="7"/>
      <c r="K116" s="7"/>
      <c r="L116" s="7"/>
      <c r="M116" s="7"/>
      <c r="N116" s="4"/>
      <c r="O116" s="4"/>
      <c r="P116" s="4"/>
      <c r="Q116" s="4"/>
      <c r="R116" s="4"/>
    </row>
    <row r="117">
      <c r="A117" s="1"/>
      <c r="B117" s="8"/>
      <c r="C117" s="2"/>
      <c r="D117" s="2"/>
      <c r="E117" s="2"/>
      <c r="F117" s="2"/>
      <c r="G117" s="7"/>
      <c r="H117" s="7"/>
      <c r="I117" s="7"/>
      <c r="J117" s="7"/>
      <c r="K117" s="7"/>
      <c r="L117" s="7"/>
      <c r="M117" s="7"/>
      <c r="N117" s="4"/>
      <c r="O117" s="4"/>
      <c r="P117" s="4"/>
      <c r="Q117" s="4"/>
      <c r="R117" s="4"/>
    </row>
    <row r="118">
      <c r="A118" s="1"/>
      <c r="B118" s="8"/>
      <c r="C118" s="2"/>
      <c r="D118" s="2"/>
      <c r="E118" s="2"/>
      <c r="F118" s="2"/>
      <c r="G118" s="7"/>
      <c r="H118" s="7"/>
      <c r="I118" s="7"/>
      <c r="J118" s="7"/>
      <c r="K118" s="7"/>
      <c r="L118" s="7"/>
      <c r="M118" s="7"/>
      <c r="N118" s="4"/>
      <c r="O118" s="4"/>
      <c r="P118" s="4"/>
      <c r="Q118" s="4"/>
      <c r="R118" s="4"/>
    </row>
    <row r="119">
      <c r="A119" s="1"/>
      <c r="B119" s="8"/>
      <c r="C119" s="2"/>
      <c r="D119" s="2"/>
      <c r="E119" s="2"/>
      <c r="F119" s="2"/>
      <c r="G119" s="7"/>
      <c r="H119" s="7"/>
      <c r="I119" s="7"/>
      <c r="J119" s="7"/>
      <c r="K119" s="7"/>
      <c r="L119" s="7"/>
      <c r="M119" s="7"/>
      <c r="N119" s="4"/>
      <c r="O119" s="4"/>
      <c r="P119" s="4"/>
      <c r="Q119" s="4"/>
      <c r="R119" s="4"/>
    </row>
    <row r="120">
      <c r="A120" s="1"/>
      <c r="B120" s="8"/>
      <c r="C120" s="2"/>
      <c r="D120" s="2"/>
      <c r="E120" s="2"/>
      <c r="F120" s="2"/>
      <c r="G120" s="7"/>
      <c r="H120" s="7"/>
      <c r="I120" s="7"/>
      <c r="J120" s="7"/>
      <c r="K120" s="7"/>
      <c r="L120" s="7"/>
      <c r="M120" s="7"/>
      <c r="N120" s="4"/>
      <c r="O120" s="4"/>
      <c r="P120" s="4"/>
      <c r="Q120" s="4"/>
      <c r="R120" s="4"/>
    </row>
    <row r="121">
      <c r="A121" s="1"/>
      <c r="B121" s="8"/>
      <c r="C121" s="2"/>
      <c r="D121" s="2"/>
      <c r="E121" s="2"/>
      <c r="F121" s="2"/>
      <c r="G121" s="7"/>
      <c r="H121" s="7"/>
      <c r="I121" s="7"/>
      <c r="J121" s="7"/>
      <c r="K121" s="7"/>
      <c r="L121" s="7"/>
      <c r="M121" s="7"/>
      <c r="N121" s="4"/>
      <c r="O121" s="4"/>
      <c r="P121" s="4"/>
      <c r="Q121" s="4"/>
      <c r="R121" s="4"/>
    </row>
    <row r="122">
      <c r="A122" s="1"/>
      <c r="B122" s="8"/>
      <c r="C122" s="2"/>
      <c r="D122" s="2"/>
      <c r="E122" s="2"/>
      <c r="F122" s="2"/>
      <c r="G122" s="7"/>
      <c r="H122" s="7"/>
      <c r="I122" s="7"/>
      <c r="J122" s="7"/>
      <c r="K122" s="7"/>
      <c r="L122" s="7"/>
      <c r="M122" s="7"/>
      <c r="N122" s="4"/>
      <c r="O122" s="4"/>
      <c r="P122" s="4"/>
      <c r="Q122" s="4"/>
      <c r="R122" s="4"/>
    </row>
    <row r="123">
      <c r="A123" s="1"/>
      <c r="B123" s="8"/>
      <c r="C123" s="2"/>
      <c r="D123" s="2"/>
      <c r="E123" s="2"/>
      <c r="F123" s="2"/>
      <c r="G123" s="7"/>
      <c r="H123" s="7"/>
      <c r="I123" s="7"/>
      <c r="J123" s="7"/>
      <c r="K123" s="7"/>
      <c r="L123" s="7"/>
      <c r="M123" s="7"/>
      <c r="N123" s="4"/>
      <c r="O123" s="4"/>
      <c r="P123" s="4"/>
      <c r="Q123" s="4"/>
      <c r="R123" s="4"/>
    </row>
    <row r="124">
      <c r="A124" s="1"/>
      <c r="B124" s="8"/>
      <c r="C124" s="2"/>
      <c r="D124" s="2"/>
      <c r="E124" s="2"/>
      <c r="F124" s="2"/>
      <c r="G124" s="7"/>
      <c r="H124" s="7"/>
      <c r="I124" s="7"/>
      <c r="J124" s="7"/>
      <c r="K124" s="7"/>
      <c r="L124" s="7"/>
      <c r="M124" s="7"/>
      <c r="N124" s="4"/>
      <c r="O124" s="4"/>
      <c r="P124" s="4"/>
      <c r="Q124" s="4"/>
      <c r="R124" s="4"/>
    </row>
    <row r="125">
      <c r="A125" s="1"/>
      <c r="B125" s="8"/>
      <c r="C125" s="2"/>
      <c r="D125" s="2"/>
      <c r="E125" s="2"/>
      <c r="F125" s="2"/>
      <c r="G125" s="7"/>
      <c r="H125" s="7"/>
      <c r="I125" s="7"/>
      <c r="J125" s="7"/>
      <c r="K125" s="7"/>
      <c r="L125" s="7"/>
      <c r="M125" s="7"/>
      <c r="N125" s="4"/>
      <c r="O125" s="4"/>
      <c r="P125" s="4"/>
      <c r="Q125" s="4"/>
      <c r="R125" s="4"/>
    </row>
    <row r="126">
      <c r="A126" s="1"/>
      <c r="B126" s="8"/>
      <c r="C126" s="2"/>
      <c r="D126" s="2"/>
      <c r="E126" s="2"/>
      <c r="F126" s="2"/>
      <c r="G126" s="7"/>
      <c r="H126" s="7"/>
      <c r="I126" s="7"/>
      <c r="J126" s="7"/>
      <c r="K126" s="7"/>
      <c r="L126" s="7"/>
      <c r="M126" s="7"/>
      <c r="N126" s="4"/>
      <c r="O126" s="4"/>
      <c r="P126" s="4"/>
      <c r="Q126" s="4"/>
      <c r="R126" s="4"/>
    </row>
    <row r="127">
      <c r="A127" s="1"/>
      <c r="B127" s="8"/>
      <c r="C127" s="2"/>
      <c r="D127" s="2"/>
      <c r="E127" s="2"/>
      <c r="F127" s="2"/>
      <c r="G127" s="7"/>
      <c r="H127" s="7"/>
      <c r="I127" s="7"/>
      <c r="J127" s="7"/>
      <c r="K127" s="7"/>
      <c r="L127" s="7"/>
      <c r="M127" s="7"/>
      <c r="N127" s="4"/>
      <c r="O127" s="4"/>
      <c r="P127" s="4"/>
      <c r="Q127" s="4"/>
      <c r="R127" s="4"/>
    </row>
    <row r="128">
      <c r="A128" s="1"/>
      <c r="B128" s="8"/>
      <c r="C128" s="2"/>
      <c r="D128" s="2"/>
      <c r="E128" s="2"/>
      <c r="F128" s="2"/>
      <c r="G128" s="7"/>
      <c r="H128" s="7"/>
      <c r="I128" s="7"/>
      <c r="J128" s="7"/>
      <c r="K128" s="7"/>
      <c r="L128" s="7"/>
      <c r="M128" s="7"/>
      <c r="N128" s="4"/>
      <c r="O128" s="4"/>
      <c r="P128" s="4"/>
      <c r="Q128" s="4"/>
      <c r="R128" s="4"/>
    </row>
    <row r="129">
      <c r="A129" s="1"/>
      <c r="B129" s="8"/>
      <c r="C129" s="2"/>
      <c r="D129" s="2"/>
      <c r="E129" s="2"/>
      <c r="F129" s="2"/>
      <c r="G129" s="7"/>
      <c r="H129" s="7"/>
      <c r="I129" s="7"/>
      <c r="J129" s="7"/>
      <c r="K129" s="7"/>
      <c r="L129" s="7"/>
      <c r="M129" s="7"/>
      <c r="N129" s="4"/>
      <c r="O129" s="4"/>
      <c r="P129" s="4"/>
      <c r="Q129" s="4"/>
      <c r="R129" s="4"/>
    </row>
    <row r="130">
      <c r="A130" s="1"/>
      <c r="B130" s="8"/>
      <c r="C130" s="2"/>
      <c r="D130" s="2"/>
      <c r="E130" s="2"/>
      <c r="F130" s="2"/>
      <c r="G130" s="7"/>
      <c r="H130" s="7"/>
      <c r="I130" s="7"/>
      <c r="J130" s="7"/>
      <c r="K130" s="7"/>
      <c r="L130" s="7"/>
      <c r="M130" s="7"/>
      <c r="N130" s="4"/>
      <c r="O130" s="4"/>
      <c r="P130" s="4"/>
      <c r="Q130" s="4"/>
      <c r="R130" s="4"/>
    </row>
    <row r="131">
      <c r="A131" s="1"/>
      <c r="B131" s="8"/>
      <c r="C131" s="2"/>
      <c r="D131" s="2"/>
      <c r="E131" s="2"/>
      <c r="F131" s="2"/>
      <c r="G131" s="7"/>
      <c r="H131" s="7"/>
      <c r="I131" s="7"/>
      <c r="J131" s="7"/>
      <c r="K131" s="7"/>
      <c r="L131" s="7"/>
      <c r="M131" s="7"/>
      <c r="N131" s="4"/>
      <c r="O131" s="4"/>
      <c r="P131" s="4"/>
      <c r="Q131" s="4"/>
      <c r="R131" s="4"/>
    </row>
    <row r="132">
      <c r="A132" s="1"/>
      <c r="B132" s="8"/>
      <c r="C132" s="2"/>
      <c r="D132" s="2"/>
      <c r="E132" s="2"/>
      <c r="F132" s="2"/>
      <c r="G132" s="7"/>
      <c r="H132" s="7"/>
      <c r="I132" s="7"/>
      <c r="J132" s="7"/>
      <c r="K132" s="7"/>
      <c r="L132" s="7"/>
      <c r="M132" s="7"/>
      <c r="N132" s="4"/>
      <c r="O132" s="4"/>
      <c r="P132" s="4"/>
      <c r="Q132" s="4"/>
      <c r="R132" s="4"/>
    </row>
    <row r="133">
      <c r="A133" s="1"/>
      <c r="B133" s="8"/>
      <c r="C133" s="2"/>
      <c r="D133" s="2"/>
      <c r="E133" s="2"/>
      <c r="F133" s="2"/>
      <c r="G133" s="7"/>
      <c r="H133" s="7"/>
      <c r="I133" s="7"/>
      <c r="J133" s="7"/>
      <c r="K133" s="7"/>
      <c r="L133" s="7"/>
      <c r="M133" s="7"/>
      <c r="N133" s="4"/>
      <c r="O133" s="4"/>
      <c r="P133" s="4"/>
      <c r="Q133" s="4"/>
      <c r="R133" s="4"/>
    </row>
    <row r="134">
      <c r="A134" s="1"/>
      <c r="B134" s="8"/>
      <c r="C134" s="2"/>
      <c r="D134" s="2"/>
      <c r="E134" s="2"/>
      <c r="F134" s="2"/>
      <c r="G134" s="7"/>
      <c r="H134" s="7"/>
      <c r="I134" s="7"/>
      <c r="J134" s="7"/>
      <c r="K134" s="7"/>
      <c r="L134" s="7"/>
      <c r="M134" s="7"/>
      <c r="N134" s="4"/>
      <c r="O134" s="4"/>
      <c r="P134" s="4"/>
      <c r="Q134" s="4"/>
      <c r="R134" s="4"/>
    </row>
    <row r="135">
      <c r="A135" s="1"/>
      <c r="B135" s="8"/>
      <c r="C135" s="2"/>
      <c r="D135" s="2"/>
      <c r="E135" s="2"/>
      <c r="F135" s="2"/>
      <c r="G135" s="7"/>
      <c r="H135" s="7"/>
      <c r="I135" s="7"/>
      <c r="J135" s="7"/>
      <c r="K135" s="7"/>
      <c r="L135" s="7"/>
      <c r="M135" s="7"/>
      <c r="N135" s="4"/>
      <c r="O135" s="4"/>
      <c r="P135" s="4"/>
      <c r="Q135" s="4"/>
      <c r="R135" s="4"/>
    </row>
    <row r="136">
      <c r="A136" s="1"/>
      <c r="B136" s="8"/>
      <c r="C136" s="2"/>
      <c r="D136" s="2"/>
      <c r="E136" s="2"/>
      <c r="F136" s="2"/>
      <c r="G136" s="7"/>
      <c r="H136" s="7"/>
      <c r="I136" s="7"/>
      <c r="J136" s="7"/>
      <c r="K136" s="7"/>
      <c r="L136" s="7"/>
      <c r="M136" s="7"/>
      <c r="N136" s="4"/>
      <c r="O136" s="4"/>
      <c r="P136" s="4"/>
      <c r="Q136" s="4"/>
      <c r="R136" s="4"/>
    </row>
    <row r="137">
      <c r="A137" s="1"/>
      <c r="B137" s="8"/>
      <c r="C137" s="2"/>
      <c r="D137" s="2"/>
      <c r="E137" s="2"/>
      <c r="F137" s="2"/>
      <c r="G137" s="7"/>
      <c r="H137" s="7"/>
      <c r="I137" s="7"/>
      <c r="J137" s="7"/>
      <c r="K137" s="7"/>
      <c r="L137" s="7"/>
      <c r="M137" s="7"/>
      <c r="N137" s="4"/>
      <c r="O137" s="4"/>
      <c r="P137" s="4"/>
      <c r="Q137" s="4"/>
      <c r="R137" s="4"/>
    </row>
    <row r="138">
      <c r="A138" s="1"/>
      <c r="B138" s="8"/>
      <c r="C138" s="2"/>
      <c r="D138" s="2"/>
      <c r="E138" s="2"/>
      <c r="F138" s="2"/>
      <c r="G138" s="7"/>
      <c r="H138" s="7"/>
      <c r="I138" s="7"/>
      <c r="J138" s="7"/>
      <c r="K138" s="7"/>
      <c r="L138" s="7"/>
      <c r="M138" s="7"/>
      <c r="N138" s="4"/>
      <c r="O138" s="4"/>
      <c r="P138" s="4"/>
      <c r="Q138" s="4"/>
      <c r="R138" s="4"/>
    </row>
    <row r="139">
      <c r="A139" s="1"/>
      <c r="B139" s="8"/>
      <c r="C139" s="2"/>
      <c r="D139" s="2"/>
      <c r="E139" s="2"/>
      <c r="F139" s="2"/>
      <c r="G139" s="7"/>
      <c r="H139" s="7"/>
      <c r="I139" s="7"/>
      <c r="J139" s="7"/>
      <c r="K139" s="7"/>
      <c r="L139" s="7"/>
      <c r="M139" s="7"/>
      <c r="N139" s="4"/>
      <c r="O139" s="4"/>
      <c r="P139" s="4"/>
      <c r="Q139" s="4"/>
      <c r="R139" s="4"/>
    </row>
    <row r="140">
      <c r="A140" s="1"/>
      <c r="B140" s="8"/>
      <c r="C140" s="2"/>
      <c r="D140" s="2"/>
      <c r="E140" s="2"/>
      <c r="F140" s="2"/>
      <c r="G140" s="7"/>
      <c r="H140" s="7"/>
      <c r="I140" s="7"/>
      <c r="J140" s="7"/>
      <c r="K140" s="7"/>
      <c r="L140" s="7"/>
      <c r="M140" s="7"/>
      <c r="N140" s="4"/>
      <c r="O140" s="4"/>
      <c r="P140" s="4"/>
      <c r="Q140" s="4"/>
      <c r="R140" s="4"/>
    </row>
    <row r="141">
      <c r="A141" s="1"/>
      <c r="B141" s="8"/>
      <c r="C141" s="2"/>
      <c r="D141" s="2"/>
      <c r="E141" s="2"/>
      <c r="F141" s="2"/>
      <c r="G141" s="7"/>
      <c r="H141" s="7"/>
      <c r="I141" s="7"/>
      <c r="J141" s="7"/>
      <c r="K141" s="7"/>
      <c r="L141" s="7"/>
      <c r="M141" s="7"/>
      <c r="N141" s="4"/>
      <c r="O141" s="4"/>
      <c r="P141" s="4"/>
      <c r="Q141" s="4"/>
      <c r="R141" s="4"/>
    </row>
    <row r="142">
      <c r="A142" s="1"/>
      <c r="B142" s="8"/>
      <c r="C142" s="2"/>
      <c r="D142" s="2"/>
      <c r="E142" s="2"/>
      <c r="F142" s="2"/>
      <c r="G142" s="7"/>
      <c r="H142" s="7"/>
      <c r="I142" s="7"/>
      <c r="J142" s="7"/>
      <c r="K142" s="7"/>
      <c r="L142" s="7"/>
      <c r="M142" s="7"/>
      <c r="N142" s="4"/>
      <c r="O142" s="4"/>
      <c r="P142" s="4"/>
      <c r="Q142" s="4"/>
      <c r="R142" s="4"/>
    </row>
    <row r="143">
      <c r="A143" s="1"/>
      <c r="B143" s="8"/>
      <c r="C143" s="2"/>
      <c r="D143" s="2"/>
      <c r="E143" s="2"/>
      <c r="F143" s="2"/>
      <c r="G143" s="7"/>
      <c r="H143" s="7"/>
      <c r="I143" s="7"/>
      <c r="J143" s="7"/>
      <c r="K143" s="7"/>
      <c r="L143" s="7"/>
      <c r="M143" s="7"/>
      <c r="N143" s="4"/>
      <c r="O143" s="4"/>
      <c r="P143" s="4"/>
      <c r="Q143" s="4"/>
      <c r="R143" s="4"/>
    </row>
    <row r="144">
      <c r="A144" s="1"/>
      <c r="B144" s="8"/>
      <c r="C144" s="2"/>
      <c r="D144" s="2"/>
      <c r="E144" s="2"/>
      <c r="F144" s="2"/>
      <c r="G144" s="7"/>
      <c r="H144" s="7"/>
      <c r="I144" s="7"/>
      <c r="J144" s="7"/>
      <c r="K144" s="7"/>
      <c r="L144" s="7"/>
      <c r="M144" s="7"/>
      <c r="N144" s="4"/>
      <c r="O144" s="4"/>
      <c r="P144" s="4"/>
      <c r="Q144" s="4"/>
      <c r="R144" s="4"/>
    </row>
    <row r="145">
      <c r="A145" s="1"/>
      <c r="B145" s="8"/>
      <c r="C145" s="2"/>
      <c r="D145" s="2"/>
      <c r="E145" s="2"/>
      <c r="F145" s="2"/>
      <c r="G145" s="7"/>
      <c r="H145" s="7"/>
      <c r="I145" s="7"/>
      <c r="J145" s="7"/>
      <c r="K145" s="7"/>
      <c r="L145" s="7"/>
      <c r="M145" s="7"/>
      <c r="N145" s="4"/>
      <c r="O145" s="4"/>
      <c r="P145" s="4"/>
      <c r="Q145" s="4"/>
      <c r="R145" s="4"/>
    </row>
    <row r="146">
      <c r="A146" s="1"/>
      <c r="B146" s="8"/>
      <c r="C146" s="2"/>
      <c r="D146" s="2"/>
      <c r="E146" s="2"/>
      <c r="F146" s="2"/>
      <c r="G146" s="7"/>
      <c r="H146" s="7"/>
      <c r="I146" s="7"/>
      <c r="J146" s="7"/>
      <c r="K146" s="7"/>
      <c r="L146" s="7"/>
      <c r="M146" s="7"/>
      <c r="N146" s="4"/>
      <c r="O146" s="4"/>
      <c r="P146" s="4"/>
      <c r="Q146" s="4"/>
      <c r="R146" s="4"/>
    </row>
    <row r="147">
      <c r="A147" s="1"/>
      <c r="B147" s="8"/>
      <c r="C147" s="2"/>
      <c r="D147" s="2"/>
      <c r="E147" s="2"/>
      <c r="F147" s="2"/>
      <c r="G147" s="7"/>
      <c r="H147" s="7"/>
      <c r="I147" s="7"/>
      <c r="J147" s="7"/>
      <c r="K147" s="7"/>
      <c r="L147" s="7"/>
      <c r="M147" s="7"/>
      <c r="N147" s="4"/>
      <c r="O147" s="4"/>
      <c r="P147" s="4"/>
      <c r="Q147" s="4"/>
      <c r="R147" s="4"/>
    </row>
    <row r="148">
      <c r="A148" s="1"/>
      <c r="B148" s="8"/>
      <c r="C148" s="2"/>
      <c r="D148" s="2"/>
      <c r="E148" s="2"/>
      <c r="F148" s="2"/>
      <c r="G148" s="7"/>
      <c r="H148" s="7"/>
      <c r="I148" s="7"/>
      <c r="J148" s="7"/>
      <c r="K148" s="7"/>
      <c r="L148" s="7"/>
      <c r="M148" s="7"/>
      <c r="N148" s="4"/>
      <c r="O148" s="4"/>
      <c r="P148" s="4"/>
      <c r="Q148" s="4"/>
      <c r="R148" s="4"/>
    </row>
    <row r="149">
      <c r="A149" s="1"/>
      <c r="B149" s="8"/>
      <c r="C149" s="2"/>
      <c r="D149" s="2"/>
      <c r="E149" s="2"/>
      <c r="F149" s="2"/>
      <c r="G149" s="7"/>
      <c r="H149" s="7"/>
      <c r="I149" s="7"/>
      <c r="J149" s="7"/>
      <c r="K149" s="7"/>
      <c r="L149" s="7"/>
      <c r="M149" s="7"/>
      <c r="N149" s="4"/>
      <c r="O149" s="4"/>
      <c r="P149" s="4"/>
      <c r="Q149" s="4"/>
      <c r="R149" s="4"/>
    </row>
    <row r="150">
      <c r="A150" s="1"/>
      <c r="B150" s="8"/>
      <c r="C150" s="2"/>
      <c r="D150" s="2"/>
      <c r="E150" s="2"/>
      <c r="F150" s="2"/>
      <c r="G150" s="7"/>
      <c r="H150" s="7"/>
      <c r="I150" s="7"/>
      <c r="J150" s="7"/>
      <c r="K150" s="7"/>
      <c r="L150" s="7"/>
      <c r="M150" s="7"/>
      <c r="N150" s="4"/>
      <c r="O150" s="4"/>
      <c r="P150" s="4"/>
      <c r="Q150" s="4"/>
      <c r="R150" s="4"/>
    </row>
    <row r="151">
      <c r="A151" s="1"/>
      <c r="B151" s="8"/>
      <c r="C151" s="2"/>
      <c r="D151" s="2"/>
      <c r="E151" s="2"/>
      <c r="F151" s="2"/>
      <c r="G151" s="7"/>
      <c r="H151" s="7"/>
      <c r="I151" s="7"/>
      <c r="J151" s="7"/>
      <c r="K151" s="7"/>
      <c r="L151" s="7"/>
      <c r="M151" s="7"/>
      <c r="N151" s="4"/>
      <c r="O151" s="4"/>
      <c r="P151" s="4"/>
      <c r="Q151" s="4"/>
      <c r="R151" s="4"/>
    </row>
    <row r="152">
      <c r="A152" s="1"/>
      <c r="B152" s="8"/>
      <c r="C152" s="2"/>
      <c r="D152" s="2"/>
      <c r="E152" s="2"/>
      <c r="F152" s="2"/>
      <c r="G152" s="7"/>
      <c r="H152" s="7"/>
      <c r="I152" s="7"/>
      <c r="J152" s="7"/>
      <c r="K152" s="7"/>
      <c r="L152" s="7"/>
      <c r="M152" s="7"/>
      <c r="N152" s="4"/>
      <c r="O152" s="4"/>
      <c r="P152" s="4"/>
      <c r="Q152" s="4"/>
      <c r="R152" s="4"/>
    </row>
    <row r="153">
      <c r="A153" s="1"/>
      <c r="B153" s="8"/>
      <c r="C153" s="2"/>
      <c r="D153" s="2"/>
      <c r="E153" s="2"/>
      <c r="F153" s="2"/>
      <c r="G153" s="7"/>
      <c r="H153" s="7"/>
      <c r="I153" s="7"/>
      <c r="J153" s="7"/>
      <c r="K153" s="7"/>
      <c r="L153" s="7"/>
      <c r="M153" s="7"/>
      <c r="N153" s="4"/>
      <c r="O153" s="4"/>
      <c r="P153" s="4"/>
      <c r="Q153" s="4"/>
      <c r="R153" s="4"/>
    </row>
    <row r="154">
      <c r="A154" s="1"/>
      <c r="B154" s="8"/>
      <c r="C154" s="2"/>
      <c r="D154" s="2"/>
      <c r="E154" s="2"/>
      <c r="F154" s="2"/>
      <c r="G154" s="7"/>
      <c r="H154" s="7"/>
      <c r="I154" s="7"/>
      <c r="J154" s="7"/>
      <c r="K154" s="7"/>
      <c r="L154" s="7"/>
      <c r="M154" s="7"/>
      <c r="N154" s="4"/>
      <c r="O154" s="4"/>
      <c r="P154" s="4"/>
      <c r="Q154" s="4"/>
      <c r="R154" s="4"/>
    </row>
    <row r="155">
      <c r="A155" s="1"/>
      <c r="B155" s="8"/>
      <c r="C155" s="2"/>
      <c r="D155" s="2"/>
      <c r="E155" s="2"/>
      <c r="F155" s="2"/>
      <c r="G155" s="7"/>
      <c r="H155" s="7"/>
      <c r="I155" s="7"/>
      <c r="J155" s="7"/>
      <c r="K155" s="7"/>
      <c r="L155" s="7"/>
      <c r="M155" s="7"/>
      <c r="N155" s="4"/>
      <c r="O155" s="4"/>
      <c r="P155" s="4"/>
      <c r="Q155" s="4"/>
      <c r="R155" s="4"/>
    </row>
    <row r="156">
      <c r="A156" s="1"/>
      <c r="B156" s="8"/>
      <c r="C156" s="2"/>
      <c r="D156" s="2"/>
      <c r="E156" s="2"/>
      <c r="F156" s="2"/>
      <c r="G156" s="7"/>
      <c r="H156" s="7"/>
      <c r="I156" s="7"/>
      <c r="J156" s="7"/>
      <c r="K156" s="7"/>
      <c r="L156" s="7"/>
      <c r="M156" s="7"/>
      <c r="N156" s="4"/>
      <c r="O156" s="4"/>
      <c r="P156" s="4"/>
      <c r="Q156" s="4"/>
      <c r="R156" s="4"/>
    </row>
    <row r="157">
      <c r="A157" s="1"/>
      <c r="B157" s="8"/>
      <c r="C157" s="2"/>
      <c r="D157" s="2"/>
      <c r="E157" s="2"/>
      <c r="F157" s="2"/>
      <c r="G157" s="7"/>
      <c r="H157" s="7"/>
      <c r="I157" s="7"/>
      <c r="J157" s="7"/>
      <c r="K157" s="7"/>
      <c r="L157" s="7"/>
      <c r="M157" s="7"/>
      <c r="N157" s="4"/>
      <c r="O157" s="4"/>
      <c r="P157" s="4"/>
      <c r="Q157" s="4"/>
      <c r="R157" s="4"/>
    </row>
    <row r="158">
      <c r="A158" s="1"/>
      <c r="B158" s="8"/>
      <c r="C158" s="2"/>
      <c r="D158" s="2"/>
      <c r="E158" s="2"/>
      <c r="F158" s="2"/>
      <c r="G158" s="7"/>
      <c r="H158" s="7"/>
      <c r="I158" s="7"/>
      <c r="J158" s="7"/>
      <c r="K158" s="7"/>
      <c r="L158" s="7"/>
      <c r="M158" s="7"/>
      <c r="N158" s="4"/>
      <c r="O158" s="4"/>
      <c r="P158" s="4"/>
      <c r="Q158" s="4"/>
      <c r="R158" s="4"/>
    </row>
    <row r="159">
      <c r="A159" s="1"/>
      <c r="B159" s="8"/>
      <c r="C159" s="2"/>
      <c r="D159" s="2"/>
      <c r="E159" s="2"/>
      <c r="F159" s="2"/>
      <c r="G159" s="7"/>
      <c r="H159" s="7"/>
      <c r="I159" s="7"/>
      <c r="J159" s="7"/>
      <c r="K159" s="7"/>
      <c r="L159" s="7"/>
      <c r="M159" s="7"/>
      <c r="N159" s="4"/>
      <c r="O159" s="4"/>
      <c r="P159" s="4"/>
      <c r="Q159" s="4"/>
      <c r="R159" s="4"/>
    </row>
    <row r="160">
      <c r="A160" s="1"/>
      <c r="B160" s="8"/>
      <c r="C160" s="2"/>
      <c r="D160" s="2"/>
      <c r="E160" s="2"/>
      <c r="F160" s="2"/>
      <c r="G160" s="7"/>
      <c r="H160" s="7"/>
      <c r="I160" s="7"/>
      <c r="J160" s="7"/>
      <c r="K160" s="7"/>
      <c r="L160" s="7"/>
      <c r="M160" s="7"/>
      <c r="N160" s="4"/>
      <c r="O160" s="4"/>
      <c r="P160" s="4"/>
      <c r="Q160" s="4"/>
      <c r="R160" s="4"/>
    </row>
    <row r="161">
      <c r="A161" s="1"/>
      <c r="B161" s="8"/>
      <c r="C161" s="2"/>
      <c r="D161" s="2"/>
      <c r="E161" s="2"/>
      <c r="F161" s="2"/>
      <c r="G161" s="7"/>
      <c r="H161" s="7"/>
      <c r="I161" s="7"/>
      <c r="J161" s="7"/>
      <c r="K161" s="7"/>
      <c r="L161" s="7"/>
      <c r="M161" s="7"/>
      <c r="N161" s="4"/>
      <c r="O161" s="4"/>
      <c r="P161" s="4"/>
      <c r="Q161" s="4"/>
      <c r="R161" s="4"/>
    </row>
    <row r="162">
      <c r="A162" s="1"/>
      <c r="B162" s="8"/>
      <c r="C162" s="2"/>
      <c r="D162" s="2"/>
      <c r="E162" s="2"/>
      <c r="F162" s="2"/>
      <c r="G162" s="7"/>
      <c r="H162" s="7"/>
      <c r="I162" s="7"/>
      <c r="J162" s="7"/>
      <c r="K162" s="7"/>
      <c r="L162" s="7"/>
      <c r="M162" s="7"/>
      <c r="N162" s="4"/>
      <c r="O162" s="4"/>
      <c r="P162" s="4"/>
      <c r="Q162" s="4"/>
      <c r="R162" s="4"/>
    </row>
    <row r="163">
      <c r="A163" s="1"/>
      <c r="B163" s="8"/>
      <c r="C163" s="2"/>
      <c r="D163" s="2"/>
      <c r="E163" s="2"/>
      <c r="F163" s="2"/>
      <c r="G163" s="7"/>
      <c r="H163" s="7"/>
      <c r="I163" s="7"/>
      <c r="J163" s="7"/>
      <c r="K163" s="7"/>
      <c r="L163" s="7"/>
      <c r="M163" s="7"/>
      <c r="N163" s="4"/>
      <c r="O163" s="4"/>
      <c r="P163" s="4"/>
      <c r="Q163" s="4"/>
      <c r="R163" s="4"/>
    </row>
    <row r="164">
      <c r="A164" s="1"/>
      <c r="B164" s="8"/>
      <c r="C164" s="2"/>
      <c r="D164" s="2"/>
      <c r="E164" s="2"/>
      <c r="F164" s="2"/>
      <c r="G164" s="7"/>
      <c r="H164" s="7"/>
      <c r="I164" s="7"/>
      <c r="J164" s="7"/>
      <c r="K164" s="7"/>
      <c r="L164" s="7"/>
      <c r="M164" s="7"/>
      <c r="N164" s="4"/>
      <c r="O164" s="4"/>
      <c r="P164" s="4"/>
      <c r="Q164" s="4"/>
      <c r="R164" s="4"/>
    </row>
    <row r="165">
      <c r="A165" s="1"/>
      <c r="B165" s="8"/>
      <c r="C165" s="2"/>
      <c r="D165" s="2"/>
      <c r="E165" s="2"/>
      <c r="F165" s="2"/>
      <c r="G165" s="7"/>
      <c r="H165" s="7"/>
      <c r="I165" s="7"/>
      <c r="J165" s="7"/>
      <c r="K165" s="7"/>
      <c r="L165" s="7"/>
      <c r="M165" s="7"/>
      <c r="N165" s="4"/>
      <c r="O165" s="4"/>
      <c r="P165" s="4"/>
      <c r="Q165" s="4"/>
      <c r="R165" s="4"/>
    </row>
    <row r="166">
      <c r="A166" s="1"/>
      <c r="B166" s="8"/>
      <c r="C166" s="2"/>
      <c r="D166" s="2"/>
      <c r="E166" s="2"/>
      <c r="F166" s="2"/>
      <c r="G166" s="7"/>
      <c r="H166" s="7"/>
      <c r="I166" s="7"/>
      <c r="J166" s="7"/>
      <c r="K166" s="7"/>
      <c r="L166" s="7"/>
      <c r="M166" s="7"/>
      <c r="N166" s="4"/>
      <c r="O166" s="4"/>
      <c r="P166" s="4"/>
      <c r="Q166" s="4"/>
      <c r="R166" s="4"/>
    </row>
    <row r="167">
      <c r="A167" s="1"/>
      <c r="B167" s="8"/>
      <c r="C167" s="2"/>
      <c r="D167" s="2"/>
      <c r="E167" s="2"/>
      <c r="F167" s="2"/>
      <c r="G167" s="7"/>
      <c r="H167" s="7"/>
      <c r="I167" s="7"/>
      <c r="J167" s="7"/>
      <c r="K167" s="7"/>
      <c r="L167" s="7"/>
      <c r="M167" s="7"/>
      <c r="N167" s="4"/>
      <c r="O167" s="4"/>
      <c r="P167" s="4"/>
      <c r="Q167" s="4"/>
      <c r="R167" s="4"/>
    </row>
    <row r="168">
      <c r="A168" s="1"/>
      <c r="B168" s="8"/>
      <c r="C168" s="2"/>
      <c r="D168" s="2"/>
      <c r="E168" s="2"/>
      <c r="F168" s="2"/>
      <c r="G168" s="7"/>
      <c r="H168" s="7"/>
      <c r="I168" s="7"/>
      <c r="J168" s="7"/>
      <c r="K168" s="7"/>
      <c r="L168" s="7"/>
      <c r="M168" s="7"/>
      <c r="N168" s="4"/>
      <c r="O168" s="4"/>
      <c r="P168" s="4"/>
      <c r="Q168" s="4"/>
      <c r="R168" s="4"/>
    </row>
    <row r="169">
      <c r="A169" s="1"/>
      <c r="B169" s="8"/>
      <c r="C169" s="2"/>
      <c r="D169" s="2"/>
      <c r="E169" s="2"/>
      <c r="F169" s="2"/>
      <c r="G169" s="7"/>
      <c r="H169" s="7"/>
      <c r="I169" s="7"/>
      <c r="J169" s="7"/>
      <c r="K169" s="7"/>
      <c r="L169" s="7"/>
      <c r="M169" s="7"/>
      <c r="N169" s="4"/>
      <c r="O169" s="4"/>
      <c r="P169" s="4"/>
      <c r="Q169" s="4"/>
      <c r="R169" s="4"/>
    </row>
    <row r="170">
      <c r="A170" s="1"/>
      <c r="B170" s="8"/>
      <c r="C170" s="2"/>
      <c r="D170" s="2"/>
      <c r="E170" s="2"/>
      <c r="F170" s="2"/>
      <c r="G170" s="7"/>
      <c r="H170" s="7"/>
      <c r="I170" s="7"/>
      <c r="J170" s="7"/>
      <c r="K170" s="7"/>
      <c r="L170" s="7"/>
      <c r="M170" s="7"/>
      <c r="N170" s="4"/>
      <c r="O170" s="4"/>
      <c r="P170" s="4"/>
      <c r="Q170" s="4"/>
      <c r="R170" s="4"/>
    </row>
    <row r="171">
      <c r="A171" s="1"/>
      <c r="B171" s="8"/>
      <c r="C171" s="2"/>
      <c r="D171" s="2"/>
      <c r="E171" s="2"/>
      <c r="F171" s="2"/>
      <c r="G171" s="7"/>
      <c r="H171" s="7"/>
      <c r="I171" s="7"/>
      <c r="J171" s="7"/>
      <c r="K171" s="7"/>
      <c r="L171" s="7"/>
      <c r="M171" s="7"/>
      <c r="N171" s="4"/>
      <c r="O171" s="4"/>
      <c r="P171" s="4"/>
      <c r="Q171" s="4"/>
      <c r="R171" s="4"/>
    </row>
    <row r="172">
      <c r="A172" s="1"/>
      <c r="B172" s="8"/>
      <c r="C172" s="2"/>
      <c r="D172" s="2"/>
      <c r="E172" s="2"/>
      <c r="F172" s="2"/>
      <c r="G172" s="7"/>
      <c r="H172" s="7"/>
      <c r="I172" s="7"/>
      <c r="J172" s="7"/>
      <c r="K172" s="7"/>
      <c r="L172" s="7"/>
      <c r="M172" s="7"/>
      <c r="N172" s="4"/>
      <c r="O172" s="4"/>
      <c r="P172" s="4"/>
      <c r="Q172" s="4"/>
      <c r="R172" s="4"/>
    </row>
    <row r="173">
      <c r="A173" s="1"/>
      <c r="B173" s="8"/>
      <c r="C173" s="2"/>
      <c r="D173" s="2"/>
      <c r="E173" s="2"/>
      <c r="F173" s="2"/>
      <c r="G173" s="7"/>
      <c r="H173" s="7"/>
      <c r="I173" s="7"/>
      <c r="J173" s="7"/>
      <c r="K173" s="7"/>
      <c r="L173" s="7"/>
      <c r="M173" s="7"/>
      <c r="N173" s="4"/>
      <c r="O173" s="4"/>
      <c r="P173" s="4"/>
      <c r="Q173" s="4"/>
      <c r="R173" s="4"/>
    </row>
    <row r="174">
      <c r="A174" s="1"/>
      <c r="B174" s="8"/>
      <c r="C174" s="2"/>
      <c r="D174" s="2"/>
      <c r="E174" s="2"/>
      <c r="F174" s="2"/>
      <c r="G174" s="7"/>
      <c r="H174" s="7"/>
      <c r="I174" s="7"/>
      <c r="J174" s="7"/>
      <c r="K174" s="7"/>
      <c r="L174" s="7"/>
      <c r="M174" s="7"/>
      <c r="N174" s="4"/>
      <c r="O174" s="4"/>
      <c r="P174" s="4"/>
      <c r="Q174" s="4"/>
      <c r="R174" s="4"/>
    </row>
    <row r="175">
      <c r="A175" s="1"/>
      <c r="B175" s="8"/>
      <c r="C175" s="2"/>
      <c r="D175" s="2"/>
      <c r="E175" s="2"/>
      <c r="F175" s="2"/>
      <c r="G175" s="7"/>
      <c r="H175" s="7"/>
      <c r="I175" s="7"/>
      <c r="J175" s="7"/>
      <c r="K175" s="7"/>
      <c r="L175" s="7"/>
      <c r="M175" s="7"/>
      <c r="N175" s="4"/>
      <c r="O175" s="4"/>
      <c r="P175" s="4"/>
      <c r="Q175" s="4"/>
      <c r="R175" s="4"/>
    </row>
    <row r="176">
      <c r="A176" s="1"/>
      <c r="B176" s="8"/>
      <c r="C176" s="2"/>
      <c r="D176" s="2"/>
      <c r="E176" s="2"/>
      <c r="F176" s="2"/>
      <c r="G176" s="7"/>
      <c r="H176" s="7"/>
      <c r="I176" s="7"/>
      <c r="J176" s="7"/>
      <c r="K176" s="7"/>
      <c r="L176" s="7"/>
      <c r="M176" s="7"/>
      <c r="N176" s="4"/>
      <c r="O176" s="4"/>
      <c r="P176" s="4"/>
      <c r="Q176" s="4"/>
      <c r="R176" s="4"/>
    </row>
    <row r="177">
      <c r="A177" s="1"/>
      <c r="B177" s="8"/>
      <c r="C177" s="2"/>
      <c r="D177" s="2"/>
      <c r="E177" s="2"/>
      <c r="F177" s="2"/>
      <c r="G177" s="7"/>
      <c r="H177" s="7"/>
      <c r="I177" s="7"/>
      <c r="J177" s="7"/>
      <c r="K177" s="7"/>
      <c r="L177" s="7"/>
      <c r="M177" s="7"/>
      <c r="N177" s="4"/>
      <c r="O177" s="4"/>
      <c r="P177" s="4"/>
      <c r="Q177" s="4"/>
      <c r="R177" s="4"/>
    </row>
    <row r="178">
      <c r="A178" s="1"/>
      <c r="B178" s="8"/>
      <c r="C178" s="2"/>
      <c r="D178" s="2"/>
      <c r="E178" s="2"/>
      <c r="F178" s="2"/>
      <c r="G178" s="7"/>
      <c r="H178" s="7"/>
      <c r="I178" s="7"/>
      <c r="J178" s="7"/>
      <c r="K178" s="7"/>
      <c r="L178" s="7"/>
      <c r="M178" s="7"/>
      <c r="N178" s="4"/>
      <c r="O178" s="4"/>
      <c r="P178" s="4"/>
      <c r="Q178" s="4"/>
      <c r="R178" s="4"/>
    </row>
    <row r="179">
      <c r="A179" s="1"/>
      <c r="B179" s="8"/>
      <c r="C179" s="2"/>
      <c r="D179" s="2"/>
      <c r="E179" s="2"/>
      <c r="F179" s="2"/>
      <c r="G179" s="7"/>
      <c r="H179" s="7"/>
      <c r="I179" s="7"/>
      <c r="J179" s="7"/>
      <c r="K179" s="7"/>
      <c r="L179" s="7"/>
      <c r="M179" s="7"/>
      <c r="N179" s="4"/>
      <c r="O179" s="4"/>
      <c r="P179" s="4"/>
      <c r="Q179" s="4"/>
      <c r="R179" s="4"/>
    </row>
    <row r="180">
      <c r="A180" s="1"/>
      <c r="B180" s="8"/>
      <c r="C180" s="2"/>
      <c r="D180" s="2"/>
      <c r="E180" s="2"/>
      <c r="F180" s="2"/>
      <c r="G180" s="7"/>
      <c r="H180" s="7"/>
      <c r="I180" s="7"/>
      <c r="J180" s="7"/>
      <c r="K180" s="7"/>
      <c r="L180" s="7"/>
      <c r="M180" s="7"/>
      <c r="N180" s="4"/>
      <c r="O180" s="4"/>
      <c r="P180" s="4"/>
      <c r="Q180" s="4"/>
      <c r="R180" s="4"/>
    </row>
    <row r="181">
      <c r="A181" s="1"/>
      <c r="B181" s="8"/>
      <c r="C181" s="2"/>
      <c r="D181" s="2"/>
      <c r="E181" s="2"/>
      <c r="F181" s="2"/>
      <c r="G181" s="7"/>
      <c r="H181" s="7"/>
      <c r="I181" s="7"/>
      <c r="J181" s="7"/>
      <c r="K181" s="7"/>
      <c r="L181" s="7"/>
      <c r="M181" s="7"/>
      <c r="N181" s="4"/>
      <c r="O181" s="4"/>
      <c r="P181" s="4"/>
      <c r="Q181" s="4"/>
      <c r="R181" s="4"/>
    </row>
    <row r="182">
      <c r="A182" s="1"/>
      <c r="B182" s="8"/>
      <c r="C182" s="2"/>
      <c r="D182" s="2"/>
      <c r="E182" s="2"/>
      <c r="F182" s="2"/>
      <c r="G182" s="7"/>
      <c r="H182" s="7"/>
      <c r="I182" s="7"/>
      <c r="J182" s="7"/>
      <c r="K182" s="7"/>
      <c r="L182" s="7"/>
      <c r="M182" s="7"/>
      <c r="N182" s="4"/>
      <c r="O182" s="4"/>
      <c r="P182" s="4"/>
      <c r="Q182" s="4"/>
      <c r="R182" s="4"/>
    </row>
    <row r="183">
      <c r="A183" s="1"/>
      <c r="B183" s="8"/>
      <c r="C183" s="2"/>
      <c r="D183" s="2"/>
      <c r="E183" s="2"/>
      <c r="F183" s="2"/>
      <c r="G183" s="7"/>
      <c r="H183" s="7"/>
      <c r="I183" s="7"/>
      <c r="J183" s="7"/>
      <c r="K183" s="7"/>
      <c r="L183" s="7"/>
      <c r="M183" s="7"/>
      <c r="N183" s="4"/>
      <c r="O183" s="4"/>
      <c r="P183" s="4"/>
      <c r="Q183" s="4"/>
      <c r="R183" s="4"/>
    </row>
    <row r="184">
      <c r="A184" s="1"/>
      <c r="B184" s="8"/>
      <c r="C184" s="2"/>
      <c r="D184" s="2"/>
      <c r="E184" s="2"/>
      <c r="F184" s="2"/>
      <c r="G184" s="7"/>
      <c r="H184" s="7"/>
      <c r="I184" s="7"/>
      <c r="J184" s="7"/>
      <c r="K184" s="7"/>
      <c r="L184" s="7"/>
      <c r="M184" s="7"/>
      <c r="N184" s="4"/>
      <c r="O184" s="4"/>
      <c r="P184" s="4"/>
      <c r="Q184" s="4"/>
      <c r="R184" s="4"/>
    </row>
    <row r="185">
      <c r="A185" s="1"/>
      <c r="B185" s="8"/>
      <c r="C185" s="2"/>
      <c r="D185" s="2"/>
      <c r="E185" s="2"/>
      <c r="F185" s="2"/>
      <c r="G185" s="7"/>
      <c r="H185" s="7"/>
      <c r="I185" s="7"/>
      <c r="J185" s="7"/>
      <c r="K185" s="7"/>
      <c r="L185" s="7"/>
      <c r="M185" s="7"/>
      <c r="N185" s="4"/>
      <c r="O185" s="4"/>
      <c r="P185" s="4"/>
      <c r="Q185" s="4"/>
      <c r="R185" s="4"/>
    </row>
    <row r="186">
      <c r="A186" s="1"/>
      <c r="B186" s="8"/>
      <c r="C186" s="2"/>
      <c r="D186" s="2"/>
      <c r="E186" s="2"/>
      <c r="F186" s="2"/>
      <c r="G186" s="7"/>
      <c r="H186" s="7"/>
      <c r="I186" s="7"/>
      <c r="J186" s="7"/>
      <c r="K186" s="7"/>
      <c r="L186" s="7"/>
      <c r="M186" s="7"/>
      <c r="N186" s="4"/>
      <c r="O186" s="4"/>
      <c r="P186" s="4"/>
      <c r="Q186" s="4"/>
      <c r="R186" s="4"/>
    </row>
    <row r="187">
      <c r="A187" s="1"/>
      <c r="B187" s="8"/>
      <c r="C187" s="2"/>
      <c r="D187" s="2"/>
      <c r="E187" s="2"/>
      <c r="F187" s="2"/>
      <c r="G187" s="7"/>
      <c r="H187" s="7"/>
      <c r="I187" s="7"/>
      <c r="J187" s="7"/>
      <c r="K187" s="7"/>
      <c r="L187" s="7"/>
      <c r="M187" s="7"/>
      <c r="N187" s="4"/>
      <c r="O187" s="4"/>
      <c r="P187" s="4"/>
      <c r="Q187" s="4"/>
      <c r="R187" s="4"/>
    </row>
    <row r="188">
      <c r="A188" s="1"/>
      <c r="B188" s="8"/>
      <c r="C188" s="2"/>
      <c r="D188" s="2"/>
      <c r="E188" s="2"/>
      <c r="F188" s="2"/>
      <c r="G188" s="7"/>
      <c r="H188" s="7"/>
      <c r="I188" s="7"/>
      <c r="J188" s="7"/>
      <c r="K188" s="7"/>
      <c r="L188" s="7"/>
      <c r="M188" s="7"/>
      <c r="N188" s="4"/>
      <c r="O188" s="4"/>
      <c r="P188" s="4"/>
      <c r="Q188" s="4"/>
      <c r="R188" s="4"/>
    </row>
    <row r="189">
      <c r="A189" s="1"/>
      <c r="B189" s="8"/>
      <c r="C189" s="2"/>
      <c r="D189" s="2"/>
      <c r="E189" s="2"/>
      <c r="F189" s="2"/>
      <c r="G189" s="7"/>
      <c r="H189" s="7"/>
      <c r="I189" s="7"/>
      <c r="J189" s="7"/>
      <c r="K189" s="7"/>
      <c r="L189" s="7"/>
      <c r="M189" s="7"/>
      <c r="N189" s="4"/>
      <c r="O189" s="4"/>
      <c r="P189" s="4"/>
      <c r="Q189" s="4"/>
      <c r="R189" s="4"/>
    </row>
    <row r="190">
      <c r="A190" s="1"/>
      <c r="B190" s="8"/>
      <c r="C190" s="2"/>
      <c r="D190" s="2"/>
      <c r="E190" s="2"/>
      <c r="F190" s="2"/>
      <c r="G190" s="7"/>
      <c r="H190" s="7"/>
      <c r="I190" s="7"/>
      <c r="J190" s="7"/>
      <c r="K190" s="7"/>
      <c r="L190" s="7"/>
      <c r="M190" s="7"/>
      <c r="N190" s="4"/>
      <c r="O190" s="4"/>
      <c r="P190" s="4"/>
      <c r="Q190" s="4"/>
      <c r="R190" s="4"/>
    </row>
    <row r="191">
      <c r="A191" s="1"/>
      <c r="B191" s="8"/>
      <c r="C191" s="2"/>
      <c r="D191" s="2"/>
      <c r="E191" s="2"/>
      <c r="F191" s="2"/>
      <c r="G191" s="7"/>
      <c r="H191" s="7"/>
      <c r="I191" s="7"/>
      <c r="J191" s="7"/>
      <c r="K191" s="7"/>
      <c r="L191" s="7"/>
      <c r="M191" s="7"/>
      <c r="N191" s="4"/>
      <c r="O191" s="4"/>
      <c r="P191" s="4"/>
      <c r="Q191" s="4"/>
      <c r="R191" s="4"/>
    </row>
    <row r="192">
      <c r="A192" s="1"/>
      <c r="B192" s="8"/>
      <c r="C192" s="2"/>
      <c r="D192" s="2"/>
      <c r="E192" s="2"/>
      <c r="F192" s="2"/>
      <c r="G192" s="7"/>
      <c r="H192" s="7"/>
      <c r="I192" s="7"/>
      <c r="J192" s="7"/>
      <c r="K192" s="7"/>
      <c r="L192" s="7"/>
      <c r="M192" s="7"/>
      <c r="N192" s="4"/>
      <c r="O192" s="4"/>
      <c r="P192" s="4"/>
      <c r="Q192" s="4"/>
      <c r="R192" s="4"/>
    </row>
    <row r="193">
      <c r="A193" s="1"/>
      <c r="B193" s="8"/>
      <c r="C193" s="2"/>
      <c r="D193" s="2"/>
      <c r="E193" s="2"/>
      <c r="F193" s="2"/>
      <c r="G193" s="7"/>
      <c r="H193" s="7"/>
      <c r="I193" s="7"/>
      <c r="J193" s="7"/>
      <c r="K193" s="7"/>
      <c r="L193" s="7"/>
      <c r="M193" s="7"/>
      <c r="N193" s="4"/>
      <c r="O193" s="4"/>
      <c r="P193" s="4"/>
      <c r="Q193" s="4"/>
      <c r="R193" s="4"/>
    </row>
    <row r="194">
      <c r="A194" s="1"/>
      <c r="B194" s="8"/>
      <c r="C194" s="2"/>
      <c r="D194" s="2"/>
      <c r="E194" s="2"/>
      <c r="F194" s="2"/>
      <c r="G194" s="7"/>
      <c r="H194" s="7"/>
      <c r="I194" s="7"/>
      <c r="J194" s="7"/>
      <c r="K194" s="7"/>
      <c r="L194" s="7"/>
      <c r="M194" s="7"/>
      <c r="N194" s="4"/>
      <c r="O194" s="4"/>
      <c r="P194" s="4"/>
      <c r="Q194" s="4"/>
      <c r="R194" s="4"/>
    </row>
    <row r="195">
      <c r="A195" s="1"/>
      <c r="B195" s="8"/>
      <c r="C195" s="2"/>
      <c r="D195" s="2"/>
      <c r="E195" s="2"/>
      <c r="F195" s="2"/>
      <c r="G195" s="7"/>
      <c r="H195" s="7"/>
      <c r="I195" s="7"/>
      <c r="J195" s="7"/>
      <c r="K195" s="7"/>
      <c r="L195" s="7"/>
      <c r="M195" s="7"/>
      <c r="N195" s="4"/>
      <c r="O195" s="4"/>
      <c r="P195" s="4"/>
      <c r="Q195" s="4"/>
      <c r="R195" s="4"/>
    </row>
    <row r="196">
      <c r="A196" s="1"/>
      <c r="B196" s="8"/>
      <c r="C196" s="2"/>
      <c r="D196" s="2"/>
      <c r="E196" s="2"/>
      <c r="F196" s="2"/>
      <c r="G196" s="7"/>
      <c r="H196" s="7"/>
      <c r="I196" s="7"/>
      <c r="J196" s="7"/>
      <c r="K196" s="7"/>
      <c r="L196" s="7"/>
      <c r="M196" s="7"/>
      <c r="N196" s="4"/>
      <c r="O196" s="4"/>
      <c r="P196" s="4"/>
      <c r="Q196" s="4"/>
      <c r="R196" s="4"/>
    </row>
    <row r="197">
      <c r="A197" s="1"/>
      <c r="B197" s="8"/>
      <c r="C197" s="2"/>
      <c r="D197" s="2"/>
      <c r="E197" s="2"/>
      <c r="F197" s="2"/>
      <c r="G197" s="7"/>
      <c r="H197" s="7"/>
      <c r="I197" s="7"/>
      <c r="J197" s="7"/>
      <c r="K197" s="7"/>
      <c r="L197" s="7"/>
      <c r="M197" s="7"/>
      <c r="N197" s="4"/>
      <c r="O197" s="4"/>
      <c r="P197" s="4"/>
      <c r="Q197" s="4"/>
      <c r="R197" s="4"/>
    </row>
    <row r="198">
      <c r="A198" s="1"/>
      <c r="B198" s="8"/>
      <c r="C198" s="2"/>
      <c r="D198" s="2"/>
      <c r="E198" s="2"/>
      <c r="F198" s="2"/>
      <c r="G198" s="7"/>
      <c r="H198" s="7"/>
      <c r="I198" s="7"/>
      <c r="J198" s="7"/>
      <c r="K198" s="7"/>
      <c r="L198" s="7"/>
      <c r="M198" s="7"/>
      <c r="N198" s="4"/>
      <c r="O198" s="4"/>
      <c r="P198" s="4"/>
      <c r="Q198" s="4"/>
      <c r="R198" s="4"/>
    </row>
    <row r="199">
      <c r="A199" s="1"/>
      <c r="B199" s="8"/>
      <c r="C199" s="2"/>
      <c r="D199" s="2"/>
      <c r="E199" s="2"/>
      <c r="F199" s="2"/>
      <c r="G199" s="7"/>
      <c r="H199" s="7"/>
      <c r="I199" s="7"/>
      <c r="J199" s="7"/>
      <c r="K199" s="7"/>
      <c r="L199" s="7"/>
      <c r="M199" s="7"/>
      <c r="N199" s="4"/>
      <c r="O199" s="4"/>
      <c r="P199" s="4"/>
      <c r="Q199" s="4"/>
      <c r="R199" s="4"/>
    </row>
    <row r="200">
      <c r="A200" s="1"/>
      <c r="B200" s="8"/>
      <c r="C200" s="2"/>
      <c r="D200" s="2"/>
      <c r="E200" s="2"/>
      <c r="F200" s="2"/>
      <c r="G200" s="7"/>
      <c r="H200" s="7"/>
      <c r="I200" s="7"/>
      <c r="J200" s="7"/>
      <c r="K200" s="7"/>
      <c r="L200" s="7"/>
      <c r="M200" s="7"/>
      <c r="N200" s="4"/>
      <c r="O200" s="4"/>
      <c r="P200" s="4"/>
      <c r="Q200" s="4"/>
      <c r="R200" s="4"/>
    </row>
    <row r="201">
      <c r="A201" s="1"/>
      <c r="B201" s="8"/>
      <c r="C201" s="2"/>
      <c r="D201" s="2"/>
      <c r="E201" s="2"/>
      <c r="F201" s="2"/>
      <c r="G201" s="7"/>
      <c r="H201" s="7"/>
      <c r="I201" s="7"/>
      <c r="J201" s="7"/>
      <c r="K201" s="7"/>
      <c r="L201" s="7"/>
      <c r="M201" s="7"/>
      <c r="N201" s="4"/>
      <c r="O201" s="4"/>
      <c r="P201" s="4"/>
      <c r="Q201" s="4"/>
      <c r="R201" s="4"/>
    </row>
    <row r="202">
      <c r="A202" s="1"/>
      <c r="B202" s="8"/>
      <c r="C202" s="2"/>
      <c r="D202" s="2"/>
      <c r="E202" s="2"/>
      <c r="F202" s="2"/>
      <c r="G202" s="7"/>
      <c r="H202" s="7"/>
      <c r="I202" s="7"/>
      <c r="J202" s="7"/>
      <c r="K202" s="7"/>
      <c r="L202" s="7"/>
      <c r="M202" s="7"/>
      <c r="N202" s="4"/>
      <c r="O202" s="4"/>
      <c r="P202" s="4"/>
      <c r="Q202" s="4"/>
      <c r="R202" s="4"/>
    </row>
    <row r="203">
      <c r="A203" s="1"/>
      <c r="B203" s="8"/>
      <c r="C203" s="2"/>
      <c r="D203" s="2"/>
      <c r="E203" s="2"/>
      <c r="F203" s="2"/>
      <c r="G203" s="7"/>
      <c r="H203" s="7"/>
      <c r="I203" s="7"/>
      <c r="J203" s="7"/>
      <c r="K203" s="7"/>
      <c r="L203" s="7"/>
      <c r="M203" s="7"/>
      <c r="N203" s="4"/>
      <c r="O203" s="4"/>
      <c r="P203" s="4"/>
      <c r="Q203" s="4"/>
      <c r="R203" s="4"/>
    </row>
    <row r="204">
      <c r="A204" s="1"/>
      <c r="B204" s="8"/>
      <c r="C204" s="2"/>
      <c r="D204" s="2"/>
      <c r="E204" s="2"/>
      <c r="F204" s="2"/>
      <c r="G204" s="7"/>
      <c r="H204" s="7"/>
      <c r="I204" s="7"/>
      <c r="J204" s="7"/>
      <c r="K204" s="7"/>
      <c r="L204" s="7"/>
      <c r="M204" s="7"/>
      <c r="N204" s="4"/>
      <c r="O204" s="4"/>
      <c r="P204" s="4"/>
      <c r="Q204" s="4"/>
      <c r="R204" s="4"/>
    </row>
    <row r="205">
      <c r="A205" s="1"/>
      <c r="B205" s="8"/>
      <c r="C205" s="2"/>
      <c r="D205" s="2"/>
      <c r="E205" s="2"/>
      <c r="F205" s="2"/>
      <c r="G205" s="7"/>
      <c r="H205" s="7"/>
      <c r="I205" s="7"/>
      <c r="J205" s="7"/>
      <c r="K205" s="7"/>
      <c r="L205" s="7"/>
      <c r="M205" s="7"/>
      <c r="N205" s="4"/>
      <c r="O205" s="4"/>
      <c r="P205" s="4"/>
      <c r="Q205" s="4"/>
      <c r="R205" s="4"/>
    </row>
    <row r="206">
      <c r="A206" s="1"/>
      <c r="B206" s="8"/>
      <c r="C206" s="2"/>
      <c r="D206" s="2"/>
      <c r="E206" s="2"/>
      <c r="F206" s="2"/>
      <c r="G206" s="7"/>
      <c r="H206" s="7"/>
      <c r="I206" s="7"/>
      <c r="J206" s="7"/>
      <c r="K206" s="7"/>
      <c r="L206" s="7"/>
      <c r="M206" s="7"/>
      <c r="N206" s="4"/>
      <c r="O206" s="4"/>
      <c r="P206" s="4"/>
      <c r="Q206" s="4"/>
      <c r="R206" s="4"/>
    </row>
    <row r="207">
      <c r="A207" s="1"/>
      <c r="B207" s="8"/>
      <c r="C207" s="2"/>
      <c r="D207" s="2"/>
      <c r="E207" s="2"/>
      <c r="F207" s="2"/>
      <c r="G207" s="7"/>
      <c r="H207" s="7"/>
      <c r="I207" s="7"/>
      <c r="J207" s="7"/>
      <c r="K207" s="7"/>
      <c r="L207" s="7"/>
      <c r="M207" s="7"/>
      <c r="N207" s="4"/>
      <c r="O207" s="4"/>
      <c r="P207" s="4"/>
      <c r="Q207" s="4"/>
      <c r="R207" s="4"/>
    </row>
    <row r="208">
      <c r="A208" s="1"/>
      <c r="B208" s="8"/>
      <c r="C208" s="2"/>
      <c r="D208" s="2"/>
      <c r="E208" s="2"/>
      <c r="F208" s="2"/>
      <c r="G208" s="7"/>
      <c r="H208" s="7"/>
      <c r="I208" s="7"/>
      <c r="J208" s="7"/>
      <c r="K208" s="7"/>
      <c r="L208" s="7"/>
      <c r="M208" s="7"/>
      <c r="N208" s="4"/>
      <c r="O208" s="4"/>
      <c r="P208" s="4"/>
      <c r="Q208" s="4"/>
      <c r="R208" s="4"/>
    </row>
    <row r="209">
      <c r="A209" s="1"/>
      <c r="B209" s="8"/>
      <c r="C209" s="2"/>
      <c r="D209" s="2"/>
      <c r="E209" s="2"/>
      <c r="F209" s="2"/>
      <c r="G209" s="7"/>
      <c r="H209" s="7"/>
      <c r="I209" s="7"/>
      <c r="J209" s="7"/>
      <c r="K209" s="7"/>
      <c r="L209" s="7"/>
      <c r="M209" s="7"/>
      <c r="N209" s="4"/>
      <c r="O209" s="4"/>
      <c r="P209" s="4"/>
      <c r="Q209" s="4"/>
      <c r="R209" s="4"/>
    </row>
    <row r="210">
      <c r="A210" s="1"/>
      <c r="B210" s="8"/>
      <c r="C210" s="2"/>
      <c r="D210" s="2"/>
      <c r="E210" s="2"/>
      <c r="F210" s="2"/>
      <c r="G210" s="7"/>
      <c r="H210" s="7"/>
      <c r="I210" s="7"/>
      <c r="J210" s="7"/>
      <c r="K210" s="7"/>
      <c r="L210" s="7"/>
      <c r="M210" s="7"/>
      <c r="N210" s="4"/>
      <c r="O210" s="4"/>
      <c r="P210" s="4"/>
      <c r="Q210" s="4"/>
      <c r="R210" s="4"/>
    </row>
    <row r="211">
      <c r="A211" s="1"/>
      <c r="B211" s="8"/>
      <c r="C211" s="2"/>
      <c r="D211" s="2"/>
      <c r="E211" s="2"/>
      <c r="F211" s="2"/>
      <c r="G211" s="7"/>
      <c r="H211" s="7"/>
      <c r="I211" s="7"/>
      <c r="J211" s="7"/>
      <c r="K211" s="7"/>
      <c r="L211" s="7"/>
      <c r="M211" s="7"/>
      <c r="N211" s="4"/>
      <c r="O211" s="4"/>
      <c r="P211" s="4"/>
      <c r="Q211" s="4"/>
      <c r="R211" s="4"/>
    </row>
    <row r="212">
      <c r="A212" s="1"/>
      <c r="B212" s="8"/>
      <c r="C212" s="2"/>
      <c r="D212" s="2"/>
      <c r="E212" s="2"/>
      <c r="F212" s="2"/>
      <c r="G212" s="7"/>
      <c r="H212" s="7"/>
      <c r="I212" s="7"/>
      <c r="J212" s="7"/>
      <c r="K212" s="7"/>
      <c r="L212" s="7"/>
      <c r="M212" s="7"/>
      <c r="N212" s="4"/>
      <c r="O212" s="4"/>
      <c r="P212" s="4"/>
      <c r="Q212" s="4"/>
      <c r="R212" s="4"/>
    </row>
    <row r="213">
      <c r="A213" s="1"/>
      <c r="B213" s="8"/>
      <c r="C213" s="2"/>
      <c r="D213" s="2"/>
      <c r="E213" s="2"/>
      <c r="F213" s="2"/>
      <c r="G213" s="7"/>
      <c r="H213" s="7"/>
      <c r="I213" s="7"/>
      <c r="J213" s="7"/>
      <c r="K213" s="7"/>
      <c r="L213" s="7"/>
      <c r="M213" s="7"/>
      <c r="N213" s="4"/>
      <c r="O213" s="4"/>
      <c r="P213" s="4"/>
      <c r="Q213" s="4"/>
      <c r="R213" s="4"/>
    </row>
    <row r="214">
      <c r="A214" s="1"/>
      <c r="B214" s="8"/>
      <c r="C214" s="2"/>
      <c r="D214" s="2"/>
      <c r="E214" s="2"/>
      <c r="F214" s="2"/>
      <c r="G214" s="7"/>
      <c r="H214" s="7"/>
      <c r="I214" s="7"/>
      <c r="J214" s="7"/>
      <c r="K214" s="7"/>
      <c r="L214" s="7"/>
      <c r="M214" s="7"/>
      <c r="N214" s="4"/>
      <c r="O214" s="4"/>
      <c r="P214" s="4"/>
      <c r="Q214" s="4"/>
      <c r="R214" s="4"/>
    </row>
    <row r="215">
      <c r="A215" s="1"/>
      <c r="B215" s="8"/>
      <c r="C215" s="2"/>
      <c r="D215" s="2"/>
      <c r="E215" s="2"/>
      <c r="F215" s="2"/>
      <c r="G215" s="7"/>
      <c r="H215" s="7"/>
      <c r="I215" s="7"/>
      <c r="J215" s="7"/>
      <c r="K215" s="7"/>
      <c r="L215" s="7"/>
      <c r="M215" s="7"/>
      <c r="N215" s="4"/>
      <c r="O215" s="4"/>
      <c r="P215" s="4"/>
      <c r="Q215" s="4"/>
      <c r="R215" s="4"/>
    </row>
    <row r="216">
      <c r="A216" s="1"/>
      <c r="B216" s="8"/>
      <c r="C216" s="2"/>
      <c r="D216" s="2"/>
      <c r="E216" s="2"/>
      <c r="F216" s="2"/>
      <c r="G216" s="7"/>
      <c r="H216" s="7"/>
      <c r="I216" s="7"/>
      <c r="J216" s="7"/>
      <c r="K216" s="7"/>
      <c r="L216" s="7"/>
      <c r="M216" s="7"/>
      <c r="N216" s="4"/>
      <c r="O216" s="4"/>
      <c r="P216" s="4"/>
      <c r="Q216" s="4"/>
      <c r="R216" s="4"/>
    </row>
    <row r="217">
      <c r="A217" s="1"/>
      <c r="B217" s="8"/>
      <c r="C217" s="2"/>
      <c r="D217" s="2"/>
      <c r="E217" s="2"/>
      <c r="F217" s="2"/>
      <c r="G217" s="7"/>
      <c r="H217" s="7"/>
      <c r="I217" s="7"/>
      <c r="J217" s="7"/>
      <c r="K217" s="7"/>
      <c r="L217" s="7"/>
      <c r="M217" s="7"/>
      <c r="N217" s="4"/>
      <c r="O217" s="4"/>
      <c r="P217" s="4"/>
      <c r="Q217" s="4"/>
      <c r="R217" s="4"/>
    </row>
    <row r="218">
      <c r="A218" s="1"/>
      <c r="B218" s="8"/>
      <c r="C218" s="2"/>
      <c r="D218" s="2"/>
      <c r="E218" s="2"/>
      <c r="F218" s="2"/>
      <c r="G218" s="7"/>
      <c r="H218" s="7"/>
      <c r="I218" s="7"/>
      <c r="J218" s="7"/>
      <c r="K218" s="7"/>
      <c r="L218" s="7"/>
      <c r="M218" s="7"/>
      <c r="N218" s="4"/>
      <c r="O218" s="4"/>
      <c r="P218" s="4"/>
      <c r="Q218" s="4"/>
      <c r="R218" s="4"/>
    </row>
    <row r="219">
      <c r="A219" s="1"/>
      <c r="B219" s="8"/>
      <c r="C219" s="2"/>
      <c r="D219" s="2"/>
      <c r="E219" s="2"/>
      <c r="F219" s="2"/>
      <c r="G219" s="7"/>
      <c r="H219" s="7"/>
      <c r="I219" s="7"/>
      <c r="J219" s="7"/>
      <c r="K219" s="7"/>
      <c r="L219" s="7"/>
      <c r="M219" s="7"/>
      <c r="N219" s="4"/>
      <c r="O219" s="4"/>
      <c r="P219" s="4"/>
      <c r="Q219" s="4"/>
      <c r="R219" s="4"/>
    </row>
    <row r="220">
      <c r="A220" s="1"/>
      <c r="B220" s="8"/>
      <c r="C220" s="2"/>
      <c r="D220" s="2"/>
      <c r="E220" s="2"/>
      <c r="F220" s="2"/>
      <c r="G220" s="7"/>
      <c r="H220" s="7"/>
      <c r="I220" s="7"/>
      <c r="J220" s="7"/>
      <c r="K220" s="7"/>
      <c r="L220" s="7"/>
      <c r="M220" s="7"/>
      <c r="N220" s="4"/>
      <c r="O220" s="4"/>
      <c r="P220" s="4"/>
      <c r="Q220" s="4"/>
      <c r="R220" s="4"/>
    </row>
    <row r="221">
      <c r="A221" s="1"/>
      <c r="B221" s="8"/>
      <c r="C221" s="2"/>
      <c r="D221" s="2"/>
      <c r="E221" s="2"/>
      <c r="F221" s="2"/>
      <c r="G221" s="7"/>
      <c r="H221" s="7"/>
      <c r="I221" s="7"/>
      <c r="J221" s="7"/>
      <c r="K221" s="7"/>
      <c r="L221" s="7"/>
      <c r="M221" s="7"/>
      <c r="N221" s="4"/>
      <c r="O221" s="4"/>
      <c r="P221" s="4"/>
      <c r="Q221" s="4"/>
      <c r="R221" s="4"/>
    </row>
    <row r="222">
      <c r="A222" s="1"/>
      <c r="B222" s="8"/>
      <c r="C222" s="2"/>
      <c r="D222" s="2"/>
      <c r="E222" s="2"/>
      <c r="F222" s="2"/>
      <c r="G222" s="7"/>
      <c r="H222" s="7"/>
      <c r="I222" s="7"/>
      <c r="J222" s="7"/>
      <c r="K222" s="7"/>
      <c r="L222" s="7"/>
      <c r="M222" s="7"/>
      <c r="N222" s="4"/>
      <c r="O222" s="4"/>
      <c r="P222" s="4"/>
      <c r="Q222" s="4"/>
      <c r="R222" s="4"/>
    </row>
    <row r="223">
      <c r="A223" s="1"/>
      <c r="B223" s="8"/>
      <c r="C223" s="2"/>
      <c r="D223" s="2"/>
      <c r="E223" s="2"/>
      <c r="F223" s="2"/>
      <c r="G223" s="7"/>
      <c r="H223" s="7"/>
      <c r="I223" s="7"/>
      <c r="J223" s="7"/>
      <c r="K223" s="7"/>
      <c r="L223" s="7"/>
      <c r="M223" s="7"/>
      <c r="N223" s="4"/>
      <c r="O223" s="4"/>
      <c r="P223" s="4"/>
      <c r="Q223" s="4"/>
      <c r="R223" s="4"/>
    </row>
    <row r="224">
      <c r="A224" s="1"/>
      <c r="B224" s="8"/>
      <c r="C224" s="2"/>
      <c r="D224" s="2"/>
      <c r="E224" s="2"/>
      <c r="F224" s="2"/>
      <c r="G224" s="7"/>
      <c r="H224" s="7"/>
      <c r="I224" s="7"/>
      <c r="J224" s="7"/>
      <c r="K224" s="7"/>
      <c r="L224" s="7"/>
      <c r="M224" s="7"/>
      <c r="N224" s="4"/>
      <c r="O224" s="4"/>
      <c r="P224" s="4"/>
      <c r="Q224" s="4"/>
      <c r="R224" s="4"/>
    </row>
    <row r="225">
      <c r="A225" s="1"/>
      <c r="B225" s="8"/>
      <c r="C225" s="2"/>
      <c r="D225" s="2"/>
      <c r="E225" s="2"/>
      <c r="F225" s="2"/>
      <c r="G225" s="7"/>
      <c r="H225" s="7"/>
      <c r="I225" s="7"/>
      <c r="J225" s="7"/>
      <c r="K225" s="7"/>
      <c r="L225" s="7"/>
      <c r="M225" s="7"/>
      <c r="N225" s="4"/>
      <c r="O225" s="4"/>
      <c r="P225" s="4"/>
      <c r="Q225" s="4"/>
      <c r="R225" s="4"/>
    </row>
    <row r="226">
      <c r="A226" s="1"/>
      <c r="B226" s="8"/>
      <c r="C226" s="2"/>
      <c r="D226" s="2"/>
      <c r="E226" s="2"/>
      <c r="F226" s="2"/>
      <c r="G226" s="7"/>
      <c r="H226" s="7"/>
      <c r="I226" s="7"/>
      <c r="J226" s="7"/>
      <c r="K226" s="7"/>
      <c r="L226" s="7"/>
      <c r="M226" s="7"/>
      <c r="N226" s="4"/>
      <c r="O226" s="4"/>
      <c r="P226" s="4"/>
      <c r="Q226" s="4"/>
      <c r="R226" s="4"/>
    </row>
    <row r="227">
      <c r="A227" s="1"/>
      <c r="B227" s="8"/>
      <c r="C227" s="2"/>
      <c r="D227" s="2"/>
      <c r="E227" s="2"/>
      <c r="F227" s="2"/>
      <c r="G227" s="7"/>
      <c r="H227" s="7"/>
      <c r="I227" s="7"/>
      <c r="J227" s="7"/>
      <c r="K227" s="7"/>
      <c r="L227" s="7"/>
      <c r="M227" s="7"/>
      <c r="N227" s="4"/>
      <c r="O227" s="4"/>
      <c r="P227" s="4"/>
      <c r="Q227" s="4"/>
      <c r="R227" s="4"/>
    </row>
    <row r="228">
      <c r="A228" s="1"/>
      <c r="B228" s="8"/>
      <c r="C228" s="2"/>
      <c r="D228" s="2"/>
      <c r="E228" s="2"/>
      <c r="F228" s="2"/>
      <c r="G228" s="7"/>
      <c r="H228" s="7"/>
      <c r="I228" s="7"/>
      <c r="J228" s="7"/>
      <c r="K228" s="7"/>
      <c r="L228" s="7"/>
      <c r="M228" s="7"/>
      <c r="N228" s="4"/>
      <c r="O228" s="4"/>
      <c r="P228" s="4"/>
      <c r="Q228" s="4"/>
      <c r="R228" s="4"/>
    </row>
    <row r="229">
      <c r="A229" s="1"/>
      <c r="B229" s="8"/>
      <c r="C229" s="2"/>
      <c r="D229" s="2"/>
      <c r="E229" s="2"/>
      <c r="F229" s="2"/>
      <c r="G229" s="7"/>
      <c r="H229" s="7"/>
      <c r="I229" s="7"/>
      <c r="J229" s="7"/>
      <c r="K229" s="7"/>
      <c r="L229" s="7"/>
      <c r="M229" s="7"/>
      <c r="N229" s="4"/>
      <c r="O229" s="4"/>
      <c r="P229" s="4"/>
      <c r="Q229" s="4"/>
      <c r="R229" s="4"/>
    </row>
    <row r="230">
      <c r="A230" s="1"/>
      <c r="B230" s="8"/>
      <c r="C230" s="2"/>
      <c r="D230" s="2"/>
      <c r="E230" s="2"/>
      <c r="F230" s="2"/>
      <c r="G230" s="7"/>
      <c r="H230" s="7"/>
      <c r="I230" s="7"/>
      <c r="J230" s="7"/>
      <c r="K230" s="7"/>
      <c r="L230" s="7"/>
      <c r="M230" s="7"/>
      <c r="N230" s="4"/>
      <c r="O230" s="4"/>
      <c r="P230" s="4"/>
      <c r="Q230" s="4"/>
      <c r="R230" s="4"/>
    </row>
    <row r="231">
      <c r="A231" s="1"/>
      <c r="B231" s="8"/>
      <c r="C231" s="2"/>
      <c r="D231" s="2"/>
      <c r="E231" s="2"/>
      <c r="F231" s="2"/>
      <c r="G231" s="7"/>
      <c r="H231" s="7"/>
      <c r="I231" s="7"/>
      <c r="J231" s="7"/>
      <c r="K231" s="7"/>
      <c r="L231" s="7"/>
      <c r="M231" s="7"/>
      <c r="N231" s="4"/>
      <c r="O231" s="4"/>
      <c r="P231" s="4"/>
      <c r="Q231" s="4"/>
      <c r="R231" s="4"/>
    </row>
    <row r="232">
      <c r="A232" s="1"/>
      <c r="B232" s="8"/>
      <c r="C232" s="2"/>
      <c r="D232" s="2"/>
      <c r="E232" s="2"/>
      <c r="F232" s="2"/>
      <c r="G232" s="7"/>
      <c r="H232" s="7"/>
      <c r="I232" s="7"/>
      <c r="J232" s="7"/>
      <c r="K232" s="7"/>
      <c r="L232" s="7"/>
      <c r="M232" s="7"/>
      <c r="N232" s="4"/>
      <c r="O232" s="4"/>
      <c r="P232" s="4"/>
      <c r="Q232" s="4"/>
      <c r="R232" s="4"/>
    </row>
    <row r="233">
      <c r="A233" s="1"/>
      <c r="B233" s="8"/>
      <c r="C233" s="2"/>
      <c r="D233" s="2"/>
      <c r="E233" s="2"/>
      <c r="F233" s="2"/>
      <c r="G233" s="7"/>
      <c r="H233" s="7"/>
      <c r="I233" s="7"/>
      <c r="J233" s="7"/>
      <c r="K233" s="7"/>
      <c r="L233" s="7"/>
      <c r="M233" s="7"/>
      <c r="N233" s="4"/>
      <c r="O233" s="4"/>
      <c r="P233" s="4"/>
      <c r="Q233" s="4"/>
      <c r="R233" s="4"/>
    </row>
    <row r="234">
      <c r="A234" s="1"/>
      <c r="B234" s="8"/>
      <c r="C234" s="2"/>
      <c r="D234" s="2"/>
      <c r="E234" s="2"/>
      <c r="F234" s="2"/>
      <c r="G234" s="7"/>
      <c r="H234" s="7"/>
      <c r="I234" s="7"/>
      <c r="J234" s="7"/>
      <c r="K234" s="7"/>
      <c r="L234" s="7"/>
      <c r="M234" s="7"/>
      <c r="N234" s="4"/>
      <c r="O234" s="4"/>
      <c r="P234" s="4"/>
      <c r="Q234" s="4"/>
      <c r="R234" s="4"/>
    </row>
    <row r="235">
      <c r="A235" s="1"/>
      <c r="B235" s="8"/>
      <c r="C235" s="2"/>
      <c r="D235" s="2"/>
      <c r="E235" s="2"/>
      <c r="F235" s="2"/>
      <c r="G235" s="7"/>
      <c r="H235" s="7"/>
      <c r="I235" s="7"/>
      <c r="J235" s="7"/>
      <c r="K235" s="7"/>
      <c r="L235" s="7"/>
      <c r="M235" s="7"/>
      <c r="N235" s="4"/>
      <c r="O235" s="4"/>
      <c r="P235" s="4"/>
      <c r="Q235" s="4"/>
      <c r="R235" s="4"/>
    </row>
    <row r="236">
      <c r="A236" s="1"/>
      <c r="B236" s="8"/>
      <c r="C236" s="2"/>
      <c r="D236" s="2"/>
      <c r="E236" s="2"/>
      <c r="F236" s="2"/>
      <c r="G236" s="7"/>
      <c r="H236" s="7"/>
      <c r="I236" s="7"/>
      <c r="J236" s="7"/>
      <c r="K236" s="7"/>
      <c r="L236" s="7"/>
      <c r="M236" s="7"/>
      <c r="N236" s="4"/>
      <c r="O236" s="4"/>
      <c r="P236" s="4"/>
      <c r="Q236" s="4"/>
      <c r="R236" s="4"/>
    </row>
    <row r="237">
      <c r="A237" s="1"/>
      <c r="B237" s="8"/>
      <c r="C237" s="2"/>
      <c r="D237" s="2"/>
      <c r="E237" s="2"/>
      <c r="F237" s="2"/>
      <c r="G237" s="7"/>
      <c r="H237" s="7"/>
      <c r="I237" s="7"/>
      <c r="J237" s="7"/>
      <c r="K237" s="7"/>
      <c r="L237" s="7"/>
      <c r="M237" s="7"/>
      <c r="N237" s="4"/>
      <c r="O237" s="4"/>
      <c r="P237" s="4"/>
      <c r="Q237" s="4"/>
      <c r="R237" s="4"/>
    </row>
    <row r="238">
      <c r="A238" s="1"/>
      <c r="B238" s="8"/>
      <c r="C238" s="2"/>
      <c r="D238" s="2"/>
      <c r="E238" s="2"/>
      <c r="F238" s="2"/>
      <c r="G238" s="7"/>
      <c r="H238" s="7"/>
      <c r="I238" s="7"/>
      <c r="J238" s="7"/>
      <c r="K238" s="7"/>
      <c r="L238" s="7"/>
      <c r="M238" s="7"/>
      <c r="N238" s="4"/>
      <c r="O238" s="4"/>
      <c r="P238" s="4"/>
      <c r="Q238" s="4"/>
      <c r="R238" s="4"/>
    </row>
    <row r="239">
      <c r="A239" s="1"/>
      <c r="B239" s="8"/>
      <c r="C239" s="2"/>
      <c r="D239" s="2"/>
      <c r="E239" s="2"/>
      <c r="F239" s="2"/>
      <c r="G239" s="7"/>
      <c r="H239" s="7"/>
      <c r="I239" s="7"/>
      <c r="J239" s="7"/>
      <c r="K239" s="7"/>
      <c r="L239" s="7"/>
      <c r="M239" s="7"/>
      <c r="N239" s="4"/>
      <c r="O239" s="4"/>
      <c r="P239" s="4"/>
      <c r="Q239" s="4"/>
      <c r="R239" s="4"/>
    </row>
    <row r="240">
      <c r="A240" s="1"/>
      <c r="B240" s="8"/>
      <c r="C240" s="2"/>
      <c r="D240" s="2"/>
      <c r="E240" s="2"/>
      <c r="F240" s="2"/>
      <c r="G240" s="7"/>
      <c r="H240" s="7"/>
      <c r="I240" s="7"/>
      <c r="J240" s="7"/>
      <c r="K240" s="7"/>
      <c r="L240" s="7"/>
      <c r="M240" s="7"/>
      <c r="N240" s="4"/>
      <c r="O240" s="4"/>
      <c r="P240" s="4"/>
      <c r="Q240" s="4"/>
      <c r="R240" s="4"/>
    </row>
    <row r="241">
      <c r="A241" s="1"/>
      <c r="B241" s="8"/>
      <c r="C241" s="2"/>
      <c r="D241" s="2"/>
      <c r="E241" s="2"/>
      <c r="F241" s="2"/>
      <c r="G241" s="7"/>
      <c r="H241" s="7"/>
      <c r="I241" s="7"/>
      <c r="J241" s="7"/>
      <c r="K241" s="7"/>
      <c r="L241" s="7"/>
      <c r="M241" s="7"/>
      <c r="N241" s="4"/>
      <c r="O241" s="4"/>
      <c r="P241" s="4"/>
      <c r="Q241" s="4"/>
      <c r="R241" s="4"/>
    </row>
    <row r="242">
      <c r="A242" s="1"/>
      <c r="B242" s="8"/>
      <c r="C242" s="2"/>
      <c r="D242" s="2"/>
      <c r="E242" s="2"/>
      <c r="F242" s="2"/>
      <c r="G242" s="7"/>
      <c r="H242" s="7"/>
      <c r="I242" s="7"/>
      <c r="J242" s="7"/>
      <c r="K242" s="7"/>
      <c r="L242" s="7"/>
      <c r="M242" s="7"/>
      <c r="N242" s="4"/>
      <c r="O242" s="4"/>
      <c r="P242" s="4"/>
      <c r="Q242" s="4"/>
      <c r="R242" s="4"/>
    </row>
    <row r="243">
      <c r="A243" s="1"/>
      <c r="B243" s="8"/>
      <c r="C243" s="2"/>
      <c r="D243" s="2"/>
      <c r="E243" s="2"/>
      <c r="F243" s="2"/>
      <c r="G243" s="7"/>
      <c r="H243" s="7"/>
      <c r="I243" s="7"/>
      <c r="J243" s="7"/>
      <c r="K243" s="7"/>
      <c r="L243" s="7"/>
      <c r="M243" s="7"/>
      <c r="N243" s="4"/>
      <c r="O243" s="4"/>
      <c r="P243" s="4"/>
      <c r="Q243" s="4"/>
      <c r="R243" s="4"/>
    </row>
    <row r="244">
      <c r="A244" s="1"/>
      <c r="B244" s="8"/>
      <c r="C244" s="2"/>
      <c r="D244" s="2"/>
      <c r="E244" s="2"/>
      <c r="F244" s="2"/>
      <c r="G244" s="7"/>
      <c r="H244" s="7"/>
      <c r="I244" s="7"/>
      <c r="J244" s="7"/>
      <c r="K244" s="7"/>
      <c r="L244" s="7"/>
      <c r="M244" s="7"/>
      <c r="N244" s="4"/>
      <c r="O244" s="4"/>
      <c r="P244" s="4"/>
      <c r="Q244" s="4"/>
      <c r="R244" s="4"/>
    </row>
    <row r="245">
      <c r="A245" s="1"/>
      <c r="B245" s="8"/>
      <c r="C245" s="2"/>
      <c r="D245" s="2"/>
      <c r="E245" s="2"/>
      <c r="F245" s="2"/>
      <c r="G245" s="7"/>
      <c r="H245" s="7"/>
      <c r="I245" s="7"/>
      <c r="J245" s="7"/>
      <c r="K245" s="7"/>
      <c r="L245" s="7"/>
      <c r="M245" s="7"/>
      <c r="N245" s="4"/>
      <c r="O245" s="4"/>
      <c r="P245" s="4"/>
      <c r="Q245" s="4"/>
      <c r="R245" s="4"/>
    </row>
    <row r="246">
      <c r="A246" s="1"/>
      <c r="B246" s="8"/>
      <c r="C246" s="2"/>
      <c r="D246" s="2"/>
      <c r="E246" s="2"/>
      <c r="F246" s="2"/>
      <c r="G246" s="7"/>
      <c r="H246" s="7"/>
      <c r="I246" s="7"/>
      <c r="J246" s="7"/>
      <c r="K246" s="7"/>
      <c r="L246" s="7"/>
      <c r="M246" s="7"/>
      <c r="N246" s="4"/>
      <c r="O246" s="4"/>
      <c r="P246" s="4"/>
      <c r="Q246" s="4"/>
      <c r="R246" s="4"/>
    </row>
    <row r="247">
      <c r="A247" s="1"/>
      <c r="B247" s="8"/>
      <c r="C247" s="2"/>
      <c r="D247" s="2"/>
      <c r="E247" s="2"/>
      <c r="F247" s="2"/>
      <c r="G247" s="7"/>
      <c r="H247" s="7"/>
      <c r="I247" s="7"/>
      <c r="J247" s="7"/>
      <c r="K247" s="7"/>
      <c r="L247" s="7"/>
      <c r="M247" s="7"/>
      <c r="N247" s="4"/>
      <c r="O247" s="4"/>
      <c r="P247" s="4"/>
      <c r="Q247" s="4"/>
      <c r="R247" s="4"/>
    </row>
    <row r="248">
      <c r="A248" s="1"/>
      <c r="B248" s="8"/>
      <c r="C248" s="2"/>
      <c r="D248" s="2"/>
      <c r="E248" s="2"/>
      <c r="F248" s="2"/>
      <c r="G248" s="7"/>
      <c r="H248" s="7"/>
      <c r="I248" s="7"/>
      <c r="J248" s="7"/>
      <c r="K248" s="7"/>
      <c r="L248" s="7"/>
      <c r="M248" s="7"/>
      <c r="N248" s="4"/>
      <c r="O248" s="4"/>
      <c r="P248" s="4"/>
      <c r="Q248" s="4"/>
      <c r="R248" s="4"/>
    </row>
    <row r="249">
      <c r="A249" s="1"/>
      <c r="B249" s="8"/>
      <c r="C249" s="2"/>
      <c r="D249" s="2"/>
      <c r="E249" s="2"/>
      <c r="F249" s="2"/>
      <c r="G249" s="7"/>
      <c r="H249" s="7"/>
      <c r="I249" s="7"/>
      <c r="J249" s="7"/>
      <c r="K249" s="7"/>
      <c r="L249" s="7"/>
      <c r="M249" s="7"/>
      <c r="N249" s="4"/>
      <c r="O249" s="4"/>
      <c r="P249" s="4"/>
      <c r="Q249" s="4"/>
      <c r="R249" s="4"/>
    </row>
    <row r="250">
      <c r="A250" s="1"/>
      <c r="B250" s="8"/>
      <c r="C250" s="2"/>
      <c r="D250" s="2"/>
      <c r="E250" s="2"/>
      <c r="F250" s="2"/>
      <c r="G250" s="7"/>
      <c r="H250" s="7"/>
      <c r="I250" s="7"/>
      <c r="J250" s="7"/>
      <c r="K250" s="7"/>
      <c r="L250" s="7"/>
      <c r="M250" s="7"/>
      <c r="N250" s="4"/>
      <c r="O250" s="4"/>
      <c r="P250" s="4"/>
      <c r="Q250" s="4"/>
      <c r="R250" s="4"/>
    </row>
    <row r="251">
      <c r="A251" s="1"/>
      <c r="B251" s="8"/>
      <c r="C251" s="2"/>
      <c r="D251" s="2"/>
      <c r="E251" s="2"/>
      <c r="F251" s="2"/>
      <c r="G251" s="7"/>
      <c r="H251" s="7"/>
      <c r="I251" s="7"/>
      <c r="J251" s="7"/>
      <c r="K251" s="7"/>
      <c r="L251" s="7"/>
      <c r="M251" s="7"/>
      <c r="N251" s="4"/>
      <c r="O251" s="4"/>
      <c r="P251" s="4"/>
      <c r="Q251" s="4"/>
      <c r="R251" s="4"/>
    </row>
    <row r="252">
      <c r="A252" s="1"/>
      <c r="B252" s="8"/>
      <c r="C252" s="2"/>
      <c r="D252" s="2"/>
      <c r="E252" s="2"/>
      <c r="F252" s="2"/>
      <c r="G252" s="7"/>
      <c r="H252" s="7"/>
      <c r="I252" s="7"/>
      <c r="J252" s="7"/>
      <c r="K252" s="7"/>
      <c r="L252" s="7"/>
      <c r="M252" s="7"/>
      <c r="N252" s="4"/>
      <c r="O252" s="4"/>
      <c r="P252" s="4"/>
      <c r="Q252" s="4"/>
      <c r="R252" s="4"/>
    </row>
    <row r="253">
      <c r="A253" s="1"/>
      <c r="B253" s="8"/>
      <c r="C253" s="2"/>
      <c r="D253" s="2"/>
      <c r="E253" s="2"/>
      <c r="F253" s="2"/>
      <c r="G253" s="7"/>
      <c r="H253" s="7"/>
      <c r="I253" s="7"/>
      <c r="J253" s="7"/>
      <c r="K253" s="7"/>
      <c r="L253" s="7"/>
      <c r="M253" s="7"/>
      <c r="N253" s="4"/>
      <c r="O253" s="4"/>
      <c r="P253" s="4"/>
      <c r="Q253" s="4"/>
      <c r="R253" s="4"/>
    </row>
    <row r="254">
      <c r="A254" s="1"/>
      <c r="B254" s="8"/>
      <c r="C254" s="2"/>
      <c r="D254" s="2"/>
      <c r="E254" s="2"/>
      <c r="F254" s="2"/>
      <c r="G254" s="7"/>
      <c r="H254" s="7"/>
      <c r="I254" s="7"/>
      <c r="J254" s="7"/>
      <c r="K254" s="7"/>
      <c r="L254" s="7"/>
      <c r="M254" s="7"/>
      <c r="N254" s="4"/>
      <c r="O254" s="4"/>
      <c r="P254" s="4"/>
      <c r="Q254" s="4"/>
      <c r="R254" s="4"/>
    </row>
    <row r="255">
      <c r="A255" s="1"/>
      <c r="B255" s="8"/>
      <c r="C255" s="2"/>
      <c r="D255" s="2"/>
      <c r="E255" s="2"/>
      <c r="F255" s="2"/>
      <c r="G255" s="7"/>
      <c r="H255" s="7"/>
      <c r="I255" s="7"/>
      <c r="J255" s="7"/>
      <c r="K255" s="7"/>
      <c r="L255" s="7"/>
      <c r="M255" s="7"/>
      <c r="N255" s="4"/>
      <c r="O255" s="4"/>
      <c r="P255" s="4"/>
      <c r="Q255" s="4"/>
      <c r="R255" s="4"/>
    </row>
    <row r="256">
      <c r="A256" s="1"/>
      <c r="B256" s="8"/>
      <c r="C256" s="2"/>
      <c r="D256" s="2"/>
      <c r="E256" s="2"/>
      <c r="F256" s="2"/>
      <c r="G256" s="7"/>
      <c r="H256" s="7"/>
      <c r="I256" s="7"/>
      <c r="J256" s="7"/>
      <c r="K256" s="7"/>
      <c r="L256" s="7"/>
      <c r="M256" s="7"/>
      <c r="N256" s="4"/>
      <c r="O256" s="4"/>
      <c r="P256" s="4"/>
      <c r="Q256" s="4"/>
      <c r="R256" s="4"/>
    </row>
    <row r="257">
      <c r="A257" s="1"/>
      <c r="B257" s="8"/>
      <c r="C257" s="2"/>
      <c r="D257" s="2"/>
      <c r="E257" s="2"/>
      <c r="F257" s="2"/>
      <c r="G257" s="7"/>
      <c r="H257" s="7"/>
      <c r="I257" s="7"/>
      <c r="J257" s="7"/>
      <c r="K257" s="7"/>
      <c r="L257" s="7"/>
      <c r="M257" s="7"/>
      <c r="N257" s="4"/>
      <c r="O257" s="4"/>
      <c r="P257" s="4"/>
      <c r="Q257" s="4"/>
      <c r="R257" s="4"/>
    </row>
    <row r="258">
      <c r="A258" s="1"/>
      <c r="B258" s="8"/>
      <c r="C258" s="2"/>
      <c r="D258" s="2"/>
      <c r="E258" s="2"/>
      <c r="F258" s="2"/>
      <c r="G258" s="7"/>
      <c r="H258" s="7"/>
      <c r="I258" s="7"/>
      <c r="J258" s="7"/>
      <c r="K258" s="7"/>
      <c r="L258" s="7"/>
      <c r="M258" s="7"/>
      <c r="N258" s="4"/>
      <c r="O258" s="4"/>
      <c r="P258" s="4"/>
      <c r="Q258" s="4"/>
      <c r="R258" s="4"/>
    </row>
    <row r="259">
      <c r="A259" s="1"/>
      <c r="B259" s="8"/>
      <c r="C259" s="2"/>
      <c r="D259" s="2"/>
      <c r="E259" s="2"/>
      <c r="F259" s="2"/>
      <c r="G259" s="7"/>
      <c r="H259" s="7"/>
      <c r="I259" s="7"/>
      <c r="J259" s="7"/>
      <c r="K259" s="7"/>
      <c r="L259" s="7"/>
      <c r="M259" s="7"/>
      <c r="N259" s="4"/>
      <c r="O259" s="4"/>
      <c r="P259" s="4"/>
      <c r="Q259" s="4"/>
      <c r="R259" s="4"/>
    </row>
    <row r="260">
      <c r="A260" s="1"/>
      <c r="B260" s="8"/>
      <c r="C260" s="2"/>
      <c r="D260" s="2"/>
      <c r="E260" s="2"/>
      <c r="F260" s="2"/>
      <c r="G260" s="7"/>
      <c r="H260" s="7"/>
      <c r="I260" s="7"/>
      <c r="J260" s="7"/>
      <c r="K260" s="7"/>
      <c r="L260" s="7"/>
      <c r="M260" s="7"/>
      <c r="N260" s="4"/>
      <c r="O260" s="4"/>
      <c r="P260" s="4"/>
      <c r="Q260" s="4"/>
      <c r="R260" s="4"/>
    </row>
    <row r="261">
      <c r="A261" s="1"/>
      <c r="B261" s="8"/>
      <c r="C261" s="2"/>
      <c r="D261" s="2"/>
      <c r="E261" s="2"/>
      <c r="F261" s="2"/>
      <c r="G261" s="7"/>
      <c r="H261" s="7"/>
      <c r="I261" s="7"/>
      <c r="J261" s="7"/>
      <c r="K261" s="7"/>
      <c r="L261" s="7"/>
      <c r="M261" s="7"/>
      <c r="N261" s="4"/>
      <c r="O261" s="4"/>
      <c r="P261" s="4"/>
      <c r="Q261" s="4"/>
      <c r="R261" s="4"/>
    </row>
    <row r="262">
      <c r="A262" s="1"/>
      <c r="B262" s="8"/>
      <c r="C262" s="2"/>
      <c r="D262" s="2"/>
      <c r="E262" s="2"/>
      <c r="F262" s="2"/>
      <c r="G262" s="7"/>
      <c r="H262" s="7"/>
      <c r="I262" s="7"/>
      <c r="J262" s="7"/>
      <c r="K262" s="7"/>
      <c r="L262" s="7"/>
      <c r="M262" s="7"/>
      <c r="N262" s="4"/>
      <c r="O262" s="4"/>
      <c r="P262" s="4"/>
      <c r="Q262" s="4"/>
      <c r="R262" s="4"/>
    </row>
    <row r="263">
      <c r="A263" s="1"/>
      <c r="B263" s="8"/>
      <c r="C263" s="2"/>
      <c r="D263" s="2"/>
      <c r="E263" s="2"/>
      <c r="F263" s="2"/>
      <c r="G263" s="7"/>
      <c r="H263" s="7"/>
      <c r="I263" s="7"/>
      <c r="J263" s="7"/>
      <c r="K263" s="7"/>
      <c r="L263" s="7"/>
      <c r="M263" s="7"/>
      <c r="N263" s="4"/>
      <c r="O263" s="4"/>
      <c r="P263" s="4"/>
      <c r="Q263" s="4"/>
      <c r="R263" s="4"/>
    </row>
    <row r="264">
      <c r="A264" s="1"/>
      <c r="B264" s="8"/>
      <c r="C264" s="2"/>
      <c r="D264" s="2"/>
      <c r="E264" s="2"/>
      <c r="F264" s="2"/>
      <c r="G264" s="7"/>
      <c r="H264" s="7"/>
      <c r="I264" s="7"/>
      <c r="J264" s="7"/>
      <c r="K264" s="7"/>
      <c r="L264" s="7"/>
      <c r="M264" s="7"/>
      <c r="N264" s="4"/>
      <c r="O264" s="4"/>
      <c r="P264" s="4"/>
      <c r="Q264" s="4"/>
      <c r="R264" s="4"/>
    </row>
    <row r="265">
      <c r="A265" s="1"/>
      <c r="B265" s="8"/>
      <c r="C265" s="2"/>
      <c r="D265" s="2"/>
      <c r="E265" s="2"/>
      <c r="F265" s="2"/>
      <c r="G265" s="7"/>
      <c r="H265" s="7"/>
      <c r="I265" s="7"/>
      <c r="J265" s="7"/>
      <c r="K265" s="7"/>
      <c r="L265" s="7"/>
      <c r="M265" s="7"/>
      <c r="N265" s="4"/>
      <c r="O265" s="4"/>
      <c r="P265" s="4"/>
      <c r="Q265" s="4"/>
      <c r="R265" s="4"/>
    </row>
    <row r="266">
      <c r="A266" s="1"/>
      <c r="B266" s="8"/>
      <c r="C266" s="2"/>
      <c r="D266" s="2"/>
      <c r="E266" s="2"/>
      <c r="F266" s="2"/>
      <c r="G266" s="7"/>
      <c r="H266" s="7"/>
      <c r="I266" s="7"/>
      <c r="J266" s="7"/>
      <c r="K266" s="7"/>
      <c r="L266" s="7"/>
      <c r="M266" s="7"/>
      <c r="N266" s="4"/>
      <c r="O266" s="4"/>
      <c r="P266" s="4"/>
      <c r="Q266" s="4"/>
      <c r="R266" s="4"/>
    </row>
    <row r="267">
      <c r="A267" s="1"/>
      <c r="B267" s="8"/>
      <c r="C267" s="2"/>
      <c r="D267" s="2"/>
      <c r="E267" s="2"/>
      <c r="F267" s="2"/>
      <c r="G267" s="7"/>
      <c r="H267" s="7"/>
      <c r="I267" s="7"/>
      <c r="J267" s="7"/>
      <c r="K267" s="7"/>
      <c r="L267" s="7"/>
      <c r="M267" s="7"/>
      <c r="N267" s="4"/>
      <c r="O267" s="4"/>
      <c r="P267" s="4"/>
      <c r="Q267" s="4"/>
      <c r="R267" s="4"/>
    </row>
    <row r="268">
      <c r="A268" s="1"/>
      <c r="B268" s="8"/>
      <c r="C268" s="2"/>
      <c r="D268" s="2"/>
      <c r="E268" s="2"/>
      <c r="F268" s="2"/>
      <c r="G268" s="7"/>
      <c r="H268" s="7"/>
      <c r="I268" s="7"/>
      <c r="J268" s="7"/>
      <c r="K268" s="7"/>
      <c r="L268" s="7"/>
      <c r="M268" s="7"/>
      <c r="N268" s="4"/>
      <c r="O268" s="4"/>
      <c r="P268" s="4"/>
      <c r="Q268" s="4"/>
      <c r="R268" s="4"/>
    </row>
    <row r="269">
      <c r="A269" s="1"/>
      <c r="B269" s="8"/>
      <c r="C269" s="2"/>
      <c r="D269" s="2"/>
      <c r="E269" s="2"/>
      <c r="F269" s="2"/>
      <c r="G269" s="7"/>
      <c r="H269" s="7"/>
      <c r="I269" s="7"/>
      <c r="J269" s="7"/>
      <c r="K269" s="7"/>
      <c r="L269" s="7"/>
      <c r="M269" s="7"/>
      <c r="N269" s="4"/>
      <c r="O269" s="4"/>
      <c r="P269" s="4"/>
      <c r="Q269" s="4"/>
      <c r="R269" s="4"/>
    </row>
    <row r="270">
      <c r="A270" s="1"/>
      <c r="B270" s="8"/>
      <c r="C270" s="2"/>
      <c r="D270" s="2"/>
      <c r="E270" s="2"/>
      <c r="F270" s="2"/>
      <c r="G270" s="7"/>
      <c r="H270" s="7"/>
      <c r="I270" s="7"/>
      <c r="J270" s="7"/>
      <c r="K270" s="7"/>
      <c r="L270" s="7"/>
      <c r="M270" s="7"/>
      <c r="N270" s="4"/>
      <c r="O270" s="4"/>
      <c r="P270" s="4"/>
      <c r="Q270" s="4"/>
      <c r="R270" s="4"/>
    </row>
    <row r="271">
      <c r="A271" s="1"/>
      <c r="B271" s="8"/>
      <c r="C271" s="2"/>
      <c r="D271" s="2"/>
      <c r="E271" s="2"/>
      <c r="F271" s="2"/>
      <c r="G271" s="7"/>
      <c r="H271" s="7"/>
      <c r="I271" s="7"/>
      <c r="J271" s="7"/>
      <c r="K271" s="7"/>
      <c r="L271" s="7"/>
      <c r="M271" s="7"/>
      <c r="N271" s="4"/>
      <c r="O271" s="4"/>
      <c r="P271" s="4"/>
      <c r="Q271" s="4"/>
      <c r="R271" s="4"/>
    </row>
    <row r="272">
      <c r="A272" s="1"/>
      <c r="B272" s="8"/>
      <c r="C272" s="2"/>
      <c r="D272" s="2"/>
      <c r="E272" s="2"/>
      <c r="F272" s="2"/>
      <c r="G272" s="7"/>
      <c r="H272" s="7"/>
      <c r="I272" s="7"/>
      <c r="J272" s="7"/>
      <c r="K272" s="7"/>
      <c r="L272" s="7"/>
      <c r="M272" s="7"/>
      <c r="N272" s="4"/>
      <c r="O272" s="4"/>
      <c r="P272" s="4"/>
      <c r="Q272" s="4"/>
      <c r="R272" s="4"/>
    </row>
    <row r="273">
      <c r="A273" s="1"/>
      <c r="B273" s="8"/>
      <c r="C273" s="2"/>
      <c r="D273" s="2"/>
      <c r="E273" s="2"/>
      <c r="F273" s="2"/>
      <c r="G273" s="7"/>
      <c r="H273" s="7"/>
      <c r="I273" s="7"/>
      <c r="J273" s="7"/>
      <c r="K273" s="7"/>
      <c r="L273" s="7"/>
      <c r="M273" s="7"/>
      <c r="N273" s="4"/>
      <c r="O273" s="4"/>
      <c r="P273" s="4"/>
      <c r="Q273" s="4"/>
      <c r="R273" s="4"/>
    </row>
    <row r="274">
      <c r="A274" s="1"/>
      <c r="B274" s="8"/>
      <c r="C274" s="2"/>
      <c r="D274" s="2"/>
      <c r="E274" s="2"/>
      <c r="F274" s="2"/>
      <c r="G274" s="7"/>
      <c r="H274" s="7"/>
      <c r="I274" s="7"/>
      <c r="J274" s="7"/>
      <c r="K274" s="7"/>
      <c r="L274" s="7"/>
      <c r="M274" s="7"/>
      <c r="N274" s="4"/>
      <c r="O274" s="4"/>
      <c r="P274" s="4"/>
      <c r="Q274" s="4"/>
      <c r="R274" s="4"/>
    </row>
    <row r="275">
      <c r="A275" s="1"/>
      <c r="B275" s="8"/>
      <c r="C275" s="2"/>
      <c r="D275" s="2"/>
      <c r="E275" s="2"/>
      <c r="F275" s="2"/>
      <c r="G275" s="7"/>
      <c r="H275" s="7"/>
      <c r="I275" s="7"/>
      <c r="J275" s="7"/>
      <c r="K275" s="7"/>
      <c r="L275" s="7"/>
      <c r="M275" s="7"/>
      <c r="N275" s="4"/>
      <c r="O275" s="4"/>
      <c r="P275" s="4"/>
      <c r="Q275" s="4"/>
      <c r="R275" s="4"/>
    </row>
    <row r="276">
      <c r="A276" s="1"/>
      <c r="B276" s="8"/>
      <c r="C276" s="2"/>
      <c r="D276" s="2"/>
      <c r="E276" s="2"/>
      <c r="F276" s="2"/>
      <c r="G276" s="7"/>
      <c r="H276" s="7"/>
      <c r="I276" s="7"/>
      <c r="J276" s="7"/>
      <c r="K276" s="7"/>
      <c r="L276" s="7"/>
      <c r="M276" s="7"/>
      <c r="N276" s="4"/>
      <c r="O276" s="4"/>
      <c r="P276" s="4"/>
      <c r="Q276" s="4"/>
      <c r="R276" s="4"/>
    </row>
    <row r="277">
      <c r="A277" s="1"/>
      <c r="B277" s="8"/>
      <c r="C277" s="2"/>
      <c r="D277" s="2"/>
      <c r="E277" s="2"/>
      <c r="F277" s="2"/>
      <c r="G277" s="7"/>
      <c r="H277" s="7"/>
      <c r="I277" s="7"/>
      <c r="J277" s="7"/>
      <c r="K277" s="7"/>
      <c r="L277" s="7"/>
      <c r="M277" s="7"/>
      <c r="N277" s="4"/>
      <c r="O277" s="4"/>
      <c r="P277" s="4"/>
      <c r="Q277" s="4"/>
      <c r="R277" s="4"/>
    </row>
    <row r="278">
      <c r="A278" s="1"/>
      <c r="B278" s="8"/>
      <c r="C278" s="2"/>
      <c r="D278" s="2"/>
      <c r="E278" s="2"/>
      <c r="F278" s="2"/>
      <c r="G278" s="7"/>
      <c r="H278" s="7"/>
      <c r="I278" s="7"/>
      <c r="J278" s="7"/>
      <c r="K278" s="7"/>
      <c r="L278" s="7"/>
      <c r="M278" s="7"/>
      <c r="N278" s="4"/>
      <c r="O278" s="4"/>
      <c r="P278" s="4"/>
      <c r="Q278" s="4"/>
      <c r="R278" s="4"/>
    </row>
    <row r="279">
      <c r="A279" s="1"/>
      <c r="B279" s="8"/>
      <c r="C279" s="2"/>
      <c r="D279" s="2"/>
      <c r="E279" s="2"/>
      <c r="F279" s="2"/>
      <c r="G279" s="7"/>
      <c r="H279" s="7"/>
      <c r="I279" s="7"/>
      <c r="J279" s="7"/>
      <c r="K279" s="7"/>
      <c r="L279" s="7"/>
      <c r="M279" s="7"/>
      <c r="N279" s="4"/>
      <c r="O279" s="4"/>
      <c r="P279" s="4"/>
      <c r="Q279" s="4"/>
      <c r="R279" s="4"/>
    </row>
    <row r="280">
      <c r="A280" s="1"/>
      <c r="B280" s="8"/>
      <c r="C280" s="2"/>
      <c r="D280" s="2"/>
      <c r="E280" s="2"/>
      <c r="F280" s="2"/>
      <c r="G280" s="7"/>
      <c r="H280" s="7"/>
      <c r="I280" s="7"/>
      <c r="J280" s="7"/>
      <c r="K280" s="7"/>
      <c r="L280" s="7"/>
      <c r="M280" s="7"/>
      <c r="N280" s="4"/>
      <c r="O280" s="4"/>
      <c r="P280" s="4"/>
      <c r="Q280" s="4"/>
      <c r="R280" s="4"/>
    </row>
    <row r="281">
      <c r="A281" s="1"/>
      <c r="B281" s="8"/>
      <c r="C281" s="2"/>
      <c r="D281" s="2"/>
      <c r="E281" s="2"/>
      <c r="F281" s="2"/>
      <c r="G281" s="7"/>
      <c r="H281" s="7"/>
      <c r="I281" s="7"/>
      <c r="J281" s="7"/>
      <c r="K281" s="7"/>
      <c r="L281" s="7"/>
      <c r="M281" s="7"/>
      <c r="N281" s="4"/>
      <c r="O281" s="4"/>
      <c r="P281" s="4"/>
      <c r="Q281" s="4"/>
      <c r="R281" s="4"/>
    </row>
    <row r="282">
      <c r="A282" s="1"/>
      <c r="B282" s="8"/>
      <c r="C282" s="2"/>
      <c r="D282" s="2"/>
      <c r="E282" s="2"/>
      <c r="F282" s="2"/>
      <c r="G282" s="7"/>
      <c r="H282" s="7"/>
      <c r="I282" s="7"/>
      <c r="J282" s="7"/>
      <c r="K282" s="7"/>
      <c r="L282" s="7"/>
      <c r="M282" s="7"/>
      <c r="N282" s="4"/>
      <c r="O282" s="4"/>
      <c r="P282" s="4"/>
      <c r="Q282" s="4"/>
      <c r="R282" s="4"/>
    </row>
    <row r="283">
      <c r="A283" s="1"/>
      <c r="B283" s="8"/>
      <c r="C283" s="2"/>
      <c r="D283" s="2"/>
      <c r="E283" s="2"/>
      <c r="F283" s="2"/>
      <c r="G283" s="7"/>
      <c r="H283" s="7"/>
      <c r="I283" s="7"/>
      <c r="J283" s="7"/>
      <c r="K283" s="7"/>
      <c r="L283" s="7"/>
      <c r="M283" s="7"/>
      <c r="N283" s="4"/>
      <c r="O283" s="4"/>
      <c r="P283" s="4"/>
      <c r="Q283" s="4"/>
      <c r="R283" s="4"/>
    </row>
    <row r="284">
      <c r="A284" s="1"/>
      <c r="B284" s="8"/>
      <c r="C284" s="2"/>
      <c r="D284" s="2"/>
      <c r="E284" s="2"/>
      <c r="F284" s="2"/>
      <c r="G284" s="7"/>
      <c r="H284" s="7"/>
      <c r="I284" s="7"/>
      <c r="J284" s="7"/>
      <c r="K284" s="7"/>
      <c r="L284" s="7"/>
      <c r="M284" s="7"/>
      <c r="N284" s="4"/>
      <c r="O284" s="4"/>
      <c r="P284" s="4"/>
      <c r="Q284" s="4"/>
      <c r="R284" s="4"/>
    </row>
    <row r="285">
      <c r="A285" s="1"/>
      <c r="B285" s="8"/>
      <c r="C285" s="2"/>
      <c r="D285" s="2"/>
      <c r="E285" s="2"/>
      <c r="F285" s="2"/>
      <c r="G285" s="7"/>
      <c r="H285" s="7"/>
      <c r="I285" s="7"/>
      <c r="J285" s="7"/>
      <c r="K285" s="7"/>
      <c r="L285" s="7"/>
      <c r="M285" s="7"/>
      <c r="N285" s="4"/>
      <c r="O285" s="4"/>
      <c r="P285" s="4"/>
      <c r="Q285" s="4"/>
      <c r="R285" s="4"/>
    </row>
    <row r="286">
      <c r="A286" s="1"/>
      <c r="B286" s="8"/>
      <c r="C286" s="2"/>
      <c r="D286" s="2"/>
      <c r="E286" s="2"/>
      <c r="F286" s="2"/>
      <c r="G286" s="7"/>
      <c r="H286" s="7"/>
      <c r="I286" s="7"/>
      <c r="J286" s="7"/>
      <c r="K286" s="7"/>
      <c r="L286" s="7"/>
      <c r="M286" s="7"/>
      <c r="N286" s="4"/>
      <c r="O286" s="4"/>
      <c r="P286" s="4"/>
      <c r="Q286" s="4"/>
      <c r="R286" s="4"/>
    </row>
    <row r="287">
      <c r="A287" s="1"/>
      <c r="B287" s="8"/>
      <c r="C287" s="2"/>
      <c r="D287" s="2"/>
      <c r="E287" s="2"/>
      <c r="F287" s="2"/>
      <c r="G287" s="7"/>
      <c r="H287" s="7"/>
      <c r="I287" s="7"/>
      <c r="J287" s="7"/>
      <c r="K287" s="7"/>
      <c r="L287" s="7"/>
      <c r="M287" s="7"/>
      <c r="N287" s="4"/>
      <c r="O287" s="4"/>
      <c r="P287" s="4"/>
      <c r="Q287" s="4"/>
      <c r="R287" s="4"/>
    </row>
    <row r="288">
      <c r="A288" s="1"/>
      <c r="B288" s="8"/>
      <c r="C288" s="2"/>
      <c r="D288" s="2"/>
      <c r="E288" s="2"/>
      <c r="F288" s="2"/>
      <c r="G288" s="7"/>
      <c r="H288" s="7"/>
      <c r="I288" s="7"/>
      <c r="J288" s="7"/>
      <c r="K288" s="7"/>
      <c r="L288" s="7"/>
      <c r="M288" s="7"/>
      <c r="N288" s="4"/>
      <c r="O288" s="4"/>
      <c r="P288" s="4"/>
      <c r="Q288" s="4"/>
      <c r="R288" s="4"/>
    </row>
    <row r="289">
      <c r="A289" s="1"/>
      <c r="B289" s="8"/>
      <c r="C289" s="2"/>
      <c r="D289" s="2"/>
      <c r="E289" s="2"/>
      <c r="F289" s="2"/>
      <c r="G289" s="7"/>
      <c r="H289" s="7"/>
      <c r="I289" s="7"/>
      <c r="J289" s="7"/>
      <c r="K289" s="7"/>
      <c r="L289" s="7"/>
      <c r="M289" s="7"/>
      <c r="N289" s="4"/>
      <c r="O289" s="4"/>
      <c r="P289" s="4"/>
      <c r="Q289" s="4"/>
      <c r="R289" s="4"/>
    </row>
    <row r="290">
      <c r="A290" s="1"/>
      <c r="B290" s="8"/>
      <c r="C290" s="2"/>
      <c r="D290" s="2"/>
      <c r="E290" s="2"/>
      <c r="F290" s="2"/>
      <c r="G290" s="7"/>
      <c r="H290" s="7"/>
      <c r="I290" s="7"/>
      <c r="J290" s="7"/>
      <c r="K290" s="7"/>
      <c r="L290" s="7"/>
      <c r="M290" s="7"/>
      <c r="N290" s="4"/>
      <c r="O290" s="4"/>
      <c r="P290" s="4"/>
      <c r="Q290" s="4"/>
      <c r="R290" s="4"/>
    </row>
    <row r="291">
      <c r="A291" s="1"/>
      <c r="B291" s="8"/>
      <c r="C291" s="2"/>
      <c r="D291" s="2"/>
      <c r="E291" s="2"/>
      <c r="F291" s="2"/>
      <c r="G291" s="7"/>
      <c r="H291" s="7"/>
      <c r="I291" s="7"/>
      <c r="J291" s="7"/>
      <c r="K291" s="7"/>
      <c r="L291" s="7"/>
      <c r="M291" s="7"/>
      <c r="N291" s="4"/>
      <c r="O291" s="4"/>
      <c r="P291" s="4"/>
      <c r="Q291" s="4"/>
      <c r="R291" s="4"/>
    </row>
    <row r="292">
      <c r="A292" s="1"/>
      <c r="B292" s="8"/>
      <c r="C292" s="2"/>
      <c r="D292" s="2"/>
      <c r="E292" s="2"/>
      <c r="F292" s="2"/>
      <c r="G292" s="7"/>
      <c r="H292" s="7"/>
      <c r="I292" s="7"/>
      <c r="J292" s="7"/>
      <c r="K292" s="7"/>
      <c r="L292" s="7"/>
      <c r="M292" s="7"/>
      <c r="N292" s="4"/>
      <c r="O292" s="4"/>
      <c r="P292" s="4"/>
      <c r="Q292" s="4"/>
      <c r="R292" s="4"/>
    </row>
    <row r="293">
      <c r="A293" s="1"/>
      <c r="B293" s="8"/>
      <c r="C293" s="2"/>
      <c r="D293" s="2"/>
      <c r="E293" s="2"/>
      <c r="F293" s="2"/>
      <c r="G293" s="7"/>
      <c r="H293" s="7"/>
      <c r="I293" s="7"/>
      <c r="J293" s="7"/>
      <c r="K293" s="7"/>
      <c r="L293" s="7"/>
      <c r="M293" s="7"/>
      <c r="N293" s="4"/>
      <c r="O293" s="4"/>
      <c r="P293" s="4"/>
      <c r="Q293" s="4"/>
      <c r="R293" s="4"/>
    </row>
    <row r="294">
      <c r="A294" s="1"/>
      <c r="B294" s="8"/>
      <c r="C294" s="2"/>
      <c r="D294" s="2"/>
      <c r="E294" s="2"/>
      <c r="F294" s="2"/>
      <c r="G294" s="7"/>
      <c r="H294" s="7"/>
      <c r="I294" s="7"/>
      <c r="J294" s="7"/>
      <c r="K294" s="7"/>
      <c r="L294" s="7"/>
      <c r="M294" s="7"/>
      <c r="N294" s="4"/>
      <c r="O294" s="4"/>
      <c r="P294" s="4"/>
      <c r="Q294" s="4"/>
      <c r="R294" s="4"/>
    </row>
    <row r="295">
      <c r="A295" s="1"/>
      <c r="B295" s="8"/>
      <c r="C295" s="2"/>
      <c r="D295" s="2"/>
      <c r="E295" s="2"/>
      <c r="F295" s="2"/>
      <c r="G295" s="7"/>
      <c r="H295" s="7"/>
      <c r="I295" s="7"/>
      <c r="J295" s="7"/>
      <c r="K295" s="7"/>
      <c r="L295" s="7"/>
      <c r="M295" s="7"/>
      <c r="N295" s="4"/>
      <c r="O295" s="4"/>
      <c r="P295" s="4"/>
      <c r="Q295" s="4"/>
      <c r="R295" s="4"/>
    </row>
    <row r="296">
      <c r="A296" s="1"/>
      <c r="B296" s="8"/>
      <c r="C296" s="2"/>
      <c r="D296" s="2"/>
      <c r="E296" s="2"/>
      <c r="F296" s="2"/>
      <c r="G296" s="7"/>
      <c r="H296" s="7"/>
      <c r="I296" s="7"/>
      <c r="J296" s="7"/>
      <c r="K296" s="7"/>
      <c r="L296" s="7"/>
      <c r="M296" s="7"/>
      <c r="N296" s="4"/>
      <c r="O296" s="4"/>
      <c r="P296" s="4"/>
      <c r="Q296" s="4"/>
      <c r="R296" s="4"/>
    </row>
    <row r="297">
      <c r="A297" s="1"/>
      <c r="B297" s="8"/>
      <c r="C297" s="2"/>
      <c r="D297" s="2"/>
      <c r="E297" s="2"/>
      <c r="F297" s="2"/>
      <c r="G297" s="7"/>
      <c r="H297" s="7"/>
      <c r="I297" s="7"/>
      <c r="J297" s="7"/>
      <c r="K297" s="7"/>
      <c r="L297" s="7"/>
      <c r="M297" s="7"/>
      <c r="N297" s="4"/>
      <c r="O297" s="4"/>
      <c r="P297" s="4"/>
      <c r="Q297" s="4"/>
      <c r="R297" s="4"/>
    </row>
    <row r="298">
      <c r="A298" s="1"/>
      <c r="B298" s="8"/>
      <c r="C298" s="2"/>
      <c r="D298" s="2"/>
      <c r="E298" s="2"/>
      <c r="F298" s="2"/>
      <c r="G298" s="7"/>
      <c r="H298" s="7"/>
      <c r="I298" s="7"/>
      <c r="J298" s="7"/>
      <c r="K298" s="7"/>
      <c r="L298" s="7"/>
      <c r="M298" s="7"/>
      <c r="N298" s="4"/>
      <c r="O298" s="4"/>
      <c r="P298" s="4"/>
      <c r="Q298" s="4"/>
      <c r="R298" s="4"/>
    </row>
    <row r="299">
      <c r="A299" s="1"/>
      <c r="B299" s="8"/>
      <c r="C299" s="2"/>
      <c r="D299" s="2"/>
      <c r="E299" s="2"/>
      <c r="F299" s="2"/>
      <c r="G299" s="7"/>
      <c r="H299" s="7"/>
      <c r="I299" s="7"/>
      <c r="J299" s="7"/>
      <c r="K299" s="7"/>
      <c r="L299" s="7"/>
      <c r="M299" s="7"/>
      <c r="N299" s="4"/>
      <c r="O299" s="4"/>
      <c r="P299" s="4"/>
      <c r="Q299" s="4"/>
      <c r="R299" s="4"/>
    </row>
    <row r="300">
      <c r="A300" s="1"/>
      <c r="B300" s="8"/>
      <c r="C300" s="2"/>
      <c r="D300" s="2"/>
      <c r="E300" s="2"/>
      <c r="F300" s="2"/>
      <c r="G300" s="7"/>
      <c r="H300" s="7"/>
      <c r="I300" s="7"/>
      <c r="J300" s="7"/>
      <c r="K300" s="7"/>
      <c r="L300" s="7"/>
      <c r="M300" s="7"/>
      <c r="N300" s="4"/>
      <c r="O300" s="4"/>
      <c r="P300" s="4"/>
      <c r="Q300" s="4"/>
      <c r="R300" s="4"/>
    </row>
    <row r="301">
      <c r="A301" s="1"/>
      <c r="B301" s="8"/>
      <c r="C301" s="2"/>
      <c r="D301" s="2"/>
      <c r="E301" s="2"/>
      <c r="F301" s="2"/>
      <c r="G301" s="7"/>
      <c r="H301" s="7"/>
      <c r="I301" s="7"/>
      <c r="J301" s="7"/>
      <c r="K301" s="7"/>
      <c r="L301" s="7"/>
      <c r="M301" s="7"/>
      <c r="N301" s="4"/>
      <c r="O301" s="4"/>
      <c r="P301" s="4"/>
      <c r="Q301" s="4"/>
      <c r="R301" s="4"/>
    </row>
    <row r="302">
      <c r="A302" s="1"/>
      <c r="B302" s="8"/>
      <c r="C302" s="2"/>
      <c r="D302" s="2"/>
      <c r="E302" s="2"/>
      <c r="F302" s="2"/>
      <c r="G302" s="7"/>
      <c r="H302" s="7"/>
      <c r="I302" s="7"/>
      <c r="J302" s="7"/>
      <c r="K302" s="7"/>
      <c r="L302" s="7"/>
      <c r="M302" s="7"/>
      <c r="N302" s="4"/>
      <c r="O302" s="4"/>
      <c r="P302" s="4"/>
      <c r="Q302" s="4"/>
      <c r="R302" s="4"/>
    </row>
    <row r="303">
      <c r="A303" s="1"/>
      <c r="B303" s="8"/>
      <c r="C303" s="2"/>
      <c r="D303" s="2"/>
      <c r="E303" s="2"/>
      <c r="F303" s="2"/>
      <c r="G303" s="7"/>
      <c r="H303" s="7"/>
      <c r="I303" s="7"/>
      <c r="J303" s="7"/>
      <c r="K303" s="7"/>
      <c r="L303" s="7"/>
      <c r="M303" s="7"/>
      <c r="N303" s="4"/>
      <c r="O303" s="4"/>
      <c r="P303" s="4"/>
      <c r="Q303" s="4"/>
      <c r="R303" s="4"/>
    </row>
    <row r="304">
      <c r="A304" s="1"/>
      <c r="B304" s="8"/>
      <c r="C304" s="2"/>
      <c r="D304" s="2"/>
      <c r="E304" s="2"/>
      <c r="F304" s="2"/>
      <c r="G304" s="7"/>
      <c r="H304" s="7"/>
      <c r="I304" s="7"/>
      <c r="J304" s="7"/>
      <c r="K304" s="7"/>
      <c r="L304" s="7"/>
      <c r="M304" s="7"/>
      <c r="N304" s="4"/>
      <c r="O304" s="4"/>
      <c r="P304" s="4"/>
      <c r="Q304" s="4"/>
      <c r="R304" s="4"/>
    </row>
    <row r="305">
      <c r="A305" s="1"/>
      <c r="B305" s="8"/>
      <c r="C305" s="2"/>
      <c r="D305" s="2"/>
      <c r="E305" s="2"/>
      <c r="F305" s="2"/>
      <c r="G305" s="7"/>
      <c r="H305" s="7"/>
      <c r="I305" s="7"/>
      <c r="J305" s="7"/>
      <c r="K305" s="7"/>
      <c r="L305" s="7"/>
      <c r="M305" s="7"/>
      <c r="N305" s="4"/>
      <c r="O305" s="4"/>
      <c r="P305" s="4"/>
      <c r="Q305" s="4"/>
      <c r="R305" s="4"/>
    </row>
    <row r="306">
      <c r="A306" s="1"/>
      <c r="B306" s="8"/>
      <c r="C306" s="2"/>
      <c r="D306" s="2"/>
      <c r="E306" s="2"/>
      <c r="F306" s="2"/>
      <c r="G306" s="7"/>
      <c r="H306" s="7"/>
      <c r="I306" s="7"/>
      <c r="J306" s="7"/>
      <c r="K306" s="7"/>
      <c r="L306" s="7"/>
      <c r="M306" s="7"/>
      <c r="N306" s="4"/>
      <c r="O306" s="4"/>
      <c r="P306" s="4"/>
      <c r="Q306" s="4"/>
      <c r="R306" s="4"/>
    </row>
    <row r="307">
      <c r="A307" s="1"/>
      <c r="B307" s="8"/>
      <c r="C307" s="2"/>
      <c r="D307" s="2"/>
      <c r="E307" s="2"/>
      <c r="F307" s="2"/>
      <c r="G307" s="7"/>
      <c r="H307" s="7"/>
      <c r="I307" s="7"/>
      <c r="J307" s="7"/>
      <c r="K307" s="7"/>
      <c r="L307" s="7"/>
      <c r="M307" s="7"/>
      <c r="N307" s="4"/>
      <c r="O307" s="4"/>
      <c r="P307" s="4"/>
      <c r="Q307" s="4"/>
      <c r="R307" s="4"/>
    </row>
    <row r="308">
      <c r="A308" s="1"/>
      <c r="B308" s="8"/>
      <c r="C308" s="2"/>
      <c r="D308" s="2"/>
      <c r="E308" s="2"/>
      <c r="F308" s="2"/>
      <c r="G308" s="7"/>
      <c r="H308" s="7"/>
      <c r="I308" s="7"/>
      <c r="J308" s="7"/>
      <c r="K308" s="7"/>
      <c r="L308" s="7"/>
      <c r="M308" s="7"/>
      <c r="N308" s="4"/>
      <c r="O308" s="4"/>
      <c r="P308" s="4"/>
      <c r="Q308" s="4"/>
      <c r="R308" s="4"/>
    </row>
    <row r="309">
      <c r="A309" s="1"/>
      <c r="B309" s="8"/>
      <c r="C309" s="2"/>
      <c r="D309" s="2"/>
      <c r="E309" s="2"/>
      <c r="F309" s="2"/>
      <c r="G309" s="7"/>
      <c r="H309" s="7"/>
      <c r="I309" s="7"/>
      <c r="J309" s="7"/>
      <c r="K309" s="7"/>
      <c r="L309" s="7"/>
      <c r="M309" s="7"/>
      <c r="N309" s="4"/>
      <c r="O309" s="4"/>
      <c r="P309" s="4"/>
      <c r="Q309" s="4"/>
      <c r="R309" s="4"/>
    </row>
    <row r="310">
      <c r="A310" s="1"/>
      <c r="B310" s="8"/>
      <c r="C310" s="2"/>
      <c r="D310" s="2"/>
      <c r="E310" s="2"/>
      <c r="F310" s="2"/>
      <c r="G310" s="7"/>
      <c r="H310" s="7"/>
      <c r="I310" s="7"/>
      <c r="J310" s="7"/>
      <c r="K310" s="7"/>
      <c r="L310" s="7"/>
      <c r="M310" s="7"/>
      <c r="N310" s="4"/>
      <c r="O310" s="4"/>
      <c r="P310" s="4"/>
      <c r="Q310" s="4"/>
      <c r="R310" s="4"/>
    </row>
    <row r="311">
      <c r="A311" s="1"/>
      <c r="B311" s="8"/>
      <c r="C311" s="2"/>
      <c r="D311" s="2"/>
      <c r="E311" s="2"/>
      <c r="F311" s="2"/>
      <c r="G311" s="7"/>
      <c r="H311" s="7"/>
      <c r="I311" s="7"/>
      <c r="J311" s="7"/>
      <c r="K311" s="7"/>
      <c r="L311" s="7"/>
      <c r="M311" s="7"/>
      <c r="N311" s="4"/>
      <c r="O311" s="4"/>
      <c r="P311" s="4"/>
      <c r="Q311" s="4"/>
      <c r="R311" s="4"/>
    </row>
    <row r="312">
      <c r="A312" s="1"/>
      <c r="B312" s="8"/>
      <c r="C312" s="2"/>
      <c r="D312" s="2"/>
      <c r="E312" s="2"/>
      <c r="F312" s="2"/>
      <c r="G312" s="7"/>
      <c r="H312" s="7"/>
      <c r="I312" s="7"/>
      <c r="J312" s="7"/>
      <c r="K312" s="7"/>
      <c r="L312" s="7"/>
      <c r="M312" s="7"/>
      <c r="N312" s="4"/>
      <c r="O312" s="4"/>
      <c r="P312" s="4"/>
      <c r="Q312" s="4"/>
      <c r="R312" s="4"/>
    </row>
    <row r="313">
      <c r="A313" s="1"/>
      <c r="B313" s="8"/>
      <c r="C313" s="2"/>
      <c r="D313" s="2"/>
      <c r="E313" s="2"/>
      <c r="F313" s="2"/>
      <c r="G313" s="7"/>
      <c r="H313" s="7"/>
      <c r="I313" s="7"/>
      <c r="J313" s="7"/>
      <c r="K313" s="7"/>
      <c r="L313" s="7"/>
      <c r="M313" s="7"/>
      <c r="N313" s="4"/>
      <c r="O313" s="4"/>
      <c r="P313" s="4"/>
      <c r="Q313" s="4"/>
      <c r="R313" s="4"/>
    </row>
    <row r="314">
      <c r="A314" s="1"/>
      <c r="B314" s="8"/>
      <c r="C314" s="2"/>
      <c r="D314" s="2"/>
      <c r="E314" s="2"/>
      <c r="F314" s="2"/>
      <c r="G314" s="7"/>
      <c r="H314" s="7"/>
      <c r="I314" s="7"/>
      <c r="J314" s="7"/>
      <c r="K314" s="7"/>
      <c r="L314" s="7"/>
      <c r="M314" s="7"/>
      <c r="N314" s="4"/>
      <c r="O314" s="4"/>
      <c r="P314" s="4"/>
      <c r="Q314" s="4"/>
      <c r="R314" s="4"/>
    </row>
    <row r="315">
      <c r="A315" s="1"/>
      <c r="B315" s="8"/>
      <c r="C315" s="2"/>
      <c r="D315" s="2"/>
      <c r="E315" s="2"/>
      <c r="F315" s="2"/>
      <c r="G315" s="7"/>
      <c r="H315" s="7"/>
      <c r="I315" s="7"/>
      <c r="J315" s="7"/>
      <c r="K315" s="7"/>
      <c r="L315" s="7"/>
      <c r="M315" s="7"/>
      <c r="N315" s="4"/>
      <c r="O315" s="4"/>
      <c r="P315" s="4"/>
      <c r="Q315" s="4"/>
      <c r="R315" s="4"/>
    </row>
    <row r="316">
      <c r="A316" s="1"/>
      <c r="B316" s="8"/>
      <c r="C316" s="2"/>
      <c r="D316" s="2"/>
      <c r="E316" s="2"/>
      <c r="F316" s="2"/>
      <c r="G316" s="7"/>
      <c r="H316" s="7"/>
      <c r="I316" s="7"/>
      <c r="J316" s="7"/>
      <c r="K316" s="7"/>
      <c r="L316" s="7"/>
      <c r="M316" s="7"/>
      <c r="N316" s="4"/>
      <c r="O316" s="4"/>
      <c r="P316" s="4"/>
      <c r="Q316" s="4"/>
      <c r="R316" s="4"/>
    </row>
    <row r="317">
      <c r="A317" s="1"/>
      <c r="B317" s="8"/>
      <c r="C317" s="2"/>
      <c r="D317" s="2"/>
      <c r="E317" s="2"/>
      <c r="F317" s="2"/>
      <c r="G317" s="7"/>
      <c r="H317" s="7"/>
      <c r="I317" s="7"/>
      <c r="J317" s="7"/>
      <c r="K317" s="7"/>
      <c r="L317" s="7"/>
      <c r="M317" s="7"/>
      <c r="N317" s="4"/>
      <c r="O317" s="4"/>
      <c r="P317" s="4"/>
      <c r="Q317" s="4"/>
      <c r="R317" s="4"/>
    </row>
    <row r="318">
      <c r="A318" s="1"/>
      <c r="B318" s="8"/>
      <c r="C318" s="2"/>
      <c r="D318" s="2"/>
      <c r="E318" s="2"/>
      <c r="F318" s="2"/>
      <c r="G318" s="7"/>
      <c r="H318" s="7"/>
      <c r="I318" s="7"/>
      <c r="J318" s="7"/>
      <c r="K318" s="7"/>
      <c r="L318" s="7"/>
      <c r="M318" s="7"/>
      <c r="N318" s="4"/>
      <c r="O318" s="4"/>
      <c r="P318" s="4"/>
      <c r="Q318" s="4"/>
      <c r="R318" s="4"/>
    </row>
    <row r="319">
      <c r="A319" s="1"/>
      <c r="B319" s="8"/>
      <c r="C319" s="2"/>
      <c r="D319" s="2"/>
      <c r="E319" s="2"/>
      <c r="F319" s="2"/>
      <c r="G319" s="7"/>
      <c r="H319" s="7"/>
      <c r="I319" s="7"/>
      <c r="J319" s="7"/>
      <c r="K319" s="7"/>
      <c r="L319" s="7"/>
      <c r="M319" s="7"/>
      <c r="N319" s="4"/>
      <c r="O319" s="4"/>
      <c r="P319" s="4"/>
      <c r="Q319" s="4"/>
      <c r="R319" s="4"/>
    </row>
    <row r="320">
      <c r="A320" s="1"/>
      <c r="B320" s="8"/>
      <c r="C320" s="2"/>
      <c r="D320" s="2"/>
      <c r="E320" s="2"/>
      <c r="F320" s="2"/>
      <c r="G320" s="7"/>
      <c r="H320" s="7"/>
      <c r="I320" s="7"/>
      <c r="J320" s="7"/>
      <c r="K320" s="7"/>
      <c r="L320" s="7"/>
      <c r="M320" s="7"/>
      <c r="N320" s="4"/>
      <c r="O320" s="4"/>
      <c r="P320" s="4"/>
      <c r="Q320" s="4"/>
      <c r="R320" s="4"/>
    </row>
    <row r="321">
      <c r="A321" s="1"/>
      <c r="B321" s="8"/>
      <c r="C321" s="2"/>
      <c r="D321" s="2"/>
      <c r="E321" s="2"/>
      <c r="F321" s="2"/>
      <c r="G321" s="7"/>
      <c r="H321" s="7"/>
      <c r="I321" s="7"/>
      <c r="J321" s="7"/>
      <c r="K321" s="7"/>
      <c r="L321" s="7"/>
      <c r="M321" s="7"/>
      <c r="N321" s="4"/>
      <c r="O321" s="4"/>
      <c r="P321" s="4"/>
      <c r="Q321" s="4"/>
      <c r="R321" s="4"/>
    </row>
    <row r="322">
      <c r="A322" s="1"/>
      <c r="B322" s="8"/>
      <c r="C322" s="2"/>
      <c r="D322" s="2"/>
      <c r="E322" s="2"/>
      <c r="F322" s="2"/>
      <c r="G322" s="7"/>
      <c r="H322" s="7"/>
      <c r="I322" s="7"/>
      <c r="J322" s="7"/>
      <c r="K322" s="7"/>
      <c r="L322" s="7"/>
      <c r="M322" s="7"/>
      <c r="N322" s="4"/>
      <c r="O322" s="4"/>
      <c r="P322" s="4"/>
      <c r="Q322" s="4"/>
      <c r="R322" s="4"/>
    </row>
    <row r="323">
      <c r="A323" s="1"/>
      <c r="B323" s="8"/>
      <c r="C323" s="2"/>
      <c r="D323" s="2"/>
      <c r="E323" s="2"/>
      <c r="F323" s="2"/>
      <c r="G323" s="7"/>
      <c r="H323" s="7"/>
      <c r="I323" s="7"/>
      <c r="J323" s="7"/>
      <c r="K323" s="7"/>
      <c r="L323" s="7"/>
      <c r="M323" s="7"/>
      <c r="N323" s="4"/>
      <c r="O323" s="4"/>
      <c r="P323" s="4"/>
      <c r="Q323" s="4"/>
      <c r="R323" s="4"/>
    </row>
    <row r="324">
      <c r="A324" s="1"/>
      <c r="B324" s="8"/>
      <c r="C324" s="2"/>
      <c r="D324" s="2"/>
      <c r="E324" s="2"/>
      <c r="F324" s="2"/>
      <c r="G324" s="7"/>
      <c r="H324" s="7"/>
      <c r="I324" s="7"/>
      <c r="J324" s="7"/>
      <c r="K324" s="7"/>
      <c r="L324" s="7"/>
      <c r="M324" s="7"/>
      <c r="N324" s="4"/>
      <c r="O324" s="4"/>
      <c r="P324" s="4"/>
      <c r="Q324" s="4"/>
      <c r="R324" s="4"/>
    </row>
    <row r="325">
      <c r="A325" s="1"/>
      <c r="B325" s="8"/>
      <c r="C325" s="2"/>
      <c r="D325" s="2"/>
      <c r="E325" s="2"/>
      <c r="F325" s="2"/>
      <c r="G325" s="7"/>
      <c r="H325" s="7"/>
      <c r="I325" s="7"/>
      <c r="J325" s="7"/>
      <c r="K325" s="7"/>
      <c r="L325" s="7"/>
      <c r="M325" s="7"/>
      <c r="N325" s="4"/>
      <c r="O325" s="4"/>
      <c r="P325" s="4"/>
      <c r="Q325" s="4"/>
      <c r="R325" s="4"/>
    </row>
    <row r="326">
      <c r="A326" s="1"/>
      <c r="B326" s="8"/>
      <c r="C326" s="2"/>
      <c r="D326" s="2"/>
      <c r="E326" s="2"/>
      <c r="F326" s="2"/>
      <c r="G326" s="7"/>
      <c r="H326" s="7"/>
      <c r="I326" s="7"/>
      <c r="J326" s="7"/>
      <c r="K326" s="7"/>
      <c r="L326" s="7"/>
      <c r="M326" s="7"/>
      <c r="N326" s="4"/>
      <c r="O326" s="4"/>
      <c r="P326" s="4"/>
      <c r="Q326" s="4"/>
      <c r="R326" s="4"/>
    </row>
    <row r="327">
      <c r="A327" s="1"/>
      <c r="B327" s="8"/>
      <c r="C327" s="2"/>
      <c r="D327" s="2"/>
      <c r="E327" s="2"/>
      <c r="F327" s="2"/>
      <c r="G327" s="7"/>
      <c r="H327" s="7"/>
      <c r="I327" s="7"/>
      <c r="J327" s="7"/>
      <c r="K327" s="7"/>
      <c r="L327" s="7"/>
      <c r="M327" s="7"/>
      <c r="N327" s="4"/>
      <c r="O327" s="4"/>
      <c r="P327" s="4"/>
      <c r="Q327" s="4"/>
      <c r="R327" s="4"/>
    </row>
    <row r="328">
      <c r="A328" s="1"/>
      <c r="B328" s="8"/>
      <c r="C328" s="2"/>
      <c r="D328" s="2"/>
      <c r="E328" s="2"/>
      <c r="F328" s="2"/>
      <c r="G328" s="7"/>
      <c r="H328" s="7"/>
      <c r="I328" s="7"/>
      <c r="J328" s="7"/>
      <c r="K328" s="7"/>
      <c r="L328" s="7"/>
      <c r="M328" s="7"/>
      <c r="N328" s="4"/>
      <c r="O328" s="4"/>
      <c r="P328" s="4"/>
      <c r="Q328" s="4"/>
      <c r="R328" s="4"/>
    </row>
    <row r="329">
      <c r="A329" s="1"/>
      <c r="B329" s="8"/>
      <c r="C329" s="2"/>
      <c r="D329" s="2"/>
      <c r="E329" s="2"/>
      <c r="F329" s="2"/>
      <c r="G329" s="7"/>
      <c r="H329" s="7"/>
      <c r="I329" s="7"/>
      <c r="J329" s="7"/>
      <c r="K329" s="7"/>
      <c r="L329" s="7"/>
      <c r="M329" s="7"/>
      <c r="N329" s="4"/>
      <c r="O329" s="4"/>
      <c r="P329" s="4"/>
      <c r="Q329" s="4"/>
      <c r="R329" s="4"/>
    </row>
    <row r="330">
      <c r="A330" s="1"/>
      <c r="B330" s="8"/>
      <c r="C330" s="2"/>
      <c r="D330" s="2"/>
      <c r="E330" s="2"/>
      <c r="F330" s="2"/>
      <c r="G330" s="7"/>
      <c r="H330" s="7"/>
      <c r="I330" s="7"/>
      <c r="J330" s="7"/>
      <c r="K330" s="7"/>
      <c r="L330" s="7"/>
      <c r="M330" s="7"/>
      <c r="N330" s="4"/>
      <c r="O330" s="4"/>
      <c r="P330" s="4"/>
      <c r="Q330" s="4"/>
      <c r="R330" s="4"/>
    </row>
    <row r="331">
      <c r="A331" s="1"/>
      <c r="B331" s="8"/>
      <c r="C331" s="2"/>
      <c r="D331" s="2"/>
      <c r="E331" s="2"/>
      <c r="F331" s="2"/>
      <c r="G331" s="7"/>
      <c r="H331" s="7"/>
      <c r="I331" s="7"/>
      <c r="J331" s="7"/>
      <c r="K331" s="7"/>
      <c r="L331" s="7"/>
      <c r="M331" s="7"/>
      <c r="N331" s="4"/>
      <c r="O331" s="4"/>
      <c r="P331" s="4"/>
      <c r="Q331" s="4"/>
      <c r="R331" s="4"/>
    </row>
    <row r="332">
      <c r="A332" s="1"/>
      <c r="B332" s="8"/>
      <c r="C332" s="2"/>
      <c r="D332" s="2"/>
      <c r="E332" s="2"/>
      <c r="F332" s="2"/>
      <c r="G332" s="7"/>
      <c r="H332" s="7"/>
      <c r="I332" s="7"/>
      <c r="J332" s="7"/>
      <c r="K332" s="7"/>
      <c r="L332" s="7"/>
      <c r="M332" s="7"/>
      <c r="N332" s="4"/>
      <c r="O332" s="4"/>
      <c r="P332" s="4"/>
      <c r="Q332" s="4"/>
      <c r="R332" s="4"/>
    </row>
    <row r="333">
      <c r="A333" s="1"/>
      <c r="B333" s="8"/>
      <c r="C333" s="2"/>
      <c r="D333" s="2"/>
      <c r="E333" s="2"/>
      <c r="F333" s="2"/>
      <c r="G333" s="7"/>
      <c r="H333" s="7"/>
      <c r="I333" s="7"/>
      <c r="J333" s="7"/>
      <c r="K333" s="7"/>
      <c r="L333" s="7"/>
      <c r="M333" s="7"/>
      <c r="N333" s="4"/>
      <c r="O333" s="4"/>
      <c r="P333" s="4"/>
      <c r="Q333" s="4"/>
      <c r="R333" s="4"/>
    </row>
    <row r="334">
      <c r="A334" s="1"/>
      <c r="B334" s="8"/>
      <c r="C334" s="2"/>
      <c r="D334" s="2"/>
      <c r="E334" s="2"/>
      <c r="F334" s="2"/>
      <c r="G334" s="7"/>
      <c r="H334" s="7"/>
      <c r="I334" s="7"/>
      <c r="J334" s="7"/>
      <c r="K334" s="7"/>
      <c r="L334" s="7"/>
      <c r="M334" s="7"/>
      <c r="N334" s="4"/>
      <c r="O334" s="4"/>
      <c r="P334" s="4"/>
      <c r="Q334" s="4"/>
      <c r="R334" s="4"/>
    </row>
    <row r="335">
      <c r="A335" s="1"/>
      <c r="B335" s="8"/>
      <c r="C335" s="2"/>
      <c r="D335" s="2"/>
      <c r="E335" s="2"/>
      <c r="F335" s="2"/>
      <c r="G335" s="7"/>
      <c r="H335" s="7"/>
      <c r="I335" s="7"/>
      <c r="J335" s="7"/>
      <c r="K335" s="7"/>
      <c r="L335" s="7"/>
      <c r="M335" s="7"/>
      <c r="N335" s="4"/>
      <c r="O335" s="4"/>
      <c r="P335" s="4"/>
      <c r="Q335" s="4"/>
      <c r="R335" s="4"/>
    </row>
    <row r="336">
      <c r="A336" s="1"/>
      <c r="B336" s="8"/>
      <c r="C336" s="2"/>
      <c r="D336" s="2"/>
      <c r="E336" s="2"/>
      <c r="F336" s="2"/>
      <c r="G336" s="7"/>
      <c r="H336" s="7"/>
      <c r="I336" s="7"/>
      <c r="J336" s="7"/>
      <c r="K336" s="7"/>
      <c r="L336" s="7"/>
      <c r="M336" s="7"/>
      <c r="N336" s="4"/>
      <c r="O336" s="4"/>
      <c r="P336" s="4"/>
      <c r="Q336" s="4"/>
      <c r="R336" s="4"/>
    </row>
    <row r="337">
      <c r="A337" s="1"/>
      <c r="B337" s="8"/>
      <c r="C337" s="2"/>
      <c r="D337" s="2"/>
      <c r="E337" s="2"/>
      <c r="F337" s="2"/>
      <c r="G337" s="7"/>
      <c r="H337" s="7"/>
      <c r="I337" s="7"/>
      <c r="J337" s="7"/>
      <c r="K337" s="7"/>
      <c r="L337" s="7"/>
      <c r="M337" s="7"/>
      <c r="N337" s="4"/>
      <c r="O337" s="4"/>
      <c r="P337" s="4"/>
      <c r="Q337" s="4"/>
      <c r="R337" s="4"/>
    </row>
    <row r="338">
      <c r="A338" s="1"/>
      <c r="B338" s="8"/>
      <c r="C338" s="2"/>
      <c r="D338" s="2"/>
      <c r="E338" s="2"/>
      <c r="F338" s="2"/>
      <c r="G338" s="7"/>
      <c r="H338" s="7"/>
      <c r="I338" s="7"/>
      <c r="J338" s="7"/>
      <c r="K338" s="7"/>
      <c r="L338" s="7"/>
      <c r="M338" s="7"/>
      <c r="N338" s="4"/>
      <c r="O338" s="4"/>
      <c r="P338" s="4"/>
      <c r="Q338" s="4"/>
      <c r="R338" s="4"/>
    </row>
    <row r="339">
      <c r="A339" s="1"/>
      <c r="B339" s="8"/>
      <c r="C339" s="2"/>
      <c r="D339" s="2"/>
      <c r="E339" s="2"/>
      <c r="F339" s="2"/>
      <c r="G339" s="7"/>
      <c r="H339" s="7"/>
      <c r="I339" s="7"/>
      <c r="J339" s="7"/>
      <c r="K339" s="7"/>
      <c r="L339" s="7"/>
      <c r="M339" s="7"/>
      <c r="N339" s="4"/>
      <c r="O339" s="4"/>
      <c r="P339" s="4"/>
      <c r="Q339" s="4"/>
      <c r="R339" s="4"/>
    </row>
    <row r="340">
      <c r="A340" s="1"/>
      <c r="B340" s="8"/>
      <c r="C340" s="2"/>
      <c r="D340" s="2"/>
      <c r="E340" s="2"/>
      <c r="F340" s="2"/>
      <c r="G340" s="7"/>
      <c r="H340" s="7"/>
      <c r="I340" s="7"/>
      <c r="J340" s="7"/>
      <c r="K340" s="7"/>
      <c r="L340" s="7"/>
      <c r="M340" s="7"/>
      <c r="N340" s="4"/>
      <c r="O340" s="4"/>
      <c r="P340" s="4"/>
      <c r="Q340" s="4"/>
      <c r="R340" s="4"/>
    </row>
    <row r="341">
      <c r="A341" s="1"/>
      <c r="B341" s="8"/>
      <c r="C341" s="2"/>
      <c r="D341" s="2"/>
      <c r="E341" s="2"/>
      <c r="F341" s="2"/>
      <c r="G341" s="7"/>
      <c r="H341" s="7"/>
      <c r="I341" s="7"/>
      <c r="J341" s="7"/>
      <c r="K341" s="7"/>
      <c r="L341" s="7"/>
      <c r="M341" s="7"/>
      <c r="N341" s="4"/>
      <c r="O341" s="4"/>
      <c r="P341" s="4"/>
      <c r="Q341" s="4"/>
      <c r="R341" s="4"/>
    </row>
    <row r="342">
      <c r="A342" s="1"/>
      <c r="B342" s="8"/>
      <c r="C342" s="2"/>
      <c r="D342" s="2"/>
      <c r="E342" s="2"/>
      <c r="F342" s="2"/>
      <c r="G342" s="7"/>
      <c r="H342" s="7"/>
      <c r="I342" s="7"/>
      <c r="J342" s="7"/>
      <c r="K342" s="7"/>
      <c r="L342" s="7"/>
      <c r="M342" s="7"/>
      <c r="N342" s="4"/>
      <c r="O342" s="4"/>
      <c r="P342" s="4"/>
      <c r="Q342" s="4"/>
      <c r="R342" s="4"/>
    </row>
    <row r="343">
      <c r="A343" s="1"/>
      <c r="B343" s="8"/>
      <c r="C343" s="2"/>
      <c r="D343" s="2"/>
      <c r="E343" s="2"/>
      <c r="F343" s="2"/>
      <c r="G343" s="7"/>
      <c r="H343" s="7"/>
      <c r="I343" s="7"/>
      <c r="J343" s="7"/>
      <c r="K343" s="7"/>
      <c r="L343" s="7"/>
      <c r="M343" s="7"/>
      <c r="N343" s="4"/>
      <c r="O343" s="4"/>
      <c r="P343" s="4"/>
      <c r="Q343" s="4"/>
      <c r="R343" s="4"/>
    </row>
    <row r="344">
      <c r="A344" s="1"/>
      <c r="B344" s="8"/>
      <c r="C344" s="2"/>
      <c r="D344" s="2"/>
      <c r="E344" s="2"/>
      <c r="F344" s="2"/>
      <c r="G344" s="7"/>
      <c r="H344" s="7"/>
      <c r="I344" s="7"/>
      <c r="J344" s="7"/>
      <c r="K344" s="7"/>
      <c r="L344" s="7"/>
      <c r="M344" s="7"/>
      <c r="N344" s="4"/>
      <c r="O344" s="4"/>
      <c r="P344" s="4"/>
      <c r="Q344" s="4"/>
      <c r="R344" s="4"/>
    </row>
    <row r="345">
      <c r="A345" s="1"/>
      <c r="B345" s="8"/>
      <c r="C345" s="2"/>
      <c r="D345" s="2"/>
      <c r="E345" s="2"/>
      <c r="F345" s="2"/>
      <c r="G345" s="7"/>
      <c r="H345" s="7"/>
      <c r="I345" s="7"/>
      <c r="J345" s="7"/>
      <c r="K345" s="7"/>
      <c r="L345" s="7"/>
      <c r="M345" s="7"/>
      <c r="N345" s="4"/>
      <c r="O345" s="4"/>
      <c r="P345" s="4"/>
      <c r="Q345" s="4"/>
      <c r="R345" s="4"/>
    </row>
    <row r="346">
      <c r="A346" s="1"/>
      <c r="B346" s="8"/>
      <c r="C346" s="2"/>
      <c r="D346" s="2"/>
      <c r="E346" s="2"/>
      <c r="F346" s="2"/>
      <c r="G346" s="7"/>
      <c r="H346" s="7"/>
      <c r="I346" s="7"/>
      <c r="J346" s="7"/>
      <c r="K346" s="7"/>
      <c r="L346" s="7"/>
      <c r="M346" s="7"/>
      <c r="N346" s="4"/>
      <c r="O346" s="4"/>
      <c r="P346" s="4"/>
      <c r="Q346" s="4"/>
      <c r="R346" s="4"/>
    </row>
    <row r="347">
      <c r="A347" s="1"/>
      <c r="B347" s="8"/>
      <c r="C347" s="2"/>
      <c r="D347" s="2"/>
      <c r="E347" s="2"/>
      <c r="F347" s="2"/>
      <c r="G347" s="7"/>
      <c r="H347" s="7"/>
      <c r="I347" s="7"/>
      <c r="J347" s="7"/>
      <c r="K347" s="7"/>
      <c r="L347" s="7"/>
      <c r="M347" s="7"/>
      <c r="N347" s="4"/>
      <c r="O347" s="4"/>
      <c r="P347" s="4"/>
      <c r="Q347" s="4"/>
      <c r="R347" s="4"/>
    </row>
    <row r="348">
      <c r="A348" s="1"/>
      <c r="B348" s="8"/>
      <c r="C348" s="2"/>
      <c r="D348" s="2"/>
      <c r="E348" s="2"/>
      <c r="F348" s="2"/>
      <c r="G348" s="7"/>
      <c r="H348" s="7"/>
      <c r="I348" s="7"/>
      <c r="J348" s="7"/>
      <c r="K348" s="7"/>
      <c r="L348" s="7"/>
      <c r="M348" s="7"/>
      <c r="N348" s="4"/>
      <c r="O348" s="4"/>
      <c r="P348" s="4"/>
      <c r="Q348" s="4"/>
      <c r="R348" s="4"/>
    </row>
    <row r="349">
      <c r="A349" s="1"/>
      <c r="B349" s="8"/>
      <c r="C349" s="2"/>
      <c r="D349" s="2"/>
      <c r="E349" s="2"/>
      <c r="F349" s="2"/>
      <c r="G349" s="7"/>
      <c r="H349" s="7"/>
      <c r="I349" s="7"/>
      <c r="J349" s="7"/>
      <c r="K349" s="7"/>
      <c r="L349" s="7"/>
      <c r="M349" s="7"/>
      <c r="N349" s="4"/>
      <c r="O349" s="4"/>
      <c r="P349" s="4"/>
      <c r="Q349" s="4"/>
      <c r="R349" s="4"/>
    </row>
    <row r="350">
      <c r="A350" s="1"/>
      <c r="B350" s="8"/>
      <c r="C350" s="2"/>
      <c r="D350" s="2"/>
      <c r="E350" s="2"/>
      <c r="F350" s="2"/>
      <c r="G350" s="7"/>
      <c r="H350" s="7"/>
      <c r="I350" s="7"/>
      <c r="J350" s="7"/>
      <c r="K350" s="7"/>
      <c r="L350" s="7"/>
      <c r="M350" s="7"/>
      <c r="N350" s="4"/>
      <c r="O350" s="4"/>
      <c r="P350" s="4"/>
      <c r="Q350" s="4"/>
      <c r="R350" s="4"/>
    </row>
    <row r="351">
      <c r="A351" s="1"/>
      <c r="B351" s="8"/>
      <c r="C351" s="2"/>
      <c r="D351" s="2"/>
      <c r="E351" s="2"/>
      <c r="F351" s="2"/>
      <c r="G351" s="7"/>
      <c r="H351" s="7"/>
      <c r="I351" s="7"/>
      <c r="J351" s="7"/>
      <c r="K351" s="7"/>
      <c r="L351" s="7"/>
      <c r="M351" s="7"/>
      <c r="N351" s="4"/>
      <c r="O351" s="4"/>
      <c r="P351" s="4"/>
      <c r="Q351" s="4"/>
      <c r="R351" s="4"/>
    </row>
    <row r="352">
      <c r="A352" s="1"/>
      <c r="B352" s="8"/>
      <c r="C352" s="2"/>
      <c r="D352" s="2"/>
      <c r="E352" s="2"/>
      <c r="F352" s="2"/>
      <c r="G352" s="7"/>
      <c r="H352" s="7"/>
      <c r="I352" s="7"/>
      <c r="J352" s="7"/>
      <c r="K352" s="7"/>
      <c r="L352" s="7"/>
      <c r="M352" s="7"/>
      <c r="N352" s="4"/>
      <c r="O352" s="4"/>
      <c r="P352" s="4"/>
      <c r="Q352" s="4"/>
      <c r="R352" s="4"/>
    </row>
    <row r="353">
      <c r="A353" s="1"/>
      <c r="B353" s="8"/>
      <c r="C353" s="2"/>
      <c r="D353" s="2"/>
      <c r="E353" s="2"/>
      <c r="F353" s="2"/>
      <c r="G353" s="7"/>
      <c r="H353" s="7"/>
      <c r="I353" s="7"/>
      <c r="J353" s="7"/>
      <c r="K353" s="7"/>
      <c r="L353" s="7"/>
      <c r="M353" s="7"/>
      <c r="N353" s="4"/>
      <c r="O353" s="4"/>
      <c r="P353" s="4"/>
      <c r="Q353" s="4"/>
      <c r="R353" s="4"/>
    </row>
    <row r="354">
      <c r="A354" s="1"/>
      <c r="B354" s="8"/>
      <c r="C354" s="2"/>
      <c r="D354" s="2"/>
      <c r="E354" s="2"/>
      <c r="F354" s="2"/>
      <c r="G354" s="7"/>
      <c r="H354" s="7"/>
      <c r="I354" s="7"/>
      <c r="J354" s="7"/>
      <c r="K354" s="7"/>
      <c r="L354" s="7"/>
      <c r="M354" s="7"/>
      <c r="N354" s="4"/>
      <c r="O354" s="4"/>
      <c r="P354" s="4"/>
      <c r="Q354" s="4"/>
      <c r="R354" s="4"/>
    </row>
    <row r="355">
      <c r="A355" s="1"/>
      <c r="B355" s="8"/>
      <c r="C355" s="2"/>
      <c r="D355" s="2"/>
      <c r="E355" s="2"/>
      <c r="F355" s="2"/>
      <c r="G355" s="7"/>
      <c r="H355" s="7"/>
      <c r="I355" s="7"/>
      <c r="J355" s="7"/>
      <c r="K355" s="7"/>
      <c r="L355" s="7"/>
      <c r="M355" s="7"/>
      <c r="N355" s="4"/>
      <c r="O355" s="4"/>
      <c r="P355" s="4"/>
      <c r="Q355" s="4"/>
      <c r="R355" s="4"/>
    </row>
    <row r="356">
      <c r="A356" s="1"/>
      <c r="B356" s="8"/>
      <c r="C356" s="2"/>
      <c r="D356" s="2"/>
      <c r="E356" s="2"/>
      <c r="F356" s="2"/>
      <c r="G356" s="7"/>
      <c r="H356" s="7"/>
      <c r="I356" s="7"/>
      <c r="J356" s="7"/>
      <c r="K356" s="7"/>
      <c r="L356" s="7"/>
      <c r="M356" s="7"/>
      <c r="N356" s="4"/>
      <c r="O356" s="4"/>
      <c r="P356" s="4"/>
      <c r="Q356" s="4"/>
      <c r="R356" s="4"/>
    </row>
    <row r="357">
      <c r="A357" s="1"/>
      <c r="B357" s="8"/>
      <c r="C357" s="2"/>
      <c r="D357" s="2"/>
      <c r="E357" s="2"/>
      <c r="F357" s="2"/>
      <c r="G357" s="7"/>
      <c r="H357" s="7"/>
      <c r="I357" s="7"/>
      <c r="J357" s="7"/>
      <c r="K357" s="7"/>
      <c r="L357" s="7"/>
      <c r="M357" s="7"/>
      <c r="N357" s="4"/>
      <c r="O357" s="4"/>
      <c r="P357" s="4"/>
      <c r="Q357" s="4"/>
      <c r="R357" s="4"/>
    </row>
    <row r="358">
      <c r="A358" s="1"/>
      <c r="B358" s="8"/>
      <c r="C358" s="2"/>
      <c r="D358" s="2"/>
      <c r="E358" s="2"/>
      <c r="F358" s="2"/>
      <c r="G358" s="7"/>
      <c r="H358" s="7"/>
      <c r="I358" s="7"/>
      <c r="J358" s="7"/>
      <c r="K358" s="7"/>
      <c r="L358" s="7"/>
      <c r="M358" s="7"/>
      <c r="N358" s="4"/>
      <c r="O358" s="4"/>
      <c r="P358" s="4"/>
      <c r="Q358" s="4"/>
      <c r="R358" s="4"/>
    </row>
    <row r="359">
      <c r="A359" s="1"/>
      <c r="B359" s="8"/>
      <c r="C359" s="2"/>
      <c r="D359" s="2"/>
      <c r="E359" s="2"/>
      <c r="F359" s="2"/>
      <c r="G359" s="7"/>
      <c r="H359" s="7"/>
      <c r="I359" s="7"/>
      <c r="J359" s="7"/>
      <c r="K359" s="7"/>
      <c r="L359" s="7"/>
      <c r="M359" s="7"/>
      <c r="N359" s="4"/>
      <c r="O359" s="4"/>
      <c r="P359" s="4"/>
      <c r="Q359" s="4"/>
      <c r="R359" s="4"/>
    </row>
    <row r="360">
      <c r="A360" s="1"/>
      <c r="B360" s="8"/>
      <c r="C360" s="2"/>
      <c r="D360" s="2"/>
      <c r="E360" s="2"/>
      <c r="F360" s="2"/>
      <c r="G360" s="7"/>
      <c r="H360" s="7"/>
      <c r="I360" s="7"/>
      <c r="J360" s="7"/>
      <c r="K360" s="7"/>
      <c r="L360" s="7"/>
      <c r="M360" s="7"/>
      <c r="N360" s="4"/>
      <c r="O360" s="4"/>
      <c r="P360" s="4"/>
      <c r="Q360" s="4"/>
      <c r="R360" s="4"/>
    </row>
    <row r="361">
      <c r="A361" s="1"/>
      <c r="B361" s="8"/>
      <c r="C361" s="2"/>
      <c r="D361" s="2"/>
      <c r="E361" s="2"/>
      <c r="F361" s="2"/>
      <c r="G361" s="7"/>
      <c r="H361" s="7"/>
      <c r="I361" s="7"/>
      <c r="J361" s="7"/>
      <c r="K361" s="7"/>
      <c r="L361" s="7"/>
      <c r="M361" s="7"/>
      <c r="N361" s="4"/>
      <c r="O361" s="4"/>
      <c r="P361" s="4"/>
      <c r="Q361" s="4"/>
      <c r="R361" s="4"/>
    </row>
    <row r="362">
      <c r="A362" s="1"/>
      <c r="B362" s="8"/>
      <c r="C362" s="2"/>
      <c r="D362" s="2"/>
      <c r="E362" s="2"/>
      <c r="F362" s="2"/>
      <c r="G362" s="7"/>
      <c r="H362" s="7"/>
      <c r="I362" s="7"/>
      <c r="J362" s="7"/>
      <c r="K362" s="7"/>
      <c r="L362" s="7"/>
      <c r="M362" s="7"/>
      <c r="N362" s="4"/>
      <c r="O362" s="4"/>
      <c r="P362" s="4"/>
      <c r="Q362" s="4"/>
      <c r="R362" s="4"/>
    </row>
    <row r="363">
      <c r="A363" s="1"/>
      <c r="B363" s="8"/>
      <c r="C363" s="2"/>
      <c r="D363" s="2"/>
      <c r="E363" s="2"/>
      <c r="F363" s="2"/>
      <c r="G363" s="7"/>
      <c r="H363" s="7"/>
      <c r="I363" s="7"/>
      <c r="J363" s="7"/>
      <c r="K363" s="7"/>
      <c r="L363" s="7"/>
      <c r="M363" s="7"/>
      <c r="N363" s="4"/>
      <c r="O363" s="4"/>
      <c r="P363" s="4"/>
      <c r="Q363" s="4"/>
      <c r="R363" s="4"/>
    </row>
    <row r="364">
      <c r="A364" s="1"/>
      <c r="B364" s="8"/>
      <c r="C364" s="2"/>
      <c r="D364" s="2"/>
      <c r="E364" s="2"/>
      <c r="F364" s="2"/>
      <c r="G364" s="7"/>
      <c r="H364" s="7"/>
      <c r="I364" s="7"/>
      <c r="J364" s="7"/>
      <c r="K364" s="7"/>
      <c r="L364" s="7"/>
      <c r="M364" s="7"/>
      <c r="N364" s="4"/>
      <c r="O364" s="4"/>
      <c r="P364" s="4"/>
      <c r="Q364" s="4"/>
      <c r="R364" s="4"/>
    </row>
    <row r="365">
      <c r="A365" s="1"/>
      <c r="B365" s="8"/>
      <c r="C365" s="2"/>
      <c r="D365" s="2"/>
      <c r="E365" s="2"/>
      <c r="F365" s="2"/>
      <c r="G365" s="7"/>
      <c r="H365" s="7"/>
      <c r="I365" s="7"/>
      <c r="J365" s="7"/>
      <c r="K365" s="7"/>
      <c r="L365" s="7"/>
      <c r="M365" s="7"/>
      <c r="N365" s="4"/>
      <c r="O365" s="4"/>
      <c r="P365" s="4"/>
      <c r="Q365" s="4"/>
      <c r="R365" s="4"/>
    </row>
    <row r="366">
      <c r="A366" s="1"/>
      <c r="B366" s="8"/>
      <c r="C366" s="2"/>
      <c r="D366" s="2"/>
      <c r="E366" s="2"/>
      <c r="F366" s="2"/>
      <c r="G366" s="7"/>
      <c r="H366" s="7"/>
      <c r="I366" s="7"/>
      <c r="J366" s="7"/>
      <c r="K366" s="7"/>
      <c r="L366" s="7"/>
      <c r="M366" s="7"/>
      <c r="N366" s="4"/>
      <c r="O366" s="4"/>
      <c r="P366" s="4"/>
      <c r="Q366" s="4"/>
      <c r="R366" s="4"/>
    </row>
    <row r="367">
      <c r="A367" s="1"/>
      <c r="B367" s="8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4"/>
      <c r="O367" s="4"/>
      <c r="P367" s="4"/>
      <c r="Q367" s="4"/>
      <c r="R367" s="4"/>
    </row>
    <row r="368">
      <c r="A368" s="1"/>
      <c r="B368" s="8"/>
      <c r="C368" s="2"/>
      <c r="D368" s="2"/>
      <c r="E368" s="2"/>
      <c r="F368" s="2"/>
      <c r="G368" s="7"/>
      <c r="H368" s="7"/>
      <c r="I368" s="7"/>
      <c r="J368" s="7"/>
      <c r="K368" s="7"/>
      <c r="L368" s="7"/>
      <c r="M368" s="7"/>
      <c r="N368" s="4"/>
      <c r="O368" s="4"/>
      <c r="P368" s="4"/>
      <c r="Q368" s="4"/>
      <c r="R368" s="4"/>
    </row>
    <row r="369">
      <c r="A369" s="1"/>
      <c r="B369" s="8"/>
      <c r="C369" s="2"/>
      <c r="D369" s="2"/>
      <c r="E369" s="2"/>
      <c r="F369" s="2"/>
      <c r="G369" s="7"/>
      <c r="H369" s="7"/>
      <c r="I369" s="7"/>
      <c r="J369" s="7"/>
      <c r="K369" s="7"/>
      <c r="L369" s="7"/>
      <c r="M369" s="7"/>
      <c r="N369" s="4"/>
      <c r="O369" s="4"/>
      <c r="P369" s="4"/>
      <c r="Q369" s="4"/>
      <c r="R369" s="4"/>
    </row>
    <row r="370">
      <c r="A370" s="1"/>
      <c r="B370" s="8"/>
      <c r="C370" s="2"/>
      <c r="D370" s="2"/>
      <c r="E370" s="2"/>
      <c r="F370" s="2"/>
      <c r="G370" s="7"/>
      <c r="H370" s="7"/>
      <c r="I370" s="7"/>
      <c r="J370" s="7"/>
      <c r="K370" s="7"/>
      <c r="L370" s="7"/>
      <c r="M370" s="7"/>
      <c r="N370" s="4"/>
      <c r="O370" s="4"/>
      <c r="P370" s="4"/>
      <c r="Q370" s="4"/>
      <c r="R370" s="4"/>
    </row>
    <row r="371">
      <c r="A371" s="1"/>
      <c r="B371" s="8"/>
      <c r="C371" s="2"/>
      <c r="D371" s="2"/>
      <c r="E371" s="2"/>
      <c r="F371" s="2"/>
      <c r="G371" s="7"/>
      <c r="H371" s="7"/>
      <c r="I371" s="7"/>
      <c r="J371" s="7"/>
      <c r="K371" s="7"/>
      <c r="L371" s="7"/>
      <c r="M371" s="7"/>
      <c r="N371" s="4"/>
      <c r="O371" s="4"/>
      <c r="P371" s="4"/>
      <c r="Q371" s="4"/>
      <c r="R371" s="4"/>
    </row>
    <row r="372">
      <c r="A372" s="1"/>
      <c r="B372" s="8"/>
      <c r="C372" s="2"/>
      <c r="D372" s="2"/>
      <c r="E372" s="2"/>
      <c r="F372" s="2"/>
      <c r="G372" s="7"/>
      <c r="H372" s="7"/>
      <c r="I372" s="7"/>
      <c r="J372" s="7"/>
      <c r="K372" s="7"/>
      <c r="L372" s="7"/>
      <c r="M372" s="7"/>
      <c r="N372" s="4"/>
      <c r="O372" s="4"/>
      <c r="P372" s="4"/>
      <c r="Q372" s="4"/>
      <c r="R372" s="4"/>
    </row>
    <row r="373">
      <c r="A373" s="1"/>
      <c r="B373" s="8"/>
      <c r="C373" s="2"/>
      <c r="D373" s="2"/>
      <c r="E373" s="2"/>
      <c r="F373" s="2"/>
      <c r="G373" s="7"/>
      <c r="H373" s="7"/>
      <c r="I373" s="7"/>
      <c r="J373" s="7"/>
      <c r="K373" s="7"/>
      <c r="L373" s="7"/>
      <c r="M373" s="7"/>
      <c r="N373" s="4"/>
      <c r="O373" s="4"/>
      <c r="P373" s="4"/>
      <c r="Q373" s="4"/>
      <c r="R373" s="4"/>
    </row>
    <row r="374">
      <c r="A374" s="1"/>
      <c r="B374" s="8"/>
      <c r="C374" s="2"/>
      <c r="D374" s="2"/>
      <c r="E374" s="2"/>
      <c r="F374" s="2"/>
      <c r="G374" s="7"/>
      <c r="H374" s="7"/>
      <c r="I374" s="7"/>
      <c r="J374" s="7"/>
      <c r="K374" s="7"/>
      <c r="L374" s="7"/>
      <c r="M374" s="7"/>
      <c r="N374" s="4"/>
      <c r="O374" s="4"/>
      <c r="P374" s="4"/>
      <c r="Q374" s="4"/>
      <c r="R374" s="4"/>
    </row>
    <row r="375">
      <c r="A375" s="1"/>
      <c r="B375" s="8"/>
      <c r="C375" s="2"/>
      <c r="D375" s="2"/>
      <c r="E375" s="2"/>
      <c r="F375" s="2"/>
      <c r="G375" s="7"/>
      <c r="H375" s="7"/>
      <c r="I375" s="7"/>
      <c r="J375" s="7"/>
      <c r="K375" s="7"/>
      <c r="L375" s="7"/>
      <c r="M375" s="7"/>
      <c r="N375" s="4"/>
      <c r="O375" s="4"/>
      <c r="P375" s="4"/>
      <c r="Q375" s="4"/>
      <c r="R375" s="4"/>
    </row>
    <row r="376">
      <c r="A376" s="1"/>
      <c r="B376" s="8"/>
      <c r="C376" s="2"/>
      <c r="D376" s="2"/>
      <c r="E376" s="2"/>
      <c r="F376" s="2"/>
      <c r="G376" s="7"/>
      <c r="H376" s="7"/>
      <c r="I376" s="7"/>
      <c r="J376" s="7"/>
      <c r="K376" s="7"/>
      <c r="L376" s="7"/>
      <c r="M376" s="7"/>
      <c r="N376" s="4"/>
      <c r="O376" s="4"/>
      <c r="P376" s="4"/>
      <c r="Q376" s="4"/>
      <c r="R376" s="4"/>
    </row>
    <row r="377">
      <c r="A377" s="1"/>
      <c r="B377" s="8"/>
      <c r="C377" s="2"/>
      <c r="D377" s="2"/>
      <c r="E377" s="2"/>
      <c r="F377" s="2"/>
      <c r="G377" s="7"/>
      <c r="H377" s="7"/>
      <c r="I377" s="7"/>
      <c r="J377" s="7"/>
      <c r="K377" s="7"/>
      <c r="L377" s="7"/>
      <c r="M377" s="7"/>
      <c r="N377" s="4"/>
      <c r="O377" s="4"/>
      <c r="P377" s="4"/>
      <c r="Q377" s="4"/>
      <c r="R377" s="4"/>
    </row>
    <row r="378">
      <c r="A378" s="1"/>
      <c r="B378" s="8"/>
      <c r="C378" s="2"/>
      <c r="D378" s="2"/>
      <c r="E378" s="2"/>
      <c r="F378" s="2"/>
      <c r="G378" s="7"/>
      <c r="H378" s="7"/>
      <c r="I378" s="7"/>
      <c r="J378" s="7"/>
      <c r="K378" s="7"/>
      <c r="L378" s="7"/>
      <c r="M378" s="7"/>
      <c r="N378" s="4"/>
      <c r="O378" s="4"/>
      <c r="P378" s="4"/>
      <c r="Q378" s="4"/>
      <c r="R378" s="4"/>
    </row>
    <row r="379">
      <c r="A379" s="1"/>
      <c r="B379" s="8"/>
      <c r="C379" s="2"/>
      <c r="D379" s="2"/>
      <c r="E379" s="2"/>
      <c r="F379" s="2"/>
      <c r="G379" s="7"/>
      <c r="H379" s="7"/>
      <c r="I379" s="7"/>
      <c r="J379" s="7"/>
      <c r="K379" s="7"/>
      <c r="L379" s="7"/>
      <c r="M379" s="7"/>
      <c r="N379" s="4"/>
      <c r="O379" s="4"/>
      <c r="P379" s="4"/>
      <c r="Q379" s="4"/>
      <c r="R379" s="4"/>
    </row>
    <row r="380">
      <c r="A380" s="1"/>
      <c r="B380" s="8"/>
      <c r="C380" s="2"/>
      <c r="D380" s="2"/>
      <c r="E380" s="2"/>
      <c r="F380" s="2"/>
      <c r="G380" s="7"/>
      <c r="H380" s="7"/>
      <c r="I380" s="7"/>
      <c r="J380" s="7"/>
      <c r="K380" s="7"/>
      <c r="L380" s="7"/>
      <c r="M380" s="7"/>
      <c r="N380" s="4"/>
      <c r="O380" s="4"/>
      <c r="P380" s="4"/>
      <c r="Q380" s="4"/>
      <c r="R380" s="4"/>
    </row>
    <row r="381">
      <c r="A381" s="1"/>
      <c r="B381" s="8"/>
      <c r="C381" s="2"/>
      <c r="D381" s="2"/>
      <c r="E381" s="2"/>
      <c r="F381" s="2"/>
      <c r="G381" s="7"/>
      <c r="H381" s="7"/>
      <c r="I381" s="7"/>
      <c r="J381" s="7"/>
      <c r="K381" s="7"/>
      <c r="L381" s="7"/>
      <c r="M381" s="7"/>
      <c r="N381" s="4"/>
      <c r="O381" s="4"/>
      <c r="P381" s="4"/>
      <c r="Q381" s="4"/>
      <c r="R381" s="4"/>
    </row>
    <row r="382">
      <c r="A382" s="1"/>
      <c r="B382" s="8"/>
      <c r="C382" s="2"/>
      <c r="D382" s="2"/>
      <c r="E382" s="2"/>
      <c r="F382" s="2"/>
      <c r="G382" s="7"/>
      <c r="H382" s="7"/>
      <c r="I382" s="7"/>
      <c r="J382" s="7"/>
      <c r="K382" s="7"/>
      <c r="L382" s="7"/>
      <c r="M382" s="7"/>
      <c r="N382" s="4"/>
      <c r="O382" s="4"/>
      <c r="P382" s="4"/>
      <c r="Q382" s="4"/>
      <c r="R382" s="4"/>
    </row>
    <row r="383">
      <c r="A383" s="1"/>
      <c r="B383" s="8"/>
      <c r="C383" s="2"/>
      <c r="D383" s="2"/>
      <c r="E383" s="2"/>
      <c r="F383" s="2"/>
      <c r="G383" s="7"/>
      <c r="H383" s="7"/>
      <c r="I383" s="7"/>
      <c r="J383" s="7"/>
      <c r="K383" s="7"/>
      <c r="L383" s="7"/>
      <c r="M383" s="7"/>
      <c r="N383" s="4"/>
      <c r="O383" s="4"/>
      <c r="P383" s="4"/>
      <c r="Q383" s="4"/>
      <c r="R383" s="4"/>
    </row>
    <row r="384">
      <c r="A384" s="1"/>
      <c r="B384" s="8"/>
      <c r="C384" s="2"/>
      <c r="D384" s="2"/>
      <c r="E384" s="2"/>
      <c r="F384" s="2"/>
      <c r="G384" s="7"/>
      <c r="H384" s="7"/>
      <c r="I384" s="7"/>
      <c r="J384" s="7"/>
      <c r="K384" s="7"/>
      <c r="L384" s="7"/>
      <c r="M384" s="7"/>
      <c r="N384" s="4"/>
      <c r="O384" s="4"/>
      <c r="P384" s="4"/>
      <c r="Q384" s="4"/>
      <c r="R384" s="4"/>
    </row>
    <row r="385">
      <c r="A385" s="1"/>
      <c r="B385" s="8"/>
      <c r="C385" s="2"/>
      <c r="D385" s="2"/>
      <c r="E385" s="2"/>
      <c r="F385" s="2"/>
      <c r="G385" s="7"/>
      <c r="H385" s="7"/>
      <c r="I385" s="7"/>
      <c r="J385" s="7"/>
      <c r="K385" s="7"/>
      <c r="L385" s="7"/>
      <c r="M385" s="7"/>
      <c r="N385" s="4"/>
      <c r="O385" s="4"/>
      <c r="P385" s="4"/>
      <c r="Q385" s="4"/>
      <c r="R385" s="4"/>
    </row>
    <row r="386">
      <c r="A386" s="1"/>
      <c r="B386" s="8"/>
      <c r="C386" s="2"/>
      <c r="D386" s="2"/>
      <c r="E386" s="2"/>
      <c r="F386" s="2"/>
      <c r="G386" s="7"/>
      <c r="H386" s="7"/>
      <c r="I386" s="7"/>
      <c r="J386" s="7"/>
      <c r="K386" s="7"/>
      <c r="L386" s="7"/>
      <c r="M386" s="7"/>
      <c r="N386" s="4"/>
      <c r="O386" s="4"/>
      <c r="P386" s="4"/>
      <c r="Q386" s="4"/>
      <c r="R386" s="4"/>
    </row>
    <row r="387">
      <c r="A387" s="1"/>
      <c r="B387" s="8"/>
      <c r="C387" s="2"/>
      <c r="D387" s="2"/>
      <c r="E387" s="2"/>
      <c r="F387" s="2"/>
      <c r="G387" s="7"/>
      <c r="H387" s="7"/>
      <c r="I387" s="7"/>
      <c r="J387" s="7"/>
      <c r="K387" s="7"/>
      <c r="L387" s="7"/>
      <c r="M387" s="7"/>
      <c r="N387" s="4"/>
      <c r="O387" s="4"/>
      <c r="P387" s="4"/>
      <c r="Q387" s="4"/>
      <c r="R387" s="4"/>
    </row>
    <row r="388">
      <c r="A388" s="1"/>
      <c r="B388" s="8"/>
      <c r="C388" s="2"/>
      <c r="D388" s="2"/>
      <c r="E388" s="2"/>
      <c r="F388" s="2"/>
      <c r="G388" s="7"/>
      <c r="H388" s="7"/>
      <c r="I388" s="7"/>
      <c r="J388" s="7"/>
      <c r="K388" s="7"/>
      <c r="L388" s="7"/>
      <c r="M388" s="7"/>
      <c r="N388" s="4"/>
      <c r="O388" s="4"/>
      <c r="P388" s="4"/>
      <c r="Q388" s="4"/>
      <c r="R388" s="4"/>
    </row>
    <row r="389">
      <c r="A389" s="1"/>
      <c r="B389" s="8"/>
      <c r="C389" s="2"/>
      <c r="D389" s="2"/>
      <c r="E389" s="2"/>
      <c r="F389" s="2"/>
      <c r="G389" s="7"/>
      <c r="H389" s="7"/>
      <c r="I389" s="7"/>
      <c r="J389" s="7"/>
      <c r="K389" s="7"/>
      <c r="L389" s="7"/>
      <c r="M389" s="7"/>
      <c r="N389" s="4"/>
      <c r="O389" s="4"/>
      <c r="P389" s="4"/>
      <c r="Q389" s="4"/>
      <c r="R389" s="4"/>
    </row>
    <row r="390">
      <c r="A390" s="1"/>
      <c r="B390" s="8"/>
      <c r="C390" s="2"/>
      <c r="D390" s="2"/>
      <c r="E390" s="2"/>
      <c r="F390" s="2"/>
      <c r="G390" s="7"/>
      <c r="H390" s="7"/>
      <c r="I390" s="7"/>
      <c r="J390" s="7"/>
      <c r="K390" s="7"/>
      <c r="L390" s="7"/>
      <c r="M390" s="7"/>
      <c r="N390" s="4"/>
      <c r="O390" s="4"/>
      <c r="P390" s="4"/>
      <c r="Q390" s="4"/>
      <c r="R390" s="4"/>
    </row>
    <row r="391">
      <c r="A391" s="1"/>
      <c r="B391" s="8"/>
      <c r="C391" s="2"/>
      <c r="D391" s="2"/>
      <c r="E391" s="2"/>
      <c r="F391" s="2"/>
      <c r="G391" s="7"/>
      <c r="H391" s="7"/>
      <c r="I391" s="7"/>
      <c r="J391" s="7"/>
      <c r="K391" s="7"/>
      <c r="L391" s="7"/>
      <c r="M391" s="7"/>
      <c r="N391" s="4"/>
      <c r="O391" s="4"/>
      <c r="P391" s="4"/>
      <c r="Q391" s="4"/>
      <c r="R391" s="4"/>
    </row>
    <row r="392">
      <c r="A392" s="1"/>
      <c r="B392" s="8"/>
      <c r="C392" s="2"/>
      <c r="D392" s="2"/>
      <c r="E392" s="2"/>
      <c r="F392" s="2"/>
      <c r="G392" s="7"/>
      <c r="H392" s="7"/>
      <c r="I392" s="7"/>
      <c r="J392" s="7"/>
      <c r="K392" s="7"/>
      <c r="L392" s="7"/>
      <c r="M392" s="7"/>
      <c r="N392" s="4"/>
      <c r="O392" s="4"/>
      <c r="P392" s="4"/>
      <c r="Q392" s="4"/>
      <c r="R392" s="4"/>
    </row>
    <row r="393">
      <c r="A393" s="1"/>
      <c r="B393" s="8"/>
      <c r="C393" s="2"/>
      <c r="D393" s="2"/>
      <c r="E393" s="2"/>
      <c r="F393" s="2"/>
      <c r="G393" s="7"/>
      <c r="H393" s="7"/>
      <c r="I393" s="7"/>
      <c r="J393" s="7"/>
      <c r="K393" s="7"/>
      <c r="L393" s="7"/>
      <c r="M393" s="7"/>
      <c r="N393" s="4"/>
      <c r="O393" s="4"/>
      <c r="P393" s="4"/>
      <c r="Q393" s="4"/>
      <c r="R393" s="4"/>
    </row>
    <row r="394">
      <c r="A394" s="1"/>
      <c r="B394" s="8"/>
      <c r="C394" s="2"/>
      <c r="D394" s="2"/>
      <c r="E394" s="2"/>
      <c r="F394" s="2"/>
      <c r="G394" s="7"/>
      <c r="H394" s="7"/>
      <c r="I394" s="7"/>
      <c r="J394" s="7"/>
      <c r="K394" s="7"/>
      <c r="L394" s="7"/>
      <c r="M394" s="7"/>
      <c r="N394" s="4"/>
      <c r="O394" s="4"/>
      <c r="P394" s="4"/>
      <c r="Q394" s="4"/>
      <c r="R394" s="4"/>
    </row>
    <row r="395">
      <c r="A395" s="1"/>
      <c r="B395" s="8"/>
      <c r="C395" s="2"/>
      <c r="D395" s="2"/>
      <c r="E395" s="2"/>
      <c r="F395" s="2"/>
      <c r="G395" s="7"/>
      <c r="H395" s="7"/>
      <c r="I395" s="7"/>
      <c r="J395" s="7"/>
      <c r="K395" s="7"/>
      <c r="L395" s="7"/>
      <c r="M395" s="7"/>
      <c r="N395" s="4"/>
      <c r="O395" s="4"/>
      <c r="P395" s="4"/>
      <c r="Q395" s="4"/>
      <c r="R395" s="4"/>
    </row>
    <row r="396">
      <c r="A396" s="1"/>
      <c r="B396" s="8"/>
      <c r="C396" s="2"/>
      <c r="D396" s="2"/>
      <c r="E396" s="2"/>
      <c r="F396" s="2"/>
      <c r="G396" s="7"/>
      <c r="H396" s="7"/>
      <c r="I396" s="7"/>
      <c r="J396" s="7"/>
      <c r="K396" s="7"/>
      <c r="L396" s="7"/>
      <c r="M396" s="7"/>
      <c r="N396" s="4"/>
      <c r="O396" s="4"/>
      <c r="P396" s="4"/>
      <c r="Q396" s="4"/>
      <c r="R396" s="4"/>
    </row>
    <row r="397">
      <c r="A397" s="1"/>
      <c r="B397" s="8"/>
      <c r="C397" s="2"/>
      <c r="D397" s="2"/>
      <c r="E397" s="2"/>
      <c r="F397" s="2"/>
      <c r="G397" s="7"/>
      <c r="H397" s="7"/>
      <c r="I397" s="7"/>
      <c r="J397" s="7"/>
      <c r="K397" s="7"/>
      <c r="L397" s="7"/>
      <c r="M397" s="7"/>
      <c r="N397" s="4"/>
      <c r="O397" s="4"/>
      <c r="P397" s="4"/>
      <c r="Q397" s="4"/>
      <c r="R397" s="4"/>
    </row>
    <row r="398">
      <c r="A398" s="1"/>
      <c r="B398" s="8"/>
      <c r="C398" s="2"/>
      <c r="D398" s="2"/>
      <c r="E398" s="2"/>
      <c r="F398" s="2"/>
      <c r="G398" s="7"/>
      <c r="H398" s="7"/>
      <c r="I398" s="7"/>
      <c r="J398" s="7"/>
      <c r="K398" s="7"/>
      <c r="L398" s="7"/>
      <c r="M398" s="7"/>
      <c r="N398" s="4"/>
      <c r="O398" s="4"/>
      <c r="P398" s="4"/>
      <c r="Q398" s="4"/>
      <c r="R398" s="4"/>
    </row>
    <row r="399">
      <c r="A399" s="1"/>
      <c r="B399" s="8"/>
      <c r="C399" s="2"/>
      <c r="D399" s="2"/>
      <c r="E399" s="2"/>
      <c r="F399" s="2"/>
      <c r="G399" s="7"/>
      <c r="H399" s="7"/>
      <c r="I399" s="7"/>
      <c r="J399" s="7"/>
      <c r="K399" s="7"/>
      <c r="L399" s="7"/>
      <c r="M399" s="7"/>
      <c r="N399" s="4"/>
      <c r="O399" s="4"/>
      <c r="P399" s="4"/>
      <c r="Q399" s="4"/>
      <c r="R399" s="4"/>
    </row>
    <row r="400">
      <c r="A400" s="1"/>
      <c r="B400" s="8"/>
      <c r="C400" s="2"/>
      <c r="D400" s="2"/>
      <c r="E400" s="2"/>
      <c r="F400" s="2"/>
      <c r="G400" s="7"/>
      <c r="H400" s="7"/>
      <c r="I400" s="7"/>
      <c r="J400" s="7"/>
      <c r="K400" s="7"/>
      <c r="L400" s="7"/>
      <c r="M400" s="7"/>
      <c r="N400" s="4"/>
      <c r="O400" s="4"/>
      <c r="P400" s="4"/>
      <c r="Q400" s="4"/>
      <c r="R400" s="4"/>
    </row>
    <row r="401">
      <c r="A401" s="1"/>
      <c r="B401" s="8"/>
      <c r="C401" s="2"/>
      <c r="D401" s="2"/>
      <c r="E401" s="2"/>
      <c r="F401" s="2"/>
      <c r="G401" s="7"/>
      <c r="H401" s="7"/>
      <c r="I401" s="7"/>
      <c r="J401" s="7"/>
      <c r="K401" s="7"/>
      <c r="L401" s="7"/>
      <c r="M401" s="7"/>
      <c r="N401" s="4"/>
      <c r="O401" s="4"/>
      <c r="P401" s="4"/>
      <c r="Q401" s="4"/>
      <c r="R401" s="4"/>
    </row>
    <row r="402">
      <c r="A402" s="1"/>
      <c r="B402" s="8"/>
      <c r="C402" s="2"/>
      <c r="D402" s="2"/>
      <c r="E402" s="2"/>
      <c r="F402" s="2"/>
      <c r="G402" s="7"/>
      <c r="H402" s="7"/>
      <c r="I402" s="7"/>
      <c r="J402" s="7"/>
      <c r="K402" s="7"/>
      <c r="L402" s="7"/>
      <c r="M402" s="7"/>
      <c r="N402" s="4"/>
      <c r="O402" s="4"/>
      <c r="P402" s="4"/>
      <c r="Q402" s="4"/>
      <c r="R402" s="4"/>
    </row>
    <row r="403">
      <c r="A403" s="1"/>
      <c r="B403" s="8"/>
      <c r="C403" s="2"/>
      <c r="D403" s="2"/>
      <c r="E403" s="2"/>
      <c r="F403" s="2"/>
      <c r="G403" s="7"/>
      <c r="H403" s="7"/>
      <c r="I403" s="7"/>
      <c r="J403" s="7"/>
      <c r="K403" s="7"/>
      <c r="L403" s="7"/>
      <c r="M403" s="7"/>
      <c r="N403" s="4"/>
      <c r="O403" s="4"/>
      <c r="P403" s="4"/>
      <c r="Q403" s="4"/>
      <c r="R403" s="4"/>
    </row>
    <row r="404">
      <c r="A404" s="1"/>
      <c r="B404" s="8"/>
      <c r="C404" s="2"/>
      <c r="D404" s="2"/>
      <c r="E404" s="2"/>
      <c r="F404" s="2"/>
      <c r="G404" s="7"/>
      <c r="H404" s="7"/>
      <c r="I404" s="7"/>
      <c r="J404" s="7"/>
      <c r="K404" s="7"/>
      <c r="L404" s="7"/>
      <c r="M404" s="7"/>
      <c r="N404" s="4"/>
      <c r="O404" s="4"/>
      <c r="P404" s="4"/>
      <c r="Q404" s="4"/>
      <c r="R404" s="4"/>
    </row>
    <row r="405">
      <c r="A405" s="1"/>
      <c r="B405" s="8"/>
      <c r="C405" s="2"/>
      <c r="D405" s="2"/>
      <c r="E405" s="2"/>
      <c r="F405" s="2"/>
      <c r="G405" s="7"/>
      <c r="H405" s="7"/>
      <c r="I405" s="7"/>
      <c r="J405" s="7"/>
      <c r="K405" s="7"/>
      <c r="L405" s="7"/>
      <c r="M405" s="7"/>
      <c r="N405" s="4"/>
      <c r="O405" s="4"/>
      <c r="P405" s="4"/>
      <c r="Q405" s="4"/>
      <c r="R405" s="4"/>
    </row>
    <row r="406">
      <c r="A406" s="1"/>
      <c r="B406" s="8"/>
      <c r="C406" s="2"/>
      <c r="D406" s="2"/>
      <c r="E406" s="2"/>
      <c r="F406" s="2"/>
      <c r="G406" s="7"/>
      <c r="H406" s="7"/>
      <c r="I406" s="7"/>
      <c r="J406" s="7"/>
      <c r="K406" s="7"/>
      <c r="L406" s="7"/>
      <c r="M406" s="7"/>
      <c r="N406" s="4"/>
      <c r="O406" s="4"/>
      <c r="P406" s="4"/>
      <c r="Q406" s="4"/>
      <c r="R406" s="4"/>
    </row>
    <row r="407">
      <c r="A407" s="1"/>
      <c r="B407" s="8"/>
      <c r="C407" s="2"/>
      <c r="D407" s="2"/>
      <c r="E407" s="2"/>
      <c r="F407" s="2"/>
      <c r="G407" s="7"/>
      <c r="H407" s="7"/>
      <c r="I407" s="7"/>
      <c r="J407" s="7"/>
      <c r="K407" s="7"/>
      <c r="L407" s="7"/>
      <c r="M407" s="7"/>
      <c r="N407" s="4"/>
      <c r="O407" s="4"/>
      <c r="P407" s="4"/>
      <c r="Q407" s="4"/>
      <c r="R407" s="4"/>
    </row>
    <row r="408">
      <c r="A408" s="1"/>
      <c r="B408" s="8"/>
      <c r="C408" s="2"/>
      <c r="D408" s="2"/>
      <c r="E408" s="2"/>
      <c r="F408" s="2"/>
      <c r="G408" s="7"/>
      <c r="H408" s="7"/>
      <c r="I408" s="7"/>
      <c r="J408" s="7"/>
      <c r="K408" s="7"/>
      <c r="L408" s="7"/>
      <c r="M408" s="7"/>
      <c r="N408" s="4"/>
      <c r="O408" s="4"/>
      <c r="P408" s="4"/>
      <c r="Q408" s="4"/>
      <c r="R408" s="4"/>
    </row>
    <row r="409">
      <c r="A409" s="1"/>
      <c r="B409" s="8"/>
      <c r="C409" s="2"/>
      <c r="D409" s="2"/>
      <c r="E409" s="2"/>
      <c r="F409" s="2"/>
      <c r="G409" s="7"/>
      <c r="H409" s="7"/>
      <c r="I409" s="7"/>
      <c r="J409" s="7"/>
      <c r="K409" s="7"/>
      <c r="L409" s="7"/>
      <c r="M409" s="7"/>
      <c r="N409" s="4"/>
      <c r="O409" s="4"/>
      <c r="P409" s="4"/>
      <c r="Q409" s="4"/>
      <c r="R409" s="4"/>
    </row>
    <row r="410">
      <c r="A410" s="1"/>
      <c r="B410" s="8"/>
      <c r="C410" s="2"/>
      <c r="D410" s="2"/>
      <c r="E410" s="2"/>
      <c r="F410" s="2"/>
      <c r="G410" s="7"/>
      <c r="H410" s="7"/>
      <c r="I410" s="7"/>
      <c r="J410" s="7"/>
      <c r="K410" s="7"/>
      <c r="L410" s="7"/>
      <c r="M410" s="7"/>
      <c r="N410" s="4"/>
      <c r="O410" s="4"/>
      <c r="P410" s="4"/>
      <c r="Q410" s="4"/>
      <c r="R410" s="4"/>
    </row>
    <row r="411">
      <c r="A411" s="1"/>
      <c r="B411" s="8"/>
      <c r="C411" s="2"/>
      <c r="D411" s="2"/>
      <c r="E411" s="2"/>
      <c r="F411" s="2"/>
      <c r="G411" s="7"/>
      <c r="H411" s="7"/>
      <c r="I411" s="7"/>
      <c r="J411" s="7"/>
      <c r="K411" s="7"/>
      <c r="L411" s="7"/>
      <c r="M411" s="7"/>
      <c r="N411" s="4"/>
      <c r="O411" s="4"/>
      <c r="P411" s="4"/>
      <c r="Q411" s="4"/>
      <c r="R411" s="4"/>
    </row>
    <row r="412">
      <c r="A412" s="1"/>
      <c r="B412" s="8"/>
      <c r="C412" s="2"/>
      <c r="D412" s="2"/>
      <c r="E412" s="2"/>
      <c r="F412" s="2"/>
      <c r="G412" s="7"/>
      <c r="H412" s="7"/>
      <c r="I412" s="7"/>
      <c r="J412" s="7"/>
      <c r="K412" s="7"/>
      <c r="L412" s="7"/>
      <c r="M412" s="7"/>
      <c r="N412" s="4"/>
      <c r="O412" s="4"/>
      <c r="P412" s="4"/>
      <c r="Q412" s="4"/>
      <c r="R412" s="4"/>
    </row>
    <row r="413">
      <c r="A413" s="1"/>
      <c r="B413" s="8"/>
      <c r="C413" s="2"/>
      <c r="D413" s="2"/>
      <c r="E413" s="2"/>
      <c r="F413" s="2"/>
      <c r="G413" s="7"/>
      <c r="H413" s="7"/>
      <c r="I413" s="7"/>
      <c r="J413" s="7"/>
      <c r="K413" s="7"/>
      <c r="L413" s="7"/>
      <c r="M413" s="7"/>
      <c r="N413" s="4"/>
      <c r="O413" s="4"/>
      <c r="P413" s="4"/>
      <c r="Q413" s="4"/>
      <c r="R413" s="4"/>
    </row>
    <row r="414">
      <c r="A414" s="1"/>
      <c r="B414" s="8"/>
      <c r="C414" s="2"/>
      <c r="D414" s="2"/>
      <c r="E414" s="2"/>
      <c r="F414" s="2"/>
      <c r="G414" s="7"/>
      <c r="H414" s="7"/>
      <c r="I414" s="7"/>
      <c r="J414" s="7"/>
      <c r="K414" s="7"/>
      <c r="L414" s="7"/>
      <c r="M414" s="7"/>
      <c r="N414" s="4"/>
      <c r="O414" s="4"/>
      <c r="P414" s="4"/>
      <c r="Q414" s="4"/>
      <c r="R414" s="4"/>
    </row>
    <row r="415">
      <c r="A415" s="1"/>
      <c r="B415" s="8"/>
      <c r="C415" s="2"/>
      <c r="D415" s="2"/>
      <c r="E415" s="2"/>
      <c r="F415" s="2"/>
      <c r="G415" s="7"/>
      <c r="H415" s="7"/>
      <c r="I415" s="7"/>
      <c r="J415" s="7"/>
      <c r="K415" s="7"/>
      <c r="L415" s="7"/>
      <c r="M415" s="7"/>
      <c r="N415" s="4"/>
      <c r="O415" s="4"/>
      <c r="P415" s="4"/>
      <c r="Q415" s="4"/>
      <c r="R415" s="4"/>
    </row>
    <row r="416">
      <c r="A416" s="1"/>
      <c r="B416" s="8"/>
      <c r="C416" s="2"/>
      <c r="D416" s="2"/>
      <c r="E416" s="2"/>
      <c r="F416" s="2"/>
      <c r="G416" s="7"/>
      <c r="H416" s="7"/>
      <c r="I416" s="7"/>
      <c r="J416" s="7"/>
      <c r="K416" s="7"/>
      <c r="L416" s="7"/>
      <c r="M416" s="7"/>
      <c r="N416" s="4"/>
      <c r="O416" s="4"/>
      <c r="P416" s="4"/>
      <c r="Q416" s="4"/>
      <c r="R416" s="4"/>
    </row>
    <row r="417">
      <c r="A417" s="1"/>
      <c r="B417" s="8"/>
      <c r="C417" s="2"/>
      <c r="D417" s="2"/>
      <c r="E417" s="2"/>
      <c r="F417" s="2"/>
      <c r="G417" s="7"/>
      <c r="H417" s="7"/>
      <c r="I417" s="7"/>
      <c r="J417" s="7"/>
      <c r="K417" s="7"/>
      <c r="L417" s="7"/>
      <c r="M417" s="7"/>
      <c r="N417" s="4"/>
      <c r="O417" s="4"/>
      <c r="P417" s="4"/>
      <c r="Q417" s="4"/>
      <c r="R417" s="4"/>
    </row>
    <row r="418">
      <c r="A418" s="1"/>
      <c r="B418" s="8"/>
      <c r="C418" s="2"/>
      <c r="D418" s="2"/>
      <c r="E418" s="2"/>
      <c r="F418" s="2"/>
      <c r="G418" s="7"/>
      <c r="H418" s="7"/>
      <c r="I418" s="7"/>
      <c r="J418" s="7"/>
      <c r="K418" s="7"/>
      <c r="L418" s="7"/>
      <c r="M418" s="7"/>
      <c r="N418" s="4"/>
      <c r="O418" s="4"/>
      <c r="P418" s="4"/>
      <c r="Q418" s="4"/>
      <c r="R418" s="4"/>
    </row>
    <row r="419">
      <c r="A419" s="1"/>
      <c r="B419" s="8"/>
      <c r="C419" s="2"/>
      <c r="D419" s="2"/>
      <c r="E419" s="2"/>
      <c r="F419" s="2"/>
      <c r="G419" s="7"/>
      <c r="H419" s="7"/>
      <c r="I419" s="7"/>
      <c r="J419" s="7"/>
      <c r="K419" s="7"/>
      <c r="L419" s="7"/>
      <c r="M419" s="7"/>
      <c r="N419" s="4"/>
      <c r="O419" s="4"/>
      <c r="P419" s="4"/>
      <c r="Q419" s="4"/>
      <c r="R419" s="4"/>
    </row>
    <row r="420">
      <c r="A420" s="1"/>
      <c r="B420" s="8"/>
      <c r="C420" s="2"/>
      <c r="D420" s="2"/>
      <c r="E420" s="2"/>
      <c r="F420" s="2"/>
      <c r="G420" s="7"/>
      <c r="H420" s="7"/>
      <c r="I420" s="7"/>
      <c r="J420" s="7"/>
      <c r="K420" s="7"/>
      <c r="L420" s="7"/>
      <c r="M420" s="7"/>
      <c r="N420" s="4"/>
      <c r="O420" s="4"/>
      <c r="P420" s="4"/>
      <c r="Q420" s="4"/>
      <c r="R420" s="4"/>
    </row>
    <row r="421">
      <c r="A421" s="1"/>
      <c r="B421" s="8"/>
      <c r="C421" s="2"/>
      <c r="D421" s="2"/>
      <c r="E421" s="2"/>
      <c r="F421" s="2"/>
      <c r="G421" s="7"/>
      <c r="H421" s="7"/>
      <c r="I421" s="7"/>
      <c r="J421" s="7"/>
      <c r="K421" s="7"/>
      <c r="L421" s="7"/>
      <c r="M421" s="7"/>
      <c r="N421" s="4"/>
      <c r="O421" s="4"/>
      <c r="P421" s="4"/>
      <c r="Q421" s="4"/>
      <c r="R421" s="4"/>
    </row>
    <row r="422">
      <c r="A422" s="1"/>
      <c r="B422" s="8"/>
      <c r="C422" s="2"/>
      <c r="D422" s="2"/>
      <c r="E422" s="2"/>
      <c r="F422" s="2"/>
      <c r="G422" s="7"/>
      <c r="H422" s="7"/>
      <c r="I422" s="7"/>
      <c r="J422" s="7"/>
      <c r="K422" s="7"/>
      <c r="L422" s="7"/>
      <c r="M422" s="7"/>
      <c r="N422" s="4"/>
      <c r="O422" s="4"/>
      <c r="P422" s="4"/>
      <c r="Q422" s="4"/>
      <c r="R422" s="4"/>
    </row>
    <row r="423">
      <c r="A423" s="1"/>
      <c r="B423" s="8"/>
      <c r="C423" s="2"/>
      <c r="D423" s="2"/>
      <c r="E423" s="2"/>
      <c r="F423" s="2"/>
      <c r="G423" s="7"/>
      <c r="H423" s="7"/>
      <c r="I423" s="7"/>
      <c r="J423" s="7"/>
      <c r="K423" s="7"/>
      <c r="L423" s="7"/>
      <c r="M423" s="7"/>
      <c r="N423" s="4"/>
      <c r="O423" s="4"/>
      <c r="P423" s="4"/>
      <c r="Q423" s="4"/>
      <c r="R423" s="4"/>
    </row>
    <row r="424">
      <c r="A424" s="1"/>
      <c r="B424" s="8"/>
      <c r="C424" s="2"/>
      <c r="D424" s="2"/>
      <c r="E424" s="2"/>
      <c r="F424" s="2"/>
      <c r="G424" s="7"/>
      <c r="H424" s="7"/>
      <c r="I424" s="7"/>
      <c r="J424" s="7"/>
      <c r="K424" s="7"/>
      <c r="L424" s="7"/>
      <c r="M424" s="7"/>
      <c r="N424" s="4"/>
      <c r="O424" s="4"/>
      <c r="P424" s="4"/>
      <c r="Q424" s="4"/>
      <c r="R424" s="4"/>
    </row>
    <row r="425">
      <c r="A425" s="1"/>
      <c r="B425" s="8"/>
      <c r="C425" s="2"/>
      <c r="D425" s="2"/>
      <c r="E425" s="2"/>
      <c r="F425" s="2"/>
      <c r="G425" s="7"/>
      <c r="H425" s="7"/>
      <c r="I425" s="7"/>
      <c r="J425" s="7"/>
      <c r="K425" s="7"/>
      <c r="L425" s="7"/>
      <c r="M425" s="7"/>
      <c r="N425" s="4"/>
      <c r="O425" s="4"/>
      <c r="P425" s="4"/>
      <c r="Q425" s="4"/>
      <c r="R425" s="4"/>
    </row>
    <row r="426">
      <c r="A426" s="1"/>
      <c r="B426" s="8"/>
      <c r="C426" s="2"/>
      <c r="D426" s="2"/>
      <c r="E426" s="2"/>
      <c r="F426" s="2"/>
      <c r="G426" s="7"/>
      <c r="H426" s="7"/>
      <c r="I426" s="7"/>
      <c r="J426" s="7"/>
      <c r="K426" s="7"/>
      <c r="L426" s="7"/>
      <c r="M426" s="7"/>
      <c r="N426" s="4"/>
      <c r="O426" s="4"/>
      <c r="P426" s="4"/>
      <c r="Q426" s="4"/>
      <c r="R426" s="4"/>
    </row>
    <row r="427">
      <c r="A427" s="1"/>
      <c r="B427" s="8"/>
      <c r="C427" s="2"/>
      <c r="D427" s="2"/>
      <c r="E427" s="2"/>
      <c r="F427" s="2"/>
      <c r="G427" s="7"/>
      <c r="H427" s="7"/>
      <c r="I427" s="7"/>
      <c r="J427" s="7"/>
      <c r="K427" s="7"/>
      <c r="L427" s="7"/>
      <c r="M427" s="7"/>
      <c r="N427" s="4"/>
      <c r="O427" s="4"/>
      <c r="P427" s="4"/>
      <c r="Q427" s="4"/>
      <c r="R427" s="4"/>
    </row>
    <row r="428">
      <c r="A428" s="1"/>
      <c r="B428" s="8"/>
      <c r="C428" s="2"/>
      <c r="D428" s="2"/>
      <c r="E428" s="2"/>
      <c r="F428" s="2"/>
      <c r="G428" s="7"/>
      <c r="H428" s="7"/>
      <c r="I428" s="7"/>
      <c r="J428" s="7"/>
      <c r="K428" s="7"/>
      <c r="L428" s="7"/>
      <c r="M428" s="7"/>
      <c r="N428" s="4"/>
      <c r="O428" s="4"/>
      <c r="P428" s="4"/>
      <c r="Q428" s="4"/>
      <c r="R428" s="4"/>
    </row>
    <row r="429">
      <c r="A429" s="1"/>
      <c r="B429" s="8"/>
      <c r="C429" s="2"/>
      <c r="D429" s="2"/>
      <c r="E429" s="2"/>
      <c r="F429" s="2"/>
      <c r="G429" s="7"/>
      <c r="H429" s="7"/>
      <c r="I429" s="7"/>
      <c r="J429" s="7"/>
      <c r="K429" s="7"/>
      <c r="L429" s="7"/>
      <c r="M429" s="7"/>
      <c r="N429" s="4"/>
      <c r="O429" s="4"/>
      <c r="P429" s="4"/>
      <c r="Q429" s="4"/>
      <c r="R429" s="4"/>
    </row>
    <row r="430">
      <c r="A430" s="1"/>
      <c r="B430" s="8"/>
      <c r="C430" s="2"/>
      <c r="D430" s="2"/>
      <c r="E430" s="2"/>
      <c r="F430" s="2"/>
      <c r="G430" s="7"/>
      <c r="H430" s="7"/>
      <c r="I430" s="7"/>
      <c r="J430" s="7"/>
      <c r="K430" s="7"/>
      <c r="L430" s="7"/>
      <c r="M430" s="7"/>
      <c r="N430" s="4"/>
      <c r="O430" s="4"/>
      <c r="P430" s="4"/>
      <c r="Q430" s="4"/>
      <c r="R430" s="4"/>
    </row>
    <row r="431">
      <c r="A431" s="1"/>
      <c r="B431" s="8"/>
      <c r="C431" s="2"/>
      <c r="D431" s="2"/>
      <c r="E431" s="2"/>
      <c r="F431" s="2"/>
      <c r="G431" s="7"/>
      <c r="H431" s="7"/>
      <c r="I431" s="7"/>
      <c r="J431" s="7"/>
      <c r="K431" s="7"/>
      <c r="L431" s="7"/>
      <c r="M431" s="7"/>
      <c r="N431" s="4"/>
      <c r="O431" s="4"/>
      <c r="P431" s="4"/>
      <c r="Q431" s="4"/>
      <c r="R431" s="4"/>
    </row>
    <row r="432">
      <c r="A432" s="1"/>
      <c r="B432" s="8"/>
      <c r="C432" s="2"/>
      <c r="D432" s="2"/>
      <c r="E432" s="2"/>
      <c r="F432" s="2"/>
      <c r="G432" s="7"/>
      <c r="H432" s="7"/>
      <c r="I432" s="7"/>
      <c r="J432" s="7"/>
      <c r="K432" s="7"/>
      <c r="L432" s="7"/>
      <c r="M432" s="7"/>
      <c r="N432" s="4"/>
      <c r="O432" s="4"/>
      <c r="P432" s="4"/>
      <c r="Q432" s="4"/>
      <c r="R432" s="4"/>
    </row>
    <row r="433">
      <c r="A433" s="1"/>
      <c r="B433" s="8"/>
      <c r="C433" s="2"/>
      <c r="D433" s="2"/>
      <c r="E433" s="2"/>
      <c r="F433" s="2"/>
      <c r="G433" s="7"/>
      <c r="H433" s="7"/>
      <c r="I433" s="7"/>
      <c r="J433" s="7"/>
      <c r="K433" s="7"/>
      <c r="L433" s="7"/>
      <c r="M433" s="7"/>
      <c r="N433" s="4"/>
      <c r="O433" s="4"/>
      <c r="P433" s="4"/>
      <c r="Q433" s="4"/>
      <c r="R433" s="4"/>
    </row>
    <row r="434">
      <c r="A434" s="1"/>
      <c r="B434" s="8"/>
      <c r="C434" s="2"/>
      <c r="D434" s="2"/>
      <c r="E434" s="2"/>
      <c r="F434" s="2"/>
      <c r="G434" s="7"/>
      <c r="H434" s="7"/>
      <c r="I434" s="7"/>
      <c r="J434" s="7"/>
      <c r="K434" s="7"/>
      <c r="L434" s="7"/>
      <c r="M434" s="7"/>
      <c r="N434" s="4"/>
      <c r="O434" s="4"/>
      <c r="P434" s="4"/>
      <c r="Q434" s="4"/>
      <c r="R434" s="4"/>
    </row>
    <row r="435">
      <c r="A435" s="1"/>
      <c r="B435" s="8"/>
      <c r="C435" s="2"/>
      <c r="D435" s="2"/>
      <c r="E435" s="2"/>
      <c r="F435" s="2"/>
      <c r="G435" s="7"/>
      <c r="H435" s="7"/>
      <c r="I435" s="7"/>
      <c r="J435" s="7"/>
      <c r="K435" s="7"/>
      <c r="L435" s="7"/>
      <c r="M435" s="7"/>
      <c r="N435" s="4"/>
      <c r="O435" s="4"/>
      <c r="P435" s="4"/>
      <c r="Q435" s="4"/>
      <c r="R435" s="4"/>
    </row>
    <row r="436">
      <c r="A436" s="1"/>
      <c r="B436" s="8"/>
      <c r="C436" s="2"/>
      <c r="D436" s="2"/>
      <c r="E436" s="2"/>
      <c r="F436" s="2"/>
      <c r="G436" s="7"/>
      <c r="H436" s="7"/>
      <c r="I436" s="7"/>
      <c r="J436" s="7"/>
      <c r="K436" s="7"/>
      <c r="L436" s="7"/>
      <c r="M436" s="7"/>
      <c r="N436" s="4"/>
      <c r="O436" s="4"/>
      <c r="P436" s="4"/>
      <c r="Q436" s="4"/>
      <c r="R436" s="4"/>
    </row>
    <row r="437">
      <c r="A437" s="1"/>
      <c r="B437" s="8"/>
      <c r="C437" s="2"/>
      <c r="D437" s="2"/>
      <c r="E437" s="2"/>
      <c r="F437" s="2"/>
      <c r="G437" s="7"/>
      <c r="H437" s="7"/>
      <c r="I437" s="7"/>
      <c r="J437" s="7"/>
      <c r="K437" s="7"/>
      <c r="L437" s="7"/>
      <c r="M437" s="7"/>
      <c r="N437" s="4"/>
      <c r="O437" s="4"/>
      <c r="P437" s="4"/>
      <c r="Q437" s="4"/>
      <c r="R437" s="4"/>
    </row>
    <row r="438">
      <c r="A438" s="1"/>
      <c r="B438" s="8"/>
      <c r="C438" s="2"/>
      <c r="D438" s="2"/>
      <c r="E438" s="2"/>
      <c r="F438" s="2"/>
      <c r="G438" s="7"/>
      <c r="H438" s="7"/>
      <c r="I438" s="7"/>
      <c r="J438" s="7"/>
      <c r="K438" s="7"/>
      <c r="L438" s="7"/>
      <c r="M438" s="7"/>
      <c r="N438" s="4"/>
      <c r="O438" s="4"/>
      <c r="P438" s="4"/>
      <c r="Q438" s="4"/>
      <c r="R438" s="4"/>
    </row>
    <row r="439">
      <c r="A439" s="1"/>
      <c r="B439" s="8"/>
      <c r="C439" s="2"/>
      <c r="D439" s="2"/>
      <c r="E439" s="2"/>
      <c r="F439" s="2"/>
      <c r="G439" s="7"/>
      <c r="H439" s="7"/>
      <c r="I439" s="7"/>
      <c r="J439" s="7"/>
      <c r="K439" s="7"/>
      <c r="L439" s="7"/>
      <c r="M439" s="7"/>
      <c r="N439" s="4"/>
      <c r="O439" s="4"/>
      <c r="P439" s="4"/>
      <c r="Q439" s="4"/>
      <c r="R439" s="4"/>
    </row>
    <row r="440">
      <c r="A440" s="1"/>
      <c r="B440" s="8"/>
      <c r="C440" s="2"/>
      <c r="D440" s="2"/>
      <c r="E440" s="2"/>
      <c r="F440" s="2"/>
      <c r="G440" s="7"/>
      <c r="H440" s="7"/>
      <c r="I440" s="7"/>
      <c r="J440" s="7"/>
      <c r="K440" s="7"/>
      <c r="L440" s="7"/>
      <c r="M440" s="7"/>
      <c r="N440" s="4"/>
      <c r="O440" s="4"/>
      <c r="P440" s="4"/>
      <c r="Q440" s="4"/>
      <c r="R440" s="4"/>
    </row>
    <row r="441">
      <c r="A441" s="1"/>
      <c r="B441" s="8"/>
      <c r="C441" s="2"/>
      <c r="D441" s="2"/>
      <c r="E441" s="2"/>
      <c r="F441" s="2"/>
      <c r="G441" s="7"/>
      <c r="H441" s="7"/>
      <c r="I441" s="7"/>
      <c r="J441" s="7"/>
      <c r="K441" s="7"/>
      <c r="L441" s="7"/>
      <c r="M441" s="7"/>
      <c r="N441" s="4"/>
      <c r="O441" s="4"/>
      <c r="P441" s="4"/>
      <c r="Q441" s="4"/>
      <c r="R441" s="4"/>
    </row>
    <row r="442">
      <c r="A442" s="1"/>
      <c r="B442" s="8"/>
      <c r="C442" s="2"/>
      <c r="D442" s="2"/>
      <c r="E442" s="2"/>
      <c r="F442" s="2"/>
      <c r="G442" s="7"/>
      <c r="H442" s="7"/>
      <c r="I442" s="7"/>
      <c r="J442" s="7"/>
      <c r="K442" s="7"/>
      <c r="L442" s="7"/>
      <c r="M442" s="7"/>
      <c r="N442" s="4"/>
      <c r="O442" s="4"/>
      <c r="P442" s="4"/>
      <c r="Q442" s="4"/>
      <c r="R442" s="4"/>
    </row>
    <row r="443">
      <c r="A443" s="1"/>
      <c r="B443" s="8"/>
      <c r="C443" s="2"/>
      <c r="D443" s="2"/>
      <c r="E443" s="2"/>
      <c r="F443" s="2"/>
      <c r="G443" s="7"/>
      <c r="H443" s="7"/>
      <c r="I443" s="7"/>
      <c r="J443" s="7"/>
      <c r="K443" s="7"/>
      <c r="L443" s="7"/>
      <c r="M443" s="7"/>
      <c r="N443" s="4"/>
      <c r="O443" s="4"/>
      <c r="P443" s="4"/>
      <c r="Q443" s="4"/>
      <c r="R443" s="4"/>
    </row>
    <row r="444">
      <c r="A444" s="1"/>
      <c r="B444" s="8"/>
      <c r="C444" s="2"/>
      <c r="D444" s="2"/>
      <c r="E444" s="2"/>
      <c r="F444" s="2"/>
      <c r="G444" s="7"/>
      <c r="H444" s="7"/>
      <c r="I444" s="7"/>
      <c r="J444" s="7"/>
      <c r="K444" s="7"/>
      <c r="L444" s="7"/>
      <c r="M444" s="7"/>
      <c r="N444" s="4"/>
      <c r="O444" s="4"/>
      <c r="P444" s="4"/>
      <c r="Q444" s="4"/>
      <c r="R444" s="4"/>
    </row>
    <row r="445">
      <c r="A445" s="1"/>
      <c r="B445" s="8"/>
      <c r="C445" s="2"/>
      <c r="D445" s="2"/>
      <c r="E445" s="2"/>
      <c r="F445" s="2"/>
      <c r="G445" s="7"/>
      <c r="H445" s="7"/>
      <c r="I445" s="7"/>
      <c r="J445" s="7"/>
      <c r="K445" s="7"/>
      <c r="L445" s="7"/>
      <c r="M445" s="7"/>
      <c r="N445" s="4"/>
      <c r="O445" s="4"/>
      <c r="P445" s="4"/>
      <c r="Q445" s="4"/>
      <c r="R445" s="4"/>
    </row>
    <row r="446">
      <c r="A446" s="1"/>
      <c r="B446" s="8"/>
      <c r="C446" s="2"/>
      <c r="D446" s="2"/>
      <c r="E446" s="2"/>
      <c r="F446" s="2"/>
      <c r="G446" s="7"/>
      <c r="H446" s="7"/>
      <c r="I446" s="7"/>
      <c r="J446" s="7"/>
      <c r="K446" s="7"/>
      <c r="L446" s="7"/>
      <c r="M446" s="7"/>
      <c r="N446" s="4"/>
      <c r="O446" s="4"/>
      <c r="P446" s="4"/>
      <c r="Q446" s="4"/>
      <c r="R446" s="4"/>
    </row>
    <row r="447">
      <c r="A447" s="1"/>
      <c r="B447" s="8"/>
      <c r="C447" s="2"/>
      <c r="D447" s="2"/>
      <c r="E447" s="2"/>
      <c r="F447" s="2"/>
      <c r="G447" s="7"/>
      <c r="H447" s="7"/>
      <c r="I447" s="7"/>
      <c r="J447" s="7"/>
      <c r="K447" s="7"/>
      <c r="L447" s="7"/>
      <c r="M447" s="7"/>
      <c r="N447" s="4"/>
      <c r="O447" s="4"/>
      <c r="P447" s="4"/>
      <c r="Q447" s="4"/>
      <c r="R447" s="4"/>
    </row>
    <row r="448">
      <c r="A448" s="1"/>
      <c r="B448" s="8"/>
      <c r="C448" s="2"/>
      <c r="D448" s="2"/>
      <c r="E448" s="2"/>
      <c r="F448" s="2"/>
      <c r="G448" s="7"/>
      <c r="H448" s="7"/>
      <c r="I448" s="7"/>
      <c r="J448" s="7"/>
      <c r="K448" s="7"/>
      <c r="L448" s="7"/>
      <c r="M448" s="7"/>
      <c r="N448" s="4"/>
      <c r="O448" s="4"/>
      <c r="P448" s="4"/>
      <c r="Q448" s="4"/>
      <c r="R448" s="4"/>
    </row>
    <row r="449">
      <c r="A449" s="1"/>
      <c r="B449" s="8"/>
      <c r="C449" s="2"/>
      <c r="D449" s="2"/>
      <c r="E449" s="2"/>
      <c r="F449" s="2"/>
      <c r="G449" s="7"/>
      <c r="H449" s="7"/>
      <c r="I449" s="7"/>
      <c r="J449" s="7"/>
      <c r="K449" s="7"/>
      <c r="L449" s="7"/>
      <c r="M449" s="7"/>
      <c r="N449" s="4"/>
      <c r="O449" s="4"/>
      <c r="P449" s="4"/>
      <c r="Q449" s="4"/>
      <c r="R449" s="4"/>
    </row>
    <row r="450">
      <c r="A450" s="1"/>
      <c r="B450" s="8"/>
      <c r="C450" s="2"/>
      <c r="D450" s="2"/>
      <c r="E450" s="2"/>
      <c r="F450" s="2"/>
      <c r="G450" s="7"/>
      <c r="H450" s="7"/>
      <c r="I450" s="7"/>
      <c r="J450" s="7"/>
      <c r="K450" s="7"/>
      <c r="L450" s="7"/>
      <c r="M450" s="7"/>
      <c r="N450" s="4"/>
      <c r="O450" s="4"/>
      <c r="P450" s="4"/>
      <c r="Q450" s="4"/>
      <c r="R450" s="4"/>
    </row>
    <row r="451">
      <c r="A451" s="1"/>
      <c r="B451" s="8"/>
      <c r="C451" s="2"/>
      <c r="D451" s="2"/>
      <c r="E451" s="2"/>
      <c r="F451" s="2"/>
      <c r="G451" s="7"/>
      <c r="H451" s="7"/>
      <c r="I451" s="7"/>
      <c r="J451" s="7"/>
      <c r="K451" s="7"/>
      <c r="L451" s="7"/>
      <c r="M451" s="7"/>
      <c r="N451" s="4"/>
      <c r="O451" s="4"/>
      <c r="P451" s="4"/>
      <c r="Q451" s="4"/>
      <c r="R451" s="4"/>
    </row>
    <row r="452">
      <c r="A452" s="1"/>
      <c r="B452" s="8"/>
      <c r="C452" s="2"/>
      <c r="D452" s="2"/>
      <c r="E452" s="2"/>
      <c r="F452" s="2"/>
      <c r="G452" s="7"/>
      <c r="H452" s="7"/>
      <c r="I452" s="7"/>
      <c r="J452" s="7"/>
      <c r="K452" s="7"/>
      <c r="L452" s="7"/>
      <c r="M452" s="7"/>
      <c r="N452" s="4"/>
      <c r="O452" s="4"/>
      <c r="P452" s="4"/>
      <c r="Q452" s="4"/>
      <c r="R452" s="4"/>
    </row>
    <row r="453">
      <c r="A453" s="1"/>
      <c r="B453" s="8"/>
      <c r="C453" s="2"/>
      <c r="D453" s="2"/>
      <c r="E453" s="2"/>
      <c r="F453" s="2"/>
      <c r="G453" s="7"/>
      <c r="H453" s="7"/>
      <c r="I453" s="7"/>
      <c r="J453" s="7"/>
      <c r="K453" s="7"/>
      <c r="L453" s="7"/>
      <c r="M453" s="7"/>
      <c r="N453" s="4"/>
      <c r="O453" s="4"/>
      <c r="P453" s="4"/>
      <c r="Q453" s="4"/>
      <c r="R453" s="4"/>
    </row>
    <row r="454">
      <c r="A454" s="1"/>
      <c r="B454" s="8"/>
      <c r="C454" s="2"/>
      <c r="D454" s="2"/>
      <c r="E454" s="2"/>
      <c r="F454" s="2"/>
      <c r="G454" s="7"/>
      <c r="H454" s="7"/>
      <c r="I454" s="7"/>
      <c r="J454" s="7"/>
      <c r="K454" s="7"/>
      <c r="L454" s="7"/>
      <c r="M454" s="7"/>
      <c r="N454" s="4"/>
      <c r="O454" s="4"/>
      <c r="P454" s="4"/>
      <c r="Q454" s="4"/>
      <c r="R454" s="4"/>
    </row>
    <row r="455">
      <c r="A455" s="1"/>
      <c r="B455" s="8"/>
      <c r="C455" s="2"/>
      <c r="D455" s="2"/>
      <c r="E455" s="2"/>
      <c r="F455" s="2"/>
      <c r="G455" s="7"/>
      <c r="H455" s="7"/>
      <c r="I455" s="7"/>
      <c r="J455" s="7"/>
      <c r="K455" s="7"/>
      <c r="L455" s="7"/>
      <c r="M455" s="7"/>
      <c r="N455" s="4"/>
      <c r="O455" s="4"/>
      <c r="P455" s="4"/>
      <c r="Q455" s="4"/>
      <c r="R455" s="4"/>
    </row>
    <row r="456">
      <c r="A456" s="1"/>
      <c r="B456" s="8"/>
      <c r="C456" s="2"/>
      <c r="D456" s="2"/>
      <c r="E456" s="2"/>
      <c r="F456" s="2"/>
      <c r="G456" s="7"/>
      <c r="H456" s="7"/>
      <c r="I456" s="7"/>
      <c r="J456" s="7"/>
      <c r="K456" s="7"/>
      <c r="L456" s="7"/>
      <c r="M456" s="7"/>
      <c r="N456" s="4"/>
      <c r="O456" s="4"/>
      <c r="P456" s="4"/>
      <c r="Q456" s="4"/>
      <c r="R456" s="4"/>
    </row>
    <row r="457">
      <c r="A457" s="1"/>
      <c r="B457" s="8"/>
      <c r="C457" s="2"/>
      <c r="D457" s="2"/>
      <c r="E457" s="2"/>
      <c r="F457" s="2"/>
      <c r="G457" s="7"/>
      <c r="H457" s="7"/>
      <c r="I457" s="7"/>
      <c r="J457" s="7"/>
      <c r="K457" s="7"/>
      <c r="L457" s="7"/>
      <c r="M457" s="7"/>
      <c r="N457" s="4"/>
      <c r="O457" s="4"/>
      <c r="P457" s="4"/>
      <c r="Q457" s="4"/>
      <c r="R457" s="4"/>
    </row>
    <row r="458">
      <c r="A458" s="1"/>
      <c r="B458" s="8"/>
      <c r="C458" s="2"/>
      <c r="D458" s="2"/>
      <c r="E458" s="2"/>
      <c r="F458" s="2"/>
      <c r="G458" s="7"/>
      <c r="H458" s="7"/>
      <c r="I458" s="7"/>
      <c r="J458" s="7"/>
      <c r="K458" s="7"/>
      <c r="L458" s="7"/>
      <c r="M458" s="7"/>
      <c r="N458" s="4"/>
      <c r="O458" s="4"/>
      <c r="P458" s="4"/>
      <c r="Q458" s="4"/>
      <c r="R458" s="4"/>
    </row>
    <row r="459">
      <c r="A459" s="1"/>
      <c r="B459" s="8"/>
      <c r="C459" s="2"/>
      <c r="D459" s="2"/>
      <c r="E459" s="2"/>
      <c r="F459" s="2"/>
      <c r="G459" s="7"/>
      <c r="H459" s="7"/>
      <c r="I459" s="7"/>
      <c r="J459" s="7"/>
      <c r="K459" s="7"/>
      <c r="L459" s="7"/>
      <c r="M459" s="7"/>
      <c r="N459" s="4"/>
      <c r="O459" s="4"/>
      <c r="P459" s="4"/>
      <c r="Q459" s="4"/>
      <c r="R459" s="4"/>
    </row>
    <row r="460">
      <c r="A460" s="1"/>
      <c r="B460" s="8"/>
      <c r="C460" s="2"/>
      <c r="D460" s="2"/>
      <c r="E460" s="2"/>
      <c r="F460" s="2"/>
      <c r="G460" s="7"/>
      <c r="H460" s="7"/>
      <c r="I460" s="7"/>
      <c r="J460" s="7"/>
      <c r="K460" s="7"/>
      <c r="L460" s="7"/>
      <c r="M460" s="7"/>
      <c r="N460" s="4"/>
      <c r="O460" s="4"/>
      <c r="P460" s="4"/>
      <c r="Q460" s="4"/>
      <c r="R460" s="4"/>
    </row>
    <row r="461">
      <c r="A461" s="1"/>
      <c r="B461" s="8"/>
      <c r="C461" s="2"/>
      <c r="D461" s="2"/>
      <c r="E461" s="2"/>
      <c r="F461" s="2"/>
      <c r="G461" s="7"/>
      <c r="H461" s="7"/>
      <c r="I461" s="7"/>
      <c r="J461" s="7"/>
      <c r="K461" s="7"/>
      <c r="L461" s="7"/>
      <c r="M461" s="7"/>
      <c r="N461" s="4"/>
      <c r="O461" s="4"/>
      <c r="P461" s="4"/>
      <c r="Q461" s="4"/>
      <c r="R461" s="4"/>
    </row>
    <row r="462">
      <c r="A462" s="1"/>
      <c r="B462" s="8"/>
      <c r="C462" s="2"/>
      <c r="D462" s="2"/>
      <c r="E462" s="2"/>
      <c r="F462" s="2"/>
      <c r="G462" s="7"/>
      <c r="H462" s="7"/>
      <c r="I462" s="7"/>
      <c r="J462" s="7"/>
      <c r="K462" s="7"/>
      <c r="L462" s="7"/>
      <c r="M462" s="7"/>
      <c r="N462" s="4"/>
      <c r="O462" s="4"/>
      <c r="P462" s="4"/>
      <c r="Q462" s="4"/>
      <c r="R462" s="4"/>
    </row>
    <row r="463">
      <c r="A463" s="1"/>
      <c r="B463" s="8"/>
      <c r="C463" s="2"/>
      <c r="D463" s="2"/>
      <c r="E463" s="2"/>
      <c r="F463" s="2"/>
      <c r="G463" s="7"/>
      <c r="H463" s="7"/>
      <c r="I463" s="7"/>
      <c r="J463" s="7"/>
      <c r="K463" s="7"/>
      <c r="L463" s="7"/>
      <c r="M463" s="7"/>
      <c r="N463" s="4"/>
      <c r="O463" s="4"/>
      <c r="P463" s="4"/>
      <c r="Q463" s="4"/>
      <c r="R463" s="4"/>
    </row>
    <row r="464">
      <c r="A464" s="1"/>
      <c r="B464" s="8"/>
      <c r="C464" s="2"/>
      <c r="D464" s="2"/>
      <c r="E464" s="2"/>
      <c r="F464" s="2"/>
      <c r="G464" s="7"/>
      <c r="H464" s="7"/>
      <c r="I464" s="7"/>
      <c r="J464" s="7"/>
      <c r="K464" s="7"/>
      <c r="L464" s="7"/>
      <c r="M464" s="7"/>
      <c r="N464" s="4"/>
      <c r="O464" s="4"/>
      <c r="P464" s="4"/>
      <c r="Q464" s="4"/>
      <c r="R464" s="4"/>
    </row>
    <row r="465">
      <c r="A465" s="1"/>
      <c r="B465" s="8"/>
      <c r="C465" s="2"/>
      <c r="D465" s="2"/>
      <c r="E465" s="2"/>
      <c r="F465" s="2"/>
      <c r="G465" s="7"/>
      <c r="H465" s="7"/>
      <c r="I465" s="7"/>
      <c r="J465" s="7"/>
      <c r="K465" s="7"/>
      <c r="L465" s="7"/>
      <c r="M465" s="7"/>
      <c r="N465" s="4"/>
      <c r="O465" s="4"/>
      <c r="P465" s="4"/>
      <c r="Q465" s="4"/>
      <c r="R465" s="4"/>
    </row>
    <row r="466">
      <c r="A466" s="1"/>
      <c r="B466" s="8"/>
      <c r="C466" s="2"/>
      <c r="D466" s="2"/>
      <c r="E466" s="2"/>
      <c r="F466" s="2"/>
      <c r="G466" s="7"/>
      <c r="H466" s="7"/>
      <c r="I466" s="7"/>
      <c r="J466" s="7"/>
      <c r="K466" s="7"/>
      <c r="L466" s="7"/>
      <c r="M466" s="7"/>
      <c r="N466" s="4"/>
      <c r="O466" s="4"/>
      <c r="P466" s="4"/>
      <c r="Q466" s="4"/>
      <c r="R466" s="4"/>
    </row>
    <row r="467">
      <c r="A467" s="1"/>
      <c r="B467" s="8"/>
      <c r="C467" s="2"/>
      <c r="D467" s="2"/>
      <c r="E467" s="2"/>
      <c r="F467" s="2"/>
      <c r="G467" s="7"/>
      <c r="H467" s="7"/>
      <c r="I467" s="7"/>
      <c r="J467" s="7"/>
      <c r="K467" s="7"/>
      <c r="L467" s="7"/>
      <c r="M467" s="7"/>
      <c r="N467" s="4"/>
      <c r="O467" s="4"/>
      <c r="P467" s="4"/>
      <c r="Q467" s="4"/>
      <c r="R467" s="4"/>
    </row>
    <row r="468">
      <c r="A468" s="1"/>
      <c r="B468" s="8"/>
      <c r="C468" s="2"/>
      <c r="D468" s="2"/>
      <c r="E468" s="2"/>
      <c r="F468" s="2"/>
      <c r="G468" s="7"/>
      <c r="H468" s="7"/>
      <c r="I468" s="7"/>
      <c r="J468" s="7"/>
      <c r="K468" s="7"/>
      <c r="L468" s="7"/>
      <c r="M468" s="7"/>
      <c r="N468" s="4"/>
      <c r="O468" s="4"/>
      <c r="P468" s="4"/>
      <c r="Q468" s="4"/>
      <c r="R468" s="4"/>
    </row>
    <row r="469">
      <c r="A469" s="1"/>
      <c r="B469" s="8"/>
      <c r="C469" s="2"/>
      <c r="D469" s="2"/>
      <c r="E469" s="2"/>
      <c r="F469" s="2"/>
      <c r="G469" s="7"/>
      <c r="H469" s="7"/>
      <c r="I469" s="7"/>
      <c r="J469" s="7"/>
      <c r="K469" s="7"/>
      <c r="L469" s="7"/>
      <c r="M469" s="7"/>
      <c r="N469" s="4"/>
      <c r="O469" s="4"/>
      <c r="P469" s="4"/>
      <c r="Q469" s="4"/>
      <c r="R469" s="4"/>
    </row>
    <row r="470">
      <c r="A470" s="1"/>
      <c r="B470" s="8"/>
      <c r="C470" s="2"/>
      <c r="D470" s="2"/>
      <c r="E470" s="2"/>
      <c r="F470" s="2"/>
      <c r="G470" s="7"/>
      <c r="H470" s="7"/>
      <c r="I470" s="7"/>
      <c r="J470" s="7"/>
      <c r="K470" s="7"/>
      <c r="L470" s="7"/>
      <c r="M470" s="7"/>
      <c r="N470" s="4"/>
      <c r="O470" s="4"/>
      <c r="P470" s="4"/>
      <c r="Q470" s="4"/>
      <c r="R470" s="4"/>
    </row>
    <row r="471">
      <c r="A471" s="1"/>
      <c r="B471" s="8"/>
      <c r="C471" s="2"/>
      <c r="D471" s="2"/>
      <c r="E471" s="2"/>
      <c r="F471" s="2"/>
      <c r="G471" s="7"/>
      <c r="H471" s="7"/>
      <c r="I471" s="7"/>
      <c r="J471" s="7"/>
      <c r="K471" s="7"/>
      <c r="L471" s="7"/>
      <c r="M471" s="7"/>
      <c r="N471" s="4"/>
      <c r="O471" s="4"/>
      <c r="P471" s="4"/>
      <c r="Q471" s="4"/>
      <c r="R471" s="4"/>
    </row>
    <row r="472">
      <c r="A472" s="1"/>
      <c r="B472" s="8"/>
      <c r="C472" s="2"/>
      <c r="D472" s="2"/>
      <c r="E472" s="2"/>
      <c r="F472" s="2"/>
      <c r="G472" s="7"/>
      <c r="H472" s="7"/>
      <c r="I472" s="7"/>
      <c r="J472" s="7"/>
      <c r="K472" s="7"/>
      <c r="L472" s="7"/>
      <c r="M472" s="7"/>
      <c r="N472" s="4"/>
      <c r="O472" s="4"/>
      <c r="P472" s="4"/>
      <c r="Q472" s="4"/>
      <c r="R472" s="4"/>
    </row>
    <row r="473">
      <c r="A473" s="1"/>
      <c r="B473" s="8"/>
      <c r="C473" s="2"/>
      <c r="D473" s="2"/>
      <c r="E473" s="2"/>
      <c r="F473" s="2"/>
      <c r="G473" s="7"/>
      <c r="H473" s="7"/>
      <c r="I473" s="7"/>
      <c r="J473" s="7"/>
      <c r="K473" s="7"/>
      <c r="L473" s="7"/>
      <c r="M473" s="7"/>
      <c r="N473" s="4"/>
      <c r="O473" s="4"/>
      <c r="P473" s="4"/>
      <c r="Q473" s="4"/>
      <c r="R473" s="4"/>
    </row>
    <row r="474">
      <c r="A474" s="1"/>
      <c r="B474" s="8"/>
      <c r="C474" s="2"/>
      <c r="D474" s="2"/>
      <c r="E474" s="2"/>
      <c r="F474" s="2"/>
      <c r="G474" s="7"/>
      <c r="H474" s="7"/>
      <c r="I474" s="7"/>
      <c r="J474" s="7"/>
      <c r="K474" s="7"/>
      <c r="L474" s="7"/>
      <c r="M474" s="7"/>
      <c r="N474" s="4"/>
      <c r="O474" s="4"/>
      <c r="P474" s="4"/>
      <c r="Q474" s="4"/>
      <c r="R474" s="4"/>
    </row>
    <row r="475">
      <c r="A475" s="1"/>
      <c r="B475" s="8"/>
      <c r="C475" s="2"/>
      <c r="D475" s="2"/>
      <c r="E475" s="2"/>
      <c r="F475" s="2"/>
      <c r="G475" s="7"/>
      <c r="H475" s="7"/>
      <c r="I475" s="7"/>
      <c r="J475" s="7"/>
      <c r="K475" s="7"/>
      <c r="L475" s="7"/>
      <c r="M475" s="7"/>
      <c r="N475" s="4"/>
      <c r="O475" s="4"/>
      <c r="P475" s="4"/>
      <c r="Q475" s="4"/>
      <c r="R475" s="4"/>
    </row>
    <row r="476">
      <c r="A476" s="1"/>
      <c r="B476" s="8"/>
      <c r="C476" s="2"/>
      <c r="D476" s="2"/>
      <c r="E476" s="2"/>
      <c r="F476" s="2"/>
      <c r="G476" s="7"/>
      <c r="H476" s="7"/>
      <c r="I476" s="7"/>
      <c r="J476" s="7"/>
      <c r="K476" s="7"/>
      <c r="L476" s="7"/>
      <c r="M476" s="7"/>
      <c r="N476" s="4"/>
      <c r="O476" s="4"/>
      <c r="P476" s="4"/>
      <c r="Q476" s="4"/>
      <c r="R476" s="4"/>
    </row>
    <row r="477">
      <c r="A477" s="1"/>
      <c r="B477" s="8"/>
      <c r="C477" s="2"/>
      <c r="D477" s="2"/>
      <c r="E477" s="2"/>
      <c r="F477" s="2"/>
      <c r="G477" s="7"/>
      <c r="H477" s="7"/>
      <c r="I477" s="7"/>
      <c r="J477" s="7"/>
      <c r="K477" s="7"/>
      <c r="L477" s="7"/>
      <c r="M477" s="7"/>
      <c r="N477" s="4"/>
      <c r="O477" s="4"/>
      <c r="P477" s="4"/>
      <c r="Q477" s="4"/>
      <c r="R477" s="4"/>
    </row>
    <row r="478">
      <c r="A478" s="1"/>
      <c r="B478" s="8"/>
      <c r="C478" s="2"/>
      <c r="D478" s="2"/>
      <c r="E478" s="2"/>
      <c r="F478" s="2"/>
      <c r="G478" s="7"/>
      <c r="H478" s="7"/>
      <c r="I478" s="7"/>
      <c r="J478" s="7"/>
      <c r="K478" s="7"/>
      <c r="L478" s="7"/>
      <c r="M478" s="7"/>
      <c r="N478" s="4"/>
      <c r="O478" s="4"/>
      <c r="P478" s="4"/>
      <c r="Q478" s="4"/>
      <c r="R478" s="4"/>
    </row>
    <row r="479">
      <c r="A479" s="1"/>
      <c r="B479" s="8"/>
      <c r="C479" s="2"/>
      <c r="D479" s="2"/>
      <c r="E479" s="2"/>
      <c r="F479" s="2"/>
      <c r="G479" s="7"/>
      <c r="H479" s="7"/>
      <c r="I479" s="7"/>
      <c r="J479" s="7"/>
      <c r="K479" s="7"/>
      <c r="L479" s="7"/>
      <c r="M479" s="7"/>
      <c r="N479" s="4"/>
      <c r="O479" s="4"/>
      <c r="P479" s="4"/>
      <c r="Q479" s="4"/>
      <c r="R479" s="4"/>
    </row>
    <row r="480">
      <c r="A480" s="1"/>
      <c r="B480" s="8"/>
      <c r="C480" s="2"/>
      <c r="D480" s="2"/>
      <c r="E480" s="2"/>
      <c r="F480" s="2"/>
      <c r="G480" s="7"/>
      <c r="H480" s="7"/>
      <c r="I480" s="7"/>
      <c r="J480" s="7"/>
      <c r="K480" s="7"/>
      <c r="L480" s="7"/>
      <c r="M480" s="7"/>
      <c r="N480" s="4"/>
      <c r="O480" s="4"/>
      <c r="P480" s="4"/>
      <c r="Q480" s="4"/>
      <c r="R480" s="4"/>
    </row>
    <row r="481">
      <c r="A481" s="1"/>
      <c r="B481" s="8"/>
      <c r="C481" s="2"/>
      <c r="D481" s="2"/>
      <c r="E481" s="2"/>
      <c r="F481" s="2"/>
      <c r="G481" s="7"/>
      <c r="H481" s="7"/>
      <c r="I481" s="7"/>
      <c r="J481" s="7"/>
      <c r="K481" s="7"/>
      <c r="L481" s="7"/>
      <c r="M481" s="7"/>
      <c r="N481" s="4"/>
      <c r="O481" s="4"/>
      <c r="P481" s="4"/>
      <c r="Q481" s="4"/>
      <c r="R481" s="4"/>
    </row>
    <row r="482">
      <c r="A482" s="1"/>
      <c r="B482" s="8"/>
      <c r="C482" s="2"/>
      <c r="D482" s="2"/>
      <c r="E482" s="2"/>
      <c r="F482" s="2"/>
      <c r="G482" s="7"/>
      <c r="H482" s="7"/>
      <c r="I482" s="7"/>
      <c r="J482" s="7"/>
      <c r="K482" s="7"/>
      <c r="L482" s="7"/>
      <c r="M482" s="7"/>
      <c r="N482" s="4"/>
      <c r="O482" s="4"/>
      <c r="P482" s="4"/>
      <c r="Q482" s="4"/>
      <c r="R482" s="4"/>
    </row>
    <row r="483">
      <c r="A483" s="1"/>
      <c r="B483" s="8"/>
      <c r="C483" s="2"/>
      <c r="D483" s="2"/>
      <c r="E483" s="2"/>
      <c r="F483" s="2"/>
      <c r="G483" s="7"/>
      <c r="H483" s="7"/>
      <c r="I483" s="7"/>
      <c r="J483" s="7"/>
      <c r="K483" s="7"/>
      <c r="L483" s="7"/>
      <c r="M483" s="7"/>
      <c r="N483" s="4"/>
      <c r="O483" s="4"/>
      <c r="P483" s="4"/>
      <c r="Q483" s="4"/>
      <c r="R483" s="4"/>
    </row>
    <row r="484">
      <c r="A484" s="1"/>
      <c r="B484" s="8"/>
      <c r="C484" s="2"/>
      <c r="D484" s="2"/>
      <c r="E484" s="2"/>
      <c r="F484" s="2"/>
      <c r="G484" s="7"/>
      <c r="H484" s="7"/>
      <c r="I484" s="7"/>
      <c r="J484" s="7"/>
      <c r="K484" s="7"/>
      <c r="L484" s="7"/>
      <c r="M484" s="7"/>
      <c r="N484" s="4"/>
      <c r="O484" s="4"/>
      <c r="P484" s="4"/>
      <c r="Q484" s="4"/>
      <c r="R484" s="4"/>
    </row>
    <row r="485">
      <c r="A485" s="1"/>
      <c r="B485" s="8"/>
      <c r="C485" s="2"/>
      <c r="D485" s="2"/>
      <c r="E485" s="2"/>
      <c r="F485" s="2"/>
      <c r="G485" s="7"/>
      <c r="H485" s="7"/>
      <c r="I485" s="7"/>
      <c r="J485" s="7"/>
      <c r="K485" s="7"/>
      <c r="L485" s="7"/>
      <c r="M485" s="7"/>
      <c r="N485" s="4"/>
      <c r="O485" s="4"/>
      <c r="P485" s="4"/>
      <c r="Q485" s="4"/>
      <c r="R485" s="4"/>
    </row>
    <row r="486">
      <c r="A486" s="1"/>
      <c r="B486" s="8"/>
      <c r="C486" s="2"/>
      <c r="D486" s="2"/>
      <c r="E486" s="2"/>
      <c r="F486" s="2"/>
      <c r="G486" s="7"/>
      <c r="H486" s="7"/>
      <c r="I486" s="7"/>
      <c r="J486" s="7"/>
      <c r="K486" s="7"/>
      <c r="L486" s="7"/>
      <c r="M486" s="7"/>
      <c r="N486" s="4"/>
      <c r="O486" s="4"/>
      <c r="P486" s="4"/>
      <c r="Q486" s="4"/>
      <c r="R486" s="4"/>
    </row>
    <row r="487">
      <c r="A487" s="1"/>
      <c r="B487" s="8"/>
      <c r="C487" s="2"/>
      <c r="D487" s="2"/>
      <c r="E487" s="2"/>
      <c r="F487" s="2"/>
      <c r="G487" s="7"/>
      <c r="H487" s="7"/>
      <c r="I487" s="7"/>
      <c r="J487" s="7"/>
      <c r="K487" s="7"/>
      <c r="L487" s="7"/>
      <c r="M487" s="7"/>
      <c r="N487" s="4"/>
      <c r="O487" s="4"/>
      <c r="P487" s="4"/>
      <c r="Q487" s="4"/>
      <c r="R487" s="4"/>
    </row>
    <row r="488">
      <c r="A488" s="1"/>
      <c r="B488" s="8"/>
      <c r="C488" s="2"/>
      <c r="D488" s="2"/>
      <c r="E488" s="2"/>
      <c r="F488" s="2"/>
      <c r="G488" s="7"/>
      <c r="H488" s="7"/>
      <c r="I488" s="7"/>
      <c r="J488" s="7"/>
      <c r="K488" s="7"/>
      <c r="L488" s="7"/>
      <c r="M488" s="7"/>
      <c r="N488" s="4"/>
      <c r="O488" s="4"/>
      <c r="P488" s="4"/>
      <c r="Q488" s="4"/>
      <c r="R488" s="4"/>
    </row>
    <row r="489">
      <c r="A489" s="1"/>
      <c r="B489" s="8"/>
      <c r="C489" s="2"/>
      <c r="D489" s="2"/>
      <c r="E489" s="2"/>
      <c r="F489" s="2"/>
      <c r="G489" s="7"/>
      <c r="H489" s="7"/>
      <c r="I489" s="7"/>
      <c r="J489" s="7"/>
      <c r="K489" s="7"/>
      <c r="L489" s="7"/>
      <c r="M489" s="7"/>
      <c r="N489" s="4"/>
      <c r="O489" s="4"/>
      <c r="P489" s="4"/>
      <c r="Q489" s="4"/>
      <c r="R489" s="4"/>
    </row>
    <row r="490">
      <c r="A490" s="1"/>
      <c r="B490" s="8"/>
      <c r="C490" s="2"/>
      <c r="D490" s="2"/>
      <c r="E490" s="2"/>
      <c r="F490" s="2"/>
      <c r="G490" s="7"/>
      <c r="H490" s="7"/>
      <c r="I490" s="7"/>
      <c r="J490" s="7"/>
      <c r="K490" s="7"/>
      <c r="L490" s="7"/>
      <c r="M490" s="7"/>
      <c r="N490" s="4"/>
      <c r="O490" s="4"/>
      <c r="P490" s="4"/>
      <c r="Q490" s="4"/>
      <c r="R490" s="4"/>
    </row>
    <row r="491">
      <c r="A491" s="1"/>
      <c r="B491" s="8"/>
      <c r="C491" s="2"/>
      <c r="D491" s="2"/>
      <c r="E491" s="2"/>
      <c r="F491" s="2"/>
      <c r="G491" s="7"/>
      <c r="H491" s="7"/>
      <c r="I491" s="7"/>
      <c r="J491" s="7"/>
      <c r="K491" s="7"/>
      <c r="L491" s="7"/>
      <c r="M491" s="7"/>
      <c r="N491" s="4"/>
      <c r="O491" s="4"/>
      <c r="P491" s="4"/>
      <c r="Q491" s="4"/>
      <c r="R491" s="4"/>
    </row>
    <row r="492">
      <c r="A492" s="1"/>
      <c r="B492" s="8"/>
      <c r="C492" s="2"/>
      <c r="D492" s="2"/>
      <c r="E492" s="2"/>
      <c r="F492" s="2"/>
      <c r="G492" s="7"/>
      <c r="H492" s="7"/>
      <c r="I492" s="7"/>
      <c r="J492" s="7"/>
      <c r="K492" s="7"/>
      <c r="L492" s="7"/>
      <c r="M492" s="7"/>
      <c r="N492" s="4"/>
      <c r="O492" s="4"/>
      <c r="P492" s="4"/>
      <c r="Q492" s="4"/>
      <c r="R492" s="4"/>
    </row>
    <row r="493">
      <c r="A493" s="1"/>
      <c r="B493" s="8"/>
      <c r="C493" s="2"/>
      <c r="D493" s="2"/>
      <c r="E493" s="2"/>
      <c r="F493" s="2"/>
      <c r="G493" s="7"/>
      <c r="H493" s="7"/>
      <c r="I493" s="7"/>
      <c r="J493" s="7"/>
      <c r="K493" s="7"/>
      <c r="L493" s="7"/>
      <c r="M493" s="7"/>
      <c r="N493" s="4"/>
      <c r="O493" s="4"/>
      <c r="P493" s="4"/>
      <c r="Q493" s="4"/>
      <c r="R493" s="4"/>
    </row>
    <row r="494">
      <c r="A494" s="1"/>
      <c r="B494" s="8"/>
      <c r="C494" s="2"/>
      <c r="D494" s="2"/>
      <c r="E494" s="2"/>
      <c r="F494" s="2"/>
      <c r="G494" s="7"/>
      <c r="H494" s="7"/>
      <c r="I494" s="7"/>
      <c r="J494" s="7"/>
      <c r="K494" s="7"/>
      <c r="L494" s="7"/>
      <c r="M494" s="7"/>
      <c r="N494" s="4"/>
      <c r="O494" s="4"/>
      <c r="P494" s="4"/>
      <c r="Q494" s="4"/>
      <c r="R494" s="4"/>
    </row>
    <row r="495">
      <c r="A495" s="1"/>
      <c r="B495" s="8"/>
      <c r="C495" s="2"/>
      <c r="D495" s="2"/>
      <c r="E495" s="2"/>
      <c r="F495" s="2"/>
      <c r="G495" s="7"/>
      <c r="H495" s="7"/>
      <c r="I495" s="7"/>
      <c r="J495" s="7"/>
      <c r="K495" s="7"/>
      <c r="L495" s="7"/>
      <c r="M495" s="7"/>
      <c r="N495" s="4"/>
      <c r="O495" s="4"/>
      <c r="P495" s="4"/>
      <c r="Q495" s="4"/>
      <c r="R495" s="4"/>
    </row>
    <row r="496">
      <c r="A496" s="1"/>
      <c r="B496" s="8"/>
      <c r="C496" s="2"/>
      <c r="D496" s="2"/>
      <c r="E496" s="2"/>
      <c r="F496" s="2"/>
      <c r="G496" s="7"/>
      <c r="H496" s="7"/>
      <c r="I496" s="7"/>
      <c r="J496" s="7"/>
      <c r="K496" s="7"/>
      <c r="L496" s="7"/>
      <c r="M496" s="7"/>
      <c r="N496" s="4"/>
      <c r="O496" s="4"/>
      <c r="P496" s="4"/>
      <c r="Q496" s="4"/>
      <c r="R496" s="4"/>
    </row>
    <row r="497">
      <c r="A497" s="1"/>
      <c r="B497" s="8"/>
      <c r="C497" s="2"/>
      <c r="D497" s="2"/>
      <c r="E497" s="2"/>
      <c r="F497" s="2"/>
      <c r="G497" s="7"/>
      <c r="H497" s="7"/>
      <c r="I497" s="7"/>
      <c r="J497" s="7"/>
      <c r="K497" s="7"/>
      <c r="L497" s="7"/>
      <c r="M497" s="7"/>
      <c r="N497" s="4"/>
      <c r="O497" s="4"/>
      <c r="P497" s="4"/>
      <c r="Q497" s="4"/>
      <c r="R497" s="4"/>
    </row>
    <row r="498">
      <c r="A498" s="1"/>
      <c r="B498" s="8"/>
      <c r="C498" s="2"/>
      <c r="D498" s="2"/>
      <c r="E498" s="2"/>
      <c r="F498" s="2"/>
      <c r="G498" s="7"/>
      <c r="H498" s="7"/>
      <c r="I498" s="7"/>
      <c r="J498" s="7"/>
      <c r="K498" s="7"/>
      <c r="L498" s="7"/>
      <c r="M498" s="7"/>
      <c r="N498" s="4"/>
      <c r="O498" s="4"/>
      <c r="P498" s="4"/>
      <c r="Q498" s="4"/>
      <c r="R498" s="4"/>
    </row>
    <row r="499">
      <c r="A499" s="1"/>
      <c r="B499" s="8"/>
      <c r="C499" s="2"/>
      <c r="D499" s="2"/>
      <c r="E499" s="2"/>
      <c r="F499" s="2"/>
      <c r="G499" s="7"/>
      <c r="H499" s="7"/>
      <c r="I499" s="7"/>
      <c r="J499" s="7"/>
      <c r="K499" s="7"/>
      <c r="L499" s="7"/>
      <c r="M499" s="7"/>
      <c r="N499" s="4"/>
      <c r="O499" s="4"/>
      <c r="P499" s="4"/>
      <c r="Q499" s="4"/>
      <c r="R499" s="4"/>
    </row>
    <row r="500">
      <c r="A500" s="1"/>
      <c r="B500" s="8"/>
      <c r="C500" s="2"/>
      <c r="D500" s="2"/>
      <c r="E500" s="2"/>
      <c r="F500" s="2"/>
      <c r="G500" s="7"/>
      <c r="H500" s="7"/>
      <c r="I500" s="7"/>
      <c r="J500" s="7"/>
      <c r="K500" s="7"/>
      <c r="L500" s="7"/>
      <c r="M500" s="7"/>
      <c r="N500" s="4"/>
      <c r="O500" s="4"/>
      <c r="P500" s="4"/>
      <c r="Q500" s="4"/>
      <c r="R500" s="4"/>
    </row>
    <row r="501">
      <c r="A501" s="1"/>
      <c r="B501" s="8"/>
      <c r="C501" s="2"/>
      <c r="D501" s="2"/>
      <c r="E501" s="2"/>
      <c r="F501" s="2"/>
      <c r="G501" s="7"/>
      <c r="H501" s="7"/>
      <c r="I501" s="7"/>
      <c r="J501" s="7"/>
      <c r="K501" s="7"/>
      <c r="L501" s="7"/>
      <c r="M501" s="7"/>
      <c r="N501" s="4"/>
      <c r="O501" s="4"/>
      <c r="P501" s="4"/>
      <c r="Q501" s="4"/>
      <c r="R501" s="4"/>
    </row>
    <row r="502">
      <c r="A502" s="1"/>
      <c r="B502" s="8"/>
      <c r="C502" s="2"/>
      <c r="D502" s="2"/>
      <c r="E502" s="2"/>
      <c r="F502" s="2"/>
      <c r="G502" s="7"/>
      <c r="H502" s="7"/>
      <c r="I502" s="7"/>
      <c r="J502" s="7"/>
      <c r="K502" s="7"/>
      <c r="L502" s="7"/>
      <c r="M502" s="7"/>
      <c r="N502" s="4"/>
      <c r="O502" s="4"/>
      <c r="P502" s="4"/>
      <c r="Q502" s="4"/>
      <c r="R502" s="4"/>
    </row>
    <row r="503">
      <c r="A503" s="1"/>
      <c r="B503" s="8"/>
      <c r="C503" s="2"/>
      <c r="D503" s="2"/>
      <c r="E503" s="2"/>
      <c r="F503" s="2"/>
      <c r="G503" s="7"/>
      <c r="H503" s="7"/>
      <c r="I503" s="7"/>
      <c r="J503" s="7"/>
      <c r="K503" s="7"/>
      <c r="L503" s="7"/>
      <c r="M503" s="7"/>
      <c r="N503" s="4"/>
      <c r="O503" s="4"/>
      <c r="P503" s="4"/>
      <c r="Q503" s="4"/>
      <c r="R503" s="4"/>
    </row>
    <row r="504">
      <c r="A504" s="1"/>
      <c r="B504" s="8"/>
      <c r="C504" s="2"/>
      <c r="D504" s="2"/>
      <c r="E504" s="2"/>
      <c r="F504" s="2"/>
      <c r="G504" s="7"/>
      <c r="H504" s="7"/>
      <c r="I504" s="7"/>
      <c r="J504" s="7"/>
      <c r="K504" s="7"/>
      <c r="L504" s="7"/>
      <c r="M504" s="7"/>
      <c r="N504" s="4"/>
      <c r="O504" s="4"/>
      <c r="P504" s="4"/>
      <c r="Q504" s="4"/>
      <c r="R504" s="4"/>
    </row>
    <row r="505">
      <c r="A505" s="1"/>
      <c r="B505" s="8"/>
      <c r="C505" s="2"/>
      <c r="D505" s="2"/>
      <c r="E505" s="2"/>
      <c r="F505" s="2"/>
      <c r="G505" s="7"/>
      <c r="H505" s="7"/>
      <c r="I505" s="7"/>
      <c r="J505" s="7"/>
      <c r="K505" s="7"/>
      <c r="L505" s="7"/>
      <c r="M505" s="7"/>
      <c r="N505" s="4"/>
      <c r="O505" s="4"/>
      <c r="P505" s="4"/>
      <c r="Q505" s="4"/>
      <c r="R505" s="4"/>
    </row>
    <row r="506">
      <c r="A506" s="1"/>
      <c r="B506" s="8"/>
      <c r="C506" s="2"/>
      <c r="D506" s="2"/>
      <c r="E506" s="2"/>
      <c r="F506" s="2"/>
      <c r="G506" s="7"/>
      <c r="H506" s="7"/>
      <c r="I506" s="7"/>
      <c r="J506" s="7"/>
      <c r="K506" s="7"/>
      <c r="L506" s="7"/>
      <c r="M506" s="7"/>
      <c r="N506" s="4"/>
      <c r="O506" s="4"/>
      <c r="P506" s="4"/>
      <c r="Q506" s="4"/>
      <c r="R506" s="4"/>
    </row>
    <row r="507">
      <c r="A507" s="1"/>
      <c r="B507" s="8"/>
      <c r="C507" s="2"/>
      <c r="D507" s="2"/>
      <c r="E507" s="2"/>
      <c r="F507" s="2"/>
      <c r="G507" s="7"/>
      <c r="H507" s="7"/>
      <c r="I507" s="7"/>
      <c r="J507" s="7"/>
      <c r="K507" s="7"/>
      <c r="L507" s="7"/>
      <c r="M507" s="7"/>
      <c r="N507" s="4"/>
      <c r="O507" s="4"/>
      <c r="P507" s="4"/>
      <c r="Q507" s="4"/>
      <c r="R507" s="4"/>
    </row>
    <row r="508">
      <c r="A508" s="1"/>
      <c r="B508" s="8"/>
      <c r="C508" s="2"/>
      <c r="D508" s="2"/>
      <c r="E508" s="2"/>
      <c r="F508" s="2"/>
      <c r="G508" s="7"/>
      <c r="H508" s="7"/>
      <c r="I508" s="7"/>
      <c r="J508" s="7"/>
      <c r="K508" s="7"/>
      <c r="L508" s="7"/>
      <c r="M508" s="7"/>
      <c r="N508" s="4"/>
      <c r="O508" s="4"/>
      <c r="P508" s="4"/>
      <c r="Q508" s="4"/>
      <c r="R508" s="4"/>
    </row>
    <row r="509">
      <c r="A509" s="1"/>
      <c r="B509" s="8"/>
      <c r="C509" s="2"/>
      <c r="D509" s="2"/>
      <c r="E509" s="2"/>
      <c r="F509" s="2"/>
      <c r="G509" s="7"/>
      <c r="H509" s="7"/>
      <c r="I509" s="7"/>
      <c r="J509" s="7"/>
      <c r="K509" s="7"/>
      <c r="L509" s="7"/>
      <c r="M509" s="7"/>
      <c r="N509" s="4"/>
      <c r="O509" s="4"/>
      <c r="P509" s="4"/>
      <c r="Q509" s="4"/>
      <c r="R509" s="4"/>
    </row>
    <row r="510">
      <c r="A510" s="1"/>
      <c r="B510" s="8"/>
      <c r="C510" s="2"/>
      <c r="D510" s="2"/>
      <c r="E510" s="2"/>
      <c r="F510" s="2"/>
      <c r="G510" s="7"/>
      <c r="H510" s="7"/>
      <c r="I510" s="7"/>
      <c r="J510" s="7"/>
      <c r="K510" s="7"/>
      <c r="L510" s="7"/>
      <c r="M510" s="7"/>
      <c r="N510" s="4"/>
      <c r="O510" s="4"/>
      <c r="P510" s="4"/>
      <c r="Q510" s="4"/>
      <c r="R510" s="4"/>
    </row>
    <row r="511">
      <c r="A511" s="1"/>
      <c r="B511" s="8"/>
      <c r="C511" s="2"/>
      <c r="D511" s="2"/>
      <c r="E511" s="2"/>
      <c r="F511" s="2"/>
      <c r="G511" s="7"/>
      <c r="H511" s="7"/>
      <c r="I511" s="7"/>
      <c r="J511" s="7"/>
      <c r="K511" s="7"/>
      <c r="L511" s="7"/>
      <c r="M511" s="7"/>
      <c r="N511" s="4"/>
      <c r="O511" s="4"/>
      <c r="P511" s="4"/>
      <c r="Q511" s="4"/>
      <c r="R511" s="4"/>
    </row>
    <row r="512">
      <c r="A512" s="1"/>
      <c r="B512" s="8"/>
      <c r="C512" s="2"/>
      <c r="D512" s="2"/>
      <c r="E512" s="2"/>
      <c r="F512" s="2"/>
      <c r="G512" s="7"/>
      <c r="H512" s="7"/>
      <c r="I512" s="7"/>
      <c r="J512" s="7"/>
      <c r="K512" s="7"/>
      <c r="L512" s="7"/>
      <c r="M512" s="7"/>
      <c r="N512" s="4"/>
      <c r="O512" s="4"/>
      <c r="P512" s="4"/>
      <c r="Q512" s="4"/>
      <c r="R512" s="4"/>
    </row>
    <row r="513">
      <c r="A513" s="1"/>
      <c r="B513" s="8"/>
      <c r="C513" s="2"/>
      <c r="D513" s="2"/>
      <c r="E513" s="2"/>
      <c r="F513" s="2"/>
      <c r="G513" s="7"/>
      <c r="H513" s="7"/>
      <c r="I513" s="7"/>
      <c r="J513" s="7"/>
      <c r="K513" s="7"/>
      <c r="L513" s="7"/>
      <c r="M513" s="7"/>
      <c r="N513" s="4"/>
      <c r="O513" s="4"/>
      <c r="P513" s="4"/>
      <c r="Q513" s="4"/>
      <c r="R513" s="4"/>
    </row>
    <row r="514">
      <c r="A514" s="1"/>
      <c r="B514" s="8"/>
      <c r="C514" s="2"/>
      <c r="D514" s="2"/>
      <c r="E514" s="2"/>
      <c r="F514" s="2"/>
      <c r="G514" s="7"/>
      <c r="H514" s="7"/>
      <c r="I514" s="7"/>
      <c r="J514" s="7"/>
      <c r="K514" s="7"/>
      <c r="L514" s="7"/>
      <c r="M514" s="7"/>
      <c r="N514" s="4"/>
      <c r="O514" s="4"/>
      <c r="P514" s="4"/>
      <c r="Q514" s="4"/>
      <c r="R514" s="4"/>
    </row>
    <row r="515">
      <c r="A515" s="1"/>
      <c r="B515" s="8"/>
      <c r="C515" s="2"/>
      <c r="D515" s="2"/>
      <c r="E515" s="2"/>
      <c r="F515" s="2"/>
      <c r="G515" s="7"/>
      <c r="H515" s="7"/>
      <c r="I515" s="7"/>
      <c r="J515" s="7"/>
      <c r="K515" s="7"/>
      <c r="L515" s="7"/>
      <c r="M515" s="7"/>
      <c r="N515" s="4"/>
      <c r="O515" s="4"/>
      <c r="P515" s="4"/>
      <c r="Q515" s="4"/>
      <c r="R515" s="4"/>
    </row>
    <row r="516">
      <c r="A516" s="1"/>
      <c r="B516" s="8"/>
      <c r="C516" s="2"/>
      <c r="D516" s="2"/>
      <c r="E516" s="2"/>
      <c r="F516" s="2"/>
      <c r="G516" s="7"/>
      <c r="H516" s="7"/>
      <c r="I516" s="7"/>
      <c r="J516" s="7"/>
      <c r="K516" s="7"/>
      <c r="L516" s="7"/>
      <c r="M516" s="7"/>
      <c r="N516" s="4"/>
      <c r="O516" s="4"/>
      <c r="P516" s="4"/>
      <c r="Q516" s="4"/>
      <c r="R516" s="4"/>
    </row>
    <row r="517">
      <c r="A517" s="1"/>
      <c r="B517" s="8"/>
      <c r="C517" s="2"/>
      <c r="D517" s="2"/>
      <c r="E517" s="2"/>
      <c r="F517" s="2"/>
      <c r="G517" s="7"/>
      <c r="H517" s="7"/>
      <c r="I517" s="7"/>
      <c r="J517" s="7"/>
      <c r="K517" s="7"/>
      <c r="L517" s="7"/>
      <c r="M517" s="7"/>
      <c r="N517" s="4"/>
      <c r="O517" s="4"/>
      <c r="P517" s="4"/>
      <c r="Q517" s="4"/>
      <c r="R517" s="4"/>
    </row>
    <row r="518">
      <c r="A518" s="1"/>
      <c r="B518" s="8"/>
      <c r="C518" s="2"/>
      <c r="D518" s="2"/>
      <c r="E518" s="2"/>
      <c r="F518" s="2"/>
      <c r="G518" s="7"/>
      <c r="H518" s="7"/>
      <c r="I518" s="7"/>
      <c r="J518" s="7"/>
      <c r="K518" s="7"/>
      <c r="L518" s="7"/>
      <c r="M518" s="7"/>
      <c r="N518" s="4"/>
      <c r="O518" s="4"/>
      <c r="P518" s="4"/>
      <c r="Q518" s="4"/>
      <c r="R518" s="4"/>
    </row>
    <row r="519">
      <c r="A519" s="1"/>
      <c r="B519" s="8"/>
      <c r="C519" s="2"/>
      <c r="D519" s="2"/>
      <c r="E519" s="2"/>
      <c r="F519" s="2"/>
      <c r="G519" s="7"/>
      <c r="H519" s="7"/>
      <c r="I519" s="7"/>
      <c r="J519" s="7"/>
      <c r="K519" s="7"/>
      <c r="L519" s="7"/>
      <c r="M519" s="7"/>
      <c r="N519" s="4"/>
      <c r="O519" s="4"/>
      <c r="P519" s="4"/>
      <c r="Q519" s="4"/>
      <c r="R519" s="4"/>
    </row>
    <row r="520">
      <c r="A520" s="1"/>
      <c r="B520" s="8"/>
      <c r="C520" s="2"/>
      <c r="D520" s="2"/>
      <c r="E520" s="2"/>
      <c r="F520" s="2"/>
      <c r="G520" s="7"/>
      <c r="H520" s="7"/>
      <c r="I520" s="7"/>
      <c r="J520" s="7"/>
      <c r="K520" s="7"/>
      <c r="L520" s="7"/>
      <c r="M520" s="7"/>
      <c r="N520" s="4"/>
      <c r="O520" s="4"/>
      <c r="P520" s="4"/>
      <c r="Q520" s="4"/>
      <c r="R520" s="4"/>
    </row>
    <row r="521">
      <c r="A521" s="1"/>
      <c r="B521" s="8"/>
      <c r="C521" s="2"/>
      <c r="D521" s="2"/>
      <c r="E521" s="2"/>
      <c r="F521" s="2"/>
      <c r="G521" s="7"/>
      <c r="H521" s="7"/>
      <c r="I521" s="7"/>
      <c r="J521" s="7"/>
      <c r="K521" s="7"/>
      <c r="L521" s="7"/>
      <c r="M521" s="7"/>
      <c r="N521" s="4"/>
      <c r="O521" s="4"/>
      <c r="P521" s="4"/>
      <c r="Q521" s="4"/>
      <c r="R521" s="4"/>
    </row>
    <row r="522">
      <c r="A522" s="1"/>
      <c r="B522" s="8"/>
      <c r="C522" s="2"/>
      <c r="D522" s="2"/>
      <c r="E522" s="2"/>
      <c r="F522" s="2"/>
      <c r="G522" s="7"/>
      <c r="H522" s="7"/>
      <c r="I522" s="7"/>
      <c r="J522" s="7"/>
      <c r="K522" s="7"/>
      <c r="L522" s="7"/>
      <c r="M522" s="7"/>
      <c r="N522" s="4"/>
      <c r="O522" s="4"/>
      <c r="P522" s="4"/>
      <c r="Q522" s="4"/>
      <c r="R522" s="4"/>
    </row>
    <row r="523">
      <c r="A523" s="1"/>
      <c r="B523" s="8"/>
      <c r="C523" s="2"/>
      <c r="D523" s="2"/>
      <c r="E523" s="2"/>
      <c r="F523" s="2"/>
      <c r="G523" s="7"/>
      <c r="H523" s="7"/>
      <c r="I523" s="7"/>
      <c r="J523" s="7"/>
      <c r="K523" s="7"/>
      <c r="L523" s="7"/>
      <c r="M523" s="7"/>
      <c r="N523" s="4"/>
      <c r="O523" s="4"/>
      <c r="P523" s="4"/>
      <c r="Q523" s="4"/>
      <c r="R523" s="4"/>
    </row>
    <row r="524">
      <c r="A524" s="1"/>
      <c r="B524" s="8"/>
      <c r="C524" s="2"/>
      <c r="D524" s="2"/>
      <c r="E524" s="2"/>
      <c r="F524" s="2"/>
      <c r="G524" s="7"/>
      <c r="H524" s="7"/>
      <c r="I524" s="7"/>
      <c r="J524" s="7"/>
      <c r="K524" s="7"/>
      <c r="L524" s="7"/>
      <c r="M524" s="7"/>
      <c r="N524" s="4"/>
      <c r="O524" s="4"/>
      <c r="P524" s="4"/>
      <c r="Q524" s="4"/>
      <c r="R524" s="4"/>
    </row>
    <row r="525">
      <c r="A525" s="1"/>
      <c r="B525" s="8"/>
      <c r="C525" s="2"/>
      <c r="D525" s="2"/>
      <c r="E525" s="2"/>
      <c r="F525" s="2"/>
      <c r="G525" s="7"/>
      <c r="H525" s="7"/>
      <c r="I525" s="7"/>
      <c r="J525" s="7"/>
      <c r="K525" s="7"/>
      <c r="L525" s="7"/>
      <c r="M525" s="7"/>
      <c r="N525" s="4"/>
      <c r="O525" s="4"/>
      <c r="P525" s="4"/>
      <c r="Q525" s="4"/>
      <c r="R525" s="4"/>
    </row>
    <row r="526">
      <c r="A526" s="1"/>
      <c r="B526" s="8"/>
      <c r="C526" s="2"/>
      <c r="D526" s="2"/>
      <c r="E526" s="2"/>
      <c r="F526" s="2"/>
      <c r="G526" s="7"/>
      <c r="H526" s="7"/>
      <c r="I526" s="7"/>
      <c r="J526" s="7"/>
      <c r="K526" s="7"/>
      <c r="L526" s="7"/>
      <c r="M526" s="7"/>
      <c r="N526" s="4"/>
      <c r="O526" s="4"/>
      <c r="P526" s="4"/>
      <c r="Q526" s="4"/>
      <c r="R526" s="4"/>
    </row>
    <row r="527">
      <c r="A527" s="1"/>
      <c r="B527" s="8"/>
      <c r="C527" s="2"/>
      <c r="D527" s="2"/>
      <c r="E527" s="2"/>
      <c r="F527" s="2"/>
      <c r="G527" s="7"/>
      <c r="H527" s="7"/>
      <c r="I527" s="7"/>
      <c r="J527" s="7"/>
      <c r="K527" s="7"/>
      <c r="L527" s="7"/>
      <c r="M527" s="7"/>
      <c r="N527" s="4"/>
      <c r="O527" s="4"/>
      <c r="P527" s="4"/>
      <c r="Q527" s="4"/>
      <c r="R527" s="4"/>
    </row>
    <row r="528">
      <c r="A528" s="1"/>
      <c r="B528" s="8"/>
      <c r="C528" s="2"/>
      <c r="D528" s="2"/>
      <c r="E528" s="2"/>
      <c r="F528" s="2"/>
      <c r="G528" s="7"/>
      <c r="H528" s="7"/>
      <c r="I528" s="7"/>
      <c r="J528" s="7"/>
      <c r="K528" s="7"/>
      <c r="L528" s="7"/>
      <c r="M528" s="7"/>
      <c r="N528" s="4"/>
      <c r="O528" s="4"/>
      <c r="P528" s="4"/>
      <c r="Q528" s="4"/>
      <c r="R528" s="4"/>
    </row>
    <row r="529">
      <c r="A529" s="1"/>
      <c r="B529" s="8"/>
      <c r="C529" s="2"/>
      <c r="D529" s="2"/>
      <c r="E529" s="2"/>
      <c r="F529" s="2"/>
      <c r="G529" s="7"/>
      <c r="H529" s="7"/>
      <c r="I529" s="7"/>
      <c r="J529" s="7"/>
      <c r="K529" s="7"/>
      <c r="L529" s="7"/>
      <c r="M529" s="7"/>
      <c r="N529" s="4"/>
      <c r="O529" s="4"/>
      <c r="P529" s="4"/>
      <c r="Q529" s="4"/>
      <c r="R529" s="4"/>
    </row>
    <row r="530">
      <c r="A530" s="1"/>
      <c r="B530" s="8"/>
      <c r="C530" s="2"/>
      <c r="D530" s="2"/>
      <c r="E530" s="2"/>
      <c r="F530" s="2"/>
      <c r="G530" s="7"/>
      <c r="H530" s="7"/>
      <c r="I530" s="7"/>
      <c r="J530" s="7"/>
      <c r="K530" s="7"/>
      <c r="L530" s="7"/>
      <c r="M530" s="7"/>
      <c r="N530" s="4"/>
      <c r="O530" s="4"/>
      <c r="P530" s="4"/>
      <c r="Q530" s="4"/>
      <c r="R530" s="4"/>
    </row>
    <row r="531">
      <c r="A531" s="1"/>
      <c r="B531" s="8"/>
      <c r="C531" s="2"/>
      <c r="D531" s="2"/>
      <c r="E531" s="2"/>
      <c r="F531" s="2"/>
      <c r="G531" s="7"/>
      <c r="H531" s="7"/>
      <c r="I531" s="7"/>
      <c r="J531" s="7"/>
      <c r="K531" s="7"/>
      <c r="L531" s="7"/>
      <c r="M531" s="7"/>
      <c r="N531" s="4"/>
      <c r="O531" s="4"/>
      <c r="P531" s="4"/>
      <c r="Q531" s="4"/>
      <c r="R531" s="4"/>
    </row>
    <row r="532">
      <c r="A532" s="1"/>
      <c r="B532" s="8"/>
      <c r="C532" s="2"/>
      <c r="D532" s="2"/>
      <c r="E532" s="2"/>
      <c r="F532" s="2"/>
      <c r="G532" s="7"/>
      <c r="H532" s="7"/>
      <c r="I532" s="7"/>
      <c r="J532" s="7"/>
      <c r="K532" s="7"/>
      <c r="L532" s="7"/>
      <c r="M532" s="7"/>
      <c r="N532" s="4"/>
      <c r="O532" s="4"/>
      <c r="P532" s="4"/>
      <c r="Q532" s="4"/>
      <c r="R532" s="4"/>
    </row>
    <row r="533">
      <c r="A533" s="1"/>
      <c r="B533" s="8"/>
      <c r="C533" s="2"/>
      <c r="D533" s="2"/>
      <c r="E533" s="2"/>
      <c r="F533" s="2"/>
      <c r="G533" s="7"/>
      <c r="H533" s="7"/>
      <c r="I533" s="7"/>
      <c r="J533" s="7"/>
      <c r="K533" s="7"/>
      <c r="L533" s="7"/>
      <c r="M533" s="7"/>
      <c r="N533" s="4"/>
      <c r="O533" s="4"/>
      <c r="P533" s="4"/>
      <c r="Q533" s="4"/>
      <c r="R533" s="4"/>
    </row>
    <row r="534">
      <c r="A534" s="1"/>
      <c r="B534" s="8"/>
      <c r="C534" s="2"/>
      <c r="D534" s="2"/>
      <c r="E534" s="2"/>
      <c r="F534" s="2"/>
      <c r="G534" s="7"/>
      <c r="H534" s="7"/>
      <c r="I534" s="7"/>
      <c r="J534" s="7"/>
      <c r="K534" s="7"/>
      <c r="L534" s="7"/>
      <c r="M534" s="7"/>
      <c r="N534" s="4"/>
      <c r="O534" s="4"/>
      <c r="P534" s="4"/>
      <c r="Q534" s="4"/>
      <c r="R534" s="4"/>
    </row>
    <row r="535">
      <c r="A535" s="1"/>
      <c r="B535" s="8"/>
      <c r="C535" s="2"/>
      <c r="D535" s="2"/>
      <c r="E535" s="2"/>
      <c r="F535" s="2"/>
      <c r="G535" s="7"/>
      <c r="H535" s="7"/>
      <c r="I535" s="7"/>
      <c r="J535" s="7"/>
      <c r="K535" s="7"/>
      <c r="L535" s="7"/>
      <c r="M535" s="7"/>
      <c r="N535" s="4"/>
      <c r="O535" s="4"/>
      <c r="P535" s="4"/>
      <c r="Q535" s="4"/>
      <c r="R535" s="4"/>
    </row>
    <row r="536">
      <c r="A536" s="1"/>
      <c r="B536" s="8"/>
      <c r="C536" s="2"/>
      <c r="D536" s="2"/>
      <c r="E536" s="2"/>
      <c r="F536" s="2"/>
      <c r="G536" s="7"/>
      <c r="H536" s="7"/>
      <c r="I536" s="7"/>
      <c r="J536" s="7"/>
      <c r="K536" s="7"/>
      <c r="L536" s="7"/>
      <c r="M536" s="7"/>
      <c r="N536" s="4"/>
      <c r="O536" s="4"/>
      <c r="P536" s="4"/>
      <c r="Q536" s="4"/>
      <c r="R536" s="4"/>
    </row>
    <row r="537">
      <c r="A537" s="1"/>
      <c r="B537" s="8"/>
      <c r="C537" s="2"/>
      <c r="D537" s="2"/>
      <c r="E537" s="2"/>
      <c r="F537" s="2"/>
      <c r="G537" s="7"/>
      <c r="H537" s="7"/>
      <c r="I537" s="7"/>
      <c r="J537" s="7"/>
      <c r="K537" s="7"/>
      <c r="L537" s="7"/>
      <c r="M537" s="7"/>
      <c r="N537" s="4"/>
      <c r="O537" s="4"/>
      <c r="P537" s="4"/>
      <c r="Q537" s="4"/>
      <c r="R537" s="4"/>
    </row>
    <row r="538">
      <c r="A538" s="1"/>
      <c r="B538" s="8"/>
      <c r="C538" s="2"/>
      <c r="D538" s="2"/>
      <c r="E538" s="2"/>
      <c r="F538" s="2"/>
      <c r="G538" s="7"/>
      <c r="H538" s="7"/>
      <c r="I538" s="7"/>
      <c r="J538" s="7"/>
      <c r="K538" s="7"/>
      <c r="L538" s="7"/>
      <c r="M538" s="7"/>
      <c r="N538" s="4"/>
      <c r="O538" s="4"/>
      <c r="P538" s="4"/>
      <c r="Q538" s="4"/>
      <c r="R538" s="4"/>
    </row>
    <row r="539">
      <c r="A539" s="1"/>
      <c r="B539" s="8"/>
      <c r="C539" s="2"/>
      <c r="D539" s="2"/>
      <c r="E539" s="2"/>
      <c r="F539" s="2"/>
      <c r="G539" s="7"/>
      <c r="H539" s="7"/>
      <c r="I539" s="7"/>
      <c r="J539" s="7"/>
      <c r="K539" s="7"/>
      <c r="L539" s="7"/>
      <c r="M539" s="7"/>
      <c r="N539" s="4"/>
      <c r="O539" s="4"/>
      <c r="P539" s="4"/>
      <c r="Q539" s="4"/>
      <c r="R539" s="4"/>
    </row>
    <row r="540">
      <c r="A540" s="1"/>
      <c r="B540" s="8"/>
      <c r="C540" s="2"/>
      <c r="D540" s="2"/>
      <c r="E540" s="2"/>
      <c r="F540" s="2"/>
      <c r="G540" s="7"/>
      <c r="H540" s="7"/>
      <c r="I540" s="7"/>
      <c r="J540" s="7"/>
      <c r="K540" s="7"/>
      <c r="L540" s="7"/>
      <c r="M540" s="7"/>
      <c r="N540" s="4"/>
      <c r="O540" s="4"/>
      <c r="P540" s="4"/>
      <c r="Q540" s="4"/>
      <c r="R540" s="4"/>
    </row>
    <row r="541">
      <c r="A541" s="1"/>
      <c r="B541" s="8"/>
      <c r="C541" s="2"/>
      <c r="D541" s="2"/>
      <c r="E541" s="2"/>
      <c r="F541" s="2"/>
      <c r="G541" s="7"/>
      <c r="H541" s="7"/>
      <c r="I541" s="7"/>
      <c r="J541" s="7"/>
      <c r="K541" s="7"/>
      <c r="L541" s="7"/>
      <c r="M541" s="7"/>
      <c r="N541" s="4"/>
      <c r="O541" s="4"/>
      <c r="P541" s="4"/>
      <c r="Q541" s="4"/>
      <c r="R541" s="4"/>
    </row>
    <row r="542">
      <c r="A542" s="1"/>
      <c r="B542" s="8"/>
      <c r="C542" s="2"/>
      <c r="D542" s="2"/>
      <c r="E542" s="2"/>
      <c r="F542" s="2"/>
      <c r="G542" s="7"/>
      <c r="H542" s="7"/>
      <c r="I542" s="7"/>
      <c r="J542" s="7"/>
      <c r="K542" s="7"/>
      <c r="L542" s="7"/>
      <c r="M542" s="7"/>
      <c r="N542" s="4"/>
      <c r="O542" s="4"/>
      <c r="P542" s="4"/>
      <c r="Q542" s="4"/>
      <c r="R542" s="4"/>
    </row>
    <row r="543">
      <c r="A543" s="1"/>
      <c r="B543" s="8"/>
      <c r="C543" s="2"/>
      <c r="D543" s="2"/>
      <c r="E543" s="2"/>
      <c r="F543" s="2"/>
      <c r="G543" s="7"/>
      <c r="H543" s="7"/>
      <c r="I543" s="7"/>
      <c r="J543" s="7"/>
      <c r="K543" s="7"/>
      <c r="L543" s="7"/>
      <c r="M543" s="7"/>
      <c r="N543" s="4"/>
      <c r="O543" s="4"/>
      <c r="P543" s="4"/>
      <c r="Q543" s="4"/>
      <c r="R543" s="4"/>
    </row>
    <row r="544">
      <c r="A544" s="1"/>
      <c r="B544" s="8"/>
      <c r="C544" s="2"/>
      <c r="D544" s="2"/>
      <c r="E544" s="2"/>
      <c r="F544" s="2"/>
      <c r="G544" s="7"/>
      <c r="H544" s="7"/>
      <c r="I544" s="7"/>
      <c r="J544" s="7"/>
      <c r="K544" s="7"/>
      <c r="L544" s="7"/>
      <c r="M544" s="7"/>
      <c r="N544" s="4"/>
      <c r="O544" s="4"/>
      <c r="P544" s="4"/>
      <c r="Q544" s="4"/>
      <c r="R544" s="4"/>
    </row>
    <row r="545">
      <c r="A545" s="1"/>
      <c r="B545" s="8"/>
      <c r="C545" s="2"/>
      <c r="D545" s="2"/>
      <c r="E545" s="2"/>
      <c r="F545" s="2"/>
      <c r="G545" s="7"/>
      <c r="H545" s="7"/>
      <c r="I545" s="7"/>
      <c r="J545" s="7"/>
      <c r="K545" s="7"/>
      <c r="L545" s="7"/>
      <c r="M545" s="7"/>
      <c r="N545" s="4"/>
      <c r="O545" s="4"/>
      <c r="P545" s="4"/>
      <c r="Q545" s="4"/>
      <c r="R545" s="4"/>
    </row>
    <row r="546">
      <c r="A546" s="1"/>
      <c r="B546" s="8"/>
      <c r="C546" s="2"/>
      <c r="D546" s="2"/>
      <c r="E546" s="2"/>
      <c r="F546" s="2"/>
      <c r="G546" s="7"/>
      <c r="H546" s="7"/>
      <c r="I546" s="7"/>
      <c r="J546" s="7"/>
      <c r="K546" s="7"/>
      <c r="L546" s="7"/>
      <c r="M546" s="7"/>
      <c r="N546" s="4"/>
      <c r="O546" s="4"/>
      <c r="P546" s="4"/>
      <c r="Q546" s="4"/>
      <c r="R546" s="4"/>
    </row>
    <row r="547">
      <c r="A547" s="1"/>
      <c r="B547" s="8"/>
      <c r="C547" s="2"/>
      <c r="D547" s="2"/>
      <c r="E547" s="2"/>
      <c r="F547" s="2"/>
      <c r="G547" s="7"/>
      <c r="H547" s="7"/>
      <c r="I547" s="7"/>
      <c r="J547" s="7"/>
      <c r="K547" s="7"/>
      <c r="L547" s="7"/>
      <c r="M547" s="7"/>
      <c r="N547" s="4"/>
      <c r="O547" s="4"/>
      <c r="P547" s="4"/>
      <c r="Q547" s="4"/>
      <c r="R547" s="4"/>
    </row>
    <row r="548">
      <c r="A548" s="1"/>
      <c r="B548" s="8"/>
      <c r="C548" s="2"/>
      <c r="D548" s="2"/>
      <c r="E548" s="2"/>
      <c r="F548" s="2"/>
      <c r="G548" s="7"/>
      <c r="H548" s="7"/>
      <c r="I548" s="7"/>
      <c r="J548" s="7"/>
      <c r="K548" s="7"/>
      <c r="L548" s="7"/>
      <c r="M548" s="7"/>
      <c r="N548" s="4"/>
      <c r="O548" s="4"/>
      <c r="P548" s="4"/>
      <c r="Q548" s="4"/>
      <c r="R548" s="4"/>
    </row>
    <row r="549">
      <c r="A549" s="1"/>
      <c r="B549" s="8"/>
      <c r="C549" s="2"/>
      <c r="D549" s="2"/>
      <c r="E549" s="2"/>
      <c r="F549" s="2"/>
      <c r="G549" s="7"/>
      <c r="H549" s="7"/>
      <c r="I549" s="7"/>
      <c r="J549" s="7"/>
      <c r="K549" s="7"/>
      <c r="L549" s="7"/>
      <c r="M549" s="7"/>
      <c r="N549" s="4"/>
      <c r="O549" s="4"/>
      <c r="P549" s="4"/>
      <c r="Q549" s="4"/>
      <c r="R549" s="4"/>
    </row>
    <row r="550">
      <c r="A550" s="1"/>
      <c r="B550" s="8"/>
      <c r="C550" s="2"/>
      <c r="D550" s="2"/>
      <c r="E550" s="2"/>
      <c r="F550" s="2"/>
      <c r="G550" s="7"/>
      <c r="H550" s="7"/>
      <c r="I550" s="7"/>
      <c r="J550" s="7"/>
      <c r="K550" s="7"/>
      <c r="L550" s="7"/>
      <c r="M550" s="7"/>
      <c r="N550" s="4"/>
      <c r="O550" s="4"/>
      <c r="P550" s="4"/>
      <c r="Q550" s="4"/>
      <c r="R550" s="4"/>
    </row>
    <row r="551">
      <c r="A551" s="1"/>
      <c r="B551" s="8"/>
      <c r="C551" s="2"/>
      <c r="D551" s="2"/>
      <c r="E551" s="2"/>
      <c r="F551" s="2"/>
      <c r="G551" s="7"/>
      <c r="H551" s="7"/>
      <c r="I551" s="7"/>
      <c r="J551" s="7"/>
      <c r="K551" s="7"/>
      <c r="L551" s="7"/>
      <c r="M551" s="7"/>
      <c r="N551" s="4"/>
      <c r="O551" s="4"/>
      <c r="P551" s="4"/>
      <c r="Q551" s="4"/>
      <c r="R551" s="4"/>
    </row>
    <row r="552">
      <c r="A552" s="1"/>
      <c r="B552" s="8"/>
      <c r="C552" s="2"/>
      <c r="D552" s="2"/>
      <c r="E552" s="2"/>
      <c r="F552" s="2"/>
      <c r="G552" s="7"/>
      <c r="H552" s="7"/>
      <c r="I552" s="7"/>
      <c r="J552" s="7"/>
      <c r="K552" s="7"/>
      <c r="L552" s="7"/>
      <c r="M552" s="7"/>
      <c r="N552" s="4"/>
      <c r="O552" s="4"/>
      <c r="P552" s="4"/>
      <c r="Q552" s="4"/>
      <c r="R552" s="4"/>
    </row>
    <row r="553">
      <c r="A553" s="1"/>
      <c r="B553" s="8"/>
      <c r="C553" s="2"/>
      <c r="D553" s="2"/>
      <c r="E553" s="2"/>
      <c r="F553" s="2"/>
      <c r="G553" s="7"/>
      <c r="H553" s="7"/>
      <c r="I553" s="7"/>
      <c r="J553" s="7"/>
      <c r="K553" s="7"/>
      <c r="L553" s="7"/>
      <c r="M553" s="7"/>
      <c r="N553" s="4"/>
      <c r="O553" s="4"/>
      <c r="P553" s="4"/>
      <c r="Q553" s="4"/>
      <c r="R553" s="4"/>
    </row>
    <row r="554">
      <c r="A554" s="1"/>
      <c r="B554" s="8"/>
      <c r="C554" s="2"/>
      <c r="D554" s="2"/>
      <c r="E554" s="2"/>
      <c r="F554" s="2"/>
      <c r="G554" s="7"/>
      <c r="H554" s="7"/>
      <c r="I554" s="7"/>
      <c r="J554" s="7"/>
      <c r="K554" s="7"/>
      <c r="L554" s="7"/>
      <c r="M554" s="7"/>
      <c r="N554" s="4"/>
      <c r="O554" s="4"/>
      <c r="P554" s="4"/>
      <c r="Q554" s="4"/>
      <c r="R554" s="4"/>
    </row>
    <row r="555">
      <c r="A555" s="1"/>
      <c r="B555" s="8"/>
      <c r="C555" s="2"/>
      <c r="D555" s="2"/>
      <c r="E555" s="2"/>
      <c r="F555" s="2"/>
      <c r="G555" s="7"/>
      <c r="H555" s="7"/>
      <c r="I555" s="7"/>
      <c r="J555" s="7"/>
      <c r="K555" s="7"/>
      <c r="L555" s="7"/>
      <c r="M555" s="7"/>
      <c r="N555" s="4"/>
      <c r="O555" s="4"/>
      <c r="P555" s="4"/>
      <c r="Q555" s="4"/>
      <c r="R555" s="4"/>
    </row>
    <row r="556">
      <c r="A556" s="1"/>
      <c r="B556" s="8"/>
      <c r="C556" s="2"/>
      <c r="D556" s="2"/>
      <c r="E556" s="2"/>
      <c r="F556" s="2"/>
      <c r="G556" s="7"/>
      <c r="H556" s="7"/>
      <c r="I556" s="7"/>
      <c r="J556" s="7"/>
      <c r="K556" s="7"/>
      <c r="L556" s="7"/>
      <c r="M556" s="7"/>
      <c r="N556" s="4"/>
      <c r="O556" s="4"/>
      <c r="P556" s="4"/>
      <c r="Q556" s="4"/>
      <c r="R556" s="4"/>
    </row>
    <row r="557">
      <c r="A557" s="1"/>
      <c r="B557" s="8"/>
      <c r="C557" s="2"/>
      <c r="D557" s="2"/>
      <c r="E557" s="2"/>
      <c r="F557" s="2"/>
      <c r="G557" s="7"/>
      <c r="H557" s="7"/>
      <c r="I557" s="7"/>
      <c r="J557" s="7"/>
      <c r="K557" s="7"/>
      <c r="L557" s="7"/>
      <c r="M557" s="7"/>
      <c r="N557" s="4"/>
      <c r="O557" s="4"/>
      <c r="P557" s="4"/>
      <c r="Q557" s="4"/>
      <c r="R557" s="4"/>
    </row>
    <row r="558">
      <c r="A558" s="1"/>
      <c r="B558" s="8"/>
      <c r="C558" s="2"/>
      <c r="D558" s="2"/>
      <c r="E558" s="2"/>
      <c r="F558" s="2"/>
      <c r="G558" s="7"/>
      <c r="H558" s="7"/>
      <c r="I558" s="7"/>
      <c r="J558" s="7"/>
      <c r="K558" s="7"/>
      <c r="L558" s="7"/>
      <c r="M558" s="7"/>
      <c r="N558" s="4"/>
      <c r="O558" s="4"/>
      <c r="P558" s="4"/>
      <c r="Q558" s="4"/>
      <c r="R558" s="4"/>
    </row>
    <row r="559">
      <c r="A559" s="1"/>
      <c r="B559" s="8"/>
      <c r="C559" s="2"/>
      <c r="D559" s="2"/>
      <c r="E559" s="2"/>
      <c r="F559" s="2"/>
      <c r="G559" s="7"/>
      <c r="H559" s="7"/>
      <c r="I559" s="7"/>
      <c r="J559" s="7"/>
      <c r="K559" s="7"/>
      <c r="L559" s="7"/>
      <c r="M559" s="7"/>
      <c r="N559" s="4"/>
      <c r="O559" s="4"/>
      <c r="P559" s="4"/>
      <c r="Q559" s="4"/>
      <c r="R559" s="4"/>
    </row>
    <row r="560">
      <c r="A560" s="1"/>
      <c r="B560" s="8"/>
      <c r="C560" s="2"/>
      <c r="D560" s="2"/>
      <c r="E560" s="2"/>
      <c r="F560" s="2"/>
      <c r="G560" s="7"/>
      <c r="H560" s="7"/>
      <c r="I560" s="7"/>
      <c r="J560" s="7"/>
      <c r="K560" s="7"/>
      <c r="L560" s="7"/>
      <c r="M560" s="7"/>
      <c r="N560" s="4"/>
      <c r="O560" s="4"/>
      <c r="P560" s="4"/>
      <c r="Q560" s="4"/>
      <c r="R560" s="4"/>
    </row>
    <row r="561">
      <c r="A561" s="1"/>
      <c r="B561" s="8"/>
      <c r="C561" s="2"/>
      <c r="D561" s="2"/>
      <c r="E561" s="2"/>
      <c r="F561" s="2"/>
      <c r="G561" s="7"/>
      <c r="H561" s="7"/>
      <c r="I561" s="7"/>
      <c r="J561" s="7"/>
      <c r="K561" s="7"/>
      <c r="L561" s="7"/>
      <c r="M561" s="7"/>
      <c r="N561" s="4"/>
      <c r="O561" s="4"/>
      <c r="P561" s="4"/>
      <c r="Q561" s="4"/>
      <c r="R561" s="4"/>
    </row>
    <row r="562">
      <c r="A562" s="1"/>
      <c r="B562" s="8"/>
      <c r="C562" s="2"/>
      <c r="D562" s="2"/>
      <c r="E562" s="2"/>
      <c r="F562" s="2"/>
      <c r="G562" s="7"/>
      <c r="H562" s="7"/>
      <c r="I562" s="7"/>
      <c r="J562" s="7"/>
      <c r="K562" s="7"/>
      <c r="L562" s="7"/>
      <c r="M562" s="7"/>
      <c r="N562" s="4"/>
      <c r="O562" s="4"/>
      <c r="P562" s="4"/>
      <c r="Q562" s="4"/>
      <c r="R562" s="4"/>
    </row>
    <row r="563">
      <c r="A563" s="1"/>
      <c r="B563" s="8"/>
      <c r="C563" s="2"/>
      <c r="D563" s="2"/>
      <c r="E563" s="2"/>
      <c r="F563" s="2"/>
      <c r="G563" s="7"/>
      <c r="H563" s="7"/>
      <c r="I563" s="7"/>
      <c r="J563" s="7"/>
      <c r="K563" s="7"/>
      <c r="L563" s="7"/>
      <c r="M563" s="7"/>
      <c r="N563" s="4"/>
      <c r="O563" s="4"/>
      <c r="P563" s="4"/>
      <c r="Q563" s="4"/>
      <c r="R563" s="4"/>
    </row>
    <row r="564">
      <c r="A564" s="1"/>
      <c r="B564" s="8"/>
      <c r="C564" s="2"/>
      <c r="D564" s="2"/>
      <c r="E564" s="2"/>
      <c r="F564" s="2"/>
      <c r="G564" s="7"/>
      <c r="H564" s="7"/>
      <c r="I564" s="7"/>
      <c r="J564" s="7"/>
      <c r="K564" s="7"/>
      <c r="L564" s="7"/>
      <c r="M564" s="7"/>
      <c r="N564" s="4"/>
      <c r="O564" s="4"/>
      <c r="P564" s="4"/>
      <c r="Q564" s="4"/>
      <c r="R564" s="4"/>
    </row>
    <row r="565">
      <c r="A565" s="1"/>
      <c r="B565" s="8"/>
      <c r="C565" s="2"/>
      <c r="D565" s="2"/>
      <c r="E565" s="2"/>
      <c r="F565" s="2"/>
      <c r="G565" s="7"/>
      <c r="H565" s="7"/>
      <c r="I565" s="7"/>
      <c r="J565" s="7"/>
      <c r="K565" s="7"/>
      <c r="L565" s="7"/>
      <c r="M565" s="7"/>
      <c r="N565" s="4"/>
      <c r="O565" s="4"/>
      <c r="P565" s="4"/>
      <c r="Q565" s="4"/>
      <c r="R565" s="4"/>
    </row>
    <row r="566">
      <c r="A566" s="1"/>
      <c r="B566" s="8"/>
      <c r="C566" s="2"/>
      <c r="D566" s="2"/>
      <c r="E566" s="2"/>
      <c r="F566" s="2"/>
      <c r="G566" s="7"/>
      <c r="H566" s="7"/>
      <c r="I566" s="7"/>
      <c r="J566" s="7"/>
      <c r="K566" s="7"/>
      <c r="L566" s="7"/>
      <c r="M566" s="7"/>
      <c r="N566" s="4"/>
      <c r="O566" s="4"/>
      <c r="P566" s="4"/>
      <c r="Q566" s="4"/>
      <c r="R566" s="4"/>
    </row>
    <row r="567">
      <c r="A567" s="1"/>
      <c r="B567" s="8"/>
      <c r="C567" s="2"/>
      <c r="D567" s="2"/>
      <c r="E567" s="2"/>
      <c r="F567" s="2"/>
      <c r="G567" s="7"/>
      <c r="H567" s="7"/>
      <c r="I567" s="7"/>
      <c r="J567" s="7"/>
      <c r="K567" s="7"/>
      <c r="L567" s="7"/>
      <c r="M567" s="7"/>
      <c r="N567" s="4"/>
      <c r="O567" s="4"/>
      <c r="P567" s="4"/>
      <c r="Q567" s="4"/>
      <c r="R567" s="4"/>
    </row>
    <row r="568">
      <c r="A568" s="1"/>
      <c r="B568" s="8"/>
      <c r="C568" s="2"/>
      <c r="D568" s="2"/>
      <c r="E568" s="2"/>
      <c r="F568" s="2"/>
      <c r="G568" s="7"/>
      <c r="H568" s="7"/>
      <c r="I568" s="7"/>
      <c r="J568" s="7"/>
      <c r="K568" s="7"/>
      <c r="L568" s="7"/>
      <c r="M568" s="7"/>
      <c r="N568" s="4"/>
      <c r="O568" s="4"/>
      <c r="P568" s="4"/>
      <c r="Q568" s="4"/>
      <c r="R568" s="4"/>
    </row>
    <row r="569">
      <c r="A569" s="1"/>
      <c r="B569" s="8"/>
      <c r="C569" s="2"/>
      <c r="D569" s="2"/>
      <c r="E569" s="2"/>
      <c r="F569" s="2"/>
      <c r="G569" s="7"/>
      <c r="H569" s="7"/>
      <c r="I569" s="7"/>
      <c r="J569" s="7"/>
      <c r="K569" s="7"/>
      <c r="L569" s="7"/>
      <c r="M569" s="7"/>
      <c r="N569" s="4"/>
      <c r="O569" s="4"/>
      <c r="P569" s="4"/>
      <c r="Q569" s="4"/>
      <c r="R569" s="4"/>
    </row>
    <row r="570">
      <c r="A570" s="1"/>
      <c r="B570" s="8"/>
      <c r="C570" s="2"/>
      <c r="D570" s="2"/>
      <c r="E570" s="2"/>
      <c r="F570" s="2"/>
      <c r="G570" s="7"/>
      <c r="H570" s="7"/>
      <c r="I570" s="7"/>
      <c r="J570" s="7"/>
      <c r="K570" s="7"/>
      <c r="L570" s="7"/>
      <c r="M570" s="7"/>
      <c r="N570" s="4"/>
      <c r="O570" s="4"/>
      <c r="P570" s="4"/>
      <c r="Q570" s="4"/>
      <c r="R570" s="4"/>
    </row>
    <row r="571">
      <c r="A571" s="1"/>
      <c r="B571" s="8"/>
      <c r="C571" s="2"/>
      <c r="D571" s="2"/>
      <c r="E571" s="2"/>
      <c r="F571" s="2"/>
      <c r="G571" s="7"/>
      <c r="H571" s="7"/>
      <c r="I571" s="7"/>
      <c r="J571" s="7"/>
      <c r="K571" s="7"/>
      <c r="L571" s="7"/>
      <c r="M571" s="7"/>
      <c r="N571" s="4"/>
      <c r="O571" s="4"/>
      <c r="P571" s="4"/>
      <c r="Q571" s="4"/>
      <c r="R571" s="4"/>
    </row>
    <row r="572">
      <c r="A572" s="1"/>
      <c r="B572" s="8"/>
      <c r="C572" s="2"/>
      <c r="D572" s="2"/>
      <c r="E572" s="2"/>
      <c r="F572" s="2"/>
      <c r="G572" s="7"/>
      <c r="H572" s="7"/>
      <c r="I572" s="7"/>
      <c r="J572" s="7"/>
      <c r="K572" s="7"/>
      <c r="L572" s="7"/>
      <c r="M572" s="7"/>
      <c r="N572" s="4"/>
      <c r="O572" s="4"/>
      <c r="P572" s="4"/>
      <c r="Q572" s="4"/>
      <c r="R572" s="4"/>
    </row>
    <row r="573">
      <c r="A573" s="1"/>
      <c r="B573" s="8"/>
      <c r="C573" s="2"/>
      <c r="D573" s="2"/>
      <c r="E573" s="2"/>
      <c r="F573" s="2"/>
      <c r="G573" s="7"/>
      <c r="H573" s="7"/>
      <c r="I573" s="7"/>
      <c r="J573" s="7"/>
      <c r="K573" s="7"/>
      <c r="L573" s="7"/>
      <c r="M573" s="7"/>
      <c r="N573" s="4"/>
      <c r="O573" s="4"/>
      <c r="P573" s="4"/>
      <c r="Q573" s="4"/>
      <c r="R573" s="4"/>
    </row>
    <row r="574">
      <c r="A574" s="1"/>
      <c r="B574" s="8"/>
      <c r="C574" s="2"/>
      <c r="D574" s="2"/>
      <c r="E574" s="2"/>
      <c r="F574" s="2"/>
      <c r="G574" s="7"/>
      <c r="H574" s="7"/>
      <c r="I574" s="7"/>
      <c r="J574" s="7"/>
      <c r="K574" s="7"/>
      <c r="L574" s="7"/>
      <c r="M574" s="7"/>
      <c r="N574" s="4"/>
      <c r="O574" s="4"/>
      <c r="P574" s="4"/>
      <c r="Q574" s="4"/>
      <c r="R574" s="4"/>
    </row>
    <row r="575">
      <c r="A575" s="1"/>
      <c r="B575" s="8"/>
      <c r="C575" s="2"/>
      <c r="D575" s="2"/>
      <c r="E575" s="2"/>
      <c r="F575" s="2"/>
      <c r="G575" s="7"/>
      <c r="H575" s="7"/>
      <c r="I575" s="7"/>
      <c r="J575" s="7"/>
      <c r="K575" s="7"/>
      <c r="L575" s="7"/>
      <c r="M575" s="7"/>
      <c r="N575" s="4"/>
      <c r="O575" s="4"/>
      <c r="P575" s="4"/>
      <c r="Q575" s="4"/>
      <c r="R575" s="4"/>
    </row>
    <row r="576">
      <c r="A576" s="1"/>
      <c r="B576" s="8"/>
      <c r="C576" s="2"/>
      <c r="D576" s="2"/>
      <c r="E576" s="2"/>
      <c r="F576" s="2"/>
      <c r="G576" s="7"/>
      <c r="H576" s="7"/>
      <c r="I576" s="7"/>
      <c r="J576" s="7"/>
      <c r="K576" s="7"/>
      <c r="L576" s="7"/>
      <c r="M576" s="7"/>
      <c r="N576" s="4"/>
      <c r="O576" s="4"/>
      <c r="P576" s="4"/>
      <c r="Q576" s="4"/>
      <c r="R576" s="4"/>
    </row>
    <row r="577">
      <c r="A577" s="1"/>
      <c r="B577" s="8"/>
      <c r="C577" s="2"/>
      <c r="D577" s="2"/>
      <c r="E577" s="2"/>
      <c r="F577" s="2"/>
      <c r="G577" s="7"/>
      <c r="H577" s="7"/>
      <c r="I577" s="7"/>
      <c r="J577" s="7"/>
      <c r="K577" s="7"/>
      <c r="L577" s="7"/>
      <c r="M577" s="7"/>
      <c r="N577" s="4"/>
      <c r="O577" s="4"/>
      <c r="P577" s="4"/>
      <c r="Q577" s="4"/>
      <c r="R577" s="4"/>
    </row>
    <row r="578">
      <c r="A578" s="1"/>
      <c r="B578" s="8"/>
      <c r="C578" s="2"/>
      <c r="D578" s="2"/>
      <c r="E578" s="2"/>
      <c r="F578" s="2"/>
      <c r="G578" s="7"/>
      <c r="H578" s="7"/>
      <c r="I578" s="7"/>
      <c r="J578" s="7"/>
      <c r="K578" s="7"/>
      <c r="L578" s="7"/>
      <c r="M578" s="7"/>
      <c r="N578" s="4"/>
      <c r="O578" s="4"/>
      <c r="P578" s="4"/>
      <c r="Q578" s="4"/>
      <c r="R578" s="4"/>
    </row>
    <row r="579">
      <c r="A579" s="1"/>
      <c r="B579" s="8"/>
      <c r="C579" s="2"/>
      <c r="D579" s="2"/>
      <c r="E579" s="2"/>
      <c r="F579" s="2"/>
      <c r="G579" s="7"/>
      <c r="H579" s="7"/>
      <c r="I579" s="7"/>
      <c r="J579" s="7"/>
      <c r="K579" s="7"/>
      <c r="L579" s="7"/>
      <c r="M579" s="7"/>
      <c r="N579" s="4"/>
      <c r="O579" s="4"/>
      <c r="P579" s="4"/>
      <c r="Q579" s="4"/>
      <c r="R579" s="4"/>
    </row>
    <row r="580">
      <c r="A580" s="1"/>
      <c r="B580" s="8"/>
      <c r="C580" s="2"/>
      <c r="D580" s="2"/>
      <c r="E580" s="2"/>
      <c r="F580" s="2"/>
      <c r="G580" s="7"/>
      <c r="H580" s="7"/>
      <c r="I580" s="7"/>
      <c r="J580" s="7"/>
      <c r="K580" s="7"/>
      <c r="L580" s="7"/>
      <c r="M580" s="7"/>
      <c r="N580" s="4"/>
      <c r="O580" s="4"/>
      <c r="P580" s="4"/>
      <c r="Q580" s="4"/>
      <c r="R580" s="4"/>
    </row>
    <row r="581">
      <c r="A581" s="1"/>
      <c r="B581" s="8"/>
      <c r="C581" s="2"/>
      <c r="D581" s="2"/>
      <c r="E581" s="2"/>
      <c r="F581" s="2"/>
      <c r="G581" s="7"/>
      <c r="H581" s="7"/>
      <c r="I581" s="7"/>
      <c r="J581" s="7"/>
      <c r="K581" s="7"/>
      <c r="L581" s="7"/>
      <c r="M581" s="7"/>
      <c r="N581" s="4"/>
      <c r="O581" s="4"/>
      <c r="P581" s="4"/>
      <c r="Q581" s="4"/>
      <c r="R581" s="4"/>
    </row>
    <row r="582">
      <c r="A582" s="1"/>
      <c r="B582" s="8"/>
      <c r="C582" s="2"/>
      <c r="D582" s="2"/>
      <c r="E582" s="2"/>
      <c r="F582" s="2"/>
      <c r="G582" s="7"/>
      <c r="H582" s="7"/>
      <c r="I582" s="7"/>
      <c r="J582" s="7"/>
      <c r="K582" s="7"/>
      <c r="L582" s="7"/>
      <c r="M582" s="7"/>
      <c r="N582" s="4"/>
      <c r="O582" s="4"/>
      <c r="P582" s="4"/>
      <c r="Q582" s="4"/>
      <c r="R582" s="4"/>
    </row>
    <row r="583">
      <c r="A583" s="1"/>
      <c r="B583" s="8"/>
      <c r="C583" s="2"/>
      <c r="D583" s="2"/>
      <c r="E583" s="2"/>
      <c r="F583" s="2"/>
      <c r="G583" s="7"/>
      <c r="H583" s="7"/>
      <c r="I583" s="7"/>
      <c r="J583" s="7"/>
      <c r="K583" s="7"/>
      <c r="L583" s="7"/>
      <c r="M583" s="7"/>
      <c r="N583" s="4"/>
      <c r="O583" s="4"/>
      <c r="P583" s="4"/>
      <c r="Q583" s="4"/>
      <c r="R583" s="4"/>
    </row>
    <row r="584">
      <c r="A584" s="1"/>
      <c r="B584" s="8"/>
      <c r="C584" s="2"/>
      <c r="D584" s="2"/>
      <c r="E584" s="2"/>
      <c r="F584" s="2"/>
      <c r="G584" s="7"/>
      <c r="H584" s="7"/>
      <c r="I584" s="7"/>
      <c r="J584" s="7"/>
      <c r="K584" s="7"/>
      <c r="L584" s="7"/>
      <c r="M584" s="7"/>
      <c r="N584" s="4"/>
      <c r="O584" s="4"/>
      <c r="P584" s="4"/>
      <c r="Q584" s="4"/>
      <c r="R584" s="4"/>
    </row>
    <row r="585">
      <c r="A585" s="1"/>
      <c r="B585" s="8"/>
      <c r="C585" s="2"/>
      <c r="D585" s="2"/>
      <c r="E585" s="2"/>
      <c r="F585" s="2"/>
      <c r="G585" s="7"/>
      <c r="H585" s="7"/>
      <c r="I585" s="7"/>
      <c r="J585" s="7"/>
      <c r="K585" s="7"/>
      <c r="L585" s="7"/>
      <c r="M585" s="7"/>
      <c r="N585" s="4"/>
      <c r="O585" s="4"/>
      <c r="P585" s="4"/>
      <c r="Q585" s="4"/>
      <c r="R585" s="4"/>
    </row>
    <row r="586">
      <c r="A586" s="1"/>
      <c r="B586" s="8"/>
      <c r="C586" s="2"/>
      <c r="D586" s="2"/>
      <c r="E586" s="2"/>
      <c r="F586" s="2"/>
      <c r="G586" s="7"/>
      <c r="H586" s="7"/>
      <c r="I586" s="7"/>
      <c r="J586" s="7"/>
      <c r="K586" s="7"/>
      <c r="L586" s="7"/>
      <c r="M586" s="7"/>
      <c r="N586" s="4"/>
      <c r="O586" s="4"/>
      <c r="P586" s="4"/>
      <c r="Q586" s="4"/>
      <c r="R586" s="4"/>
    </row>
    <row r="587">
      <c r="A587" s="1"/>
      <c r="B587" s="8"/>
      <c r="C587" s="2"/>
      <c r="D587" s="2"/>
      <c r="E587" s="2"/>
      <c r="F587" s="2"/>
      <c r="G587" s="7"/>
      <c r="H587" s="7"/>
      <c r="I587" s="7"/>
      <c r="J587" s="7"/>
      <c r="K587" s="7"/>
      <c r="L587" s="7"/>
      <c r="M587" s="7"/>
      <c r="N587" s="4"/>
      <c r="O587" s="4"/>
      <c r="P587" s="4"/>
      <c r="Q587" s="4"/>
      <c r="R587" s="4"/>
    </row>
    <row r="588">
      <c r="A588" s="1"/>
      <c r="B588" s="8"/>
      <c r="C588" s="2"/>
      <c r="D588" s="2"/>
      <c r="E588" s="2"/>
      <c r="F588" s="2"/>
      <c r="G588" s="7"/>
      <c r="H588" s="7"/>
      <c r="I588" s="7"/>
      <c r="J588" s="7"/>
      <c r="K588" s="7"/>
      <c r="L588" s="7"/>
      <c r="M588" s="7"/>
      <c r="N588" s="4"/>
      <c r="O588" s="4"/>
      <c r="P588" s="4"/>
      <c r="Q588" s="4"/>
      <c r="R588" s="4"/>
    </row>
    <row r="589">
      <c r="A589" s="1"/>
      <c r="B589" s="8"/>
      <c r="C589" s="2"/>
      <c r="D589" s="2"/>
      <c r="E589" s="2"/>
      <c r="F589" s="2"/>
      <c r="G589" s="7"/>
      <c r="H589" s="7"/>
      <c r="I589" s="7"/>
      <c r="J589" s="7"/>
      <c r="K589" s="7"/>
      <c r="L589" s="7"/>
      <c r="M589" s="7"/>
      <c r="N589" s="4"/>
      <c r="O589" s="4"/>
      <c r="P589" s="4"/>
      <c r="Q589" s="4"/>
      <c r="R589" s="4"/>
    </row>
    <row r="590">
      <c r="A590" s="1"/>
      <c r="B590" s="8"/>
      <c r="C590" s="2"/>
      <c r="D590" s="2"/>
      <c r="E590" s="2"/>
      <c r="F590" s="2"/>
      <c r="G590" s="7"/>
      <c r="H590" s="7"/>
      <c r="I590" s="7"/>
      <c r="J590" s="7"/>
      <c r="K590" s="7"/>
      <c r="L590" s="7"/>
      <c r="M590" s="7"/>
      <c r="N590" s="4"/>
      <c r="O590" s="4"/>
      <c r="P590" s="4"/>
      <c r="Q590" s="4"/>
      <c r="R590" s="4"/>
    </row>
    <row r="591">
      <c r="A591" s="1"/>
      <c r="B591" s="8"/>
      <c r="C591" s="2"/>
      <c r="D591" s="2"/>
      <c r="E591" s="2"/>
      <c r="F591" s="2"/>
      <c r="G591" s="7"/>
      <c r="H591" s="7"/>
      <c r="I591" s="7"/>
      <c r="J591" s="7"/>
      <c r="K591" s="7"/>
      <c r="L591" s="7"/>
      <c r="M591" s="7"/>
      <c r="N591" s="4"/>
      <c r="O591" s="4"/>
      <c r="P591" s="4"/>
      <c r="Q591" s="4"/>
      <c r="R591" s="4"/>
    </row>
    <row r="592">
      <c r="A592" s="1"/>
      <c r="B592" s="8"/>
      <c r="C592" s="2"/>
      <c r="D592" s="2"/>
      <c r="E592" s="2"/>
      <c r="F592" s="2"/>
      <c r="G592" s="7"/>
      <c r="H592" s="7"/>
      <c r="I592" s="7"/>
      <c r="J592" s="7"/>
      <c r="K592" s="7"/>
      <c r="L592" s="7"/>
      <c r="M592" s="7"/>
      <c r="N592" s="4"/>
      <c r="O592" s="4"/>
      <c r="P592" s="4"/>
      <c r="Q592" s="4"/>
      <c r="R592" s="4"/>
    </row>
    <row r="593">
      <c r="A593" s="1"/>
      <c r="B593" s="8"/>
      <c r="C593" s="2"/>
      <c r="D593" s="2"/>
      <c r="E593" s="2"/>
      <c r="F593" s="2"/>
      <c r="G593" s="7"/>
      <c r="H593" s="7"/>
      <c r="I593" s="7"/>
      <c r="J593" s="7"/>
      <c r="K593" s="7"/>
      <c r="L593" s="7"/>
      <c r="M593" s="7"/>
      <c r="N593" s="4"/>
      <c r="O593" s="4"/>
      <c r="P593" s="4"/>
      <c r="Q593" s="4"/>
      <c r="R593" s="4"/>
    </row>
    <row r="594">
      <c r="A594" s="1"/>
      <c r="B594" s="8"/>
      <c r="C594" s="2"/>
      <c r="D594" s="2"/>
      <c r="E594" s="2"/>
      <c r="F594" s="2"/>
      <c r="G594" s="7"/>
      <c r="H594" s="7"/>
      <c r="I594" s="7"/>
      <c r="J594" s="7"/>
      <c r="K594" s="7"/>
      <c r="L594" s="7"/>
      <c r="M594" s="7"/>
      <c r="N594" s="4"/>
      <c r="O594" s="4"/>
      <c r="P594" s="4"/>
      <c r="Q594" s="4"/>
      <c r="R594" s="4"/>
    </row>
    <row r="595">
      <c r="A595" s="1"/>
      <c r="B595" s="8"/>
      <c r="C595" s="2"/>
      <c r="D595" s="2"/>
      <c r="E595" s="2"/>
      <c r="F595" s="2"/>
      <c r="G595" s="7"/>
      <c r="H595" s="7"/>
      <c r="I595" s="7"/>
      <c r="J595" s="7"/>
      <c r="K595" s="7"/>
      <c r="L595" s="7"/>
      <c r="M595" s="7"/>
      <c r="N595" s="4"/>
      <c r="O595" s="4"/>
      <c r="P595" s="4"/>
      <c r="Q595" s="4"/>
      <c r="R595" s="4"/>
    </row>
    <row r="596">
      <c r="A596" s="1"/>
      <c r="B596" s="8"/>
      <c r="C596" s="2"/>
      <c r="D596" s="2"/>
      <c r="E596" s="2"/>
      <c r="F596" s="2"/>
      <c r="G596" s="7"/>
      <c r="H596" s="7"/>
      <c r="I596" s="7"/>
      <c r="J596" s="7"/>
      <c r="K596" s="7"/>
      <c r="L596" s="7"/>
      <c r="M596" s="7"/>
      <c r="N596" s="4"/>
      <c r="O596" s="4"/>
      <c r="P596" s="4"/>
      <c r="Q596" s="4"/>
      <c r="R596" s="4"/>
    </row>
    <row r="597">
      <c r="A597" s="1"/>
      <c r="B597" s="8"/>
      <c r="C597" s="2"/>
      <c r="D597" s="2"/>
      <c r="E597" s="2"/>
      <c r="F597" s="2"/>
      <c r="G597" s="7"/>
      <c r="H597" s="7"/>
      <c r="I597" s="7"/>
      <c r="J597" s="7"/>
      <c r="K597" s="7"/>
      <c r="L597" s="7"/>
      <c r="M597" s="7"/>
      <c r="N597" s="4"/>
      <c r="O597" s="4"/>
      <c r="P597" s="4"/>
      <c r="Q597" s="4"/>
      <c r="R597" s="4"/>
    </row>
    <row r="598">
      <c r="A598" s="1"/>
      <c r="B598" s="8"/>
      <c r="C598" s="2"/>
      <c r="D598" s="2"/>
      <c r="E598" s="2"/>
      <c r="F598" s="2"/>
      <c r="G598" s="7"/>
      <c r="H598" s="7"/>
      <c r="I598" s="7"/>
      <c r="J598" s="7"/>
      <c r="K598" s="7"/>
      <c r="L598" s="7"/>
      <c r="M598" s="7"/>
      <c r="N598" s="4"/>
      <c r="O598" s="4"/>
      <c r="P598" s="4"/>
      <c r="Q598" s="4"/>
      <c r="R598" s="4"/>
    </row>
    <row r="599">
      <c r="A599" s="1"/>
      <c r="B599" s="8"/>
      <c r="C599" s="2"/>
      <c r="D599" s="2"/>
      <c r="E599" s="2"/>
      <c r="F599" s="2"/>
      <c r="G599" s="7"/>
      <c r="H599" s="7"/>
      <c r="I599" s="7"/>
      <c r="J599" s="7"/>
      <c r="K599" s="7"/>
      <c r="L599" s="7"/>
      <c r="M599" s="7"/>
      <c r="N599" s="4"/>
      <c r="O599" s="4"/>
      <c r="P599" s="4"/>
      <c r="Q599" s="4"/>
      <c r="R599" s="4"/>
    </row>
    <row r="600">
      <c r="A600" s="1"/>
      <c r="B600" s="8"/>
      <c r="C600" s="2"/>
      <c r="D600" s="2"/>
      <c r="E600" s="2"/>
      <c r="F600" s="2"/>
      <c r="G600" s="7"/>
      <c r="H600" s="7"/>
      <c r="I600" s="7"/>
      <c r="J600" s="7"/>
      <c r="K600" s="7"/>
      <c r="L600" s="7"/>
      <c r="M600" s="7"/>
      <c r="N600" s="4"/>
      <c r="O600" s="4"/>
      <c r="P600" s="4"/>
      <c r="Q600" s="4"/>
      <c r="R600" s="4"/>
    </row>
    <row r="601">
      <c r="A601" s="1"/>
      <c r="B601" s="8"/>
      <c r="C601" s="2"/>
      <c r="D601" s="2"/>
      <c r="E601" s="2"/>
      <c r="F601" s="2"/>
      <c r="G601" s="7"/>
      <c r="H601" s="7"/>
      <c r="I601" s="7"/>
      <c r="J601" s="7"/>
      <c r="K601" s="7"/>
      <c r="L601" s="7"/>
      <c r="M601" s="7"/>
      <c r="N601" s="4"/>
      <c r="O601" s="4"/>
      <c r="P601" s="4"/>
      <c r="Q601" s="4"/>
      <c r="R601" s="4"/>
    </row>
    <row r="602">
      <c r="A602" s="1"/>
      <c r="B602" s="8"/>
      <c r="C602" s="2"/>
      <c r="D602" s="2"/>
      <c r="E602" s="2"/>
      <c r="F602" s="2"/>
      <c r="G602" s="7"/>
      <c r="H602" s="7"/>
      <c r="I602" s="7"/>
      <c r="J602" s="7"/>
      <c r="K602" s="7"/>
      <c r="L602" s="7"/>
      <c r="M602" s="7"/>
      <c r="N602" s="4"/>
      <c r="O602" s="4"/>
      <c r="P602" s="4"/>
      <c r="Q602" s="4"/>
      <c r="R602" s="4"/>
    </row>
    <row r="603">
      <c r="A603" s="1"/>
      <c r="B603" s="8"/>
      <c r="C603" s="2"/>
      <c r="D603" s="2"/>
      <c r="E603" s="2"/>
      <c r="F603" s="2"/>
      <c r="G603" s="7"/>
      <c r="H603" s="7"/>
      <c r="I603" s="7"/>
      <c r="J603" s="7"/>
      <c r="K603" s="7"/>
      <c r="L603" s="7"/>
      <c r="M603" s="7"/>
      <c r="N603" s="4"/>
      <c r="O603" s="4"/>
      <c r="P603" s="4"/>
      <c r="Q603" s="4"/>
      <c r="R603" s="4"/>
    </row>
    <row r="604">
      <c r="A604" s="1"/>
      <c r="B604" s="8"/>
      <c r="C604" s="2"/>
      <c r="D604" s="2"/>
      <c r="E604" s="2"/>
      <c r="F604" s="2"/>
      <c r="G604" s="7"/>
      <c r="H604" s="7"/>
      <c r="I604" s="7"/>
      <c r="J604" s="7"/>
      <c r="K604" s="7"/>
      <c r="L604" s="7"/>
      <c r="M604" s="7"/>
      <c r="N604" s="4"/>
      <c r="O604" s="4"/>
      <c r="P604" s="4"/>
      <c r="Q604" s="4"/>
      <c r="R604" s="4"/>
    </row>
    <row r="605">
      <c r="A605" s="1"/>
      <c r="B605" s="8"/>
      <c r="C605" s="2"/>
      <c r="D605" s="2"/>
      <c r="E605" s="2"/>
      <c r="F605" s="2"/>
      <c r="G605" s="7"/>
      <c r="H605" s="7"/>
      <c r="I605" s="7"/>
      <c r="J605" s="7"/>
      <c r="K605" s="7"/>
      <c r="L605" s="7"/>
      <c r="M605" s="7"/>
      <c r="N605" s="4"/>
      <c r="O605" s="4"/>
      <c r="P605" s="4"/>
      <c r="Q605" s="4"/>
      <c r="R605" s="4"/>
    </row>
    <row r="606">
      <c r="A606" s="1"/>
      <c r="B606" s="8"/>
      <c r="C606" s="2"/>
      <c r="D606" s="2"/>
      <c r="E606" s="2"/>
      <c r="F606" s="2"/>
      <c r="G606" s="7"/>
      <c r="H606" s="7"/>
      <c r="I606" s="7"/>
      <c r="J606" s="7"/>
      <c r="K606" s="7"/>
      <c r="L606" s="7"/>
      <c r="M606" s="7"/>
      <c r="N606" s="4"/>
      <c r="O606" s="4"/>
      <c r="P606" s="4"/>
      <c r="Q606" s="4"/>
      <c r="R606" s="4"/>
    </row>
    <row r="607">
      <c r="A607" s="1"/>
      <c r="B607" s="8"/>
      <c r="C607" s="2"/>
      <c r="D607" s="2"/>
      <c r="E607" s="2"/>
      <c r="F607" s="2"/>
      <c r="G607" s="7"/>
      <c r="H607" s="7"/>
      <c r="I607" s="7"/>
      <c r="J607" s="7"/>
      <c r="K607" s="7"/>
      <c r="L607" s="7"/>
      <c r="M607" s="7"/>
      <c r="N607" s="4"/>
      <c r="O607" s="4"/>
      <c r="P607" s="4"/>
      <c r="Q607" s="4"/>
      <c r="R607" s="4"/>
    </row>
    <row r="608">
      <c r="A608" s="1"/>
      <c r="B608" s="8"/>
      <c r="C608" s="2"/>
      <c r="D608" s="2"/>
      <c r="E608" s="2"/>
      <c r="F608" s="2"/>
      <c r="G608" s="7"/>
      <c r="H608" s="7"/>
      <c r="I608" s="7"/>
      <c r="J608" s="7"/>
      <c r="K608" s="7"/>
      <c r="L608" s="7"/>
      <c r="M608" s="7"/>
      <c r="N608" s="4"/>
      <c r="O608" s="4"/>
      <c r="P608" s="4"/>
      <c r="Q608" s="4"/>
      <c r="R608" s="4"/>
    </row>
    <row r="609">
      <c r="A609" s="1"/>
      <c r="B609" s="8"/>
      <c r="C609" s="2"/>
      <c r="D609" s="2"/>
      <c r="E609" s="2"/>
      <c r="F609" s="2"/>
      <c r="G609" s="7"/>
      <c r="H609" s="7"/>
      <c r="I609" s="7"/>
      <c r="J609" s="7"/>
      <c r="K609" s="7"/>
      <c r="L609" s="7"/>
      <c r="M609" s="7"/>
      <c r="N609" s="4"/>
      <c r="O609" s="4"/>
      <c r="P609" s="4"/>
      <c r="Q609" s="4"/>
      <c r="R609" s="4"/>
    </row>
    <row r="610">
      <c r="A610" s="1"/>
      <c r="B610" s="8"/>
      <c r="C610" s="2"/>
      <c r="D610" s="2"/>
      <c r="E610" s="2"/>
      <c r="F610" s="2"/>
      <c r="G610" s="7"/>
      <c r="H610" s="7"/>
      <c r="I610" s="7"/>
      <c r="J610" s="7"/>
      <c r="K610" s="7"/>
      <c r="L610" s="7"/>
      <c r="M610" s="7"/>
      <c r="N610" s="4"/>
      <c r="O610" s="4"/>
      <c r="P610" s="4"/>
      <c r="Q610" s="4"/>
      <c r="R610" s="4"/>
    </row>
    <row r="611">
      <c r="A611" s="1"/>
      <c r="B611" s="8"/>
      <c r="C611" s="2"/>
      <c r="D611" s="2"/>
      <c r="E611" s="2"/>
      <c r="F611" s="2"/>
      <c r="G611" s="7"/>
      <c r="H611" s="7"/>
      <c r="I611" s="7"/>
      <c r="J611" s="7"/>
      <c r="K611" s="7"/>
      <c r="L611" s="7"/>
      <c r="M611" s="7"/>
      <c r="N611" s="4"/>
      <c r="O611" s="4"/>
      <c r="P611" s="4"/>
      <c r="Q611" s="4"/>
      <c r="R611" s="4"/>
    </row>
    <row r="612">
      <c r="A612" s="1"/>
      <c r="B612" s="8"/>
      <c r="C612" s="2"/>
      <c r="D612" s="2"/>
      <c r="E612" s="2"/>
      <c r="F612" s="2"/>
      <c r="G612" s="7"/>
      <c r="H612" s="7"/>
      <c r="I612" s="7"/>
      <c r="J612" s="7"/>
      <c r="K612" s="7"/>
      <c r="L612" s="7"/>
      <c r="M612" s="7"/>
      <c r="N612" s="4"/>
      <c r="O612" s="4"/>
      <c r="P612" s="4"/>
      <c r="Q612" s="4"/>
      <c r="R612" s="4"/>
    </row>
    <row r="613">
      <c r="A613" s="1"/>
      <c r="B613" s="8"/>
      <c r="C613" s="2"/>
      <c r="D613" s="2"/>
      <c r="E613" s="2"/>
      <c r="F613" s="2"/>
      <c r="G613" s="7"/>
      <c r="H613" s="7"/>
      <c r="I613" s="7"/>
      <c r="J613" s="7"/>
      <c r="K613" s="7"/>
      <c r="L613" s="7"/>
      <c r="M613" s="7"/>
      <c r="N613" s="4"/>
      <c r="O613" s="4"/>
      <c r="P613" s="4"/>
      <c r="Q613" s="4"/>
      <c r="R613" s="4"/>
    </row>
    <row r="614">
      <c r="A614" s="1"/>
      <c r="B614" s="8"/>
      <c r="C614" s="2"/>
      <c r="D614" s="2"/>
      <c r="E614" s="2"/>
      <c r="F614" s="2"/>
      <c r="G614" s="7"/>
      <c r="H614" s="7"/>
      <c r="I614" s="7"/>
      <c r="J614" s="7"/>
      <c r="K614" s="7"/>
      <c r="L614" s="7"/>
      <c r="M614" s="7"/>
      <c r="N614" s="4"/>
      <c r="O614" s="4"/>
      <c r="P614" s="4"/>
      <c r="Q614" s="4"/>
      <c r="R614" s="4"/>
    </row>
    <row r="615">
      <c r="A615" s="1"/>
      <c r="B615" s="8"/>
      <c r="C615" s="2"/>
      <c r="D615" s="2"/>
      <c r="E615" s="2"/>
      <c r="F615" s="2"/>
      <c r="G615" s="7"/>
      <c r="H615" s="7"/>
      <c r="I615" s="7"/>
      <c r="J615" s="7"/>
      <c r="K615" s="7"/>
      <c r="L615" s="7"/>
      <c r="M615" s="7"/>
      <c r="N615" s="4"/>
      <c r="O615" s="4"/>
      <c r="P615" s="4"/>
      <c r="Q615" s="4"/>
      <c r="R615" s="4"/>
    </row>
    <row r="616">
      <c r="A616" s="1"/>
      <c r="B616" s="8"/>
      <c r="C616" s="2"/>
      <c r="D616" s="2"/>
      <c r="E616" s="2"/>
      <c r="F616" s="2"/>
      <c r="G616" s="7"/>
      <c r="H616" s="7"/>
      <c r="I616" s="7"/>
      <c r="J616" s="7"/>
      <c r="K616" s="7"/>
      <c r="L616" s="7"/>
      <c r="M616" s="7"/>
      <c r="N616" s="4"/>
      <c r="O616" s="4"/>
      <c r="P616" s="4"/>
      <c r="Q616" s="4"/>
      <c r="R616" s="4"/>
    </row>
    <row r="617">
      <c r="A617" s="1"/>
      <c r="B617" s="8"/>
      <c r="C617" s="2"/>
      <c r="D617" s="2"/>
      <c r="E617" s="2"/>
      <c r="F617" s="2"/>
      <c r="G617" s="7"/>
      <c r="H617" s="7"/>
      <c r="I617" s="7"/>
      <c r="J617" s="7"/>
      <c r="K617" s="7"/>
      <c r="L617" s="7"/>
      <c r="M617" s="7"/>
      <c r="N617" s="4"/>
      <c r="O617" s="4"/>
      <c r="P617" s="4"/>
      <c r="Q617" s="4"/>
      <c r="R617" s="4"/>
    </row>
    <row r="618">
      <c r="A618" s="1"/>
      <c r="B618" s="8"/>
      <c r="C618" s="2"/>
      <c r="D618" s="2"/>
      <c r="E618" s="2"/>
      <c r="F618" s="2"/>
      <c r="G618" s="7"/>
      <c r="H618" s="7"/>
      <c r="I618" s="7"/>
      <c r="J618" s="7"/>
      <c r="K618" s="7"/>
      <c r="L618" s="7"/>
      <c r="M618" s="7"/>
      <c r="N618" s="4"/>
      <c r="O618" s="4"/>
      <c r="P618" s="4"/>
      <c r="Q618" s="4"/>
      <c r="R618" s="4"/>
    </row>
    <row r="619">
      <c r="A619" s="1"/>
      <c r="B619" s="8"/>
      <c r="C619" s="2"/>
      <c r="D619" s="2"/>
      <c r="E619" s="2"/>
      <c r="F619" s="2"/>
      <c r="G619" s="7"/>
      <c r="H619" s="7"/>
      <c r="I619" s="7"/>
      <c r="J619" s="7"/>
      <c r="K619" s="7"/>
      <c r="L619" s="7"/>
      <c r="M619" s="7"/>
      <c r="N619" s="4"/>
      <c r="O619" s="4"/>
      <c r="P619" s="4"/>
      <c r="Q619" s="4"/>
      <c r="R619" s="4"/>
    </row>
    <row r="620">
      <c r="A620" s="1"/>
      <c r="B620" s="8"/>
      <c r="C620" s="2"/>
      <c r="D620" s="2"/>
      <c r="E620" s="2"/>
      <c r="F620" s="2"/>
      <c r="G620" s="7"/>
      <c r="H620" s="7"/>
      <c r="I620" s="7"/>
      <c r="J620" s="7"/>
      <c r="K620" s="7"/>
      <c r="L620" s="7"/>
      <c r="M620" s="7"/>
      <c r="N620" s="4"/>
      <c r="O620" s="4"/>
      <c r="P620" s="4"/>
      <c r="Q620" s="4"/>
      <c r="R620" s="4"/>
    </row>
    <row r="621">
      <c r="A621" s="1"/>
      <c r="B621" s="8"/>
      <c r="C621" s="2"/>
      <c r="D621" s="2"/>
      <c r="E621" s="2"/>
      <c r="F621" s="2"/>
      <c r="G621" s="7"/>
      <c r="H621" s="7"/>
      <c r="I621" s="7"/>
      <c r="J621" s="7"/>
      <c r="K621" s="7"/>
      <c r="L621" s="7"/>
      <c r="M621" s="7"/>
      <c r="N621" s="4"/>
      <c r="O621" s="4"/>
      <c r="P621" s="4"/>
      <c r="Q621" s="4"/>
      <c r="R621" s="4"/>
    </row>
    <row r="622">
      <c r="A622" s="1"/>
      <c r="B622" s="8"/>
      <c r="C622" s="2"/>
      <c r="D622" s="2"/>
      <c r="E622" s="2"/>
      <c r="F622" s="2"/>
      <c r="G622" s="7"/>
      <c r="H622" s="7"/>
      <c r="I622" s="7"/>
      <c r="J622" s="7"/>
      <c r="K622" s="7"/>
      <c r="L622" s="7"/>
      <c r="M622" s="7"/>
      <c r="N622" s="4"/>
      <c r="O622" s="4"/>
      <c r="P622" s="4"/>
      <c r="Q622" s="4"/>
      <c r="R622" s="4"/>
    </row>
    <row r="623">
      <c r="A623" s="1"/>
      <c r="B623" s="8"/>
      <c r="C623" s="2"/>
      <c r="D623" s="2"/>
      <c r="E623" s="2"/>
      <c r="F623" s="2"/>
      <c r="G623" s="7"/>
      <c r="H623" s="7"/>
      <c r="I623" s="7"/>
      <c r="J623" s="7"/>
      <c r="K623" s="7"/>
      <c r="L623" s="7"/>
      <c r="M623" s="7"/>
      <c r="N623" s="4"/>
      <c r="O623" s="4"/>
      <c r="P623" s="4"/>
      <c r="Q623" s="4"/>
      <c r="R623" s="4"/>
    </row>
    <row r="624">
      <c r="A624" s="1"/>
      <c r="B624" s="8"/>
      <c r="C624" s="2"/>
      <c r="D624" s="2"/>
      <c r="E624" s="2"/>
      <c r="F624" s="2"/>
      <c r="G624" s="7"/>
      <c r="H624" s="7"/>
      <c r="I624" s="7"/>
      <c r="J624" s="7"/>
      <c r="K624" s="7"/>
      <c r="L624" s="7"/>
      <c r="M624" s="7"/>
      <c r="N624" s="4"/>
      <c r="O624" s="4"/>
      <c r="P624" s="4"/>
      <c r="Q624" s="4"/>
      <c r="R624" s="4"/>
    </row>
    <row r="625">
      <c r="A625" s="1"/>
      <c r="B625" s="8"/>
      <c r="C625" s="2"/>
      <c r="D625" s="2"/>
      <c r="E625" s="2"/>
      <c r="F625" s="2"/>
      <c r="G625" s="7"/>
      <c r="H625" s="7"/>
      <c r="I625" s="7"/>
      <c r="J625" s="7"/>
      <c r="K625" s="7"/>
      <c r="L625" s="7"/>
      <c r="M625" s="7"/>
      <c r="N625" s="4"/>
      <c r="O625" s="4"/>
      <c r="P625" s="4"/>
      <c r="Q625" s="4"/>
      <c r="R625" s="4"/>
    </row>
    <row r="626">
      <c r="A626" s="1"/>
      <c r="B626" s="8"/>
      <c r="C626" s="2"/>
      <c r="D626" s="2"/>
      <c r="E626" s="2"/>
      <c r="F626" s="2"/>
      <c r="G626" s="7"/>
      <c r="H626" s="7"/>
      <c r="I626" s="7"/>
      <c r="J626" s="7"/>
      <c r="K626" s="7"/>
      <c r="L626" s="7"/>
      <c r="M626" s="7"/>
      <c r="N626" s="4"/>
      <c r="O626" s="4"/>
      <c r="P626" s="4"/>
      <c r="Q626" s="4"/>
      <c r="R626" s="4"/>
    </row>
    <row r="627">
      <c r="A627" s="1"/>
      <c r="B627" s="8"/>
      <c r="C627" s="2"/>
      <c r="D627" s="2"/>
      <c r="E627" s="2"/>
      <c r="F627" s="2"/>
      <c r="G627" s="7"/>
      <c r="H627" s="7"/>
      <c r="I627" s="7"/>
      <c r="J627" s="7"/>
      <c r="K627" s="7"/>
      <c r="L627" s="7"/>
      <c r="M627" s="7"/>
      <c r="N627" s="4"/>
      <c r="O627" s="4"/>
      <c r="P627" s="4"/>
      <c r="Q627" s="4"/>
      <c r="R627" s="4"/>
    </row>
    <row r="628">
      <c r="A628" s="1"/>
      <c r="B628" s="8"/>
      <c r="C628" s="2"/>
      <c r="D628" s="2"/>
      <c r="E628" s="2"/>
      <c r="F628" s="2"/>
      <c r="G628" s="7"/>
      <c r="H628" s="7"/>
      <c r="I628" s="7"/>
      <c r="J628" s="7"/>
      <c r="K628" s="7"/>
      <c r="L628" s="7"/>
      <c r="M628" s="7"/>
      <c r="N628" s="4"/>
      <c r="O628" s="4"/>
      <c r="P628" s="4"/>
      <c r="Q628" s="4"/>
      <c r="R628" s="4"/>
    </row>
    <row r="629">
      <c r="A629" s="1"/>
      <c r="B629" s="8"/>
      <c r="C629" s="2"/>
      <c r="D629" s="2"/>
      <c r="E629" s="2"/>
      <c r="F629" s="2"/>
      <c r="G629" s="7"/>
      <c r="H629" s="7"/>
      <c r="I629" s="7"/>
      <c r="J629" s="7"/>
      <c r="K629" s="7"/>
      <c r="L629" s="7"/>
      <c r="M629" s="7"/>
      <c r="N629" s="4"/>
      <c r="O629" s="4"/>
      <c r="P629" s="4"/>
      <c r="Q629" s="4"/>
      <c r="R629" s="4"/>
    </row>
    <row r="630">
      <c r="A630" s="1"/>
      <c r="B630" s="8"/>
      <c r="C630" s="2"/>
      <c r="D630" s="2"/>
      <c r="E630" s="2"/>
      <c r="F630" s="2"/>
      <c r="G630" s="7"/>
      <c r="H630" s="7"/>
      <c r="I630" s="7"/>
      <c r="J630" s="7"/>
      <c r="K630" s="7"/>
      <c r="L630" s="7"/>
      <c r="M630" s="7"/>
      <c r="N630" s="4"/>
      <c r="O630" s="4"/>
      <c r="P630" s="4"/>
      <c r="Q630" s="4"/>
      <c r="R630" s="4"/>
    </row>
    <row r="631">
      <c r="A631" s="1"/>
      <c r="B631" s="8"/>
      <c r="C631" s="2"/>
      <c r="D631" s="2"/>
      <c r="E631" s="2"/>
      <c r="F631" s="2"/>
      <c r="G631" s="7"/>
      <c r="H631" s="7"/>
      <c r="I631" s="7"/>
      <c r="J631" s="7"/>
      <c r="K631" s="7"/>
      <c r="L631" s="7"/>
      <c r="M631" s="7"/>
      <c r="N631" s="4"/>
      <c r="O631" s="4"/>
      <c r="P631" s="4"/>
      <c r="Q631" s="4"/>
      <c r="R631" s="4"/>
    </row>
    <row r="632">
      <c r="A632" s="1"/>
      <c r="B632" s="8"/>
      <c r="C632" s="2"/>
      <c r="D632" s="2"/>
      <c r="E632" s="2"/>
      <c r="F632" s="2"/>
      <c r="G632" s="7"/>
      <c r="H632" s="7"/>
      <c r="I632" s="7"/>
      <c r="J632" s="7"/>
      <c r="K632" s="7"/>
      <c r="L632" s="7"/>
      <c r="M632" s="7"/>
      <c r="N632" s="4"/>
      <c r="O632" s="4"/>
      <c r="P632" s="4"/>
      <c r="Q632" s="4"/>
      <c r="R632" s="4"/>
    </row>
    <row r="633">
      <c r="A633" s="1"/>
      <c r="B633" s="8"/>
      <c r="C633" s="2"/>
      <c r="D633" s="2"/>
      <c r="E633" s="2"/>
      <c r="F633" s="2"/>
      <c r="G633" s="7"/>
      <c r="H633" s="7"/>
      <c r="I633" s="7"/>
      <c r="J633" s="7"/>
      <c r="K633" s="7"/>
      <c r="L633" s="7"/>
      <c r="M633" s="7"/>
      <c r="N633" s="4"/>
      <c r="O633" s="4"/>
      <c r="P633" s="4"/>
      <c r="Q633" s="4"/>
      <c r="R633" s="4"/>
    </row>
    <row r="634">
      <c r="A634" s="1"/>
      <c r="B634" s="8"/>
      <c r="C634" s="2"/>
      <c r="D634" s="2"/>
      <c r="E634" s="2"/>
      <c r="F634" s="2"/>
      <c r="G634" s="7"/>
      <c r="H634" s="7"/>
      <c r="I634" s="7"/>
      <c r="J634" s="7"/>
      <c r="K634" s="7"/>
      <c r="L634" s="7"/>
      <c r="M634" s="7"/>
      <c r="N634" s="4"/>
      <c r="O634" s="4"/>
      <c r="P634" s="4"/>
      <c r="Q634" s="4"/>
      <c r="R634" s="4"/>
    </row>
    <row r="635">
      <c r="A635" s="1"/>
      <c r="B635" s="8"/>
      <c r="C635" s="2"/>
      <c r="D635" s="2"/>
      <c r="E635" s="2"/>
      <c r="F635" s="2"/>
      <c r="G635" s="7"/>
      <c r="H635" s="7"/>
      <c r="I635" s="7"/>
      <c r="J635" s="7"/>
      <c r="K635" s="7"/>
      <c r="L635" s="7"/>
      <c r="M635" s="7"/>
      <c r="N635" s="4"/>
      <c r="O635" s="4"/>
      <c r="P635" s="4"/>
      <c r="Q635" s="4"/>
      <c r="R635" s="4"/>
    </row>
    <row r="636">
      <c r="A636" s="1"/>
      <c r="B636" s="8"/>
      <c r="C636" s="2"/>
      <c r="D636" s="2"/>
      <c r="E636" s="2"/>
      <c r="F636" s="2"/>
      <c r="G636" s="7"/>
      <c r="H636" s="7"/>
      <c r="I636" s="7"/>
      <c r="J636" s="7"/>
      <c r="K636" s="7"/>
      <c r="L636" s="7"/>
      <c r="M636" s="7"/>
      <c r="N636" s="4"/>
      <c r="O636" s="4"/>
      <c r="P636" s="4"/>
      <c r="Q636" s="4"/>
      <c r="R636" s="4"/>
    </row>
    <row r="637">
      <c r="A637" s="1"/>
      <c r="B637" s="8"/>
      <c r="C637" s="2"/>
      <c r="D637" s="2"/>
      <c r="E637" s="2"/>
      <c r="F637" s="2"/>
      <c r="G637" s="7"/>
      <c r="H637" s="7"/>
      <c r="I637" s="7"/>
      <c r="J637" s="7"/>
      <c r="K637" s="7"/>
      <c r="L637" s="7"/>
      <c r="M637" s="7"/>
      <c r="N637" s="4"/>
      <c r="O637" s="4"/>
      <c r="P637" s="4"/>
      <c r="Q637" s="4"/>
      <c r="R637" s="4"/>
    </row>
    <row r="638">
      <c r="A638" s="1"/>
      <c r="B638" s="8"/>
      <c r="C638" s="2"/>
      <c r="D638" s="2"/>
      <c r="E638" s="2"/>
      <c r="F638" s="2"/>
      <c r="G638" s="7"/>
      <c r="H638" s="7"/>
      <c r="I638" s="7"/>
      <c r="J638" s="7"/>
      <c r="K638" s="7"/>
      <c r="L638" s="7"/>
      <c r="M638" s="7"/>
      <c r="N638" s="4"/>
      <c r="O638" s="4"/>
      <c r="P638" s="4"/>
      <c r="Q638" s="4"/>
      <c r="R638" s="4"/>
    </row>
    <row r="639">
      <c r="A639" s="1"/>
      <c r="B639" s="8"/>
      <c r="C639" s="2"/>
      <c r="D639" s="2"/>
      <c r="E639" s="2"/>
      <c r="F639" s="2"/>
      <c r="G639" s="7"/>
      <c r="H639" s="7"/>
      <c r="I639" s="7"/>
      <c r="J639" s="7"/>
      <c r="K639" s="7"/>
      <c r="L639" s="7"/>
      <c r="M639" s="7"/>
      <c r="N639" s="4"/>
      <c r="O639" s="4"/>
      <c r="P639" s="4"/>
      <c r="Q639" s="4"/>
      <c r="R639" s="4"/>
    </row>
    <row r="640">
      <c r="A640" s="1"/>
      <c r="B640" s="8"/>
      <c r="C640" s="2"/>
      <c r="D640" s="2"/>
      <c r="E640" s="2"/>
      <c r="F640" s="2"/>
      <c r="G640" s="7"/>
      <c r="H640" s="7"/>
      <c r="I640" s="7"/>
      <c r="J640" s="7"/>
      <c r="K640" s="7"/>
      <c r="L640" s="7"/>
      <c r="M640" s="7"/>
      <c r="N640" s="4"/>
      <c r="O640" s="4"/>
      <c r="P640" s="4"/>
      <c r="Q640" s="4"/>
      <c r="R640" s="4"/>
    </row>
    <row r="641">
      <c r="A641" s="1"/>
      <c r="B641" s="8"/>
      <c r="C641" s="2"/>
      <c r="D641" s="2"/>
      <c r="E641" s="2"/>
      <c r="F641" s="2"/>
      <c r="G641" s="7"/>
      <c r="H641" s="7"/>
      <c r="I641" s="7"/>
      <c r="J641" s="7"/>
      <c r="K641" s="7"/>
      <c r="L641" s="7"/>
      <c r="M641" s="7"/>
      <c r="N641" s="4"/>
      <c r="O641" s="4"/>
      <c r="P641" s="4"/>
      <c r="Q641" s="4"/>
      <c r="R641" s="4"/>
    </row>
    <row r="642">
      <c r="A642" s="1"/>
      <c r="B642" s="8"/>
      <c r="C642" s="2"/>
      <c r="D642" s="2"/>
      <c r="E642" s="2"/>
      <c r="F642" s="2"/>
      <c r="G642" s="7"/>
      <c r="H642" s="7"/>
      <c r="I642" s="7"/>
      <c r="J642" s="7"/>
      <c r="K642" s="7"/>
      <c r="L642" s="7"/>
      <c r="M642" s="7"/>
      <c r="N642" s="4"/>
      <c r="O642" s="4"/>
      <c r="P642" s="4"/>
      <c r="Q642" s="4"/>
      <c r="R642" s="4"/>
    </row>
    <row r="643">
      <c r="A643" s="1"/>
      <c r="B643" s="8"/>
      <c r="C643" s="2"/>
      <c r="D643" s="2"/>
      <c r="E643" s="2"/>
      <c r="F643" s="2"/>
      <c r="G643" s="7"/>
      <c r="H643" s="7"/>
      <c r="I643" s="7"/>
      <c r="J643" s="7"/>
      <c r="K643" s="7"/>
      <c r="L643" s="7"/>
      <c r="M643" s="7"/>
      <c r="N643" s="4"/>
      <c r="O643" s="4"/>
      <c r="P643" s="4"/>
      <c r="Q643" s="4"/>
      <c r="R643" s="4"/>
    </row>
    <row r="644">
      <c r="A644" s="1"/>
      <c r="B644" s="8"/>
      <c r="C644" s="2"/>
      <c r="D644" s="2"/>
      <c r="E644" s="2"/>
      <c r="F644" s="2"/>
      <c r="G644" s="7"/>
      <c r="H644" s="7"/>
      <c r="I644" s="7"/>
      <c r="J644" s="7"/>
      <c r="K644" s="7"/>
      <c r="L644" s="7"/>
      <c r="M644" s="7"/>
      <c r="N644" s="4"/>
      <c r="O644" s="4"/>
      <c r="P644" s="4"/>
      <c r="Q644" s="4"/>
      <c r="R644" s="4"/>
    </row>
    <row r="645">
      <c r="A645" s="1"/>
      <c r="B645" s="8"/>
      <c r="C645" s="2"/>
      <c r="D645" s="2"/>
      <c r="E645" s="2"/>
      <c r="F645" s="2"/>
      <c r="G645" s="7"/>
      <c r="H645" s="7"/>
      <c r="I645" s="7"/>
      <c r="J645" s="7"/>
      <c r="K645" s="7"/>
      <c r="L645" s="7"/>
      <c r="M645" s="7"/>
      <c r="N645" s="4"/>
      <c r="O645" s="4"/>
      <c r="P645" s="4"/>
      <c r="Q645" s="4"/>
      <c r="R645" s="4"/>
    </row>
    <row r="646">
      <c r="A646" s="1"/>
      <c r="B646" s="8"/>
      <c r="C646" s="2"/>
      <c r="D646" s="2"/>
      <c r="E646" s="2"/>
      <c r="F646" s="2"/>
      <c r="G646" s="7"/>
      <c r="H646" s="7"/>
      <c r="I646" s="7"/>
      <c r="J646" s="7"/>
      <c r="K646" s="7"/>
      <c r="L646" s="7"/>
      <c r="M646" s="7"/>
      <c r="N646" s="4"/>
      <c r="O646" s="4"/>
      <c r="P646" s="4"/>
      <c r="Q646" s="4"/>
      <c r="R646" s="4"/>
    </row>
    <row r="647">
      <c r="A647" s="1"/>
      <c r="B647" s="8"/>
      <c r="C647" s="2"/>
      <c r="D647" s="2"/>
      <c r="E647" s="2"/>
      <c r="F647" s="2"/>
      <c r="G647" s="7"/>
      <c r="H647" s="7"/>
      <c r="I647" s="7"/>
      <c r="J647" s="7"/>
      <c r="K647" s="7"/>
      <c r="L647" s="7"/>
      <c r="M647" s="7"/>
      <c r="N647" s="4"/>
      <c r="O647" s="4"/>
      <c r="P647" s="4"/>
      <c r="Q647" s="4"/>
      <c r="R647" s="4"/>
    </row>
    <row r="648">
      <c r="A648" s="1"/>
      <c r="B648" s="8"/>
      <c r="C648" s="2"/>
      <c r="D648" s="2"/>
      <c r="E648" s="2"/>
      <c r="F648" s="2"/>
      <c r="G648" s="7"/>
      <c r="H648" s="7"/>
      <c r="I648" s="7"/>
      <c r="J648" s="7"/>
      <c r="K648" s="7"/>
      <c r="L648" s="7"/>
      <c r="M648" s="7"/>
      <c r="N648" s="4"/>
      <c r="O648" s="4"/>
      <c r="P648" s="4"/>
      <c r="Q648" s="4"/>
      <c r="R648" s="4"/>
    </row>
    <row r="649">
      <c r="A649" s="1"/>
      <c r="B649" s="8"/>
      <c r="C649" s="2"/>
      <c r="D649" s="2"/>
      <c r="E649" s="2"/>
      <c r="F649" s="2"/>
      <c r="G649" s="7"/>
      <c r="H649" s="7"/>
      <c r="I649" s="7"/>
      <c r="J649" s="7"/>
      <c r="K649" s="7"/>
      <c r="L649" s="7"/>
      <c r="M649" s="7"/>
      <c r="N649" s="4"/>
      <c r="O649" s="4"/>
      <c r="P649" s="4"/>
      <c r="Q649" s="4"/>
      <c r="R649" s="4"/>
    </row>
    <row r="650">
      <c r="A650" s="1"/>
      <c r="B650" s="8"/>
      <c r="C650" s="2"/>
      <c r="D650" s="2"/>
      <c r="E650" s="2"/>
      <c r="F650" s="2"/>
      <c r="G650" s="7"/>
      <c r="H650" s="7"/>
      <c r="I650" s="7"/>
      <c r="J650" s="7"/>
      <c r="K650" s="7"/>
      <c r="L650" s="7"/>
      <c r="M650" s="7"/>
      <c r="N650" s="4"/>
      <c r="O650" s="4"/>
      <c r="P650" s="4"/>
      <c r="Q650" s="4"/>
      <c r="R650" s="4"/>
    </row>
    <row r="651">
      <c r="A651" s="1"/>
      <c r="B651" s="8"/>
      <c r="C651" s="2"/>
      <c r="D651" s="2"/>
      <c r="E651" s="2"/>
      <c r="F651" s="2"/>
      <c r="G651" s="7"/>
      <c r="H651" s="7"/>
      <c r="I651" s="7"/>
      <c r="J651" s="7"/>
      <c r="K651" s="7"/>
      <c r="L651" s="7"/>
      <c r="M651" s="7"/>
      <c r="N651" s="4"/>
      <c r="O651" s="4"/>
      <c r="P651" s="4"/>
      <c r="Q651" s="4"/>
      <c r="R651" s="4"/>
    </row>
    <row r="652">
      <c r="A652" s="1"/>
      <c r="B652" s="8"/>
      <c r="C652" s="2"/>
      <c r="D652" s="2"/>
      <c r="E652" s="2"/>
      <c r="F652" s="2"/>
      <c r="G652" s="7"/>
      <c r="H652" s="7"/>
      <c r="I652" s="7"/>
      <c r="J652" s="7"/>
      <c r="K652" s="7"/>
      <c r="L652" s="7"/>
      <c r="M652" s="7"/>
      <c r="N652" s="4"/>
      <c r="O652" s="4"/>
      <c r="P652" s="4"/>
      <c r="Q652" s="4"/>
      <c r="R652" s="4"/>
    </row>
    <row r="653">
      <c r="A653" s="1"/>
      <c r="B653" s="8"/>
      <c r="C653" s="2"/>
      <c r="D653" s="2"/>
      <c r="E653" s="2"/>
      <c r="F653" s="2"/>
      <c r="G653" s="7"/>
      <c r="H653" s="7"/>
      <c r="I653" s="7"/>
      <c r="J653" s="7"/>
      <c r="K653" s="7"/>
      <c r="L653" s="7"/>
      <c r="M653" s="7"/>
      <c r="N653" s="4"/>
      <c r="O653" s="4"/>
      <c r="P653" s="4"/>
      <c r="Q653" s="4"/>
      <c r="R653" s="4"/>
    </row>
    <row r="654">
      <c r="A654" s="1"/>
      <c r="B654" s="8"/>
      <c r="C654" s="2"/>
      <c r="D654" s="2"/>
      <c r="E654" s="2"/>
      <c r="F654" s="2"/>
      <c r="G654" s="7"/>
      <c r="H654" s="7"/>
      <c r="I654" s="7"/>
      <c r="J654" s="7"/>
      <c r="K654" s="7"/>
      <c r="L654" s="7"/>
      <c r="M654" s="7"/>
      <c r="N654" s="4"/>
      <c r="O654" s="4"/>
      <c r="P654" s="4"/>
      <c r="Q654" s="4"/>
      <c r="R654" s="4"/>
    </row>
    <row r="655">
      <c r="A655" s="1"/>
      <c r="B655" s="8"/>
      <c r="C655" s="2"/>
      <c r="D655" s="2"/>
      <c r="E655" s="2"/>
      <c r="F655" s="2"/>
      <c r="G655" s="7"/>
      <c r="H655" s="7"/>
      <c r="I655" s="7"/>
      <c r="J655" s="7"/>
      <c r="K655" s="7"/>
      <c r="L655" s="7"/>
      <c r="M655" s="7"/>
      <c r="N655" s="4"/>
      <c r="O655" s="4"/>
      <c r="P655" s="4"/>
      <c r="Q655" s="4"/>
      <c r="R655" s="4"/>
    </row>
    <row r="656">
      <c r="A656" s="1"/>
      <c r="B656" s="8"/>
      <c r="C656" s="2"/>
      <c r="D656" s="2"/>
      <c r="E656" s="2"/>
      <c r="F656" s="2"/>
      <c r="G656" s="7"/>
      <c r="H656" s="7"/>
      <c r="I656" s="7"/>
      <c r="J656" s="7"/>
      <c r="K656" s="7"/>
      <c r="L656" s="7"/>
      <c r="M656" s="7"/>
      <c r="N656" s="4"/>
      <c r="O656" s="4"/>
      <c r="P656" s="4"/>
      <c r="Q656" s="4"/>
      <c r="R656" s="4"/>
    </row>
    <row r="657">
      <c r="A657" s="1"/>
      <c r="B657" s="8"/>
      <c r="C657" s="2"/>
      <c r="D657" s="2"/>
      <c r="E657" s="2"/>
      <c r="F657" s="2"/>
      <c r="G657" s="7"/>
      <c r="H657" s="7"/>
      <c r="I657" s="7"/>
      <c r="J657" s="7"/>
      <c r="K657" s="7"/>
      <c r="L657" s="7"/>
      <c r="M657" s="7"/>
      <c r="N657" s="4"/>
      <c r="O657" s="4"/>
      <c r="P657" s="4"/>
      <c r="Q657" s="4"/>
      <c r="R657" s="4"/>
    </row>
    <row r="658">
      <c r="A658" s="1"/>
      <c r="B658" s="8"/>
      <c r="C658" s="2"/>
      <c r="D658" s="2"/>
      <c r="E658" s="2"/>
      <c r="F658" s="2"/>
      <c r="G658" s="7"/>
      <c r="H658" s="7"/>
      <c r="I658" s="7"/>
      <c r="J658" s="7"/>
      <c r="K658" s="7"/>
      <c r="L658" s="7"/>
      <c r="M658" s="7"/>
      <c r="N658" s="4"/>
      <c r="O658" s="4"/>
      <c r="P658" s="4"/>
      <c r="Q658" s="4"/>
      <c r="R658" s="4"/>
    </row>
    <row r="659">
      <c r="A659" s="1"/>
      <c r="B659" s="8"/>
      <c r="C659" s="2"/>
      <c r="D659" s="2"/>
      <c r="E659" s="2"/>
      <c r="F659" s="2"/>
      <c r="G659" s="7"/>
      <c r="H659" s="7"/>
      <c r="I659" s="7"/>
      <c r="J659" s="7"/>
      <c r="K659" s="7"/>
      <c r="L659" s="7"/>
      <c r="M659" s="7"/>
      <c r="N659" s="4"/>
      <c r="O659" s="4"/>
      <c r="P659" s="4"/>
      <c r="Q659" s="4"/>
      <c r="R659" s="4"/>
    </row>
    <row r="660">
      <c r="A660" s="1"/>
      <c r="B660" s="8"/>
      <c r="C660" s="2"/>
      <c r="D660" s="2"/>
      <c r="E660" s="2"/>
      <c r="F660" s="2"/>
      <c r="G660" s="7"/>
      <c r="H660" s="7"/>
      <c r="I660" s="7"/>
      <c r="J660" s="7"/>
      <c r="K660" s="7"/>
      <c r="L660" s="7"/>
      <c r="M660" s="7"/>
      <c r="N660" s="4"/>
      <c r="O660" s="4"/>
      <c r="P660" s="4"/>
      <c r="Q660" s="4"/>
      <c r="R660" s="4"/>
    </row>
    <row r="661">
      <c r="A661" s="1"/>
      <c r="B661" s="8"/>
      <c r="C661" s="2"/>
      <c r="D661" s="2"/>
      <c r="E661" s="2"/>
      <c r="F661" s="2"/>
      <c r="G661" s="7"/>
      <c r="H661" s="7"/>
      <c r="I661" s="7"/>
      <c r="J661" s="7"/>
      <c r="K661" s="7"/>
      <c r="L661" s="7"/>
      <c r="M661" s="7"/>
      <c r="N661" s="4"/>
      <c r="O661" s="4"/>
      <c r="P661" s="4"/>
      <c r="Q661" s="4"/>
      <c r="R661" s="4"/>
    </row>
    <row r="662">
      <c r="A662" s="1"/>
      <c r="B662" s="8"/>
      <c r="C662" s="2"/>
      <c r="D662" s="2"/>
      <c r="E662" s="2"/>
      <c r="F662" s="2"/>
      <c r="G662" s="7"/>
      <c r="H662" s="7"/>
      <c r="I662" s="7"/>
      <c r="J662" s="7"/>
      <c r="K662" s="7"/>
      <c r="L662" s="7"/>
      <c r="M662" s="7"/>
      <c r="N662" s="4"/>
      <c r="O662" s="4"/>
      <c r="P662" s="4"/>
      <c r="Q662" s="4"/>
      <c r="R662" s="4"/>
    </row>
    <row r="663">
      <c r="A663" s="1"/>
      <c r="B663" s="8"/>
      <c r="C663" s="2"/>
      <c r="D663" s="2"/>
      <c r="E663" s="2"/>
      <c r="F663" s="2"/>
      <c r="G663" s="7"/>
      <c r="H663" s="7"/>
      <c r="I663" s="7"/>
      <c r="J663" s="7"/>
      <c r="K663" s="7"/>
      <c r="L663" s="7"/>
      <c r="M663" s="7"/>
      <c r="N663" s="4"/>
      <c r="O663" s="4"/>
      <c r="P663" s="4"/>
      <c r="Q663" s="4"/>
      <c r="R663" s="4"/>
    </row>
    <row r="664">
      <c r="A664" s="1"/>
      <c r="B664" s="8"/>
      <c r="C664" s="2"/>
      <c r="D664" s="2"/>
      <c r="E664" s="2"/>
      <c r="F664" s="2"/>
      <c r="G664" s="7"/>
      <c r="H664" s="7"/>
      <c r="I664" s="7"/>
      <c r="J664" s="7"/>
      <c r="K664" s="7"/>
      <c r="L664" s="7"/>
      <c r="M664" s="7"/>
      <c r="N664" s="4"/>
      <c r="O664" s="4"/>
      <c r="P664" s="4"/>
      <c r="Q664" s="4"/>
      <c r="R664" s="4"/>
    </row>
    <row r="665">
      <c r="A665" s="1"/>
      <c r="B665" s="8"/>
      <c r="C665" s="2"/>
      <c r="D665" s="2"/>
      <c r="E665" s="2"/>
      <c r="F665" s="2"/>
      <c r="G665" s="7"/>
      <c r="H665" s="7"/>
      <c r="I665" s="7"/>
      <c r="J665" s="7"/>
      <c r="K665" s="7"/>
      <c r="L665" s="7"/>
      <c r="M665" s="7"/>
      <c r="N665" s="4"/>
      <c r="O665" s="4"/>
      <c r="P665" s="4"/>
      <c r="Q665" s="4"/>
      <c r="R665" s="4"/>
    </row>
    <row r="666">
      <c r="A666" s="1"/>
      <c r="B666" s="8"/>
      <c r="C666" s="2"/>
      <c r="D666" s="2"/>
      <c r="E666" s="2"/>
      <c r="F666" s="2"/>
      <c r="G666" s="7"/>
      <c r="H666" s="7"/>
      <c r="I666" s="7"/>
      <c r="J666" s="7"/>
      <c r="K666" s="7"/>
      <c r="L666" s="7"/>
      <c r="M666" s="7"/>
      <c r="N666" s="4"/>
      <c r="O666" s="4"/>
      <c r="P666" s="4"/>
      <c r="Q666" s="4"/>
      <c r="R666" s="4"/>
    </row>
    <row r="667">
      <c r="A667" s="1"/>
      <c r="B667" s="8"/>
      <c r="C667" s="2"/>
      <c r="D667" s="2"/>
      <c r="E667" s="2"/>
      <c r="F667" s="2"/>
      <c r="G667" s="7"/>
      <c r="H667" s="7"/>
      <c r="I667" s="7"/>
      <c r="J667" s="7"/>
      <c r="K667" s="7"/>
      <c r="L667" s="7"/>
      <c r="M667" s="7"/>
      <c r="N667" s="4"/>
      <c r="O667" s="4"/>
      <c r="P667" s="4"/>
      <c r="Q667" s="4"/>
      <c r="R667" s="4"/>
    </row>
    <row r="668">
      <c r="A668" s="1"/>
      <c r="B668" s="8"/>
      <c r="C668" s="2"/>
      <c r="D668" s="2"/>
      <c r="E668" s="2"/>
      <c r="F668" s="2"/>
      <c r="G668" s="7"/>
      <c r="H668" s="7"/>
      <c r="I668" s="7"/>
      <c r="J668" s="7"/>
      <c r="K668" s="7"/>
      <c r="L668" s="7"/>
      <c r="M668" s="7"/>
      <c r="N668" s="4"/>
      <c r="O668" s="4"/>
      <c r="P668" s="4"/>
      <c r="Q668" s="4"/>
      <c r="R668" s="4"/>
    </row>
    <row r="669">
      <c r="A669" s="1"/>
      <c r="B669" s="8"/>
      <c r="C669" s="2"/>
      <c r="D669" s="2"/>
      <c r="E669" s="2"/>
      <c r="F669" s="2"/>
      <c r="G669" s="7"/>
      <c r="H669" s="7"/>
      <c r="I669" s="7"/>
      <c r="J669" s="7"/>
      <c r="K669" s="7"/>
      <c r="L669" s="7"/>
      <c r="M669" s="7"/>
      <c r="N669" s="4"/>
      <c r="O669" s="4"/>
      <c r="P669" s="4"/>
      <c r="Q669" s="4"/>
      <c r="R669" s="4"/>
    </row>
    <row r="670">
      <c r="A670" s="1"/>
      <c r="B670" s="8"/>
      <c r="C670" s="2"/>
      <c r="D670" s="2"/>
      <c r="E670" s="2"/>
      <c r="F670" s="2"/>
      <c r="G670" s="7"/>
      <c r="H670" s="7"/>
      <c r="I670" s="7"/>
      <c r="J670" s="7"/>
      <c r="K670" s="7"/>
      <c r="L670" s="7"/>
      <c r="M670" s="7"/>
      <c r="N670" s="4"/>
      <c r="O670" s="4"/>
      <c r="P670" s="4"/>
      <c r="Q670" s="4"/>
      <c r="R670" s="4"/>
    </row>
    <row r="671">
      <c r="A671" s="1"/>
      <c r="B671" s="8"/>
      <c r="C671" s="2"/>
      <c r="D671" s="2"/>
      <c r="E671" s="2"/>
      <c r="F671" s="2"/>
      <c r="G671" s="7"/>
      <c r="H671" s="7"/>
      <c r="I671" s="7"/>
      <c r="J671" s="7"/>
      <c r="K671" s="7"/>
      <c r="L671" s="7"/>
      <c r="M671" s="7"/>
      <c r="N671" s="4"/>
      <c r="O671" s="4"/>
      <c r="P671" s="4"/>
      <c r="Q671" s="4"/>
      <c r="R671" s="4"/>
    </row>
    <row r="672">
      <c r="A672" s="1"/>
      <c r="B672" s="8"/>
      <c r="C672" s="2"/>
      <c r="D672" s="2"/>
      <c r="E672" s="2"/>
      <c r="F672" s="2"/>
      <c r="G672" s="7"/>
      <c r="H672" s="7"/>
      <c r="I672" s="7"/>
      <c r="J672" s="7"/>
      <c r="K672" s="7"/>
      <c r="L672" s="7"/>
      <c r="M672" s="7"/>
      <c r="N672" s="4"/>
      <c r="O672" s="4"/>
      <c r="P672" s="4"/>
      <c r="Q672" s="4"/>
      <c r="R672" s="4"/>
    </row>
    <row r="673">
      <c r="A673" s="1"/>
      <c r="B673" s="8"/>
      <c r="C673" s="2"/>
      <c r="D673" s="2"/>
      <c r="E673" s="2"/>
      <c r="F673" s="2"/>
      <c r="G673" s="7"/>
      <c r="H673" s="7"/>
      <c r="I673" s="7"/>
      <c r="J673" s="7"/>
      <c r="K673" s="7"/>
      <c r="L673" s="7"/>
      <c r="M673" s="7"/>
      <c r="N673" s="4"/>
      <c r="O673" s="4"/>
      <c r="P673" s="4"/>
      <c r="Q673" s="4"/>
      <c r="R673" s="4"/>
    </row>
    <row r="674">
      <c r="A674" s="1"/>
      <c r="B674" s="8"/>
      <c r="C674" s="2"/>
      <c r="D674" s="2"/>
      <c r="E674" s="2"/>
      <c r="F674" s="2"/>
      <c r="G674" s="7"/>
      <c r="H674" s="7"/>
      <c r="I674" s="7"/>
      <c r="J674" s="7"/>
      <c r="K674" s="7"/>
      <c r="L674" s="7"/>
      <c r="M674" s="7"/>
      <c r="N674" s="4"/>
      <c r="O674" s="4"/>
      <c r="P674" s="4"/>
      <c r="Q674" s="4"/>
      <c r="R674" s="4"/>
    </row>
    <row r="675">
      <c r="A675" s="1"/>
      <c r="B675" s="8"/>
      <c r="C675" s="2"/>
      <c r="D675" s="2"/>
      <c r="E675" s="2"/>
      <c r="F675" s="2"/>
      <c r="G675" s="7"/>
      <c r="H675" s="7"/>
      <c r="I675" s="7"/>
      <c r="J675" s="7"/>
      <c r="K675" s="7"/>
      <c r="L675" s="7"/>
      <c r="M675" s="7"/>
      <c r="N675" s="4"/>
      <c r="O675" s="4"/>
      <c r="P675" s="4"/>
      <c r="Q675" s="4"/>
      <c r="R675" s="4"/>
    </row>
    <row r="676">
      <c r="A676" s="1"/>
      <c r="B676" s="8"/>
      <c r="C676" s="2"/>
      <c r="D676" s="2"/>
      <c r="E676" s="2"/>
      <c r="F676" s="2"/>
      <c r="G676" s="7"/>
      <c r="H676" s="7"/>
      <c r="I676" s="7"/>
      <c r="J676" s="7"/>
      <c r="K676" s="7"/>
      <c r="L676" s="7"/>
      <c r="M676" s="7"/>
      <c r="N676" s="4"/>
      <c r="O676" s="4"/>
      <c r="P676" s="4"/>
      <c r="Q676" s="4"/>
      <c r="R676" s="4"/>
    </row>
    <row r="677">
      <c r="A677" s="1"/>
      <c r="B677" s="8"/>
      <c r="C677" s="2"/>
      <c r="D677" s="2"/>
      <c r="E677" s="2"/>
      <c r="F677" s="2"/>
      <c r="G677" s="7"/>
      <c r="H677" s="7"/>
      <c r="I677" s="7"/>
      <c r="J677" s="7"/>
      <c r="K677" s="7"/>
      <c r="L677" s="7"/>
      <c r="M677" s="7"/>
      <c r="N677" s="4"/>
      <c r="O677" s="4"/>
      <c r="P677" s="4"/>
      <c r="Q677" s="4"/>
      <c r="R677" s="4"/>
    </row>
    <row r="678">
      <c r="A678" s="1"/>
      <c r="B678" s="8"/>
      <c r="C678" s="2"/>
      <c r="D678" s="2"/>
      <c r="E678" s="2"/>
      <c r="F678" s="2"/>
      <c r="G678" s="7"/>
      <c r="H678" s="7"/>
      <c r="I678" s="7"/>
      <c r="J678" s="7"/>
      <c r="K678" s="7"/>
      <c r="L678" s="7"/>
      <c r="M678" s="7"/>
      <c r="N678" s="4"/>
      <c r="O678" s="4"/>
      <c r="P678" s="4"/>
      <c r="Q678" s="4"/>
      <c r="R678" s="4"/>
    </row>
    <row r="679">
      <c r="A679" s="1"/>
      <c r="B679" s="8"/>
      <c r="C679" s="2"/>
      <c r="D679" s="2"/>
      <c r="E679" s="2"/>
      <c r="F679" s="2"/>
      <c r="G679" s="7"/>
      <c r="H679" s="7"/>
      <c r="I679" s="7"/>
      <c r="J679" s="7"/>
      <c r="K679" s="7"/>
      <c r="L679" s="7"/>
      <c r="M679" s="7"/>
      <c r="N679" s="4"/>
      <c r="O679" s="4"/>
      <c r="P679" s="4"/>
      <c r="Q679" s="4"/>
      <c r="R679" s="4"/>
    </row>
    <row r="680">
      <c r="A680" s="1"/>
      <c r="B680" s="8"/>
      <c r="C680" s="2"/>
      <c r="D680" s="2"/>
      <c r="E680" s="2"/>
      <c r="F680" s="2"/>
      <c r="G680" s="7"/>
      <c r="H680" s="7"/>
      <c r="I680" s="7"/>
      <c r="J680" s="7"/>
      <c r="K680" s="7"/>
      <c r="L680" s="7"/>
      <c r="M680" s="7"/>
      <c r="N680" s="4"/>
      <c r="O680" s="4"/>
      <c r="P680" s="4"/>
      <c r="Q680" s="4"/>
      <c r="R680" s="4"/>
    </row>
    <row r="681">
      <c r="A681" s="1"/>
      <c r="B681" s="8"/>
      <c r="C681" s="2"/>
      <c r="D681" s="2"/>
      <c r="E681" s="2"/>
      <c r="F681" s="2"/>
      <c r="G681" s="7"/>
      <c r="H681" s="7"/>
      <c r="I681" s="7"/>
      <c r="J681" s="7"/>
      <c r="K681" s="7"/>
      <c r="L681" s="7"/>
      <c r="M681" s="7"/>
      <c r="N681" s="4"/>
      <c r="O681" s="4"/>
      <c r="P681" s="4"/>
      <c r="Q681" s="4"/>
      <c r="R681" s="4"/>
    </row>
    <row r="682">
      <c r="A682" s="1"/>
      <c r="B682" s="8"/>
      <c r="C682" s="2"/>
      <c r="D682" s="2"/>
      <c r="E682" s="2"/>
      <c r="F682" s="2"/>
      <c r="G682" s="7"/>
      <c r="H682" s="7"/>
      <c r="I682" s="7"/>
      <c r="J682" s="7"/>
      <c r="K682" s="7"/>
      <c r="L682" s="7"/>
      <c r="M682" s="7"/>
      <c r="N682" s="4"/>
      <c r="O682" s="4"/>
      <c r="P682" s="4"/>
      <c r="Q682" s="4"/>
      <c r="R682" s="4"/>
    </row>
    <row r="683">
      <c r="A683" s="1"/>
      <c r="B683" s="8"/>
      <c r="C683" s="2"/>
      <c r="D683" s="2"/>
      <c r="E683" s="2"/>
      <c r="F683" s="2"/>
      <c r="G683" s="7"/>
      <c r="H683" s="7"/>
      <c r="I683" s="7"/>
      <c r="J683" s="7"/>
      <c r="K683" s="7"/>
      <c r="L683" s="7"/>
      <c r="M683" s="7"/>
      <c r="N683" s="4"/>
      <c r="O683" s="4"/>
      <c r="P683" s="4"/>
      <c r="Q683" s="4"/>
      <c r="R683" s="4"/>
    </row>
    <row r="684">
      <c r="A684" s="1"/>
      <c r="B684" s="8"/>
      <c r="C684" s="2"/>
      <c r="D684" s="2"/>
      <c r="E684" s="2"/>
      <c r="F684" s="2"/>
      <c r="G684" s="7"/>
      <c r="H684" s="7"/>
      <c r="I684" s="7"/>
      <c r="J684" s="7"/>
      <c r="K684" s="7"/>
      <c r="L684" s="7"/>
      <c r="M684" s="7"/>
      <c r="N684" s="4"/>
      <c r="O684" s="4"/>
      <c r="P684" s="4"/>
      <c r="Q684" s="4"/>
      <c r="R684" s="4"/>
    </row>
    <row r="685">
      <c r="A685" s="1"/>
      <c r="B685" s="8"/>
      <c r="C685" s="2"/>
      <c r="D685" s="2"/>
      <c r="E685" s="2"/>
      <c r="F685" s="2"/>
      <c r="G685" s="7"/>
      <c r="H685" s="7"/>
      <c r="I685" s="7"/>
      <c r="J685" s="7"/>
      <c r="K685" s="7"/>
      <c r="L685" s="7"/>
      <c r="M685" s="7"/>
      <c r="N685" s="4"/>
      <c r="O685" s="4"/>
      <c r="P685" s="4"/>
      <c r="Q685" s="4"/>
      <c r="R685" s="4"/>
    </row>
    <row r="686">
      <c r="A686" s="1"/>
      <c r="B686" s="8"/>
      <c r="C686" s="2"/>
      <c r="D686" s="2"/>
      <c r="E686" s="2"/>
      <c r="F686" s="2"/>
      <c r="G686" s="7"/>
      <c r="H686" s="7"/>
      <c r="I686" s="7"/>
      <c r="J686" s="7"/>
      <c r="K686" s="7"/>
      <c r="L686" s="7"/>
      <c r="M686" s="7"/>
      <c r="N686" s="4"/>
      <c r="O686" s="4"/>
      <c r="P686" s="4"/>
      <c r="Q686" s="4"/>
      <c r="R686" s="4"/>
    </row>
    <row r="687">
      <c r="A687" s="1"/>
      <c r="B687" s="8"/>
      <c r="C687" s="2"/>
      <c r="D687" s="2"/>
      <c r="E687" s="2"/>
      <c r="F687" s="2"/>
      <c r="G687" s="7"/>
      <c r="H687" s="7"/>
      <c r="I687" s="7"/>
      <c r="J687" s="7"/>
      <c r="K687" s="7"/>
      <c r="L687" s="7"/>
      <c r="M687" s="7"/>
      <c r="N687" s="4"/>
      <c r="O687" s="4"/>
      <c r="P687" s="4"/>
      <c r="Q687" s="4"/>
      <c r="R687" s="4"/>
    </row>
    <row r="688">
      <c r="A688" s="1"/>
      <c r="B688" s="8"/>
      <c r="C688" s="2"/>
      <c r="D688" s="2"/>
      <c r="E688" s="2"/>
      <c r="F688" s="2"/>
      <c r="G688" s="7"/>
      <c r="H688" s="7"/>
      <c r="I688" s="7"/>
      <c r="J688" s="7"/>
      <c r="K688" s="7"/>
      <c r="L688" s="7"/>
      <c r="M688" s="7"/>
      <c r="N688" s="4"/>
      <c r="O688" s="4"/>
      <c r="P688" s="4"/>
      <c r="Q688" s="4"/>
      <c r="R688" s="4"/>
    </row>
    <row r="689">
      <c r="A689" s="1"/>
      <c r="B689" s="8"/>
      <c r="C689" s="2"/>
      <c r="D689" s="2"/>
      <c r="E689" s="2"/>
      <c r="F689" s="2"/>
      <c r="G689" s="7"/>
      <c r="H689" s="7"/>
      <c r="I689" s="7"/>
      <c r="J689" s="7"/>
      <c r="K689" s="7"/>
      <c r="L689" s="7"/>
      <c r="M689" s="7"/>
      <c r="N689" s="4"/>
      <c r="O689" s="4"/>
      <c r="P689" s="4"/>
      <c r="Q689" s="4"/>
      <c r="R689" s="4"/>
    </row>
    <row r="690">
      <c r="A690" s="1"/>
      <c r="B690" s="8"/>
      <c r="C690" s="2"/>
      <c r="D690" s="2"/>
      <c r="E690" s="2"/>
      <c r="F690" s="2"/>
      <c r="G690" s="7"/>
      <c r="H690" s="7"/>
      <c r="I690" s="7"/>
      <c r="J690" s="7"/>
      <c r="K690" s="7"/>
      <c r="L690" s="7"/>
      <c r="M690" s="7"/>
      <c r="N690" s="4"/>
      <c r="O690" s="4"/>
      <c r="P690" s="4"/>
      <c r="Q690" s="4"/>
      <c r="R690" s="4"/>
    </row>
    <row r="691">
      <c r="A691" s="1"/>
      <c r="B691" s="8"/>
      <c r="C691" s="2"/>
      <c r="D691" s="2"/>
      <c r="E691" s="2"/>
      <c r="F691" s="2"/>
      <c r="G691" s="7"/>
      <c r="H691" s="7"/>
      <c r="I691" s="7"/>
      <c r="J691" s="7"/>
      <c r="K691" s="7"/>
      <c r="L691" s="7"/>
      <c r="M691" s="7"/>
      <c r="N691" s="4"/>
      <c r="O691" s="4"/>
      <c r="P691" s="4"/>
      <c r="Q691" s="4"/>
      <c r="R691" s="4"/>
    </row>
    <row r="692">
      <c r="A692" s="1"/>
      <c r="B692" s="8"/>
      <c r="C692" s="2"/>
      <c r="D692" s="2"/>
      <c r="E692" s="2"/>
      <c r="F692" s="2"/>
      <c r="G692" s="7"/>
      <c r="H692" s="7"/>
      <c r="I692" s="7"/>
      <c r="J692" s="7"/>
      <c r="K692" s="7"/>
      <c r="L692" s="7"/>
      <c r="M692" s="7"/>
      <c r="N692" s="4"/>
      <c r="O692" s="4"/>
      <c r="P692" s="4"/>
      <c r="Q692" s="4"/>
      <c r="R692" s="4"/>
    </row>
    <row r="693">
      <c r="A693" s="1"/>
      <c r="B693" s="8"/>
      <c r="C693" s="2"/>
      <c r="D693" s="2"/>
      <c r="E693" s="2"/>
      <c r="F693" s="2"/>
      <c r="G693" s="7"/>
      <c r="H693" s="7"/>
      <c r="I693" s="7"/>
      <c r="J693" s="7"/>
      <c r="K693" s="7"/>
      <c r="L693" s="7"/>
      <c r="M693" s="7"/>
      <c r="N693" s="4"/>
      <c r="O693" s="4"/>
      <c r="P693" s="4"/>
      <c r="Q693" s="4"/>
      <c r="R693" s="4"/>
    </row>
    <row r="694">
      <c r="A694" s="1"/>
      <c r="B694" s="8"/>
      <c r="C694" s="2"/>
      <c r="D694" s="2"/>
      <c r="E694" s="2"/>
      <c r="F694" s="2"/>
      <c r="G694" s="7"/>
      <c r="H694" s="7"/>
      <c r="I694" s="7"/>
      <c r="J694" s="7"/>
      <c r="K694" s="7"/>
      <c r="L694" s="7"/>
      <c r="M694" s="7"/>
      <c r="N694" s="4"/>
      <c r="O694" s="4"/>
      <c r="P694" s="4"/>
      <c r="Q694" s="4"/>
      <c r="R694" s="4"/>
    </row>
    <row r="695">
      <c r="A695" s="1"/>
      <c r="B695" s="8"/>
      <c r="C695" s="2"/>
      <c r="D695" s="2"/>
      <c r="E695" s="2"/>
      <c r="F695" s="2"/>
      <c r="G695" s="7"/>
      <c r="H695" s="7"/>
      <c r="I695" s="7"/>
      <c r="J695" s="7"/>
      <c r="K695" s="7"/>
      <c r="L695" s="7"/>
      <c r="M695" s="7"/>
      <c r="N695" s="4"/>
      <c r="O695" s="4"/>
      <c r="P695" s="4"/>
      <c r="Q695" s="4"/>
      <c r="R695" s="4"/>
    </row>
    <row r="696">
      <c r="A696" s="1"/>
      <c r="B696" s="8"/>
      <c r="C696" s="2"/>
      <c r="D696" s="2"/>
      <c r="E696" s="2"/>
      <c r="F696" s="2"/>
      <c r="G696" s="7"/>
      <c r="H696" s="7"/>
      <c r="I696" s="7"/>
      <c r="J696" s="7"/>
      <c r="K696" s="7"/>
      <c r="L696" s="7"/>
      <c r="M696" s="7"/>
      <c r="N696" s="4"/>
      <c r="O696" s="4"/>
      <c r="P696" s="4"/>
      <c r="Q696" s="4"/>
      <c r="R696" s="4"/>
    </row>
    <row r="697">
      <c r="A697" s="1"/>
      <c r="B697" s="8"/>
      <c r="C697" s="2"/>
      <c r="D697" s="2"/>
      <c r="E697" s="2"/>
      <c r="F697" s="2"/>
      <c r="G697" s="7"/>
      <c r="H697" s="7"/>
      <c r="I697" s="7"/>
      <c r="J697" s="7"/>
      <c r="K697" s="7"/>
      <c r="L697" s="7"/>
      <c r="M697" s="7"/>
      <c r="N697" s="4"/>
      <c r="O697" s="4"/>
      <c r="P697" s="4"/>
      <c r="Q697" s="4"/>
      <c r="R697" s="4"/>
    </row>
    <row r="698">
      <c r="A698" s="1"/>
      <c r="B698" s="8"/>
      <c r="C698" s="2"/>
      <c r="D698" s="2"/>
      <c r="E698" s="2"/>
      <c r="F698" s="2"/>
      <c r="G698" s="7"/>
      <c r="H698" s="7"/>
      <c r="I698" s="7"/>
      <c r="J698" s="7"/>
      <c r="K698" s="7"/>
      <c r="L698" s="7"/>
      <c r="M698" s="7"/>
      <c r="N698" s="4"/>
      <c r="O698" s="4"/>
      <c r="P698" s="4"/>
      <c r="Q698" s="4"/>
      <c r="R698" s="4"/>
    </row>
    <row r="699">
      <c r="A699" s="1"/>
      <c r="B699" s="8"/>
      <c r="C699" s="2"/>
      <c r="D699" s="2"/>
      <c r="E699" s="2"/>
      <c r="F699" s="2"/>
      <c r="G699" s="7"/>
      <c r="H699" s="7"/>
      <c r="I699" s="7"/>
      <c r="J699" s="7"/>
      <c r="K699" s="7"/>
      <c r="L699" s="7"/>
      <c r="M699" s="7"/>
      <c r="N699" s="4"/>
      <c r="O699" s="4"/>
      <c r="P699" s="4"/>
      <c r="Q699" s="4"/>
      <c r="R699" s="4"/>
    </row>
    <row r="700">
      <c r="A700" s="1"/>
      <c r="B700" s="8"/>
      <c r="C700" s="2"/>
      <c r="D700" s="2"/>
      <c r="E700" s="2"/>
      <c r="F700" s="2"/>
      <c r="G700" s="7"/>
      <c r="H700" s="7"/>
      <c r="I700" s="7"/>
      <c r="J700" s="7"/>
      <c r="K700" s="7"/>
      <c r="L700" s="7"/>
      <c r="M700" s="7"/>
      <c r="N700" s="4"/>
      <c r="O700" s="4"/>
      <c r="P700" s="4"/>
      <c r="Q700" s="4"/>
      <c r="R700" s="4"/>
    </row>
    <row r="701">
      <c r="A701" s="1"/>
      <c r="B701" s="8"/>
      <c r="C701" s="2"/>
      <c r="D701" s="2"/>
      <c r="E701" s="2"/>
      <c r="F701" s="2"/>
      <c r="G701" s="7"/>
      <c r="H701" s="7"/>
      <c r="I701" s="7"/>
      <c r="J701" s="7"/>
      <c r="K701" s="7"/>
      <c r="L701" s="7"/>
      <c r="M701" s="7"/>
      <c r="N701" s="4"/>
      <c r="O701" s="4"/>
      <c r="P701" s="4"/>
      <c r="Q701" s="4"/>
      <c r="R701" s="4"/>
    </row>
    <row r="702">
      <c r="A702" s="1"/>
      <c r="B702" s="8"/>
      <c r="C702" s="2"/>
      <c r="D702" s="2"/>
      <c r="E702" s="2"/>
      <c r="F702" s="2"/>
      <c r="G702" s="7"/>
      <c r="H702" s="7"/>
      <c r="I702" s="7"/>
      <c r="J702" s="7"/>
      <c r="K702" s="7"/>
      <c r="L702" s="7"/>
      <c r="M702" s="7"/>
      <c r="N702" s="4"/>
      <c r="O702" s="4"/>
      <c r="P702" s="4"/>
      <c r="Q702" s="4"/>
      <c r="R702" s="4"/>
    </row>
    <row r="703">
      <c r="A703" s="1"/>
      <c r="B703" s="8"/>
      <c r="C703" s="2"/>
      <c r="D703" s="2"/>
      <c r="E703" s="2"/>
      <c r="F703" s="2"/>
      <c r="G703" s="7"/>
      <c r="H703" s="7"/>
      <c r="I703" s="7"/>
      <c r="J703" s="7"/>
      <c r="K703" s="7"/>
      <c r="L703" s="7"/>
      <c r="M703" s="7"/>
      <c r="N703" s="4"/>
      <c r="O703" s="4"/>
      <c r="P703" s="4"/>
      <c r="Q703" s="4"/>
      <c r="R703" s="4"/>
    </row>
    <row r="704">
      <c r="A704" s="1"/>
      <c r="B704" s="8"/>
      <c r="C704" s="2"/>
      <c r="D704" s="2"/>
      <c r="E704" s="2"/>
      <c r="F704" s="2"/>
      <c r="G704" s="7"/>
      <c r="H704" s="7"/>
      <c r="I704" s="7"/>
      <c r="J704" s="7"/>
      <c r="K704" s="7"/>
      <c r="L704" s="7"/>
      <c r="M704" s="7"/>
      <c r="N704" s="4"/>
      <c r="O704" s="4"/>
      <c r="P704" s="4"/>
      <c r="Q704" s="4"/>
      <c r="R704" s="4"/>
    </row>
    <row r="705">
      <c r="A705" s="1"/>
      <c r="B705" s="8"/>
      <c r="C705" s="2"/>
      <c r="D705" s="2"/>
      <c r="E705" s="2"/>
      <c r="F705" s="2"/>
      <c r="G705" s="7"/>
      <c r="H705" s="7"/>
      <c r="I705" s="7"/>
      <c r="J705" s="7"/>
      <c r="K705" s="7"/>
      <c r="L705" s="7"/>
      <c r="M705" s="7"/>
      <c r="N705" s="4"/>
      <c r="O705" s="4"/>
      <c r="P705" s="4"/>
      <c r="Q705" s="4"/>
      <c r="R705" s="4"/>
    </row>
    <row r="706">
      <c r="A706" s="1"/>
      <c r="B706" s="8"/>
      <c r="C706" s="2"/>
      <c r="D706" s="2"/>
      <c r="E706" s="2"/>
      <c r="F706" s="2"/>
      <c r="G706" s="7"/>
      <c r="H706" s="7"/>
      <c r="I706" s="7"/>
      <c r="J706" s="7"/>
      <c r="K706" s="7"/>
      <c r="L706" s="7"/>
      <c r="M706" s="7"/>
      <c r="N706" s="4"/>
      <c r="O706" s="4"/>
      <c r="P706" s="4"/>
      <c r="Q706" s="4"/>
      <c r="R706" s="4"/>
    </row>
    <row r="707">
      <c r="A707" s="1"/>
      <c r="B707" s="8"/>
      <c r="C707" s="2"/>
      <c r="D707" s="2"/>
      <c r="E707" s="2"/>
      <c r="F707" s="2"/>
      <c r="G707" s="7"/>
      <c r="H707" s="7"/>
      <c r="I707" s="7"/>
      <c r="J707" s="7"/>
      <c r="K707" s="7"/>
      <c r="L707" s="7"/>
      <c r="M707" s="7"/>
      <c r="N707" s="4"/>
      <c r="O707" s="4"/>
      <c r="P707" s="4"/>
      <c r="Q707" s="4"/>
      <c r="R707" s="4"/>
    </row>
    <row r="708">
      <c r="A708" s="1"/>
      <c r="B708" s="8"/>
      <c r="C708" s="2"/>
      <c r="D708" s="2"/>
      <c r="E708" s="2"/>
      <c r="F708" s="2"/>
      <c r="G708" s="7"/>
      <c r="H708" s="7"/>
      <c r="I708" s="7"/>
      <c r="J708" s="7"/>
      <c r="K708" s="7"/>
      <c r="L708" s="7"/>
      <c r="M708" s="7"/>
      <c r="N708" s="4"/>
      <c r="O708" s="4"/>
      <c r="P708" s="4"/>
      <c r="Q708" s="4"/>
      <c r="R708" s="4"/>
    </row>
    <row r="709">
      <c r="A709" s="1"/>
      <c r="B709" s="8"/>
      <c r="C709" s="2"/>
      <c r="D709" s="2"/>
      <c r="E709" s="2"/>
      <c r="F709" s="2"/>
      <c r="G709" s="7"/>
      <c r="H709" s="7"/>
      <c r="I709" s="7"/>
      <c r="J709" s="7"/>
      <c r="K709" s="7"/>
      <c r="L709" s="7"/>
      <c r="M709" s="7"/>
      <c r="N709" s="4"/>
      <c r="O709" s="4"/>
      <c r="P709" s="4"/>
      <c r="Q709" s="4"/>
      <c r="R709" s="4"/>
    </row>
    <row r="710">
      <c r="A710" s="1"/>
      <c r="B710" s="8"/>
      <c r="C710" s="2"/>
      <c r="D710" s="2"/>
      <c r="E710" s="2"/>
      <c r="F710" s="2"/>
      <c r="G710" s="7"/>
      <c r="H710" s="7"/>
      <c r="I710" s="7"/>
      <c r="J710" s="7"/>
      <c r="K710" s="7"/>
      <c r="L710" s="7"/>
      <c r="M710" s="7"/>
      <c r="N710" s="4"/>
      <c r="O710" s="4"/>
      <c r="P710" s="4"/>
      <c r="Q710" s="4"/>
      <c r="R710" s="4"/>
    </row>
    <row r="711">
      <c r="A711" s="1"/>
      <c r="B711" s="8"/>
      <c r="C711" s="2"/>
      <c r="D711" s="2"/>
      <c r="E711" s="2"/>
      <c r="F711" s="2"/>
      <c r="G711" s="7"/>
      <c r="H711" s="7"/>
      <c r="I711" s="7"/>
      <c r="J711" s="7"/>
      <c r="K711" s="7"/>
      <c r="L711" s="7"/>
      <c r="M711" s="7"/>
      <c r="N711" s="4"/>
      <c r="O711" s="4"/>
      <c r="P711" s="4"/>
      <c r="Q711" s="4"/>
      <c r="R711" s="4"/>
    </row>
    <row r="712">
      <c r="A712" s="1"/>
      <c r="B712" s="8"/>
      <c r="C712" s="2"/>
      <c r="D712" s="2"/>
      <c r="E712" s="2"/>
      <c r="F712" s="2"/>
      <c r="G712" s="7"/>
      <c r="H712" s="7"/>
      <c r="I712" s="7"/>
      <c r="J712" s="7"/>
      <c r="K712" s="7"/>
      <c r="L712" s="7"/>
      <c r="M712" s="7"/>
      <c r="N712" s="4"/>
      <c r="O712" s="4"/>
      <c r="P712" s="4"/>
      <c r="Q712" s="4"/>
      <c r="R712" s="4"/>
    </row>
    <row r="713">
      <c r="A713" s="1"/>
      <c r="B713" s="8"/>
      <c r="C713" s="2"/>
      <c r="D713" s="2"/>
      <c r="E713" s="2"/>
      <c r="F713" s="2"/>
      <c r="G713" s="7"/>
      <c r="H713" s="7"/>
      <c r="I713" s="7"/>
      <c r="J713" s="7"/>
      <c r="K713" s="7"/>
      <c r="L713" s="7"/>
      <c r="M713" s="7"/>
      <c r="N713" s="4"/>
      <c r="O713" s="4"/>
      <c r="P713" s="4"/>
      <c r="Q713" s="4"/>
      <c r="R713" s="4"/>
    </row>
    <row r="714">
      <c r="A714" s="1"/>
      <c r="B714" s="8"/>
      <c r="C714" s="2"/>
      <c r="D714" s="2"/>
      <c r="E714" s="2"/>
      <c r="F714" s="2"/>
      <c r="G714" s="7"/>
      <c r="H714" s="7"/>
      <c r="I714" s="7"/>
      <c r="J714" s="7"/>
      <c r="K714" s="7"/>
      <c r="L714" s="7"/>
      <c r="M714" s="7"/>
      <c r="N714" s="4"/>
      <c r="O714" s="4"/>
      <c r="P714" s="4"/>
      <c r="Q714" s="4"/>
      <c r="R714" s="4"/>
    </row>
    <row r="715">
      <c r="A715" s="1"/>
      <c r="B715" s="8"/>
      <c r="C715" s="2"/>
      <c r="D715" s="2"/>
      <c r="E715" s="2"/>
      <c r="F715" s="2"/>
      <c r="G715" s="7"/>
      <c r="H715" s="7"/>
      <c r="I715" s="7"/>
      <c r="J715" s="7"/>
      <c r="K715" s="7"/>
      <c r="L715" s="7"/>
      <c r="M715" s="7"/>
      <c r="N715" s="4"/>
      <c r="O715" s="4"/>
      <c r="P715" s="4"/>
      <c r="Q715" s="4"/>
      <c r="R715" s="4"/>
    </row>
    <row r="716">
      <c r="A716" s="1"/>
      <c r="B716" s="8"/>
      <c r="C716" s="2"/>
      <c r="D716" s="2"/>
      <c r="E716" s="2"/>
      <c r="F716" s="2"/>
      <c r="G716" s="7"/>
      <c r="H716" s="7"/>
      <c r="I716" s="7"/>
      <c r="J716" s="7"/>
      <c r="K716" s="7"/>
      <c r="L716" s="7"/>
      <c r="M716" s="7"/>
      <c r="N716" s="4"/>
      <c r="O716" s="4"/>
      <c r="P716" s="4"/>
      <c r="Q716" s="4"/>
      <c r="R716" s="4"/>
    </row>
    <row r="717">
      <c r="A717" s="1"/>
      <c r="B717" s="8"/>
      <c r="C717" s="2"/>
      <c r="D717" s="2"/>
      <c r="E717" s="2"/>
      <c r="F717" s="2"/>
      <c r="G717" s="7"/>
      <c r="H717" s="7"/>
      <c r="I717" s="7"/>
      <c r="J717" s="7"/>
      <c r="K717" s="7"/>
      <c r="L717" s="7"/>
      <c r="M717" s="7"/>
      <c r="N717" s="4"/>
      <c r="O717" s="4"/>
      <c r="P717" s="4"/>
      <c r="Q717" s="4"/>
      <c r="R717" s="4"/>
    </row>
    <row r="718">
      <c r="A718" s="1"/>
      <c r="B718" s="8"/>
      <c r="C718" s="2"/>
      <c r="D718" s="2"/>
      <c r="E718" s="2"/>
      <c r="F718" s="2"/>
      <c r="G718" s="7"/>
      <c r="H718" s="7"/>
      <c r="I718" s="7"/>
      <c r="J718" s="7"/>
      <c r="K718" s="7"/>
      <c r="L718" s="7"/>
      <c r="M718" s="7"/>
      <c r="N718" s="4"/>
      <c r="O718" s="4"/>
      <c r="P718" s="4"/>
      <c r="Q718" s="4"/>
      <c r="R718" s="4"/>
    </row>
    <row r="719">
      <c r="A719" s="1"/>
      <c r="B719" s="8"/>
      <c r="C719" s="2"/>
      <c r="D719" s="2"/>
      <c r="E719" s="2"/>
      <c r="F719" s="2"/>
      <c r="G719" s="7"/>
      <c r="H719" s="7"/>
      <c r="I719" s="7"/>
      <c r="J719" s="7"/>
      <c r="K719" s="7"/>
      <c r="L719" s="7"/>
      <c r="M719" s="7"/>
      <c r="N719" s="4"/>
      <c r="O719" s="4"/>
      <c r="P719" s="4"/>
      <c r="Q719" s="4"/>
      <c r="R719" s="4"/>
    </row>
    <row r="720">
      <c r="A720" s="1"/>
      <c r="B720" s="8"/>
      <c r="C720" s="2"/>
      <c r="D720" s="2"/>
      <c r="E720" s="2"/>
      <c r="F720" s="2"/>
      <c r="G720" s="7"/>
      <c r="H720" s="7"/>
      <c r="I720" s="7"/>
      <c r="J720" s="7"/>
      <c r="K720" s="7"/>
      <c r="L720" s="7"/>
      <c r="M720" s="7"/>
      <c r="N720" s="4"/>
      <c r="O720" s="4"/>
      <c r="P720" s="4"/>
      <c r="Q720" s="4"/>
      <c r="R720" s="4"/>
    </row>
    <row r="721">
      <c r="A721" s="1"/>
      <c r="B721" s="8"/>
      <c r="C721" s="2"/>
      <c r="D721" s="2"/>
      <c r="E721" s="2"/>
      <c r="F721" s="2"/>
      <c r="G721" s="7"/>
      <c r="H721" s="7"/>
      <c r="I721" s="7"/>
      <c r="J721" s="7"/>
      <c r="K721" s="7"/>
      <c r="L721" s="7"/>
      <c r="M721" s="7"/>
      <c r="N721" s="4"/>
      <c r="O721" s="4"/>
      <c r="P721" s="4"/>
      <c r="Q721" s="4"/>
      <c r="R721" s="4"/>
    </row>
    <row r="722">
      <c r="A722" s="1"/>
      <c r="B722" s="8"/>
      <c r="C722" s="2"/>
      <c r="D722" s="2"/>
      <c r="E722" s="2"/>
      <c r="F722" s="2"/>
      <c r="G722" s="7"/>
      <c r="H722" s="7"/>
      <c r="I722" s="7"/>
      <c r="J722" s="7"/>
      <c r="K722" s="7"/>
      <c r="L722" s="7"/>
      <c r="M722" s="7"/>
      <c r="N722" s="4"/>
      <c r="O722" s="4"/>
      <c r="P722" s="4"/>
      <c r="Q722" s="4"/>
      <c r="R722" s="4"/>
    </row>
    <row r="723">
      <c r="A723" s="1"/>
      <c r="B723" s="8"/>
      <c r="C723" s="2"/>
      <c r="D723" s="2"/>
      <c r="E723" s="2"/>
      <c r="F723" s="2"/>
      <c r="G723" s="7"/>
      <c r="H723" s="7"/>
      <c r="I723" s="7"/>
      <c r="J723" s="7"/>
      <c r="K723" s="7"/>
      <c r="L723" s="7"/>
      <c r="M723" s="7"/>
      <c r="N723" s="4"/>
      <c r="O723" s="4"/>
      <c r="P723" s="4"/>
      <c r="Q723" s="4"/>
      <c r="R723" s="4"/>
    </row>
    <row r="724">
      <c r="A724" s="1"/>
      <c r="B724" s="8"/>
      <c r="C724" s="2"/>
      <c r="D724" s="2"/>
      <c r="E724" s="2"/>
      <c r="F724" s="2"/>
      <c r="G724" s="7"/>
      <c r="H724" s="7"/>
      <c r="I724" s="7"/>
      <c r="J724" s="7"/>
      <c r="K724" s="7"/>
      <c r="L724" s="7"/>
      <c r="M724" s="7"/>
      <c r="N724" s="4"/>
      <c r="O724" s="4"/>
      <c r="P724" s="4"/>
      <c r="Q724" s="4"/>
      <c r="R724" s="4"/>
    </row>
    <row r="725">
      <c r="A725" s="1"/>
      <c r="B725" s="8"/>
      <c r="C725" s="2"/>
      <c r="D725" s="2"/>
      <c r="E725" s="2"/>
      <c r="F725" s="2"/>
      <c r="G725" s="7"/>
      <c r="H725" s="7"/>
      <c r="I725" s="7"/>
      <c r="J725" s="7"/>
      <c r="K725" s="7"/>
      <c r="L725" s="7"/>
      <c r="M725" s="7"/>
      <c r="N725" s="4"/>
      <c r="O725" s="4"/>
      <c r="P725" s="4"/>
      <c r="Q725" s="4"/>
      <c r="R725" s="4"/>
    </row>
    <row r="726">
      <c r="A726" s="1"/>
      <c r="B726" s="8"/>
      <c r="C726" s="2"/>
      <c r="D726" s="2"/>
      <c r="E726" s="2"/>
      <c r="F726" s="2"/>
      <c r="G726" s="7"/>
      <c r="H726" s="7"/>
      <c r="I726" s="7"/>
      <c r="J726" s="7"/>
      <c r="K726" s="7"/>
      <c r="L726" s="7"/>
      <c r="M726" s="7"/>
      <c r="N726" s="4"/>
      <c r="O726" s="4"/>
      <c r="P726" s="4"/>
      <c r="Q726" s="4"/>
      <c r="R726" s="4"/>
    </row>
    <row r="727">
      <c r="A727" s="1"/>
      <c r="B727" s="8"/>
      <c r="C727" s="2"/>
      <c r="D727" s="2"/>
      <c r="E727" s="2"/>
      <c r="F727" s="2"/>
      <c r="G727" s="7"/>
      <c r="H727" s="7"/>
      <c r="I727" s="7"/>
      <c r="J727" s="7"/>
      <c r="K727" s="7"/>
      <c r="L727" s="7"/>
      <c r="M727" s="7"/>
      <c r="N727" s="4"/>
      <c r="O727" s="4"/>
      <c r="P727" s="4"/>
      <c r="Q727" s="4"/>
      <c r="R727" s="4"/>
    </row>
    <row r="728">
      <c r="A728" s="1"/>
      <c r="B728" s="8"/>
      <c r="C728" s="2"/>
      <c r="D728" s="2"/>
      <c r="E728" s="2"/>
      <c r="F728" s="2"/>
      <c r="G728" s="7"/>
      <c r="H728" s="7"/>
      <c r="I728" s="7"/>
      <c r="J728" s="7"/>
      <c r="K728" s="7"/>
      <c r="L728" s="7"/>
      <c r="M728" s="7"/>
      <c r="N728" s="4"/>
      <c r="O728" s="4"/>
      <c r="P728" s="4"/>
      <c r="Q728" s="4"/>
      <c r="R728" s="4"/>
    </row>
    <row r="729">
      <c r="A729" s="1"/>
      <c r="B729" s="8"/>
      <c r="C729" s="2"/>
      <c r="D729" s="2"/>
      <c r="E729" s="2"/>
      <c r="F729" s="2"/>
      <c r="G729" s="7"/>
      <c r="H729" s="7"/>
      <c r="I729" s="7"/>
      <c r="J729" s="7"/>
      <c r="K729" s="7"/>
      <c r="L729" s="7"/>
      <c r="M729" s="7"/>
      <c r="N729" s="4"/>
      <c r="O729" s="4"/>
      <c r="P729" s="4"/>
      <c r="Q729" s="4"/>
      <c r="R729" s="4"/>
    </row>
    <row r="730">
      <c r="A730" s="1"/>
      <c r="B730" s="8"/>
      <c r="C730" s="2"/>
      <c r="D730" s="2"/>
      <c r="E730" s="2"/>
      <c r="F730" s="2"/>
      <c r="G730" s="7"/>
      <c r="H730" s="7"/>
      <c r="I730" s="7"/>
      <c r="J730" s="7"/>
      <c r="K730" s="7"/>
      <c r="L730" s="7"/>
      <c r="M730" s="7"/>
      <c r="N730" s="4"/>
      <c r="O730" s="4"/>
      <c r="P730" s="4"/>
      <c r="Q730" s="4"/>
      <c r="R730" s="4"/>
    </row>
    <row r="731">
      <c r="A731" s="1"/>
      <c r="B731" s="8"/>
      <c r="C731" s="2"/>
      <c r="D731" s="2"/>
      <c r="E731" s="2"/>
      <c r="F731" s="2"/>
      <c r="G731" s="7"/>
      <c r="H731" s="7"/>
      <c r="I731" s="7"/>
      <c r="J731" s="7"/>
      <c r="K731" s="7"/>
      <c r="L731" s="7"/>
      <c r="M731" s="7"/>
      <c r="N731" s="4"/>
      <c r="O731" s="4"/>
      <c r="P731" s="4"/>
      <c r="Q731" s="4"/>
      <c r="R731" s="4"/>
    </row>
    <row r="732">
      <c r="A732" s="1"/>
      <c r="B732" s="8"/>
      <c r="C732" s="2"/>
      <c r="D732" s="2"/>
      <c r="E732" s="2"/>
      <c r="F732" s="2"/>
      <c r="G732" s="7"/>
      <c r="H732" s="7"/>
      <c r="I732" s="7"/>
      <c r="J732" s="7"/>
      <c r="K732" s="7"/>
      <c r="L732" s="7"/>
      <c r="M732" s="7"/>
      <c r="N732" s="4"/>
      <c r="O732" s="4"/>
      <c r="P732" s="4"/>
      <c r="Q732" s="4"/>
      <c r="R732" s="4"/>
    </row>
    <row r="733">
      <c r="A733" s="1"/>
      <c r="B733" s="8"/>
      <c r="C733" s="2"/>
      <c r="D733" s="2"/>
      <c r="E733" s="2"/>
      <c r="F733" s="2"/>
      <c r="G733" s="7"/>
      <c r="H733" s="7"/>
      <c r="I733" s="7"/>
      <c r="J733" s="7"/>
      <c r="K733" s="7"/>
      <c r="L733" s="7"/>
      <c r="M733" s="7"/>
      <c r="N733" s="4"/>
      <c r="O733" s="4"/>
      <c r="P733" s="4"/>
      <c r="Q733" s="4"/>
      <c r="R733" s="4"/>
    </row>
    <row r="734">
      <c r="A734" s="1"/>
      <c r="B734" s="8"/>
      <c r="C734" s="2"/>
      <c r="D734" s="2"/>
      <c r="E734" s="2"/>
      <c r="F734" s="2"/>
      <c r="G734" s="7"/>
      <c r="H734" s="7"/>
      <c r="I734" s="7"/>
      <c r="J734" s="7"/>
      <c r="K734" s="7"/>
      <c r="L734" s="7"/>
      <c r="M734" s="7"/>
      <c r="N734" s="4"/>
      <c r="O734" s="4"/>
      <c r="P734" s="4"/>
      <c r="Q734" s="4"/>
      <c r="R734" s="4"/>
    </row>
    <row r="735">
      <c r="A735" s="1"/>
      <c r="B735" s="8"/>
      <c r="C735" s="2"/>
      <c r="D735" s="2"/>
      <c r="E735" s="2"/>
      <c r="F735" s="2"/>
      <c r="G735" s="7"/>
      <c r="H735" s="7"/>
      <c r="I735" s="7"/>
      <c r="J735" s="7"/>
      <c r="K735" s="7"/>
      <c r="L735" s="7"/>
      <c r="M735" s="7"/>
      <c r="N735" s="4"/>
      <c r="O735" s="4"/>
      <c r="P735" s="4"/>
      <c r="Q735" s="4"/>
      <c r="R735" s="4"/>
    </row>
    <row r="736">
      <c r="A736" s="1"/>
      <c r="B736" s="8"/>
      <c r="C736" s="2"/>
      <c r="D736" s="2"/>
      <c r="E736" s="2"/>
      <c r="F736" s="2"/>
      <c r="G736" s="7"/>
      <c r="H736" s="7"/>
      <c r="I736" s="7"/>
      <c r="J736" s="7"/>
      <c r="K736" s="7"/>
      <c r="L736" s="7"/>
      <c r="M736" s="7"/>
      <c r="N736" s="4"/>
      <c r="O736" s="4"/>
      <c r="P736" s="4"/>
      <c r="Q736" s="4"/>
      <c r="R736" s="4"/>
    </row>
    <row r="737">
      <c r="A737" s="1"/>
      <c r="B737" s="8"/>
      <c r="C737" s="2"/>
      <c r="D737" s="2"/>
      <c r="E737" s="2"/>
      <c r="F737" s="2"/>
      <c r="G737" s="7"/>
      <c r="H737" s="7"/>
      <c r="I737" s="7"/>
      <c r="J737" s="7"/>
      <c r="K737" s="7"/>
      <c r="L737" s="7"/>
      <c r="M737" s="7"/>
      <c r="N737" s="4"/>
      <c r="O737" s="4"/>
      <c r="P737" s="4"/>
      <c r="Q737" s="4"/>
      <c r="R737" s="4"/>
    </row>
    <row r="738">
      <c r="A738" s="1"/>
      <c r="B738" s="8"/>
      <c r="C738" s="2"/>
      <c r="D738" s="2"/>
      <c r="E738" s="2"/>
      <c r="F738" s="2"/>
      <c r="G738" s="7"/>
      <c r="H738" s="7"/>
      <c r="I738" s="7"/>
      <c r="J738" s="7"/>
      <c r="K738" s="7"/>
      <c r="L738" s="7"/>
      <c r="M738" s="7"/>
      <c r="N738" s="4"/>
      <c r="O738" s="4"/>
      <c r="P738" s="4"/>
      <c r="Q738" s="4"/>
      <c r="R738" s="4"/>
    </row>
    <row r="739">
      <c r="A739" s="1"/>
      <c r="B739" s="8"/>
      <c r="C739" s="2"/>
      <c r="D739" s="2"/>
      <c r="E739" s="2"/>
      <c r="F739" s="2"/>
      <c r="G739" s="7"/>
      <c r="H739" s="7"/>
      <c r="I739" s="7"/>
      <c r="J739" s="7"/>
      <c r="K739" s="7"/>
      <c r="L739" s="7"/>
      <c r="M739" s="7"/>
      <c r="N739" s="4"/>
      <c r="O739" s="4"/>
      <c r="P739" s="4"/>
      <c r="Q739" s="4"/>
      <c r="R739" s="4"/>
    </row>
    <row r="740">
      <c r="A740" s="1"/>
      <c r="B740" s="8"/>
      <c r="C740" s="2"/>
      <c r="D740" s="2"/>
      <c r="E740" s="2"/>
      <c r="F740" s="2"/>
      <c r="G740" s="7"/>
      <c r="H740" s="7"/>
      <c r="I740" s="7"/>
      <c r="J740" s="7"/>
      <c r="K740" s="7"/>
      <c r="L740" s="7"/>
      <c r="M740" s="7"/>
      <c r="N740" s="4"/>
      <c r="O740" s="4"/>
      <c r="P740" s="4"/>
      <c r="Q740" s="4"/>
      <c r="R740" s="4"/>
    </row>
    <row r="741">
      <c r="A741" s="1"/>
      <c r="B741" s="8"/>
      <c r="C741" s="2"/>
      <c r="D741" s="2"/>
      <c r="E741" s="2"/>
      <c r="F741" s="2"/>
      <c r="G741" s="7"/>
      <c r="H741" s="7"/>
      <c r="I741" s="7"/>
      <c r="J741" s="7"/>
      <c r="K741" s="7"/>
      <c r="L741" s="7"/>
      <c r="M741" s="7"/>
      <c r="N741" s="4"/>
      <c r="O741" s="4"/>
      <c r="P741" s="4"/>
      <c r="Q741" s="4"/>
      <c r="R741" s="4"/>
    </row>
    <row r="742">
      <c r="A742" s="1"/>
      <c r="B742" s="8"/>
      <c r="C742" s="2"/>
      <c r="D742" s="2"/>
      <c r="E742" s="2"/>
      <c r="F742" s="2"/>
      <c r="G742" s="7"/>
      <c r="H742" s="7"/>
      <c r="I742" s="7"/>
      <c r="J742" s="7"/>
      <c r="K742" s="7"/>
      <c r="L742" s="7"/>
      <c r="M742" s="7"/>
      <c r="N742" s="4"/>
      <c r="O742" s="4"/>
      <c r="P742" s="4"/>
      <c r="Q742" s="4"/>
      <c r="R742" s="4"/>
    </row>
    <row r="743">
      <c r="A743" s="1"/>
      <c r="B743" s="8"/>
      <c r="C743" s="2"/>
      <c r="D743" s="2"/>
      <c r="E743" s="2"/>
      <c r="F743" s="2"/>
      <c r="G743" s="7"/>
      <c r="H743" s="7"/>
      <c r="I743" s="7"/>
      <c r="J743" s="7"/>
      <c r="K743" s="7"/>
      <c r="L743" s="7"/>
      <c r="M743" s="7"/>
      <c r="N743" s="4"/>
      <c r="O743" s="4"/>
      <c r="P743" s="4"/>
      <c r="Q743" s="4"/>
      <c r="R743" s="4"/>
    </row>
    <row r="744">
      <c r="A744" s="1"/>
      <c r="B744" s="8"/>
      <c r="C744" s="2"/>
      <c r="D744" s="2"/>
      <c r="E744" s="2"/>
      <c r="F744" s="2"/>
      <c r="G744" s="7"/>
      <c r="H744" s="7"/>
      <c r="I744" s="7"/>
      <c r="J744" s="7"/>
      <c r="K744" s="7"/>
      <c r="L744" s="7"/>
      <c r="M744" s="7"/>
      <c r="N744" s="4"/>
      <c r="O744" s="4"/>
      <c r="P744" s="4"/>
      <c r="Q744" s="4"/>
      <c r="R744" s="4"/>
    </row>
    <row r="745">
      <c r="A745" s="1"/>
      <c r="B745" s="8"/>
      <c r="C745" s="2"/>
      <c r="D745" s="2"/>
      <c r="E745" s="2"/>
      <c r="F745" s="2"/>
      <c r="G745" s="7"/>
      <c r="H745" s="7"/>
      <c r="I745" s="7"/>
      <c r="J745" s="7"/>
      <c r="K745" s="7"/>
      <c r="L745" s="7"/>
      <c r="M745" s="7"/>
      <c r="N745" s="4"/>
      <c r="O745" s="4"/>
      <c r="P745" s="4"/>
      <c r="Q745" s="4"/>
      <c r="R745" s="4"/>
    </row>
    <row r="746">
      <c r="A746" s="1"/>
      <c r="B746" s="8"/>
      <c r="C746" s="2"/>
      <c r="D746" s="2"/>
      <c r="E746" s="2"/>
      <c r="F746" s="2"/>
      <c r="G746" s="7"/>
      <c r="H746" s="7"/>
      <c r="I746" s="7"/>
      <c r="J746" s="7"/>
      <c r="K746" s="7"/>
      <c r="L746" s="7"/>
      <c r="M746" s="7"/>
      <c r="N746" s="4"/>
      <c r="O746" s="4"/>
      <c r="P746" s="4"/>
      <c r="Q746" s="4"/>
      <c r="R746" s="4"/>
    </row>
    <row r="747">
      <c r="A747" s="1"/>
      <c r="B747" s="8"/>
      <c r="C747" s="2"/>
      <c r="D747" s="2"/>
      <c r="E747" s="2"/>
      <c r="F747" s="2"/>
      <c r="G747" s="7"/>
      <c r="H747" s="7"/>
      <c r="I747" s="7"/>
      <c r="J747" s="7"/>
      <c r="K747" s="7"/>
      <c r="L747" s="7"/>
      <c r="M747" s="7"/>
      <c r="N747" s="4"/>
      <c r="O747" s="4"/>
      <c r="P747" s="4"/>
      <c r="Q747" s="4"/>
      <c r="R747" s="4"/>
    </row>
    <row r="748">
      <c r="A748" s="1"/>
      <c r="B748" s="8"/>
      <c r="C748" s="2"/>
      <c r="D748" s="2"/>
      <c r="E748" s="2"/>
      <c r="F748" s="2"/>
      <c r="G748" s="7"/>
      <c r="H748" s="7"/>
      <c r="I748" s="7"/>
      <c r="J748" s="7"/>
      <c r="K748" s="7"/>
      <c r="L748" s="7"/>
      <c r="M748" s="7"/>
      <c r="N748" s="4"/>
      <c r="O748" s="4"/>
      <c r="P748" s="4"/>
      <c r="Q748" s="4"/>
      <c r="R748" s="4"/>
    </row>
    <row r="749">
      <c r="A749" s="1"/>
      <c r="B749" s="8"/>
      <c r="C749" s="2"/>
      <c r="D749" s="2"/>
      <c r="E749" s="2"/>
      <c r="F749" s="2"/>
      <c r="G749" s="7"/>
      <c r="H749" s="7"/>
      <c r="I749" s="7"/>
      <c r="J749" s="7"/>
      <c r="K749" s="7"/>
      <c r="L749" s="7"/>
      <c r="M749" s="7"/>
      <c r="N749" s="4"/>
      <c r="O749" s="4"/>
      <c r="P749" s="4"/>
      <c r="Q749" s="4"/>
      <c r="R749" s="4"/>
    </row>
    <row r="750">
      <c r="A750" s="1"/>
      <c r="B750" s="8"/>
      <c r="C750" s="2"/>
      <c r="D750" s="2"/>
      <c r="E750" s="2"/>
      <c r="F750" s="2"/>
      <c r="G750" s="7"/>
      <c r="H750" s="7"/>
      <c r="I750" s="7"/>
      <c r="J750" s="7"/>
      <c r="K750" s="7"/>
      <c r="L750" s="7"/>
      <c r="M750" s="7"/>
      <c r="N750" s="4"/>
      <c r="O750" s="4"/>
      <c r="P750" s="4"/>
      <c r="Q750" s="4"/>
      <c r="R750" s="4"/>
    </row>
    <row r="751">
      <c r="A751" s="1"/>
      <c r="B751" s="8"/>
      <c r="C751" s="2"/>
      <c r="D751" s="2"/>
      <c r="E751" s="2"/>
      <c r="F751" s="2"/>
      <c r="G751" s="7"/>
      <c r="H751" s="7"/>
      <c r="I751" s="7"/>
      <c r="J751" s="7"/>
      <c r="K751" s="7"/>
      <c r="L751" s="7"/>
      <c r="M751" s="7"/>
      <c r="N751" s="4"/>
      <c r="O751" s="4"/>
      <c r="P751" s="4"/>
      <c r="Q751" s="4"/>
      <c r="R751" s="4"/>
    </row>
    <row r="752">
      <c r="A752" s="1"/>
      <c r="B752" s="8"/>
      <c r="C752" s="2"/>
      <c r="D752" s="2"/>
      <c r="E752" s="2"/>
      <c r="F752" s="2"/>
      <c r="G752" s="7"/>
      <c r="H752" s="7"/>
      <c r="I752" s="7"/>
      <c r="J752" s="7"/>
      <c r="K752" s="7"/>
      <c r="L752" s="7"/>
      <c r="M752" s="7"/>
      <c r="N752" s="4"/>
      <c r="O752" s="4"/>
      <c r="P752" s="4"/>
      <c r="Q752" s="4"/>
      <c r="R752" s="4"/>
    </row>
    <row r="753">
      <c r="A753" s="1"/>
      <c r="B753" s="8"/>
      <c r="C753" s="2"/>
      <c r="D753" s="2"/>
      <c r="E753" s="2"/>
      <c r="F753" s="2"/>
      <c r="G753" s="7"/>
      <c r="H753" s="7"/>
      <c r="I753" s="7"/>
      <c r="J753" s="7"/>
      <c r="K753" s="7"/>
      <c r="L753" s="7"/>
      <c r="M753" s="7"/>
      <c r="N753" s="4"/>
      <c r="O753" s="4"/>
      <c r="P753" s="4"/>
      <c r="Q753" s="4"/>
      <c r="R753" s="4"/>
    </row>
    <row r="754">
      <c r="A754" s="1"/>
      <c r="B754" s="8"/>
      <c r="C754" s="2"/>
      <c r="D754" s="2"/>
      <c r="E754" s="2"/>
      <c r="F754" s="2"/>
      <c r="G754" s="7"/>
      <c r="H754" s="7"/>
      <c r="I754" s="7"/>
      <c r="J754" s="7"/>
      <c r="K754" s="7"/>
      <c r="L754" s="7"/>
      <c r="M754" s="7"/>
      <c r="N754" s="4"/>
      <c r="O754" s="4"/>
      <c r="P754" s="4"/>
      <c r="Q754" s="4"/>
      <c r="R754" s="4"/>
    </row>
    <row r="755">
      <c r="A755" s="1"/>
      <c r="B755" s="8"/>
      <c r="C755" s="2"/>
      <c r="D755" s="2"/>
      <c r="E755" s="2"/>
      <c r="F755" s="2"/>
      <c r="G755" s="7"/>
      <c r="H755" s="7"/>
      <c r="I755" s="7"/>
      <c r="J755" s="7"/>
      <c r="K755" s="7"/>
      <c r="L755" s="7"/>
      <c r="M755" s="7"/>
      <c r="N755" s="4"/>
      <c r="O755" s="4"/>
      <c r="P755" s="4"/>
      <c r="Q755" s="4"/>
      <c r="R755" s="4"/>
    </row>
    <row r="756">
      <c r="A756" s="1"/>
      <c r="B756" s="8"/>
      <c r="C756" s="2"/>
      <c r="D756" s="2"/>
      <c r="E756" s="2"/>
      <c r="F756" s="2"/>
      <c r="G756" s="7"/>
      <c r="H756" s="7"/>
      <c r="I756" s="7"/>
      <c r="J756" s="7"/>
      <c r="K756" s="7"/>
      <c r="L756" s="7"/>
      <c r="M756" s="7"/>
      <c r="N756" s="4"/>
      <c r="O756" s="4"/>
      <c r="P756" s="4"/>
      <c r="Q756" s="4"/>
      <c r="R756" s="4"/>
    </row>
    <row r="757">
      <c r="A757" s="1"/>
      <c r="B757" s="8"/>
      <c r="C757" s="2"/>
      <c r="D757" s="2"/>
      <c r="E757" s="2"/>
      <c r="F757" s="2"/>
      <c r="G757" s="7"/>
      <c r="H757" s="7"/>
      <c r="I757" s="7"/>
      <c r="J757" s="7"/>
      <c r="K757" s="7"/>
      <c r="L757" s="7"/>
      <c r="M757" s="7"/>
      <c r="N757" s="4"/>
      <c r="O757" s="4"/>
      <c r="P757" s="4"/>
      <c r="Q757" s="4"/>
      <c r="R757" s="4"/>
    </row>
    <row r="758">
      <c r="A758" s="1"/>
      <c r="B758" s="8"/>
      <c r="C758" s="2"/>
      <c r="D758" s="2"/>
      <c r="E758" s="2"/>
      <c r="F758" s="2"/>
      <c r="G758" s="7"/>
      <c r="H758" s="7"/>
      <c r="I758" s="7"/>
      <c r="J758" s="7"/>
      <c r="K758" s="7"/>
      <c r="L758" s="7"/>
      <c r="M758" s="7"/>
      <c r="N758" s="4"/>
      <c r="O758" s="4"/>
      <c r="P758" s="4"/>
      <c r="Q758" s="4"/>
      <c r="R758" s="4"/>
    </row>
    <row r="759">
      <c r="A759" s="1"/>
      <c r="B759" s="8"/>
      <c r="C759" s="2"/>
      <c r="D759" s="2"/>
      <c r="E759" s="2"/>
      <c r="F759" s="2"/>
      <c r="G759" s="7"/>
      <c r="H759" s="7"/>
      <c r="I759" s="7"/>
      <c r="J759" s="7"/>
      <c r="K759" s="7"/>
      <c r="L759" s="7"/>
      <c r="M759" s="7"/>
      <c r="N759" s="4"/>
      <c r="O759" s="4"/>
      <c r="P759" s="4"/>
      <c r="Q759" s="4"/>
      <c r="R759" s="4"/>
    </row>
    <row r="760">
      <c r="A760" s="1"/>
      <c r="B760" s="8"/>
      <c r="C760" s="2"/>
      <c r="D760" s="2"/>
      <c r="E760" s="2"/>
      <c r="F760" s="2"/>
      <c r="G760" s="7"/>
      <c r="H760" s="7"/>
      <c r="I760" s="7"/>
      <c r="J760" s="7"/>
      <c r="K760" s="7"/>
      <c r="L760" s="7"/>
      <c r="M760" s="7"/>
      <c r="N760" s="4"/>
      <c r="O760" s="4"/>
      <c r="P760" s="4"/>
      <c r="Q760" s="4"/>
      <c r="R760" s="4"/>
    </row>
    <row r="761">
      <c r="A761" s="1"/>
      <c r="B761" s="8"/>
      <c r="C761" s="2"/>
      <c r="D761" s="2"/>
      <c r="E761" s="2"/>
      <c r="F761" s="2"/>
      <c r="G761" s="7"/>
      <c r="H761" s="7"/>
      <c r="I761" s="7"/>
      <c r="J761" s="7"/>
      <c r="K761" s="7"/>
      <c r="L761" s="7"/>
      <c r="M761" s="7"/>
      <c r="N761" s="4"/>
      <c r="O761" s="4"/>
      <c r="P761" s="4"/>
      <c r="Q761" s="4"/>
      <c r="R761" s="4"/>
    </row>
    <row r="762">
      <c r="A762" s="1"/>
      <c r="B762" s="8"/>
      <c r="C762" s="2"/>
      <c r="D762" s="2"/>
      <c r="E762" s="2"/>
      <c r="F762" s="2"/>
      <c r="G762" s="7"/>
      <c r="H762" s="7"/>
      <c r="I762" s="7"/>
      <c r="J762" s="7"/>
      <c r="K762" s="7"/>
      <c r="L762" s="7"/>
      <c r="M762" s="7"/>
      <c r="N762" s="4"/>
      <c r="O762" s="4"/>
      <c r="P762" s="4"/>
      <c r="Q762" s="4"/>
      <c r="R762" s="4"/>
    </row>
    <row r="763">
      <c r="A763" s="1"/>
      <c r="B763" s="8"/>
      <c r="C763" s="2"/>
      <c r="D763" s="2"/>
      <c r="E763" s="2"/>
      <c r="F763" s="2"/>
      <c r="G763" s="7"/>
      <c r="H763" s="7"/>
      <c r="I763" s="7"/>
      <c r="J763" s="7"/>
      <c r="K763" s="7"/>
      <c r="L763" s="7"/>
      <c r="M763" s="7"/>
      <c r="N763" s="4"/>
      <c r="O763" s="4"/>
      <c r="P763" s="4"/>
      <c r="Q763" s="4"/>
      <c r="R763" s="4"/>
    </row>
    <row r="764">
      <c r="A764" s="1"/>
      <c r="B764" s="8"/>
      <c r="C764" s="2"/>
      <c r="D764" s="2"/>
      <c r="E764" s="2"/>
      <c r="F764" s="2"/>
      <c r="G764" s="7"/>
      <c r="H764" s="7"/>
      <c r="I764" s="7"/>
      <c r="J764" s="7"/>
      <c r="K764" s="7"/>
      <c r="L764" s="7"/>
      <c r="M764" s="7"/>
      <c r="N764" s="4"/>
      <c r="O764" s="4"/>
      <c r="P764" s="4"/>
      <c r="Q764" s="4"/>
      <c r="R764" s="4"/>
    </row>
    <row r="765">
      <c r="A765" s="1"/>
      <c r="B765" s="8"/>
      <c r="C765" s="2"/>
      <c r="D765" s="2"/>
      <c r="E765" s="2"/>
      <c r="F765" s="2"/>
      <c r="G765" s="7"/>
      <c r="H765" s="7"/>
      <c r="I765" s="7"/>
      <c r="J765" s="7"/>
      <c r="K765" s="7"/>
      <c r="L765" s="7"/>
      <c r="M765" s="7"/>
      <c r="N765" s="4"/>
      <c r="O765" s="4"/>
      <c r="P765" s="4"/>
      <c r="Q765" s="4"/>
      <c r="R765" s="4"/>
    </row>
    <row r="766">
      <c r="A766" s="1"/>
      <c r="B766" s="8"/>
      <c r="C766" s="2"/>
      <c r="D766" s="2"/>
      <c r="E766" s="2"/>
      <c r="F766" s="2"/>
      <c r="G766" s="7"/>
      <c r="H766" s="7"/>
      <c r="I766" s="7"/>
      <c r="J766" s="7"/>
      <c r="K766" s="7"/>
      <c r="L766" s="7"/>
      <c r="M766" s="7"/>
      <c r="N766" s="4"/>
      <c r="O766" s="4"/>
      <c r="P766" s="4"/>
      <c r="Q766" s="4"/>
      <c r="R766" s="4"/>
    </row>
    <row r="767">
      <c r="A767" s="1"/>
      <c r="B767" s="8"/>
      <c r="C767" s="2"/>
      <c r="D767" s="2"/>
      <c r="E767" s="2"/>
      <c r="F767" s="2"/>
      <c r="G767" s="7"/>
      <c r="H767" s="7"/>
      <c r="I767" s="7"/>
      <c r="J767" s="7"/>
      <c r="K767" s="7"/>
      <c r="L767" s="7"/>
      <c r="M767" s="7"/>
      <c r="N767" s="4"/>
      <c r="O767" s="4"/>
      <c r="P767" s="4"/>
      <c r="Q767" s="4"/>
      <c r="R767" s="4"/>
    </row>
    <row r="768">
      <c r="A768" s="1"/>
      <c r="B768" s="8"/>
      <c r="C768" s="2"/>
      <c r="D768" s="2"/>
      <c r="E768" s="2"/>
      <c r="F768" s="2"/>
      <c r="G768" s="7"/>
      <c r="H768" s="7"/>
      <c r="I768" s="7"/>
      <c r="J768" s="7"/>
      <c r="K768" s="7"/>
      <c r="L768" s="7"/>
      <c r="M768" s="7"/>
      <c r="N768" s="4"/>
      <c r="O768" s="4"/>
      <c r="P768" s="4"/>
      <c r="Q768" s="4"/>
      <c r="R768" s="4"/>
    </row>
    <row r="769">
      <c r="A769" s="1"/>
      <c r="B769" s="8"/>
      <c r="C769" s="2"/>
      <c r="D769" s="2"/>
      <c r="E769" s="2"/>
      <c r="F769" s="2"/>
      <c r="G769" s="7"/>
      <c r="H769" s="7"/>
      <c r="I769" s="7"/>
      <c r="J769" s="7"/>
      <c r="K769" s="7"/>
      <c r="L769" s="7"/>
      <c r="M769" s="7"/>
      <c r="N769" s="4"/>
      <c r="O769" s="4"/>
      <c r="P769" s="4"/>
      <c r="Q769" s="4"/>
      <c r="R769" s="4"/>
    </row>
    <row r="770">
      <c r="A770" s="1"/>
      <c r="B770" s="8"/>
      <c r="C770" s="2"/>
      <c r="D770" s="2"/>
      <c r="E770" s="2"/>
      <c r="F770" s="2"/>
      <c r="G770" s="7"/>
      <c r="H770" s="7"/>
      <c r="I770" s="7"/>
      <c r="J770" s="7"/>
      <c r="K770" s="7"/>
      <c r="L770" s="7"/>
      <c r="M770" s="7"/>
      <c r="N770" s="4"/>
      <c r="O770" s="4"/>
      <c r="P770" s="4"/>
      <c r="Q770" s="4"/>
      <c r="R770" s="4"/>
    </row>
    <row r="771">
      <c r="A771" s="1"/>
      <c r="B771" s="8"/>
      <c r="C771" s="2"/>
      <c r="D771" s="2"/>
      <c r="E771" s="2"/>
      <c r="F771" s="2"/>
      <c r="G771" s="7"/>
      <c r="H771" s="7"/>
      <c r="I771" s="7"/>
      <c r="J771" s="7"/>
      <c r="K771" s="7"/>
      <c r="L771" s="7"/>
      <c r="M771" s="7"/>
      <c r="N771" s="4"/>
      <c r="O771" s="4"/>
      <c r="P771" s="4"/>
      <c r="Q771" s="4"/>
      <c r="R771" s="4"/>
    </row>
    <row r="772">
      <c r="A772" s="1"/>
      <c r="B772" s="8"/>
      <c r="C772" s="2"/>
      <c r="D772" s="2"/>
      <c r="E772" s="2"/>
      <c r="F772" s="2"/>
      <c r="G772" s="7"/>
      <c r="H772" s="7"/>
      <c r="I772" s="7"/>
      <c r="J772" s="7"/>
      <c r="K772" s="7"/>
      <c r="L772" s="7"/>
      <c r="M772" s="7"/>
      <c r="N772" s="4"/>
      <c r="O772" s="4"/>
      <c r="P772" s="4"/>
      <c r="Q772" s="4"/>
      <c r="R772" s="4"/>
    </row>
    <row r="773">
      <c r="A773" s="1"/>
      <c r="B773" s="8"/>
      <c r="C773" s="2"/>
      <c r="D773" s="2"/>
      <c r="E773" s="2"/>
      <c r="F773" s="2"/>
      <c r="G773" s="7"/>
      <c r="H773" s="7"/>
      <c r="I773" s="7"/>
      <c r="J773" s="7"/>
      <c r="K773" s="7"/>
      <c r="L773" s="7"/>
      <c r="M773" s="7"/>
      <c r="N773" s="4"/>
      <c r="O773" s="4"/>
      <c r="P773" s="4"/>
      <c r="Q773" s="4"/>
      <c r="R773" s="4"/>
    </row>
    <row r="774">
      <c r="A774" s="1"/>
      <c r="B774" s="8"/>
      <c r="C774" s="2"/>
      <c r="D774" s="2"/>
      <c r="E774" s="2"/>
      <c r="F774" s="2"/>
      <c r="G774" s="7"/>
      <c r="H774" s="7"/>
      <c r="I774" s="7"/>
      <c r="J774" s="7"/>
      <c r="K774" s="7"/>
      <c r="L774" s="7"/>
      <c r="M774" s="7"/>
      <c r="N774" s="4"/>
      <c r="O774" s="4"/>
      <c r="P774" s="4"/>
      <c r="Q774" s="4"/>
      <c r="R774" s="4"/>
    </row>
    <row r="775">
      <c r="A775" s="1"/>
      <c r="B775" s="8"/>
      <c r="C775" s="2"/>
      <c r="D775" s="2"/>
      <c r="E775" s="2"/>
      <c r="F775" s="2"/>
      <c r="G775" s="7"/>
      <c r="H775" s="7"/>
      <c r="I775" s="7"/>
      <c r="J775" s="7"/>
      <c r="K775" s="7"/>
      <c r="L775" s="7"/>
      <c r="M775" s="7"/>
      <c r="N775" s="4"/>
      <c r="O775" s="4"/>
      <c r="P775" s="4"/>
      <c r="Q775" s="4"/>
      <c r="R775" s="4"/>
    </row>
    <row r="776">
      <c r="A776" s="1"/>
      <c r="B776" s="8"/>
      <c r="C776" s="2"/>
      <c r="D776" s="2"/>
      <c r="E776" s="2"/>
      <c r="F776" s="2"/>
      <c r="G776" s="7"/>
      <c r="H776" s="7"/>
      <c r="I776" s="7"/>
      <c r="J776" s="7"/>
      <c r="K776" s="7"/>
      <c r="L776" s="7"/>
      <c r="M776" s="7"/>
      <c r="N776" s="4"/>
      <c r="O776" s="4"/>
      <c r="P776" s="4"/>
      <c r="Q776" s="4"/>
      <c r="R776" s="4"/>
    </row>
    <row r="777">
      <c r="A777" s="1"/>
      <c r="B777" s="8"/>
      <c r="C777" s="2"/>
      <c r="D777" s="2"/>
      <c r="E777" s="2"/>
      <c r="F777" s="2"/>
      <c r="G777" s="7"/>
      <c r="H777" s="7"/>
      <c r="I777" s="7"/>
      <c r="J777" s="7"/>
      <c r="K777" s="7"/>
      <c r="L777" s="7"/>
      <c r="M777" s="7"/>
      <c r="N777" s="4"/>
      <c r="O777" s="4"/>
      <c r="P777" s="4"/>
      <c r="Q777" s="4"/>
      <c r="R777" s="4"/>
    </row>
    <row r="778">
      <c r="A778" s="1"/>
      <c r="B778" s="8"/>
      <c r="C778" s="2"/>
      <c r="D778" s="2"/>
      <c r="E778" s="2"/>
      <c r="F778" s="2"/>
      <c r="G778" s="7"/>
      <c r="H778" s="7"/>
      <c r="I778" s="7"/>
      <c r="J778" s="7"/>
      <c r="K778" s="7"/>
      <c r="L778" s="7"/>
      <c r="M778" s="7"/>
      <c r="N778" s="4"/>
      <c r="O778" s="4"/>
      <c r="P778" s="4"/>
      <c r="Q778" s="4"/>
      <c r="R778" s="4"/>
    </row>
    <row r="779">
      <c r="A779" s="1"/>
      <c r="B779" s="8"/>
      <c r="C779" s="2"/>
      <c r="D779" s="2"/>
      <c r="E779" s="2"/>
      <c r="F779" s="2"/>
      <c r="G779" s="7"/>
      <c r="H779" s="7"/>
      <c r="I779" s="7"/>
      <c r="J779" s="7"/>
      <c r="K779" s="7"/>
      <c r="L779" s="7"/>
      <c r="M779" s="7"/>
      <c r="N779" s="4"/>
      <c r="O779" s="4"/>
      <c r="P779" s="4"/>
      <c r="Q779" s="4"/>
      <c r="R779" s="4"/>
    </row>
    <row r="780">
      <c r="A780" s="1"/>
      <c r="B780" s="8"/>
      <c r="C780" s="2"/>
      <c r="D780" s="2"/>
      <c r="E780" s="2"/>
      <c r="F780" s="2"/>
      <c r="G780" s="7"/>
      <c r="H780" s="7"/>
      <c r="I780" s="7"/>
      <c r="J780" s="7"/>
      <c r="K780" s="7"/>
      <c r="L780" s="7"/>
      <c r="M780" s="7"/>
      <c r="N780" s="4"/>
      <c r="O780" s="4"/>
      <c r="P780" s="4"/>
      <c r="Q780" s="4"/>
      <c r="R780" s="4"/>
    </row>
    <row r="781">
      <c r="A781" s="1"/>
      <c r="B781" s="8"/>
      <c r="C781" s="2"/>
      <c r="D781" s="2"/>
      <c r="E781" s="2"/>
      <c r="F781" s="2"/>
      <c r="G781" s="7"/>
      <c r="H781" s="7"/>
      <c r="I781" s="7"/>
      <c r="J781" s="7"/>
      <c r="K781" s="7"/>
      <c r="L781" s="7"/>
      <c r="M781" s="7"/>
      <c r="N781" s="4"/>
      <c r="O781" s="4"/>
      <c r="P781" s="4"/>
      <c r="Q781" s="4"/>
      <c r="R781" s="4"/>
    </row>
    <row r="782">
      <c r="A782" s="1"/>
      <c r="B782" s="8"/>
      <c r="C782" s="2"/>
      <c r="D782" s="2"/>
      <c r="E782" s="2"/>
      <c r="F782" s="2"/>
      <c r="G782" s="7"/>
      <c r="H782" s="7"/>
      <c r="I782" s="7"/>
      <c r="J782" s="7"/>
      <c r="K782" s="7"/>
      <c r="L782" s="7"/>
      <c r="M782" s="7"/>
      <c r="N782" s="4"/>
      <c r="O782" s="4"/>
      <c r="P782" s="4"/>
      <c r="Q782" s="4"/>
      <c r="R782" s="4"/>
    </row>
    <row r="783">
      <c r="A783" s="1"/>
      <c r="B783" s="8"/>
      <c r="C783" s="2"/>
      <c r="D783" s="2"/>
      <c r="E783" s="2"/>
      <c r="F783" s="2"/>
      <c r="G783" s="7"/>
      <c r="H783" s="7"/>
      <c r="I783" s="7"/>
      <c r="J783" s="7"/>
      <c r="K783" s="7"/>
      <c r="L783" s="7"/>
      <c r="M783" s="7"/>
      <c r="N783" s="4"/>
      <c r="O783" s="4"/>
      <c r="P783" s="4"/>
      <c r="Q783" s="4"/>
      <c r="R783" s="4"/>
    </row>
    <row r="784">
      <c r="A784" s="1"/>
      <c r="B784" s="8"/>
      <c r="C784" s="2"/>
      <c r="D784" s="2"/>
      <c r="E784" s="2"/>
      <c r="F784" s="2"/>
      <c r="G784" s="7"/>
      <c r="H784" s="7"/>
      <c r="I784" s="7"/>
      <c r="J784" s="7"/>
      <c r="K784" s="7"/>
      <c r="L784" s="7"/>
      <c r="M784" s="7"/>
      <c r="N784" s="4"/>
      <c r="O784" s="4"/>
      <c r="P784" s="4"/>
      <c r="Q784" s="4"/>
      <c r="R784" s="4"/>
    </row>
    <row r="785">
      <c r="A785" s="1"/>
      <c r="B785" s="8"/>
      <c r="C785" s="2"/>
      <c r="D785" s="2"/>
      <c r="E785" s="2"/>
      <c r="F785" s="2"/>
      <c r="G785" s="7"/>
      <c r="H785" s="7"/>
      <c r="I785" s="7"/>
      <c r="J785" s="7"/>
      <c r="K785" s="7"/>
      <c r="L785" s="7"/>
      <c r="M785" s="7"/>
      <c r="N785" s="4"/>
      <c r="O785" s="4"/>
      <c r="P785" s="4"/>
      <c r="Q785" s="4"/>
      <c r="R785" s="4"/>
    </row>
    <row r="786">
      <c r="A786" s="1"/>
      <c r="B786" s="8"/>
      <c r="C786" s="2"/>
      <c r="D786" s="2"/>
      <c r="E786" s="2"/>
      <c r="F786" s="2"/>
      <c r="G786" s="7"/>
      <c r="H786" s="7"/>
      <c r="I786" s="7"/>
      <c r="J786" s="7"/>
      <c r="K786" s="7"/>
      <c r="L786" s="7"/>
      <c r="M786" s="7"/>
      <c r="N786" s="4"/>
      <c r="O786" s="4"/>
      <c r="P786" s="4"/>
      <c r="Q786" s="4"/>
      <c r="R786" s="4"/>
    </row>
    <row r="787">
      <c r="A787" s="1"/>
      <c r="B787" s="8"/>
      <c r="C787" s="2"/>
      <c r="D787" s="2"/>
      <c r="E787" s="2"/>
      <c r="F787" s="2"/>
      <c r="G787" s="7"/>
      <c r="H787" s="7"/>
      <c r="I787" s="7"/>
      <c r="J787" s="7"/>
      <c r="K787" s="7"/>
      <c r="L787" s="7"/>
      <c r="M787" s="7"/>
      <c r="N787" s="4"/>
      <c r="O787" s="4"/>
      <c r="P787" s="4"/>
      <c r="Q787" s="4"/>
      <c r="R787" s="4"/>
    </row>
    <row r="788">
      <c r="A788" s="1"/>
      <c r="B788" s="8"/>
      <c r="C788" s="2"/>
      <c r="D788" s="2"/>
      <c r="E788" s="2"/>
      <c r="F788" s="2"/>
      <c r="G788" s="7"/>
      <c r="H788" s="7"/>
      <c r="I788" s="7"/>
      <c r="J788" s="7"/>
      <c r="K788" s="7"/>
      <c r="L788" s="7"/>
      <c r="M788" s="7"/>
      <c r="N788" s="4"/>
      <c r="O788" s="4"/>
      <c r="P788" s="4"/>
      <c r="Q788" s="4"/>
      <c r="R788" s="4"/>
    </row>
    <row r="789">
      <c r="A789" s="1"/>
      <c r="B789" s="8"/>
      <c r="C789" s="2"/>
      <c r="D789" s="2"/>
      <c r="E789" s="2"/>
      <c r="F789" s="2"/>
      <c r="G789" s="7"/>
      <c r="H789" s="7"/>
      <c r="I789" s="7"/>
      <c r="J789" s="7"/>
      <c r="K789" s="7"/>
      <c r="L789" s="7"/>
      <c r="M789" s="7"/>
      <c r="N789" s="4"/>
      <c r="O789" s="4"/>
      <c r="P789" s="4"/>
      <c r="Q789" s="4"/>
      <c r="R789" s="4"/>
    </row>
    <row r="790">
      <c r="A790" s="1"/>
      <c r="B790" s="8"/>
      <c r="C790" s="2"/>
      <c r="D790" s="2"/>
      <c r="E790" s="2"/>
      <c r="F790" s="2"/>
      <c r="G790" s="7"/>
      <c r="H790" s="7"/>
      <c r="I790" s="7"/>
      <c r="J790" s="7"/>
      <c r="K790" s="7"/>
      <c r="L790" s="7"/>
      <c r="M790" s="7"/>
      <c r="N790" s="4"/>
      <c r="O790" s="4"/>
      <c r="P790" s="4"/>
      <c r="Q790" s="4"/>
      <c r="R790" s="4"/>
    </row>
    <row r="791">
      <c r="A791" s="1"/>
      <c r="B791" s="8"/>
      <c r="C791" s="2"/>
      <c r="D791" s="2"/>
      <c r="E791" s="2"/>
      <c r="F791" s="2"/>
      <c r="G791" s="7"/>
      <c r="H791" s="7"/>
      <c r="I791" s="7"/>
      <c r="J791" s="7"/>
      <c r="K791" s="7"/>
      <c r="L791" s="7"/>
      <c r="M791" s="7"/>
      <c r="N791" s="4"/>
      <c r="O791" s="4"/>
      <c r="P791" s="4"/>
      <c r="Q791" s="4"/>
      <c r="R791" s="4"/>
    </row>
    <row r="792">
      <c r="A792" s="1"/>
      <c r="B792" s="8"/>
      <c r="C792" s="2"/>
      <c r="D792" s="2"/>
      <c r="E792" s="2"/>
      <c r="F792" s="2"/>
      <c r="G792" s="7"/>
      <c r="H792" s="7"/>
      <c r="I792" s="7"/>
      <c r="J792" s="7"/>
      <c r="K792" s="7"/>
      <c r="L792" s="7"/>
      <c r="M792" s="7"/>
      <c r="N792" s="4"/>
      <c r="O792" s="4"/>
      <c r="P792" s="4"/>
      <c r="Q792" s="4"/>
      <c r="R792" s="4"/>
    </row>
    <row r="793">
      <c r="A793" s="1"/>
      <c r="B793" s="8"/>
      <c r="C793" s="2"/>
      <c r="D793" s="2"/>
      <c r="E793" s="2"/>
      <c r="F793" s="2"/>
      <c r="G793" s="7"/>
      <c r="H793" s="7"/>
      <c r="I793" s="7"/>
      <c r="J793" s="7"/>
      <c r="K793" s="7"/>
      <c r="L793" s="7"/>
      <c r="M793" s="7"/>
      <c r="N793" s="4"/>
      <c r="O793" s="4"/>
      <c r="P793" s="4"/>
      <c r="Q793" s="4"/>
      <c r="R793" s="4"/>
    </row>
    <row r="794">
      <c r="A794" s="1"/>
      <c r="B794" s="8"/>
      <c r="C794" s="2"/>
      <c r="D794" s="2"/>
      <c r="E794" s="2"/>
      <c r="F794" s="2"/>
      <c r="G794" s="7"/>
      <c r="H794" s="7"/>
      <c r="I794" s="7"/>
      <c r="J794" s="7"/>
      <c r="K794" s="7"/>
      <c r="L794" s="7"/>
      <c r="M794" s="7"/>
      <c r="N794" s="4"/>
      <c r="O794" s="4"/>
      <c r="P794" s="4"/>
      <c r="Q794" s="4"/>
      <c r="R794" s="4"/>
    </row>
    <row r="795">
      <c r="A795" s="1"/>
      <c r="B795" s="8"/>
      <c r="C795" s="2"/>
      <c r="D795" s="2"/>
      <c r="E795" s="2"/>
      <c r="F795" s="2"/>
      <c r="G795" s="7"/>
      <c r="H795" s="7"/>
      <c r="I795" s="7"/>
      <c r="J795" s="7"/>
      <c r="K795" s="7"/>
      <c r="L795" s="7"/>
      <c r="M795" s="7"/>
      <c r="N795" s="4"/>
      <c r="O795" s="4"/>
      <c r="P795" s="4"/>
      <c r="Q795" s="4"/>
      <c r="R795" s="4"/>
    </row>
    <row r="796">
      <c r="A796" s="1"/>
      <c r="B796" s="8"/>
      <c r="C796" s="2"/>
      <c r="D796" s="2"/>
      <c r="E796" s="2"/>
      <c r="F796" s="2"/>
      <c r="G796" s="7"/>
      <c r="H796" s="7"/>
      <c r="I796" s="7"/>
      <c r="J796" s="7"/>
      <c r="K796" s="7"/>
      <c r="L796" s="7"/>
      <c r="M796" s="7"/>
      <c r="N796" s="4"/>
      <c r="O796" s="4"/>
      <c r="P796" s="4"/>
      <c r="Q796" s="4"/>
      <c r="R796" s="4"/>
    </row>
    <row r="797">
      <c r="A797" s="1"/>
      <c r="B797" s="8"/>
      <c r="C797" s="2"/>
      <c r="D797" s="2"/>
      <c r="E797" s="2"/>
      <c r="F797" s="2"/>
      <c r="G797" s="7"/>
      <c r="H797" s="7"/>
      <c r="I797" s="7"/>
      <c r="J797" s="7"/>
      <c r="K797" s="7"/>
      <c r="L797" s="7"/>
      <c r="M797" s="7"/>
      <c r="N797" s="4"/>
      <c r="O797" s="4"/>
      <c r="P797" s="4"/>
      <c r="Q797" s="4"/>
      <c r="R797" s="4"/>
    </row>
    <row r="798">
      <c r="A798" s="1"/>
      <c r="B798" s="8"/>
      <c r="C798" s="2"/>
      <c r="D798" s="2"/>
      <c r="E798" s="2"/>
      <c r="F798" s="2"/>
      <c r="G798" s="7"/>
      <c r="H798" s="7"/>
      <c r="I798" s="7"/>
      <c r="J798" s="7"/>
      <c r="K798" s="7"/>
      <c r="L798" s="7"/>
      <c r="M798" s="7"/>
      <c r="N798" s="4"/>
      <c r="O798" s="4"/>
      <c r="P798" s="4"/>
      <c r="Q798" s="4"/>
      <c r="R798" s="4"/>
    </row>
    <row r="799">
      <c r="A799" s="1"/>
      <c r="B799" s="8"/>
      <c r="C799" s="2"/>
      <c r="D799" s="2"/>
      <c r="E799" s="2"/>
      <c r="F799" s="2"/>
      <c r="G799" s="7"/>
      <c r="H799" s="7"/>
      <c r="I799" s="7"/>
      <c r="J799" s="7"/>
      <c r="K799" s="7"/>
      <c r="L799" s="7"/>
      <c r="M799" s="7"/>
      <c r="N799" s="4"/>
      <c r="O799" s="4"/>
      <c r="P799" s="4"/>
      <c r="Q799" s="4"/>
      <c r="R799" s="4"/>
    </row>
    <row r="800">
      <c r="A800" s="1"/>
      <c r="B800" s="8"/>
      <c r="C800" s="2"/>
      <c r="D800" s="2"/>
      <c r="E800" s="2"/>
      <c r="F800" s="2"/>
      <c r="G800" s="7"/>
      <c r="H800" s="7"/>
      <c r="I800" s="7"/>
      <c r="J800" s="7"/>
      <c r="K800" s="7"/>
      <c r="L800" s="7"/>
      <c r="M800" s="7"/>
      <c r="N800" s="4"/>
      <c r="O800" s="4"/>
      <c r="P800" s="4"/>
      <c r="Q800" s="4"/>
      <c r="R800" s="4"/>
    </row>
    <row r="801">
      <c r="A801" s="1"/>
      <c r="B801" s="8"/>
      <c r="C801" s="2"/>
      <c r="D801" s="2"/>
      <c r="E801" s="2"/>
      <c r="F801" s="2"/>
      <c r="G801" s="7"/>
      <c r="H801" s="7"/>
      <c r="I801" s="7"/>
      <c r="J801" s="7"/>
      <c r="K801" s="7"/>
      <c r="L801" s="7"/>
      <c r="M801" s="7"/>
      <c r="N801" s="4"/>
      <c r="O801" s="4"/>
      <c r="P801" s="4"/>
      <c r="Q801" s="4"/>
      <c r="R801" s="4"/>
    </row>
    <row r="802">
      <c r="A802" s="1"/>
      <c r="B802" s="8"/>
      <c r="C802" s="2"/>
      <c r="D802" s="2"/>
      <c r="E802" s="2"/>
      <c r="F802" s="2"/>
      <c r="G802" s="7"/>
      <c r="H802" s="7"/>
      <c r="I802" s="7"/>
      <c r="J802" s="7"/>
      <c r="K802" s="7"/>
      <c r="L802" s="7"/>
      <c r="M802" s="7"/>
      <c r="N802" s="4"/>
      <c r="O802" s="4"/>
      <c r="P802" s="4"/>
      <c r="Q802" s="4"/>
      <c r="R802" s="4"/>
    </row>
    <row r="803">
      <c r="A803" s="1"/>
      <c r="B803" s="8"/>
      <c r="C803" s="2"/>
      <c r="D803" s="2"/>
      <c r="E803" s="2"/>
      <c r="F803" s="2"/>
      <c r="G803" s="7"/>
      <c r="H803" s="7"/>
      <c r="I803" s="7"/>
      <c r="J803" s="7"/>
      <c r="K803" s="7"/>
      <c r="L803" s="7"/>
      <c r="M803" s="7"/>
      <c r="N803" s="4"/>
      <c r="O803" s="4"/>
      <c r="P803" s="4"/>
      <c r="Q803" s="4"/>
      <c r="R803" s="4"/>
    </row>
    <row r="804">
      <c r="A804" s="1"/>
      <c r="B804" s="8"/>
      <c r="C804" s="2"/>
      <c r="D804" s="2"/>
      <c r="E804" s="2"/>
      <c r="F804" s="2"/>
      <c r="G804" s="7"/>
      <c r="H804" s="7"/>
      <c r="I804" s="7"/>
      <c r="J804" s="7"/>
      <c r="K804" s="7"/>
      <c r="L804" s="7"/>
      <c r="M804" s="7"/>
      <c r="N804" s="4"/>
      <c r="O804" s="4"/>
      <c r="P804" s="4"/>
      <c r="Q804" s="4"/>
      <c r="R804" s="4"/>
    </row>
    <row r="805">
      <c r="A805" s="1"/>
      <c r="B805" s="8"/>
      <c r="C805" s="2"/>
      <c r="D805" s="2"/>
      <c r="E805" s="2"/>
      <c r="F805" s="2"/>
      <c r="G805" s="7"/>
      <c r="H805" s="7"/>
      <c r="I805" s="7"/>
      <c r="J805" s="7"/>
      <c r="K805" s="7"/>
      <c r="L805" s="7"/>
      <c r="M805" s="7"/>
      <c r="N805" s="4"/>
      <c r="O805" s="4"/>
      <c r="P805" s="4"/>
      <c r="Q805" s="4"/>
      <c r="R805" s="4"/>
    </row>
    <row r="806">
      <c r="A806" s="1"/>
      <c r="B806" s="8"/>
      <c r="C806" s="2"/>
      <c r="D806" s="2"/>
      <c r="E806" s="2"/>
      <c r="F806" s="2"/>
      <c r="G806" s="7"/>
      <c r="H806" s="7"/>
      <c r="I806" s="7"/>
      <c r="J806" s="7"/>
      <c r="K806" s="7"/>
      <c r="L806" s="7"/>
      <c r="M806" s="7"/>
      <c r="N806" s="4"/>
      <c r="O806" s="4"/>
      <c r="P806" s="4"/>
      <c r="Q806" s="4"/>
      <c r="R806" s="4"/>
    </row>
    <row r="807">
      <c r="A807" s="1"/>
      <c r="B807" s="8"/>
      <c r="C807" s="2"/>
      <c r="D807" s="2"/>
      <c r="E807" s="2"/>
      <c r="F807" s="2"/>
      <c r="G807" s="7"/>
      <c r="H807" s="7"/>
      <c r="I807" s="7"/>
      <c r="J807" s="7"/>
      <c r="K807" s="7"/>
      <c r="L807" s="7"/>
      <c r="M807" s="7"/>
      <c r="N807" s="4"/>
      <c r="O807" s="4"/>
      <c r="P807" s="4"/>
      <c r="Q807" s="4"/>
      <c r="R807" s="4"/>
    </row>
    <row r="808">
      <c r="A808" s="1"/>
      <c r="B808" s="8"/>
      <c r="C808" s="2"/>
      <c r="D808" s="2"/>
      <c r="E808" s="2"/>
      <c r="F808" s="2"/>
      <c r="G808" s="7"/>
      <c r="H808" s="7"/>
      <c r="I808" s="7"/>
      <c r="J808" s="7"/>
      <c r="K808" s="7"/>
      <c r="L808" s="7"/>
      <c r="M808" s="7"/>
      <c r="N808" s="4"/>
      <c r="O808" s="4"/>
      <c r="P808" s="4"/>
      <c r="Q808" s="4"/>
      <c r="R808" s="4"/>
    </row>
    <row r="809">
      <c r="A809" s="1"/>
      <c r="B809" s="8"/>
      <c r="C809" s="2"/>
      <c r="D809" s="2"/>
      <c r="E809" s="2"/>
      <c r="F809" s="2"/>
      <c r="G809" s="7"/>
      <c r="H809" s="7"/>
      <c r="I809" s="7"/>
      <c r="J809" s="7"/>
      <c r="K809" s="7"/>
      <c r="L809" s="7"/>
      <c r="M809" s="7"/>
      <c r="N809" s="4"/>
      <c r="O809" s="4"/>
      <c r="P809" s="4"/>
      <c r="Q809" s="4"/>
      <c r="R809" s="4"/>
    </row>
    <row r="810">
      <c r="A810" s="1"/>
      <c r="B810" s="8"/>
      <c r="C810" s="2"/>
      <c r="D810" s="2"/>
      <c r="E810" s="2"/>
      <c r="F810" s="2"/>
      <c r="G810" s="7"/>
      <c r="H810" s="7"/>
      <c r="I810" s="7"/>
      <c r="J810" s="7"/>
      <c r="K810" s="7"/>
      <c r="L810" s="7"/>
      <c r="M810" s="7"/>
      <c r="N810" s="4"/>
      <c r="O810" s="4"/>
      <c r="P810" s="4"/>
      <c r="Q810" s="4"/>
      <c r="R810" s="4"/>
    </row>
    <row r="811">
      <c r="A811" s="1"/>
      <c r="B811" s="8"/>
      <c r="C811" s="2"/>
      <c r="D811" s="2"/>
      <c r="E811" s="2"/>
      <c r="F811" s="2"/>
      <c r="G811" s="7"/>
      <c r="H811" s="7"/>
      <c r="I811" s="7"/>
      <c r="J811" s="7"/>
      <c r="K811" s="7"/>
      <c r="L811" s="7"/>
      <c r="M811" s="7"/>
      <c r="N811" s="4"/>
      <c r="O811" s="4"/>
      <c r="P811" s="4"/>
      <c r="Q811" s="4"/>
      <c r="R811" s="4"/>
    </row>
    <row r="812">
      <c r="A812" s="1"/>
      <c r="B812" s="8"/>
      <c r="C812" s="2"/>
      <c r="D812" s="2"/>
      <c r="E812" s="2"/>
      <c r="F812" s="2"/>
      <c r="G812" s="7"/>
      <c r="H812" s="7"/>
      <c r="I812" s="7"/>
      <c r="J812" s="7"/>
      <c r="K812" s="7"/>
      <c r="L812" s="7"/>
      <c r="M812" s="7"/>
      <c r="N812" s="4"/>
      <c r="O812" s="4"/>
      <c r="P812" s="4"/>
      <c r="Q812" s="4"/>
      <c r="R812" s="4"/>
    </row>
    <row r="813">
      <c r="A813" s="1"/>
      <c r="B813" s="8"/>
      <c r="C813" s="2"/>
      <c r="D813" s="2"/>
      <c r="E813" s="2"/>
      <c r="F813" s="2"/>
      <c r="G813" s="7"/>
      <c r="H813" s="7"/>
      <c r="I813" s="7"/>
      <c r="J813" s="7"/>
      <c r="K813" s="7"/>
      <c r="L813" s="7"/>
      <c r="M813" s="7"/>
      <c r="N813" s="4"/>
      <c r="O813" s="4"/>
      <c r="P813" s="4"/>
      <c r="Q813" s="4"/>
      <c r="R813" s="4"/>
    </row>
    <row r="814">
      <c r="A814" s="1"/>
      <c r="B814" s="8"/>
      <c r="C814" s="2"/>
      <c r="D814" s="2"/>
      <c r="E814" s="2"/>
      <c r="F814" s="2"/>
      <c r="G814" s="7"/>
      <c r="H814" s="7"/>
      <c r="I814" s="7"/>
      <c r="J814" s="7"/>
      <c r="K814" s="7"/>
      <c r="L814" s="7"/>
      <c r="M814" s="7"/>
      <c r="N814" s="4"/>
      <c r="O814" s="4"/>
      <c r="P814" s="4"/>
      <c r="Q814" s="4"/>
      <c r="R814" s="4"/>
    </row>
    <row r="815">
      <c r="A815" s="1"/>
      <c r="B815" s="8"/>
      <c r="C815" s="2"/>
      <c r="D815" s="2"/>
      <c r="E815" s="2"/>
      <c r="F815" s="2"/>
      <c r="G815" s="7"/>
      <c r="H815" s="7"/>
      <c r="I815" s="7"/>
      <c r="J815" s="7"/>
      <c r="K815" s="7"/>
      <c r="L815" s="7"/>
      <c r="M815" s="7"/>
      <c r="N815" s="4"/>
      <c r="O815" s="4"/>
      <c r="P815" s="4"/>
      <c r="Q815" s="4"/>
      <c r="R815" s="4"/>
    </row>
    <row r="816">
      <c r="A816" s="1"/>
      <c r="B816" s="8"/>
      <c r="C816" s="2"/>
      <c r="D816" s="2"/>
      <c r="E816" s="2"/>
      <c r="F816" s="2"/>
      <c r="G816" s="7"/>
      <c r="H816" s="7"/>
      <c r="I816" s="7"/>
      <c r="J816" s="7"/>
      <c r="K816" s="7"/>
      <c r="L816" s="7"/>
      <c r="M816" s="7"/>
      <c r="N816" s="4"/>
      <c r="O816" s="4"/>
      <c r="P816" s="4"/>
      <c r="Q816" s="4"/>
      <c r="R816" s="4"/>
    </row>
    <row r="817">
      <c r="A817" s="1"/>
      <c r="B817" s="8"/>
      <c r="C817" s="2"/>
      <c r="D817" s="2"/>
      <c r="E817" s="2"/>
      <c r="F817" s="2"/>
      <c r="G817" s="7"/>
      <c r="H817" s="7"/>
      <c r="I817" s="7"/>
      <c r="J817" s="7"/>
      <c r="K817" s="7"/>
      <c r="L817" s="7"/>
      <c r="M817" s="7"/>
      <c r="N817" s="4"/>
      <c r="O817" s="4"/>
      <c r="P817" s="4"/>
      <c r="Q817" s="4"/>
      <c r="R817" s="4"/>
    </row>
    <row r="818">
      <c r="A818" s="1"/>
      <c r="B818" s="8"/>
      <c r="C818" s="2"/>
      <c r="D818" s="2"/>
      <c r="E818" s="2"/>
      <c r="F818" s="2"/>
      <c r="G818" s="7"/>
      <c r="H818" s="7"/>
      <c r="I818" s="7"/>
      <c r="J818" s="7"/>
      <c r="K818" s="7"/>
      <c r="L818" s="7"/>
      <c r="M818" s="7"/>
      <c r="N818" s="4"/>
      <c r="O818" s="4"/>
      <c r="P818" s="4"/>
      <c r="Q818" s="4"/>
      <c r="R818" s="4"/>
    </row>
    <row r="819">
      <c r="A819" s="1"/>
      <c r="B819" s="8"/>
      <c r="C819" s="2"/>
      <c r="D819" s="2"/>
      <c r="E819" s="2"/>
      <c r="F819" s="2"/>
      <c r="G819" s="7"/>
      <c r="H819" s="7"/>
      <c r="I819" s="7"/>
      <c r="J819" s="7"/>
      <c r="K819" s="7"/>
      <c r="L819" s="7"/>
      <c r="M819" s="7"/>
      <c r="N819" s="4"/>
      <c r="O819" s="4"/>
      <c r="P819" s="4"/>
      <c r="Q819" s="4"/>
      <c r="R819" s="4"/>
    </row>
    <row r="820">
      <c r="A820" s="1"/>
      <c r="B820" s="8"/>
      <c r="C820" s="2"/>
      <c r="D820" s="2"/>
      <c r="E820" s="2"/>
      <c r="F820" s="2"/>
      <c r="G820" s="7"/>
      <c r="H820" s="7"/>
      <c r="I820" s="7"/>
      <c r="J820" s="7"/>
      <c r="K820" s="7"/>
      <c r="L820" s="7"/>
      <c r="M820" s="7"/>
      <c r="N820" s="4"/>
      <c r="O820" s="4"/>
      <c r="P820" s="4"/>
      <c r="Q820" s="4"/>
      <c r="R820" s="4"/>
    </row>
    <row r="821">
      <c r="A821" s="1"/>
      <c r="B821" s="8"/>
      <c r="C821" s="2"/>
      <c r="D821" s="2"/>
      <c r="E821" s="2"/>
      <c r="F821" s="2"/>
      <c r="G821" s="7"/>
      <c r="H821" s="7"/>
      <c r="I821" s="7"/>
      <c r="J821" s="7"/>
      <c r="K821" s="7"/>
      <c r="L821" s="7"/>
      <c r="M821" s="7"/>
      <c r="N821" s="4"/>
      <c r="O821" s="4"/>
      <c r="P821" s="4"/>
      <c r="Q821" s="4"/>
      <c r="R821" s="4"/>
    </row>
    <row r="822">
      <c r="A822" s="1"/>
      <c r="B822" s="8"/>
      <c r="C822" s="2"/>
      <c r="D822" s="2"/>
      <c r="E822" s="2"/>
      <c r="F822" s="2"/>
      <c r="G822" s="7"/>
      <c r="H822" s="7"/>
      <c r="I822" s="7"/>
      <c r="J822" s="7"/>
      <c r="K822" s="7"/>
      <c r="L822" s="7"/>
      <c r="M822" s="7"/>
      <c r="N822" s="4"/>
      <c r="O822" s="4"/>
      <c r="P822" s="4"/>
      <c r="Q822" s="4"/>
      <c r="R822" s="4"/>
    </row>
    <row r="823">
      <c r="A823" s="1"/>
      <c r="B823" s="8"/>
      <c r="C823" s="2"/>
      <c r="D823" s="2"/>
      <c r="E823" s="2"/>
      <c r="F823" s="2"/>
      <c r="G823" s="7"/>
      <c r="H823" s="7"/>
      <c r="I823" s="7"/>
      <c r="J823" s="7"/>
      <c r="K823" s="7"/>
      <c r="L823" s="7"/>
      <c r="M823" s="7"/>
      <c r="N823" s="4"/>
      <c r="O823" s="4"/>
      <c r="P823" s="4"/>
      <c r="Q823" s="4"/>
      <c r="R823" s="4"/>
    </row>
    <row r="824">
      <c r="A824" s="1"/>
      <c r="B824" s="8"/>
      <c r="C824" s="2"/>
      <c r="D824" s="2"/>
      <c r="E824" s="2"/>
      <c r="F824" s="2"/>
      <c r="G824" s="7"/>
      <c r="H824" s="7"/>
      <c r="I824" s="7"/>
      <c r="J824" s="7"/>
      <c r="K824" s="7"/>
      <c r="L824" s="7"/>
      <c r="M824" s="7"/>
      <c r="N824" s="4"/>
      <c r="O824" s="4"/>
      <c r="P824" s="4"/>
      <c r="Q824" s="4"/>
      <c r="R824" s="4"/>
    </row>
    <row r="825">
      <c r="A825" s="1"/>
      <c r="B825" s="8"/>
      <c r="C825" s="2"/>
      <c r="D825" s="2"/>
      <c r="E825" s="2"/>
      <c r="F825" s="2"/>
      <c r="G825" s="7"/>
      <c r="H825" s="7"/>
      <c r="I825" s="7"/>
      <c r="J825" s="7"/>
      <c r="K825" s="7"/>
      <c r="L825" s="7"/>
      <c r="M825" s="7"/>
      <c r="N825" s="4"/>
      <c r="O825" s="4"/>
      <c r="P825" s="4"/>
      <c r="Q825" s="4"/>
      <c r="R825" s="4"/>
    </row>
    <row r="826">
      <c r="A826" s="1"/>
      <c r="B826" s="8"/>
      <c r="C826" s="2"/>
      <c r="D826" s="2"/>
      <c r="E826" s="2"/>
      <c r="F826" s="2"/>
      <c r="G826" s="7"/>
      <c r="H826" s="7"/>
      <c r="I826" s="7"/>
      <c r="J826" s="7"/>
      <c r="K826" s="7"/>
      <c r="L826" s="7"/>
      <c r="M826" s="7"/>
      <c r="N826" s="4"/>
      <c r="O826" s="4"/>
      <c r="P826" s="4"/>
      <c r="Q826" s="4"/>
      <c r="R826" s="4"/>
    </row>
    <row r="827">
      <c r="A827" s="1"/>
      <c r="B827" s="8"/>
      <c r="C827" s="2"/>
      <c r="D827" s="2"/>
      <c r="E827" s="2"/>
      <c r="F827" s="2"/>
      <c r="G827" s="7"/>
      <c r="H827" s="7"/>
      <c r="I827" s="7"/>
      <c r="J827" s="7"/>
      <c r="K827" s="7"/>
      <c r="L827" s="7"/>
      <c r="M827" s="7"/>
      <c r="N827" s="4"/>
      <c r="O827" s="4"/>
      <c r="P827" s="4"/>
      <c r="Q827" s="4"/>
      <c r="R827" s="4"/>
    </row>
    <row r="828">
      <c r="A828" s="1"/>
      <c r="B828" s="8"/>
      <c r="C828" s="2"/>
      <c r="D828" s="2"/>
      <c r="E828" s="2"/>
      <c r="F828" s="2"/>
      <c r="G828" s="7"/>
      <c r="H828" s="7"/>
      <c r="I828" s="7"/>
      <c r="J828" s="7"/>
      <c r="K828" s="7"/>
      <c r="L828" s="7"/>
      <c r="M828" s="7"/>
      <c r="N828" s="4"/>
      <c r="O828" s="4"/>
      <c r="P828" s="4"/>
      <c r="Q828" s="4"/>
      <c r="R828" s="4"/>
    </row>
    <row r="829">
      <c r="A829" s="1"/>
      <c r="B829" s="8"/>
      <c r="C829" s="2"/>
      <c r="D829" s="2"/>
      <c r="E829" s="2"/>
      <c r="F829" s="2"/>
      <c r="G829" s="7"/>
      <c r="H829" s="7"/>
      <c r="I829" s="7"/>
      <c r="J829" s="7"/>
      <c r="K829" s="7"/>
      <c r="L829" s="7"/>
      <c r="M829" s="7"/>
      <c r="N829" s="4"/>
      <c r="O829" s="4"/>
      <c r="P829" s="4"/>
      <c r="Q829" s="4"/>
      <c r="R829" s="4"/>
    </row>
    <row r="830">
      <c r="A830" s="1"/>
      <c r="B830" s="8"/>
      <c r="C830" s="2"/>
      <c r="D830" s="2"/>
      <c r="E830" s="2"/>
      <c r="F830" s="2"/>
      <c r="G830" s="7"/>
      <c r="H830" s="7"/>
      <c r="I830" s="7"/>
      <c r="J830" s="7"/>
      <c r="K830" s="7"/>
      <c r="L830" s="7"/>
      <c r="M830" s="7"/>
      <c r="N830" s="4"/>
      <c r="O830" s="4"/>
      <c r="P830" s="4"/>
      <c r="Q830" s="4"/>
      <c r="R830" s="4"/>
    </row>
    <row r="831">
      <c r="A831" s="1"/>
      <c r="B831" s="8"/>
      <c r="C831" s="2"/>
      <c r="D831" s="2"/>
      <c r="E831" s="2"/>
      <c r="F831" s="2"/>
      <c r="G831" s="7"/>
      <c r="H831" s="7"/>
      <c r="I831" s="7"/>
      <c r="J831" s="7"/>
      <c r="K831" s="7"/>
      <c r="L831" s="7"/>
      <c r="M831" s="7"/>
      <c r="N831" s="4"/>
      <c r="O831" s="4"/>
      <c r="P831" s="4"/>
      <c r="Q831" s="4"/>
      <c r="R831" s="4"/>
    </row>
    <row r="832">
      <c r="A832" s="1"/>
      <c r="B832" s="8"/>
      <c r="C832" s="2"/>
      <c r="D832" s="2"/>
      <c r="E832" s="2"/>
      <c r="F832" s="2"/>
      <c r="G832" s="7"/>
      <c r="H832" s="7"/>
      <c r="I832" s="7"/>
      <c r="J832" s="7"/>
      <c r="K832" s="7"/>
      <c r="L832" s="7"/>
      <c r="M832" s="7"/>
      <c r="N832" s="4"/>
      <c r="O832" s="4"/>
      <c r="P832" s="4"/>
      <c r="Q832" s="4"/>
      <c r="R832" s="4"/>
    </row>
    <row r="833">
      <c r="A833" s="1"/>
      <c r="B833" s="8"/>
      <c r="C833" s="2"/>
      <c r="D833" s="2"/>
      <c r="E833" s="2"/>
      <c r="F833" s="2"/>
      <c r="G833" s="7"/>
      <c r="H833" s="7"/>
      <c r="I833" s="7"/>
      <c r="J833" s="7"/>
      <c r="K833" s="7"/>
      <c r="L833" s="7"/>
      <c r="M833" s="7"/>
      <c r="N833" s="4"/>
      <c r="O833" s="4"/>
      <c r="P833" s="4"/>
      <c r="Q833" s="4"/>
      <c r="R833" s="4"/>
    </row>
    <row r="834">
      <c r="A834" s="1"/>
      <c r="B834" s="8"/>
      <c r="C834" s="2"/>
      <c r="D834" s="2"/>
      <c r="E834" s="2"/>
      <c r="F834" s="2"/>
      <c r="G834" s="7"/>
      <c r="H834" s="7"/>
      <c r="I834" s="7"/>
      <c r="J834" s="7"/>
      <c r="K834" s="7"/>
      <c r="L834" s="7"/>
      <c r="M834" s="7"/>
      <c r="N834" s="4"/>
      <c r="O834" s="4"/>
      <c r="P834" s="4"/>
      <c r="Q834" s="4"/>
      <c r="R834" s="4"/>
    </row>
    <row r="835">
      <c r="A835" s="1"/>
      <c r="B835" s="8"/>
      <c r="C835" s="2"/>
      <c r="D835" s="2"/>
      <c r="E835" s="2"/>
      <c r="F835" s="2"/>
      <c r="G835" s="7"/>
      <c r="H835" s="7"/>
      <c r="I835" s="7"/>
      <c r="J835" s="7"/>
      <c r="K835" s="7"/>
      <c r="L835" s="7"/>
      <c r="M835" s="7"/>
      <c r="N835" s="4"/>
      <c r="O835" s="4"/>
      <c r="P835" s="4"/>
      <c r="Q835" s="4"/>
      <c r="R835" s="4"/>
    </row>
    <row r="836">
      <c r="A836" s="1"/>
      <c r="B836" s="8"/>
      <c r="C836" s="2"/>
      <c r="D836" s="2"/>
      <c r="E836" s="2"/>
      <c r="F836" s="2"/>
      <c r="G836" s="7"/>
      <c r="H836" s="7"/>
      <c r="I836" s="7"/>
      <c r="J836" s="7"/>
      <c r="K836" s="7"/>
      <c r="L836" s="7"/>
      <c r="M836" s="7"/>
      <c r="N836" s="4"/>
      <c r="O836" s="4"/>
      <c r="P836" s="4"/>
      <c r="Q836" s="4"/>
      <c r="R836" s="4"/>
    </row>
    <row r="837">
      <c r="A837" s="1"/>
      <c r="B837" s="8"/>
      <c r="C837" s="2"/>
      <c r="D837" s="2"/>
      <c r="E837" s="2"/>
      <c r="F837" s="2"/>
      <c r="G837" s="7"/>
      <c r="H837" s="7"/>
      <c r="I837" s="7"/>
      <c r="J837" s="7"/>
      <c r="K837" s="7"/>
      <c r="L837" s="7"/>
      <c r="M837" s="7"/>
      <c r="N837" s="4"/>
      <c r="O837" s="4"/>
      <c r="P837" s="4"/>
      <c r="Q837" s="4"/>
      <c r="R837" s="4"/>
    </row>
    <row r="838">
      <c r="A838" s="1"/>
      <c r="B838" s="8"/>
      <c r="C838" s="2"/>
      <c r="D838" s="2"/>
      <c r="E838" s="2"/>
      <c r="F838" s="2"/>
      <c r="G838" s="7"/>
      <c r="H838" s="7"/>
      <c r="I838" s="7"/>
      <c r="J838" s="7"/>
      <c r="K838" s="7"/>
      <c r="L838" s="7"/>
      <c r="M838" s="7"/>
      <c r="N838" s="4"/>
      <c r="O838" s="4"/>
      <c r="P838" s="4"/>
      <c r="Q838" s="4"/>
      <c r="R838" s="4"/>
    </row>
    <row r="839">
      <c r="A839" s="1"/>
      <c r="B839" s="8"/>
      <c r="C839" s="2"/>
      <c r="D839" s="2"/>
      <c r="E839" s="2"/>
      <c r="F839" s="2"/>
      <c r="G839" s="7"/>
      <c r="H839" s="7"/>
      <c r="I839" s="7"/>
      <c r="J839" s="7"/>
      <c r="K839" s="7"/>
      <c r="L839" s="7"/>
      <c r="M839" s="7"/>
      <c r="N839" s="4"/>
      <c r="O839" s="4"/>
      <c r="P839" s="4"/>
      <c r="Q839" s="4"/>
      <c r="R839" s="4"/>
    </row>
    <row r="840">
      <c r="A840" s="1"/>
      <c r="B840" s="8"/>
      <c r="C840" s="2"/>
      <c r="D840" s="2"/>
      <c r="E840" s="2"/>
      <c r="F840" s="2"/>
      <c r="G840" s="7"/>
      <c r="H840" s="7"/>
      <c r="I840" s="7"/>
      <c r="J840" s="7"/>
      <c r="K840" s="7"/>
      <c r="L840" s="7"/>
      <c r="M840" s="7"/>
      <c r="N840" s="4"/>
      <c r="O840" s="4"/>
      <c r="P840" s="4"/>
      <c r="Q840" s="4"/>
      <c r="R840" s="4"/>
    </row>
    <row r="841">
      <c r="A841" s="1"/>
      <c r="B841" s="8"/>
      <c r="C841" s="2"/>
      <c r="D841" s="2"/>
      <c r="E841" s="2"/>
      <c r="F841" s="2"/>
      <c r="G841" s="7"/>
      <c r="H841" s="7"/>
      <c r="I841" s="7"/>
      <c r="J841" s="7"/>
      <c r="K841" s="7"/>
      <c r="L841" s="7"/>
      <c r="M841" s="7"/>
      <c r="N841" s="4"/>
      <c r="O841" s="4"/>
      <c r="P841" s="4"/>
      <c r="Q841" s="4"/>
      <c r="R841" s="4"/>
    </row>
    <row r="842">
      <c r="A842" s="1"/>
      <c r="B842" s="8"/>
      <c r="C842" s="2"/>
      <c r="D842" s="2"/>
      <c r="E842" s="2"/>
      <c r="F842" s="2"/>
      <c r="G842" s="7"/>
      <c r="H842" s="7"/>
      <c r="I842" s="7"/>
      <c r="J842" s="7"/>
      <c r="K842" s="7"/>
      <c r="L842" s="7"/>
      <c r="M842" s="7"/>
      <c r="N842" s="4"/>
      <c r="O842" s="4"/>
      <c r="P842" s="4"/>
      <c r="Q842" s="4"/>
      <c r="R842" s="4"/>
    </row>
    <row r="843">
      <c r="A843" s="1"/>
      <c r="B843" s="8"/>
      <c r="C843" s="2"/>
      <c r="D843" s="2"/>
      <c r="E843" s="2"/>
      <c r="F843" s="2"/>
      <c r="G843" s="7"/>
      <c r="H843" s="7"/>
      <c r="I843" s="7"/>
      <c r="J843" s="7"/>
      <c r="K843" s="7"/>
      <c r="L843" s="7"/>
      <c r="M843" s="7"/>
      <c r="N843" s="4"/>
      <c r="O843" s="4"/>
      <c r="P843" s="4"/>
      <c r="Q843" s="4"/>
      <c r="R843" s="4"/>
    </row>
    <row r="844">
      <c r="A844" s="1"/>
      <c r="B844" s="8"/>
      <c r="C844" s="2"/>
      <c r="D844" s="2"/>
      <c r="E844" s="2"/>
      <c r="F844" s="2"/>
      <c r="G844" s="7"/>
      <c r="H844" s="7"/>
      <c r="I844" s="7"/>
      <c r="J844" s="7"/>
      <c r="K844" s="7"/>
      <c r="L844" s="7"/>
      <c r="M844" s="7"/>
      <c r="N844" s="4"/>
      <c r="O844" s="4"/>
      <c r="P844" s="4"/>
      <c r="Q844" s="4"/>
      <c r="R844" s="4"/>
    </row>
    <row r="845">
      <c r="A845" s="1"/>
      <c r="B845" s="8"/>
      <c r="C845" s="2"/>
      <c r="D845" s="2"/>
      <c r="E845" s="2"/>
      <c r="F845" s="2"/>
      <c r="G845" s="7"/>
      <c r="H845" s="7"/>
      <c r="I845" s="7"/>
      <c r="J845" s="7"/>
      <c r="K845" s="7"/>
      <c r="L845" s="7"/>
      <c r="M845" s="7"/>
      <c r="N845" s="4"/>
      <c r="O845" s="4"/>
      <c r="P845" s="4"/>
      <c r="Q845" s="4"/>
      <c r="R845" s="4"/>
    </row>
    <row r="846">
      <c r="A846" s="1"/>
      <c r="B846" s="8"/>
      <c r="C846" s="2"/>
      <c r="D846" s="2"/>
      <c r="E846" s="2"/>
      <c r="F846" s="2"/>
      <c r="G846" s="7"/>
      <c r="H846" s="7"/>
      <c r="I846" s="7"/>
      <c r="J846" s="7"/>
      <c r="K846" s="7"/>
      <c r="L846" s="7"/>
      <c r="M846" s="7"/>
      <c r="N846" s="4"/>
      <c r="O846" s="4"/>
      <c r="P846" s="4"/>
      <c r="Q846" s="4"/>
      <c r="R846" s="4"/>
    </row>
    <row r="847">
      <c r="A847" s="1"/>
      <c r="B847" s="8"/>
      <c r="C847" s="2"/>
      <c r="D847" s="2"/>
      <c r="E847" s="2"/>
      <c r="F847" s="2"/>
      <c r="G847" s="7"/>
      <c r="H847" s="7"/>
      <c r="I847" s="7"/>
      <c r="J847" s="7"/>
      <c r="K847" s="7"/>
      <c r="L847" s="7"/>
      <c r="M847" s="7"/>
      <c r="N847" s="4"/>
      <c r="O847" s="4"/>
      <c r="P847" s="4"/>
      <c r="Q847" s="4"/>
      <c r="R847" s="4"/>
    </row>
    <row r="848">
      <c r="A848" s="1"/>
      <c r="B848" s="8"/>
      <c r="C848" s="2"/>
      <c r="D848" s="2"/>
      <c r="E848" s="2"/>
      <c r="F848" s="2"/>
      <c r="G848" s="7"/>
      <c r="H848" s="7"/>
      <c r="I848" s="7"/>
      <c r="J848" s="7"/>
      <c r="K848" s="7"/>
      <c r="L848" s="7"/>
      <c r="M848" s="7"/>
      <c r="N848" s="4"/>
      <c r="O848" s="4"/>
      <c r="P848" s="4"/>
      <c r="Q848" s="4"/>
      <c r="R848" s="4"/>
    </row>
    <row r="849">
      <c r="A849" s="1"/>
      <c r="B849" s="8"/>
      <c r="C849" s="2"/>
      <c r="D849" s="2"/>
      <c r="E849" s="2"/>
      <c r="F849" s="2"/>
      <c r="G849" s="7"/>
      <c r="H849" s="7"/>
      <c r="I849" s="7"/>
      <c r="J849" s="7"/>
      <c r="K849" s="7"/>
      <c r="L849" s="7"/>
      <c r="M849" s="7"/>
      <c r="N849" s="4"/>
      <c r="O849" s="4"/>
      <c r="P849" s="4"/>
      <c r="Q849" s="4"/>
      <c r="R849" s="4"/>
    </row>
    <row r="850">
      <c r="A850" s="1"/>
      <c r="B850" s="8"/>
      <c r="C850" s="2"/>
      <c r="D850" s="2"/>
      <c r="E850" s="2"/>
      <c r="F850" s="2"/>
      <c r="G850" s="7"/>
      <c r="H850" s="7"/>
      <c r="I850" s="7"/>
      <c r="J850" s="7"/>
      <c r="K850" s="7"/>
      <c r="L850" s="7"/>
      <c r="M850" s="7"/>
      <c r="N850" s="4"/>
      <c r="O850" s="4"/>
      <c r="P850" s="4"/>
      <c r="Q850" s="4"/>
      <c r="R850" s="4"/>
    </row>
    <row r="851">
      <c r="A851" s="1"/>
      <c r="B851" s="8"/>
      <c r="C851" s="2"/>
      <c r="D851" s="2"/>
      <c r="E851" s="2"/>
      <c r="F851" s="2"/>
      <c r="G851" s="7"/>
      <c r="H851" s="7"/>
      <c r="I851" s="7"/>
      <c r="J851" s="7"/>
      <c r="K851" s="7"/>
      <c r="L851" s="7"/>
      <c r="M851" s="7"/>
      <c r="N851" s="4"/>
      <c r="O851" s="4"/>
      <c r="P851" s="4"/>
      <c r="Q851" s="4"/>
      <c r="R851" s="4"/>
    </row>
    <row r="852">
      <c r="A852" s="1"/>
      <c r="B852" s="8"/>
      <c r="C852" s="2"/>
      <c r="D852" s="2"/>
      <c r="E852" s="2"/>
      <c r="F852" s="2"/>
      <c r="G852" s="7"/>
      <c r="H852" s="7"/>
      <c r="I852" s="7"/>
      <c r="J852" s="7"/>
      <c r="K852" s="7"/>
      <c r="L852" s="7"/>
      <c r="M852" s="7"/>
      <c r="N852" s="4"/>
      <c r="O852" s="4"/>
      <c r="P852" s="4"/>
      <c r="Q852" s="4"/>
      <c r="R852" s="4"/>
    </row>
    <row r="853">
      <c r="A853" s="1"/>
      <c r="B853" s="8"/>
      <c r="C853" s="2"/>
      <c r="D853" s="2"/>
      <c r="E853" s="2"/>
      <c r="F853" s="2"/>
      <c r="G853" s="7"/>
      <c r="H853" s="7"/>
      <c r="I853" s="7"/>
      <c r="J853" s="7"/>
      <c r="K853" s="7"/>
      <c r="L853" s="7"/>
      <c r="M853" s="7"/>
      <c r="N853" s="4"/>
      <c r="O853" s="4"/>
      <c r="P853" s="4"/>
      <c r="Q853" s="4"/>
      <c r="R853" s="4"/>
    </row>
    <row r="854">
      <c r="A854" s="1"/>
      <c r="B854" s="8"/>
      <c r="C854" s="2"/>
      <c r="D854" s="2"/>
      <c r="E854" s="2"/>
      <c r="F854" s="2"/>
      <c r="G854" s="7"/>
      <c r="H854" s="7"/>
      <c r="I854" s="7"/>
      <c r="J854" s="7"/>
      <c r="K854" s="7"/>
      <c r="L854" s="7"/>
      <c r="M854" s="7"/>
      <c r="N854" s="4"/>
      <c r="O854" s="4"/>
      <c r="P854" s="4"/>
      <c r="Q854" s="4"/>
      <c r="R854" s="4"/>
    </row>
    <row r="855">
      <c r="A855" s="1"/>
      <c r="B855" s="8"/>
      <c r="C855" s="2"/>
      <c r="D855" s="2"/>
      <c r="E855" s="2"/>
      <c r="F855" s="2"/>
      <c r="G855" s="7"/>
      <c r="H855" s="7"/>
      <c r="I855" s="7"/>
      <c r="J855" s="7"/>
      <c r="K855" s="7"/>
      <c r="L855" s="7"/>
      <c r="M855" s="7"/>
      <c r="N855" s="4"/>
      <c r="O855" s="4"/>
      <c r="P855" s="4"/>
      <c r="Q855" s="4"/>
      <c r="R855" s="4"/>
    </row>
    <row r="856">
      <c r="A856" s="1"/>
      <c r="B856" s="8"/>
      <c r="C856" s="2"/>
      <c r="D856" s="2"/>
      <c r="E856" s="2"/>
      <c r="F856" s="2"/>
      <c r="G856" s="7"/>
      <c r="H856" s="7"/>
      <c r="I856" s="7"/>
      <c r="J856" s="7"/>
      <c r="K856" s="7"/>
      <c r="L856" s="7"/>
      <c r="M856" s="7"/>
      <c r="N856" s="4"/>
      <c r="O856" s="4"/>
      <c r="P856" s="4"/>
      <c r="Q856" s="4"/>
      <c r="R856" s="4"/>
    </row>
    <row r="857">
      <c r="A857" s="1"/>
      <c r="B857" s="8"/>
      <c r="C857" s="2"/>
      <c r="D857" s="2"/>
      <c r="E857" s="2"/>
      <c r="F857" s="2"/>
      <c r="G857" s="7"/>
      <c r="H857" s="7"/>
      <c r="I857" s="7"/>
      <c r="J857" s="7"/>
      <c r="K857" s="7"/>
      <c r="L857" s="7"/>
      <c r="M857" s="7"/>
      <c r="N857" s="4"/>
      <c r="O857" s="4"/>
      <c r="P857" s="4"/>
      <c r="Q857" s="4"/>
      <c r="R857" s="4"/>
    </row>
    <row r="858">
      <c r="A858" s="1"/>
      <c r="B858" s="8"/>
      <c r="C858" s="2"/>
      <c r="D858" s="2"/>
      <c r="E858" s="2"/>
      <c r="F858" s="2"/>
      <c r="G858" s="7"/>
      <c r="H858" s="7"/>
      <c r="I858" s="7"/>
      <c r="J858" s="7"/>
      <c r="K858" s="7"/>
      <c r="L858" s="7"/>
      <c r="M858" s="7"/>
      <c r="N858" s="4"/>
      <c r="O858" s="4"/>
      <c r="P858" s="4"/>
      <c r="Q858" s="4"/>
      <c r="R858" s="4"/>
    </row>
    <row r="859">
      <c r="A859" s="1"/>
      <c r="B859" s="8"/>
      <c r="C859" s="2"/>
      <c r="D859" s="2"/>
      <c r="E859" s="2"/>
      <c r="F859" s="2"/>
      <c r="G859" s="7"/>
      <c r="H859" s="7"/>
      <c r="I859" s="7"/>
      <c r="J859" s="7"/>
      <c r="K859" s="7"/>
      <c r="L859" s="7"/>
      <c r="M859" s="7"/>
      <c r="N859" s="4"/>
      <c r="O859" s="4"/>
      <c r="P859" s="4"/>
      <c r="Q859" s="4"/>
      <c r="R859" s="4"/>
    </row>
    <row r="860">
      <c r="A860" s="1"/>
      <c r="B860" s="8"/>
      <c r="C860" s="2"/>
      <c r="D860" s="2"/>
      <c r="E860" s="2"/>
      <c r="F860" s="2"/>
      <c r="G860" s="7"/>
      <c r="H860" s="7"/>
      <c r="I860" s="7"/>
      <c r="J860" s="7"/>
      <c r="K860" s="7"/>
      <c r="L860" s="7"/>
      <c r="M860" s="7"/>
      <c r="N860" s="4"/>
      <c r="O860" s="4"/>
      <c r="P860" s="4"/>
      <c r="Q860" s="4"/>
      <c r="R860" s="4"/>
    </row>
    <row r="861">
      <c r="A861" s="1"/>
      <c r="B861" s="8"/>
      <c r="C861" s="2"/>
      <c r="D861" s="2"/>
      <c r="E861" s="2"/>
      <c r="F861" s="2"/>
      <c r="G861" s="7"/>
      <c r="H861" s="7"/>
      <c r="I861" s="7"/>
      <c r="J861" s="7"/>
      <c r="K861" s="7"/>
      <c r="L861" s="7"/>
      <c r="M861" s="7"/>
      <c r="N861" s="4"/>
      <c r="O861" s="4"/>
      <c r="P861" s="4"/>
      <c r="Q861" s="4"/>
      <c r="R861" s="4"/>
    </row>
    <row r="862">
      <c r="A862" s="1"/>
      <c r="B862" s="8"/>
      <c r="C862" s="2"/>
      <c r="D862" s="2"/>
      <c r="E862" s="2"/>
      <c r="F862" s="2"/>
      <c r="G862" s="7"/>
      <c r="H862" s="7"/>
      <c r="I862" s="7"/>
      <c r="J862" s="7"/>
      <c r="K862" s="7"/>
      <c r="L862" s="7"/>
      <c r="M862" s="7"/>
      <c r="N862" s="4"/>
      <c r="O862" s="4"/>
      <c r="P862" s="4"/>
      <c r="Q862" s="4"/>
      <c r="R862" s="4"/>
    </row>
    <row r="863">
      <c r="A863" s="1"/>
      <c r="B863" s="8"/>
      <c r="C863" s="2"/>
      <c r="D863" s="2"/>
      <c r="E863" s="2"/>
      <c r="F863" s="2"/>
      <c r="G863" s="7"/>
      <c r="H863" s="7"/>
      <c r="I863" s="7"/>
      <c r="J863" s="7"/>
      <c r="K863" s="7"/>
      <c r="L863" s="7"/>
      <c r="M863" s="7"/>
      <c r="N863" s="4"/>
      <c r="O863" s="4"/>
      <c r="P863" s="4"/>
      <c r="Q863" s="4"/>
      <c r="R863" s="4"/>
    </row>
    <row r="864">
      <c r="A864" s="1"/>
      <c r="B864" s="8"/>
      <c r="C864" s="2"/>
      <c r="D864" s="2"/>
      <c r="E864" s="2"/>
      <c r="F864" s="2"/>
      <c r="G864" s="7"/>
      <c r="H864" s="7"/>
      <c r="I864" s="7"/>
      <c r="J864" s="7"/>
      <c r="K864" s="7"/>
      <c r="L864" s="7"/>
      <c r="M864" s="7"/>
      <c r="N864" s="4"/>
      <c r="O864" s="4"/>
      <c r="P864" s="4"/>
      <c r="Q864" s="4"/>
      <c r="R864" s="4"/>
    </row>
    <row r="865">
      <c r="A865" s="1"/>
      <c r="B865" s="8"/>
      <c r="C865" s="2"/>
      <c r="D865" s="2"/>
      <c r="E865" s="2"/>
      <c r="F865" s="2"/>
      <c r="G865" s="7"/>
      <c r="H865" s="7"/>
      <c r="I865" s="7"/>
      <c r="J865" s="7"/>
      <c r="K865" s="7"/>
      <c r="L865" s="7"/>
      <c r="M865" s="7"/>
      <c r="N865" s="4"/>
      <c r="O865" s="4"/>
      <c r="P865" s="4"/>
      <c r="Q865" s="4"/>
      <c r="R865" s="4"/>
    </row>
    <row r="866">
      <c r="A866" s="1"/>
      <c r="B866" s="8"/>
      <c r="C866" s="2"/>
      <c r="D866" s="2"/>
      <c r="E866" s="2"/>
      <c r="F866" s="2"/>
      <c r="G866" s="7"/>
      <c r="H866" s="7"/>
      <c r="I866" s="7"/>
      <c r="J866" s="7"/>
      <c r="K866" s="7"/>
      <c r="L866" s="7"/>
      <c r="M866" s="7"/>
      <c r="N866" s="4"/>
      <c r="O866" s="4"/>
      <c r="P866" s="4"/>
      <c r="Q866" s="4"/>
      <c r="R866" s="4"/>
    </row>
    <row r="867">
      <c r="A867" s="1"/>
      <c r="B867" s="8"/>
      <c r="C867" s="2"/>
      <c r="D867" s="2"/>
      <c r="E867" s="2"/>
      <c r="F867" s="2"/>
      <c r="G867" s="7"/>
      <c r="H867" s="7"/>
      <c r="I867" s="7"/>
      <c r="J867" s="7"/>
      <c r="K867" s="7"/>
      <c r="L867" s="7"/>
      <c r="M867" s="7"/>
      <c r="N867" s="4"/>
      <c r="O867" s="4"/>
      <c r="P867" s="4"/>
      <c r="Q867" s="4"/>
      <c r="R867" s="4"/>
    </row>
    <row r="868">
      <c r="A868" s="1"/>
      <c r="B868" s="8"/>
      <c r="C868" s="2"/>
      <c r="D868" s="2"/>
      <c r="E868" s="2"/>
      <c r="F868" s="2"/>
      <c r="G868" s="7"/>
      <c r="H868" s="7"/>
      <c r="I868" s="7"/>
      <c r="J868" s="7"/>
      <c r="K868" s="7"/>
      <c r="L868" s="7"/>
      <c r="M868" s="7"/>
      <c r="N868" s="4"/>
      <c r="O868" s="4"/>
      <c r="P868" s="4"/>
      <c r="Q868" s="4"/>
      <c r="R868" s="4"/>
    </row>
    <row r="869">
      <c r="A869" s="1"/>
      <c r="B869" s="8"/>
      <c r="C869" s="2"/>
      <c r="D869" s="2"/>
      <c r="E869" s="2"/>
      <c r="F869" s="2"/>
      <c r="G869" s="7"/>
      <c r="H869" s="7"/>
      <c r="I869" s="7"/>
      <c r="J869" s="7"/>
      <c r="K869" s="7"/>
      <c r="L869" s="7"/>
      <c r="M869" s="7"/>
      <c r="N869" s="4"/>
      <c r="O869" s="4"/>
      <c r="P869" s="4"/>
      <c r="Q869" s="4"/>
      <c r="R869" s="4"/>
    </row>
    <row r="870">
      <c r="A870" s="1"/>
      <c r="B870" s="8"/>
      <c r="C870" s="2"/>
      <c r="D870" s="2"/>
      <c r="E870" s="2"/>
      <c r="F870" s="2"/>
      <c r="G870" s="7"/>
      <c r="H870" s="7"/>
      <c r="I870" s="7"/>
      <c r="J870" s="7"/>
      <c r="K870" s="7"/>
      <c r="L870" s="7"/>
      <c r="M870" s="7"/>
      <c r="N870" s="4"/>
      <c r="O870" s="4"/>
      <c r="P870" s="4"/>
      <c r="Q870" s="4"/>
      <c r="R870" s="4"/>
    </row>
    <row r="871">
      <c r="A871" s="1"/>
      <c r="B871" s="8"/>
      <c r="C871" s="2"/>
      <c r="D871" s="2"/>
      <c r="E871" s="2"/>
      <c r="F871" s="2"/>
      <c r="G871" s="7"/>
      <c r="H871" s="7"/>
      <c r="I871" s="7"/>
      <c r="J871" s="7"/>
      <c r="K871" s="7"/>
      <c r="L871" s="7"/>
      <c r="M871" s="7"/>
      <c r="N871" s="4"/>
      <c r="O871" s="4"/>
      <c r="P871" s="4"/>
      <c r="Q871" s="4"/>
      <c r="R871" s="4"/>
    </row>
    <row r="872">
      <c r="A872" s="1"/>
      <c r="B872" s="8"/>
      <c r="C872" s="2"/>
      <c r="D872" s="2"/>
      <c r="E872" s="2"/>
      <c r="F872" s="2"/>
      <c r="G872" s="7"/>
      <c r="H872" s="7"/>
      <c r="I872" s="7"/>
      <c r="J872" s="7"/>
      <c r="K872" s="7"/>
      <c r="L872" s="7"/>
      <c r="M872" s="7"/>
      <c r="N872" s="4"/>
      <c r="O872" s="4"/>
      <c r="P872" s="4"/>
      <c r="Q872" s="4"/>
      <c r="R872" s="4"/>
    </row>
    <row r="873">
      <c r="A873" s="1"/>
      <c r="B873" s="8"/>
      <c r="C873" s="2"/>
      <c r="D873" s="2"/>
      <c r="E873" s="2"/>
      <c r="F873" s="2"/>
      <c r="G873" s="7"/>
      <c r="H873" s="7"/>
      <c r="I873" s="7"/>
      <c r="J873" s="7"/>
      <c r="K873" s="7"/>
      <c r="L873" s="7"/>
      <c r="M873" s="7"/>
      <c r="N873" s="4"/>
      <c r="O873" s="4"/>
      <c r="P873" s="4"/>
      <c r="Q873" s="4"/>
      <c r="R873" s="4"/>
    </row>
    <row r="874">
      <c r="A874" s="1"/>
      <c r="B874" s="8"/>
      <c r="C874" s="2"/>
      <c r="D874" s="2"/>
      <c r="E874" s="2"/>
      <c r="F874" s="2"/>
      <c r="G874" s="7"/>
      <c r="H874" s="7"/>
      <c r="I874" s="7"/>
      <c r="J874" s="7"/>
      <c r="K874" s="7"/>
      <c r="L874" s="7"/>
      <c r="M874" s="7"/>
      <c r="N874" s="4"/>
      <c r="O874" s="4"/>
      <c r="P874" s="4"/>
      <c r="Q874" s="4"/>
      <c r="R874" s="4"/>
    </row>
    <row r="875">
      <c r="A875" s="1"/>
      <c r="B875" s="8"/>
      <c r="C875" s="2"/>
      <c r="D875" s="2"/>
      <c r="E875" s="2"/>
      <c r="F875" s="2"/>
      <c r="G875" s="7"/>
      <c r="H875" s="7"/>
      <c r="I875" s="7"/>
      <c r="J875" s="7"/>
      <c r="K875" s="7"/>
      <c r="L875" s="7"/>
      <c r="M875" s="7"/>
      <c r="N875" s="4"/>
      <c r="O875" s="4"/>
      <c r="P875" s="4"/>
      <c r="Q875" s="4"/>
      <c r="R875" s="4"/>
    </row>
    <row r="876">
      <c r="A876" s="1"/>
      <c r="B876" s="8"/>
      <c r="C876" s="2"/>
      <c r="D876" s="2"/>
      <c r="E876" s="2"/>
      <c r="F876" s="2"/>
      <c r="G876" s="7"/>
      <c r="H876" s="7"/>
      <c r="I876" s="7"/>
      <c r="J876" s="7"/>
      <c r="K876" s="7"/>
      <c r="L876" s="7"/>
      <c r="M876" s="7"/>
      <c r="N876" s="4"/>
      <c r="O876" s="4"/>
      <c r="P876" s="4"/>
      <c r="Q876" s="4"/>
      <c r="R876" s="4"/>
    </row>
    <row r="877">
      <c r="A877" s="1"/>
      <c r="B877" s="8"/>
      <c r="C877" s="2"/>
      <c r="D877" s="2"/>
      <c r="E877" s="2"/>
      <c r="F877" s="2"/>
      <c r="G877" s="7"/>
      <c r="H877" s="7"/>
      <c r="I877" s="7"/>
      <c r="J877" s="7"/>
      <c r="K877" s="7"/>
      <c r="L877" s="7"/>
      <c r="M877" s="7"/>
      <c r="N877" s="4"/>
      <c r="O877" s="4"/>
      <c r="P877" s="4"/>
      <c r="Q877" s="4"/>
      <c r="R877" s="4"/>
    </row>
    <row r="878">
      <c r="A878" s="1"/>
      <c r="B878" s="8"/>
      <c r="C878" s="2"/>
      <c r="D878" s="2"/>
      <c r="E878" s="2"/>
      <c r="F878" s="2"/>
      <c r="G878" s="7"/>
      <c r="H878" s="7"/>
      <c r="I878" s="7"/>
      <c r="J878" s="7"/>
      <c r="K878" s="7"/>
      <c r="L878" s="7"/>
      <c r="M878" s="7"/>
      <c r="N878" s="4"/>
      <c r="O878" s="4"/>
      <c r="P878" s="4"/>
      <c r="Q878" s="4"/>
      <c r="R878" s="4"/>
    </row>
    <row r="879">
      <c r="A879" s="1"/>
      <c r="B879" s="8"/>
      <c r="C879" s="2"/>
      <c r="D879" s="2"/>
      <c r="E879" s="2"/>
      <c r="F879" s="2"/>
      <c r="G879" s="7"/>
      <c r="H879" s="7"/>
      <c r="I879" s="7"/>
      <c r="J879" s="7"/>
      <c r="K879" s="7"/>
      <c r="L879" s="7"/>
      <c r="M879" s="7"/>
      <c r="N879" s="4"/>
      <c r="O879" s="4"/>
      <c r="P879" s="4"/>
      <c r="Q879" s="4"/>
      <c r="R879" s="4"/>
    </row>
    <row r="880">
      <c r="A880" s="1"/>
      <c r="B880" s="8"/>
      <c r="C880" s="2"/>
      <c r="D880" s="2"/>
      <c r="E880" s="2"/>
      <c r="F880" s="2"/>
      <c r="G880" s="7"/>
      <c r="H880" s="7"/>
      <c r="I880" s="7"/>
      <c r="J880" s="7"/>
      <c r="K880" s="7"/>
      <c r="L880" s="7"/>
      <c r="M880" s="7"/>
      <c r="N880" s="4"/>
      <c r="O880" s="4"/>
      <c r="P880" s="4"/>
      <c r="Q880" s="4"/>
      <c r="R880" s="4"/>
    </row>
    <row r="881">
      <c r="A881" s="1"/>
      <c r="B881" s="8"/>
      <c r="C881" s="2"/>
      <c r="D881" s="2"/>
      <c r="E881" s="2"/>
      <c r="F881" s="2"/>
      <c r="G881" s="7"/>
      <c r="H881" s="7"/>
      <c r="I881" s="7"/>
      <c r="J881" s="7"/>
      <c r="K881" s="7"/>
      <c r="L881" s="7"/>
      <c r="M881" s="7"/>
      <c r="N881" s="4"/>
      <c r="O881" s="4"/>
      <c r="P881" s="4"/>
      <c r="Q881" s="4"/>
      <c r="R881" s="4"/>
    </row>
    <row r="882">
      <c r="A882" s="1"/>
      <c r="B882" s="8"/>
      <c r="C882" s="2"/>
      <c r="D882" s="2"/>
      <c r="E882" s="2"/>
      <c r="F882" s="2"/>
      <c r="G882" s="7"/>
      <c r="H882" s="7"/>
      <c r="I882" s="7"/>
      <c r="J882" s="7"/>
      <c r="K882" s="7"/>
      <c r="L882" s="7"/>
      <c r="M882" s="7"/>
      <c r="N882" s="4"/>
      <c r="O882" s="4"/>
      <c r="P882" s="4"/>
      <c r="Q882" s="4"/>
      <c r="R882" s="4"/>
    </row>
    <row r="883">
      <c r="A883" s="1"/>
      <c r="B883" s="8"/>
      <c r="C883" s="2"/>
      <c r="D883" s="2"/>
      <c r="E883" s="2"/>
      <c r="F883" s="2"/>
      <c r="G883" s="7"/>
      <c r="H883" s="7"/>
      <c r="I883" s="7"/>
      <c r="J883" s="7"/>
      <c r="K883" s="7"/>
      <c r="L883" s="7"/>
      <c r="M883" s="7"/>
      <c r="N883" s="4"/>
      <c r="O883" s="4"/>
      <c r="P883" s="4"/>
      <c r="Q883" s="4"/>
      <c r="R883" s="4"/>
    </row>
    <row r="884">
      <c r="A884" s="1"/>
      <c r="B884" s="8"/>
      <c r="C884" s="2"/>
      <c r="D884" s="2"/>
      <c r="E884" s="2"/>
      <c r="F884" s="2"/>
      <c r="G884" s="7"/>
      <c r="H884" s="7"/>
      <c r="I884" s="7"/>
      <c r="J884" s="7"/>
      <c r="K884" s="7"/>
      <c r="L884" s="7"/>
      <c r="M884" s="7"/>
      <c r="N884" s="4"/>
      <c r="O884" s="4"/>
      <c r="P884" s="4"/>
      <c r="Q884" s="4"/>
      <c r="R884" s="4"/>
    </row>
    <row r="885">
      <c r="A885" s="1"/>
      <c r="B885" s="8"/>
      <c r="C885" s="2"/>
      <c r="D885" s="2"/>
      <c r="E885" s="2"/>
      <c r="F885" s="2"/>
      <c r="G885" s="7"/>
      <c r="H885" s="7"/>
      <c r="I885" s="7"/>
      <c r="J885" s="7"/>
      <c r="K885" s="7"/>
      <c r="L885" s="7"/>
      <c r="M885" s="7"/>
      <c r="N885" s="4"/>
      <c r="O885" s="4"/>
      <c r="P885" s="4"/>
      <c r="Q885" s="4"/>
      <c r="R885" s="4"/>
    </row>
    <row r="886">
      <c r="A886" s="1"/>
      <c r="B886" s="8"/>
      <c r="C886" s="2"/>
      <c r="D886" s="2"/>
      <c r="E886" s="2"/>
      <c r="F886" s="2"/>
      <c r="G886" s="7"/>
      <c r="H886" s="7"/>
      <c r="I886" s="7"/>
      <c r="J886" s="7"/>
      <c r="K886" s="7"/>
      <c r="L886" s="7"/>
      <c r="M886" s="7"/>
      <c r="N886" s="4"/>
      <c r="O886" s="4"/>
      <c r="P886" s="4"/>
      <c r="Q886" s="4"/>
      <c r="R886" s="4"/>
    </row>
    <row r="887">
      <c r="A887" s="1"/>
      <c r="B887" s="8"/>
      <c r="C887" s="2"/>
      <c r="D887" s="2"/>
      <c r="E887" s="2"/>
      <c r="F887" s="2"/>
      <c r="G887" s="7"/>
      <c r="H887" s="7"/>
      <c r="I887" s="7"/>
      <c r="J887" s="7"/>
      <c r="K887" s="7"/>
      <c r="L887" s="7"/>
      <c r="M887" s="7"/>
      <c r="N887" s="4"/>
      <c r="O887" s="4"/>
      <c r="P887" s="4"/>
      <c r="Q887" s="4"/>
      <c r="R887" s="4"/>
    </row>
    <row r="888">
      <c r="A888" s="1"/>
      <c r="B888" s="8"/>
      <c r="C888" s="2"/>
      <c r="D888" s="2"/>
      <c r="E888" s="2"/>
      <c r="F888" s="2"/>
      <c r="G888" s="7"/>
      <c r="H888" s="7"/>
      <c r="I888" s="7"/>
      <c r="J888" s="7"/>
      <c r="K888" s="7"/>
      <c r="L888" s="7"/>
      <c r="M888" s="7"/>
      <c r="N888" s="4"/>
      <c r="O888" s="4"/>
      <c r="P888" s="4"/>
      <c r="Q888" s="4"/>
      <c r="R888" s="4"/>
    </row>
    <row r="889">
      <c r="A889" s="1"/>
      <c r="B889" s="8"/>
      <c r="C889" s="2"/>
      <c r="D889" s="2"/>
      <c r="E889" s="2"/>
      <c r="F889" s="2"/>
      <c r="G889" s="7"/>
      <c r="H889" s="7"/>
      <c r="I889" s="7"/>
      <c r="J889" s="7"/>
      <c r="K889" s="7"/>
      <c r="L889" s="7"/>
      <c r="M889" s="7"/>
      <c r="N889" s="4"/>
      <c r="O889" s="4"/>
      <c r="P889" s="4"/>
      <c r="Q889" s="4"/>
      <c r="R889" s="4"/>
    </row>
    <row r="890">
      <c r="A890" s="1"/>
      <c r="B890" s="8"/>
      <c r="C890" s="2"/>
      <c r="D890" s="2"/>
      <c r="E890" s="2"/>
      <c r="F890" s="2"/>
      <c r="G890" s="7"/>
      <c r="H890" s="7"/>
      <c r="I890" s="7"/>
      <c r="J890" s="7"/>
      <c r="K890" s="7"/>
      <c r="L890" s="7"/>
      <c r="M890" s="7"/>
      <c r="N890" s="4"/>
      <c r="O890" s="4"/>
      <c r="P890" s="4"/>
      <c r="Q890" s="4"/>
      <c r="R890" s="4"/>
    </row>
    <row r="891">
      <c r="A891" s="1"/>
      <c r="B891" s="8"/>
      <c r="C891" s="2"/>
      <c r="D891" s="2"/>
      <c r="E891" s="2"/>
      <c r="F891" s="2"/>
      <c r="G891" s="7"/>
      <c r="H891" s="7"/>
      <c r="I891" s="7"/>
      <c r="J891" s="7"/>
      <c r="K891" s="7"/>
      <c r="L891" s="7"/>
      <c r="M891" s="7"/>
      <c r="N891" s="4"/>
      <c r="O891" s="4"/>
      <c r="P891" s="4"/>
      <c r="Q891" s="4"/>
      <c r="R891" s="4"/>
    </row>
    <row r="892">
      <c r="A892" s="1"/>
      <c r="B892" s="8"/>
      <c r="C892" s="2"/>
      <c r="D892" s="2"/>
      <c r="E892" s="2"/>
      <c r="F892" s="2"/>
      <c r="G892" s="7"/>
      <c r="H892" s="7"/>
      <c r="I892" s="7"/>
      <c r="J892" s="7"/>
      <c r="K892" s="7"/>
      <c r="L892" s="7"/>
      <c r="M892" s="7"/>
      <c r="N892" s="4"/>
      <c r="O892" s="4"/>
      <c r="P892" s="4"/>
      <c r="Q892" s="4"/>
      <c r="R892" s="4"/>
    </row>
    <row r="893">
      <c r="A893" s="1"/>
      <c r="B893" s="8"/>
      <c r="C893" s="2"/>
      <c r="D893" s="2"/>
      <c r="E893" s="2"/>
      <c r="F893" s="2"/>
      <c r="G893" s="7"/>
      <c r="H893" s="7"/>
      <c r="I893" s="7"/>
      <c r="J893" s="7"/>
      <c r="K893" s="7"/>
      <c r="L893" s="7"/>
      <c r="M893" s="7"/>
      <c r="N893" s="4"/>
      <c r="O893" s="4"/>
      <c r="P893" s="4"/>
      <c r="Q893" s="4"/>
      <c r="R893" s="4"/>
    </row>
    <row r="894">
      <c r="A894" s="1"/>
      <c r="B894" s="8"/>
      <c r="C894" s="2"/>
      <c r="D894" s="2"/>
      <c r="E894" s="2"/>
      <c r="F894" s="2"/>
      <c r="G894" s="7"/>
      <c r="H894" s="7"/>
      <c r="I894" s="7"/>
      <c r="J894" s="7"/>
      <c r="K894" s="7"/>
      <c r="L894" s="7"/>
      <c r="M894" s="7"/>
      <c r="N894" s="4"/>
      <c r="O894" s="4"/>
      <c r="P894" s="4"/>
      <c r="Q894" s="4"/>
      <c r="R894" s="4"/>
    </row>
    <row r="895">
      <c r="A895" s="1"/>
      <c r="B895" s="8"/>
      <c r="C895" s="2"/>
      <c r="D895" s="2"/>
      <c r="E895" s="2"/>
      <c r="F895" s="2"/>
      <c r="G895" s="7"/>
      <c r="H895" s="7"/>
      <c r="I895" s="7"/>
      <c r="J895" s="7"/>
      <c r="K895" s="7"/>
      <c r="L895" s="7"/>
      <c r="M895" s="7"/>
      <c r="N895" s="4"/>
      <c r="O895" s="4"/>
      <c r="P895" s="4"/>
      <c r="Q895" s="4"/>
      <c r="R895" s="4"/>
    </row>
    <row r="896">
      <c r="A896" s="1"/>
      <c r="B896" s="8"/>
      <c r="C896" s="2"/>
      <c r="D896" s="2"/>
      <c r="E896" s="2"/>
      <c r="F896" s="2"/>
      <c r="G896" s="7"/>
      <c r="H896" s="7"/>
      <c r="I896" s="7"/>
      <c r="J896" s="7"/>
      <c r="K896" s="7"/>
      <c r="L896" s="7"/>
      <c r="M896" s="7"/>
      <c r="N896" s="4"/>
      <c r="O896" s="4"/>
      <c r="P896" s="4"/>
      <c r="Q896" s="4"/>
      <c r="R896" s="4"/>
    </row>
    <row r="897">
      <c r="A897" s="1"/>
      <c r="B897" s="8"/>
      <c r="C897" s="2"/>
      <c r="D897" s="2"/>
      <c r="E897" s="2"/>
      <c r="F897" s="2"/>
      <c r="G897" s="7"/>
      <c r="H897" s="7"/>
      <c r="I897" s="7"/>
      <c r="J897" s="7"/>
      <c r="K897" s="7"/>
      <c r="L897" s="7"/>
      <c r="M897" s="7"/>
      <c r="N897" s="4"/>
      <c r="O897" s="4"/>
      <c r="P897" s="4"/>
      <c r="Q897" s="4"/>
      <c r="R897" s="4"/>
    </row>
    <row r="898">
      <c r="A898" s="1"/>
      <c r="B898" s="8"/>
      <c r="C898" s="2"/>
      <c r="D898" s="2"/>
      <c r="E898" s="2"/>
      <c r="F898" s="2"/>
      <c r="G898" s="7"/>
      <c r="H898" s="7"/>
      <c r="I898" s="7"/>
      <c r="J898" s="7"/>
      <c r="K898" s="7"/>
      <c r="L898" s="7"/>
      <c r="M898" s="7"/>
      <c r="N898" s="4"/>
      <c r="O898" s="4"/>
      <c r="P898" s="4"/>
      <c r="Q898" s="4"/>
      <c r="R898" s="4"/>
    </row>
    <row r="899">
      <c r="A899" s="1"/>
      <c r="B899" s="8"/>
      <c r="C899" s="2"/>
      <c r="D899" s="2"/>
      <c r="E899" s="2"/>
      <c r="F899" s="2"/>
      <c r="G899" s="7"/>
      <c r="H899" s="7"/>
      <c r="I899" s="7"/>
      <c r="J899" s="7"/>
      <c r="K899" s="7"/>
      <c r="L899" s="7"/>
      <c r="M899" s="7"/>
      <c r="N899" s="4"/>
      <c r="O899" s="4"/>
      <c r="P899" s="4"/>
      <c r="Q899" s="4"/>
      <c r="R899" s="4"/>
    </row>
    <row r="900">
      <c r="A900" s="1"/>
      <c r="B900" s="8"/>
      <c r="C900" s="2"/>
      <c r="D900" s="2"/>
      <c r="E900" s="2"/>
      <c r="F900" s="2"/>
      <c r="G900" s="7"/>
      <c r="H900" s="7"/>
      <c r="I900" s="7"/>
      <c r="J900" s="7"/>
      <c r="K900" s="7"/>
      <c r="L900" s="7"/>
      <c r="M900" s="7"/>
      <c r="N900" s="4"/>
      <c r="O900" s="4"/>
      <c r="P900" s="4"/>
      <c r="Q900" s="4"/>
      <c r="R900" s="4"/>
    </row>
    <row r="901">
      <c r="A901" s="1"/>
      <c r="B901" s="8"/>
      <c r="C901" s="2"/>
      <c r="D901" s="2"/>
      <c r="E901" s="2"/>
      <c r="F901" s="2"/>
      <c r="G901" s="7"/>
      <c r="H901" s="7"/>
      <c r="I901" s="7"/>
      <c r="J901" s="7"/>
      <c r="K901" s="7"/>
      <c r="L901" s="7"/>
      <c r="M901" s="7"/>
      <c r="N901" s="4"/>
      <c r="O901" s="4"/>
      <c r="P901" s="4"/>
      <c r="Q901" s="4"/>
      <c r="R901" s="4"/>
    </row>
    <row r="902">
      <c r="A902" s="1"/>
      <c r="B902" s="8"/>
      <c r="C902" s="2"/>
      <c r="D902" s="2"/>
      <c r="E902" s="2"/>
      <c r="F902" s="2"/>
      <c r="G902" s="7"/>
      <c r="H902" s="7"/>
      <c r="I902" s="7"/>
      <c r="J902" s="7"/>
      <c r="K902" s="7"/>
      <c r="L902" s="7"/>
      <c r="M902" s="7"/>
      <c r="N902" s="4"/>
      <c r="O902" s="4"/>
      <c r="P902" s="4"/>
      <c r="Q902" s="4"/>
      <c r="R902" s="4"/>
    </row>
    <row r="903">
      <c r="A903" s="1"/>
      <c r="B903" s="8"/>
      <c r="C903" s="2"/>
      <c r="D903" s="2"/>
      <c r="E903" s="2"/>
      <c r="F903" s="2"/>
      <c r="G903" s="7"/>
      <c r="H903" s="7"/>
      <c r="I903" s="7"/>
      <c r="J903" s="7"/>
      <c r="K903" s="7"/>
      <c r="L903" s="7"/>
      <c r="M903" s="7"/>
      <c r="N903" s="4"/>
      <c r="O903" s="4"/>
      <c r="P903" s="4"/>
      <c r="Q903" s="4"/>
      <c r="R903" s="4"/>
    </row>
    <row r="904">
      <c r="A904" s="1"/>
      <c r="B904" s="8"/>
      <c r="C904" s="2"/>
      <c r="D904" s="2"/>
      <c r="E904" s="2"/>
      <c r="F904" s="2"/>
      <c r="G904" s="7"/>
      <c r="H904" s="7"/>
      <c r="I904" s="7"/>
      <c r="J904" s="7"/>
      <c r="K904" s="7"/>
      <c r="L904" s="7"/>
      <c r="M904" s="7"/>
      <c r="N904" s="4"/>
      <c r="O904" s="4"/>
      <c r="P904" s="4"/>
      <c r="Q904" s="4"/>
      <c r="R904" s="4"/>
    </row>
    <row r="905">
      <c r="A905" s="1"/>
      <c r="B905" s="8"/>
      <c r="C905" s="2"/>
      <c r="D905" s="2"/>
      <c r="E905" s="2"/>
      <c r="F905" s="2"/>
      <c r="G905" s="7"/>
      <c r="H905" s="7"/>
      <c r="I905" s="7"/>
      <c r="J905" s="7"/>
      <c r="K905" s="7"/>
      <c r="L905" s="7"/>
      <c r="M905" s="7"/>
      <c r="N905" s="4"/>
      <c r="O905" s="4"/>
      <c r="P905" s="4"/>
      <c r="Q905" s="4"/>
      <c r="R905" s="4"/>
    </row>
    <row r="906">
      <c r="A906" s="1"/>
      <c r="B906" s="8"/>
      <c r="C906" s="2"/>
      <c r="D906" s="2"/>
      <c r="E906" s="2"/>
      <c r="F906" s="2"/>
      <c r="G906" s="7"/>
      <c r="H906" s="7"/>
      <c r="I906" s="7"/>
      <c r="J906" s="7"/>
      <c r="K906" s="7"/>
      <c r="L906" s="7"/>
      <c r="M906" s="7"/>
      <c r="N906" s="4"/>
      <c r="O906" s="4"/>
      <c r="P906" s="4"/>
      <c r="Q906" s="4"/>
      <c r="R906" s="4"/>
    </row>
    <row r="907">
      <c r="A907" s="1"/>
      <c r="B907" s="8"/>
      <c r="C907" s="2"/>
      <c r="D907" s="2"/>
      <c r="E907" s="2"/>
      <c r="F907" s="2"/>
      <c r="G907" s="7"/>
      <c r="H907" s="7"/>
      <c r="I907" s="7"/>
      <c r="J907" s="7"/>
      <c r="K907" s="7"/>
      <c r="L907" s="7"/>
      <c r="M907" s="7"/>
      <c r="N907" s="4"/>
      <c r="O907" s="4"/>
      <c r="P907" s="4"/>
      <c r="Q907" s="4"/>
      <c r="R907" s="4"/>
    </row>
    <row r="908">
      <c r="A908" s="1"/>
      <c r="B908" s="8"/>
      <c r="C908" s="2"/>
      <c r="D908" s="2"/>
      <c r="E908" s="2"/>
      <c r="F908" s="2"/>
      <c r="G908" s="7"/>
      <c r="H908" s="7"/>
      <c r="I908" s="7"/>
      <c r="J908" s="7"/>
      <c r="K908" s="7"/>
      <c r="L908" s="7"/>
      <c r="M908" s="7"/>
      <c r="N908" s="4"/>
      <c r="O908" s="4"/>
      <c r="P908" s="4"/>
      <c r="Q908" s="4"/>
      <c r="R908" s="4"/>
    </row>
    <row r="909">
      <c r="A909" s="1"/>
      <c r="B909" s="8"/>
      <c r="C909" s="2"/>
      <c r="D909" s="2"/>
      <c r="E909" s="2"/>
      <c r="F909" s="2"/>
      <c r="G909" s="7"/>
      <c r="H909" s="7"/>
      <c r="I909" s="7"/>
      <c r="J909" s="7"/>
      <c r="K909" s="7"/>
      <c r="L909" s="7"/>
      <c r="M909" s="7"/>
      <c r="N909" s="4"/>
      <c r="O909" s="4"/>
      <c r="P909" s="4"/>
      <c r="Q909" s="4"/>
      <c r="R909" s="4"/>
    </row>
    <row r="910">
      <c r="A910" s="1"/>
      <c r="B910" s="8"/>
      <c r="C910" s="2"/>
      <c r="D910" s="2"/>
      <c r="E910" s="2"/>
      <c r="F910" s="2"/>
      <c r="G910" s="7"/>
      <c r="H910" s="7"/>
      <c r="I910" s="7"/>
      <c r="J910" s="7"/>
      <c r="K910" s="7"/>
      <c r="L910" s="7"/>
      <c r="M910" s="7"/>
      <c r="N910" s="4"/>
      <c r="O910" s="4"/>
      <c r="P910" s="4"/>
      <c r="Q910" s="4"/>
      <c r="R910" s="4"/>
    </row>
    <row r="911">
      <c r="A911" s="1"/>
      <c r="B911" s="8"/>
      <c r="C911" s="2"/>
      <c r="D911" s="2"/>
      <c r="E911" s="2"/>
      <c r="F911" s="2"/>
      <c r="G911" s="7"/>
      <c r="H911" s="7"/>
      <c r="I911" s="7"/>
      <c r="J911" s="7"/>
      <c r="K911" s="7"/>
      <c r="L911" s="7"/>
      <c r="M911" s="7"/>
      <c r="N911" s="4"/>
      <c r="O911" s="4"/>
      <c r="P911" s="4"/>
      <c r="Q911" s="4"/>
      <c r="R911" s="4"/>
    </row>
    <row r="912">
      <c r="A912" s="1"/>
      <c r="B912" s="8"/>
      <c r="C912" s="2"/>
      <c r="D912" s="2"/>
      <c r="E912" s="2"/>
      <c r="F912" s="2"/>
      <c r="G912" s="7"/>
      <c r="H912" s="7"/>
      <c r="I912" s="7"/>
      <c r="J912" s="7"/>
      <c r="K912" s="7"/>
      <c r="L912" s="7"/>
      <c r="M912" s="7"/>
      <c r="N912" s="4"/>
      <c r="O912" s="4"/>
      <c r="P912" s="4"/>
      <c r="Q912" s="4"/>
      <c r="R912" s="4"/>
    </row>
    <row r="913">
      <c r="A913" s="1"/>
      <c r="B913" s="8"/>
      <c r="C913" s="2"/>
      <c r="D913" s="2"/>
      <c r="E913" s="2"/>
      <c r="F913" s="2"/>
      <c r="G913" s="7"/>
      <c r="H913" s="7"/>
      <c r="I913" s="7"/>
      <c r="J913" s="7"/>
      <c r="K913" s="7"/>
      <c r="L913" s="7"/>
      <c r="M913" s="7"/>
      <c r="N913" s="4"/>
      <c r="O913" s="4"/>
      <c r="P913" s="4"/>
      <c r="Q913" s="4"/>
      <c r="R913" s="4"/>
    </row>
    <row r="914">
      <c r="A914" s="1"/>
      <c r="B914" s="8"/>
      <c r="C914" s="2"/>
      <c r="D914" s="2"/>
      <c r="E914" s="2"/>
      <c r="F914" s="2"/>
      <c r="G914" s="7"/>
      <c r="H914" s="7"/>
      <c r="I914" s="7"/>
      <c r="J914" s="7"/>
      <c r="K914" s="7"/>
      <c r="L914" s="7"/>
      <c r="M914" s="7"/>
      <c r="N914" s="4"/>
      <c r="O914" s="4"/>
      <c r="P914" s="4"/>
      <c r="Q914" s="4"/>
      <c r="R914" s="4"/>
    </row>
    <row r="915">
      <c r="A915" s="1"/>
      <c r="B915" s="8"/>
      <c r="C915" s="2"/>
      <c r="D915" s="2"/>
      <c r="E915" s="2"/>
      <c r="F915" s="2"/>
      <c r="G915" s="7"/>
      <c r="H915" s="7"/>
      <c r="I915" s="7"/>
      <c r="J915" s="7"/>
      <c r="K915" s="7"/>
      <c r="L915" s="7"/>
      <c r="M915" s="7"/>
      <c r="N915" s="4"/>
      <c r="O915" s="4"/>
      <c r="P915" s="4"/>
      <c r="Q915" s="4"/>
      <c r="R915" s="4"/>
    </row>
    <row r="916">
      <c r="A916" s="1"/>
      <c r="B916" s="8"/>
      <c r="C916" s="2"/>
      <c r="D916" s="2"/>
      <c r="E916" s="2"/>
      <c r="F916" s="2"/>
      <c r="G916" s="7"/>
      <c r="H916" s="7"/>
      <c r="I916" s="7"/>
      <c r="J916" s="7"/>
      <c r="K916" s="7"/>
      <c r="L916" s="7"/>
      <c r="M916" s="7"/>
      <c r="N916" s="4"/>
      <c r="O916" s="4"/>
      <c r="P916" s="4"/>
      <c r="Q916" s="4"/>
      <c r="R916" s="4"/>
    </row>
    <row r="917">
      <c r="A917" s="1"/>
      <c r="B917" s="8"/>
      <c r="C917" s="2"/>
      <c r="D917" s="2"/>
      <c r="E917" s="2"/>
      <c r="F917" s="2"/>
      <c r="G917" s="7"/>
      <c r="H917" s="7"/>
      <c r="I917" s="7"/>
      <c r="J917" s="7"/>
      <c r="K917" s="7"/>
      <c r="L917" s="7"/>
      <c r="M917" s="7"/>
      <c r="N917" s="4"/>
      <c r="O917" s="4"/>
      <c r="P917" s="4"/>
      <c r="Q917" s="4"/>
      <c r="R917" s="4"/>
    </row>
    <row r="918">
      <c r="A918" s="1"/>
      <c r="B918" s="8"/>
      <c r="C918" s="2"/>
      <c r="D918" s="2"/>
      <c r="E918" s="2"/>
      <c r="F918" s="2"/>
      <c r="G918" s="7"/>
      <c r="H918" s="7"/>
      <c r="I918" s="7"/>
      <c r="J918" s="7"/>
      <c r="K918" s="7"/>
      <c r="L918" s="7"/>
      <c r="M918" s="7"/>
      <c r="N918" s="4"/>
      <c r="O918" s="4"/>
      <c r="P918" s="4"/>
      <c r="Q918" s="4"/>
      <c r="R918" s="4"/>
    </row>
    <row r="919">
      <c r="A919" s="1"/>
      <c r="B919" s="8"/>
      <c r="C919" s="2"/>
      <c r="D919" s="2"/>
      <c r="E919" s="2"/>
      <c r="F919" s="2"/>
      <c r="G919" s="7"/>
      <c r="H919" s="7"/>
      <c r="I919" s="7"/>
      <c r="J919" s="7"/>
      <c r="K919" s="7"/>
      <c r="L919" s="7"/>
      <c r="M919" s="7"/>
      <c r="N919" s="4"/>
      <c r="O919" s="4"/>
      <c r="P919" s="4"/>
      <c r="Q919" s="4"/>
      <c r="R919" s="4"/>
    </row>
    <row r="920">
      <c r="A920" s="1"/>
      <c r="B920" s="8"/>
      <c r="C920" s="2"/>
      <c r="D920" s="2"/>
      <c r="E920" s="2"/>
      <c r="F920" s="2"/>
      <c r="G920" s="7"/>
      <c r="H920" s="7"/>
      <c r="I920" s="7"/>
      <c r="J920" s="7"/>
      <c r="K920" s="7"/>
      <c r="L920" s="7"/>
      <c r="M920" s="7"/>
      <c r="N920" s="4"/>
      <c r="O920" s="4"/>
      <c r="P920" s="4"/>
      <c r="Q920" s="4"/>
      <c r="R920" s="4"/>
    </row>
    <row r="921">
      <c r="A921" s="1"/>
      <c r="B921" s="8"/>
      <c r="C921" s="2"/>
      <c r="D921" s="2"/>
      <c r="E921" s="2"/>
      <c r="F921" s="2"/>
      <c r="G921" s="7"/>
      <c r="H921" s="7"/>
      <c r="I921" s="7"/>
      <c r="J921" s="7"/>
      <c r="K921" s="7"/>
      <c r="L921" s="7"/>
      <c r="M921" s="7"/>
      <c r="N921" s="4"/>
      <c r="O921" s="4"/>
      <c r="P921" s="4"/>
      <c r="Q921" s="4"/>
      <c r="R921" s="4"/>
    </row>
    <row r="922">
      <c r="A922" s="1"/>
      <c r="B922" s="8"/>
      <c r="C922" s="2"/>
      <c r="D922" s="2"/>
      <c r="E922" s="2"/>
      <c r="F922" s="2"/>
      <c r="G922" s="7"/>
      <c r="H922" s="7"/>
      <c r="I922" s="7"/>
      <c r="J922" s="7"/>
      <c r="K922" s="7"/>
      <c r="L922" s="7"/>
      <c r="M922" s="7"/>
      <c r="N922" s="4"/>
      <c r="O922" s="4"/>
      <c r="P922" s="4"/>
      <c r="Q922" s="4"/>
      <c r="R922" s="4"/>
    </row>
    <row r="923">
      <c r="A923" s="1"/>
      <c r="B923" s="8"/>
      <c r="C923" s="2"/>
      <c r="D923" s="2"/>
      <c r="E923" s="2"/>
      <c r="F923" s="2"/>
      <c r="G923" s="7"/>
      <c r="H923" s="7"/>
      <c r="I923" s="7"/>
      <c r="J923" s="7"/>
      <c r="K923" s="7"/>
      <c r="L923" s="7"/>
      <c r="M923" s="7"/>
      <c r="N923" s="4"/>
      <c r="O923" s="4"/>
      <c r="P923" s="4"/>
      <c r="Q923" s="4"/>
      <c r="R923" s="4"/>
    </row>
    <row r="924">
      <c r="A924" s="1"/>
      <c r="B924" s="8"/>
      <c r="C924" s="2"/>
      <c r="D924" s="2"/>
      <c r="E924" s="2"/>
      <c r="F924" s="2"/>
      <c r="G924" s="7"/>
      <c r="H924" s="7"/>
      <c r="I924" s="7"/>
      <c r="J924" s="7"/>
      <c r="K924" s="7"/>
      <c r="L924" s="7"/>
      <c r="M924" s="7"/>
      <c r="N924" s="4"/>
      <c r="O924" s="4"/>
      <c r="P924" s="4"/>
      <c r="Q924" s="4"/>
      <c r="R924" s="4"/>
    </row>
    <row r="925">
      <c r="A925" s="1"/>
      <c r="B925" s="8"/>
      <c r="C925" s="2"/>
      <c r="D925" s="2"/>
      <c r="E925" s="2"/>
      <c r="F925" s="2"/>
      <c r="G925" s="7"/>
      <c r="H925" s="7"/>
      <c r="I925" s="7"/>
      <c r="J925" s="7"/>
      <c r="K925" s="7"/>
      <c r="L925" s="7"/>
      <c r="M925" s="7"/>
      <c r="N925" s="4"/>
      <c r="O925" s="4"/>
      <c r="P925" s="4"/>
      <c r="Q925" s="4"/>
      <c r="R925" s="4"/>
    </row>
    <row r="926">
      <c r="A926" s="1"/>
      <c r="B926" s="8"/>
      <c r="C926" s="2"/>
      <c r="D926" s="2"/>
      <c r="E926" s="2"/>
      <c r="F926" s="2"/>
      <c r="G926" s="7"/>
      <c r="H926" s="7"/>
      <c r="I926" s="7"/>
      <c r="J926" s="7"/>
      <c r="K926" s="7"/>
      <c r="L926" s="7"/>
      <c r="M926" s="7"/>
      <c r="N926" s="4"/>
      <c r="O926" s="4"/>
      <c r="P926" s="4"/>
      <c r="Q926" s="4"/>
      <c r="R926" s="4"/>
    </row>
    <row r="927">
      <c r="A927" s="1"/>
      <c r="B927" s="8"/>
      <c r="C927" s="2"/>
      <c r="D927" s="2"/>
      <c r="E927" s="2"/>
      <c r="F927" s="2"/>
      <c r="G927" s="7"/>
      <c r="H927" s="7"/>
      <c r="I927" s="7"/>
      <c r="J927" s="7"/>
      <c r="K927" s="7"/>
      <c r="L927" s="7"/>
      <c r="M927" s="7"/>
      <c r="N927" s="4"/>
      <c r="O927" s="4"/>
      <c r="P927" s="4"/>
      <c r="Q927" s="4"/>
      <c r="R927" s="4"/>
    </row>
    <row r="928">
      <c r="A928" s="1"/>
      <c r="B928" s="8"/>
      <c r="C928" s="2"/>
      <c r="D928" s="2"/>
      <c r="E928" s="2"/>
      <c r="F928" s="2"/>
      <c r="G928" s="7"/>
      <c r="H928" s="7"/>
      <c r="I928" s="7"/>
      <c r="J928" s="7"/>
      <c r="K928" s="7"/>
      <c r="L928" s="7"/>
      <c r="M928" s="7"/>
      <c r="N928" s="4"/>
      <c r="O928" s="4"/>
      <c r="P928" s="4"/>
      <c r="Q928" s="4"/>
      <c r="R928" s="4"/>
    </row>
    <row r="929">
      <c r="A929" s="1"/>
      <c r="B929" s="8"/>
      <c r="C929" s="2"/>
      <c r="D929" s="2"/>
      <c r="E929" s="2"/>
      <c r="F929" s="2"/>
      <c r="G929" s="7"/>
      <c r="H929" s="7"/>
      <c r="I929" s="7"/>
      <c r="J929" s="7"/>
      <c r="K929" s="7"/>
      <c r="L929" s="7"/>
      <c r="M929" s="7"/>
      <c r="N929" s="4"/>
      <c r="O929" s="4"/>
      <c r="P929" s="4"/>
      <c r="Q929" s="4"/>
      <c r="R929" s="4"/>
    </row>
    <row r="930">
      <c r="A930" s="1"/>
      <c r="B930" s="8"/>
      <c r="C930" s="2"/>
      <c r="D930" s="2"/>
      <c r="E930" s="2"/>
      <c r="F930" s="2"/>
      <c r="G930" s="7"/>
      <c r="H930" s="7"/>
      <c r="I930" s="7"/>
      <c r="J930" s="7"/>
      <c r="K930" s="7"/>
      <c r="L930" s="7"/>
      <c r="M930" s="7"/>
      <c r="N930" s="4"/>
      <c r="O930" s="4"/>
      <c r="P930" s="4"/>
      <c r="Q930" s="4"/>
      <c r="R930" s="4"/>
    </row>
    <row r="931">
      <c r="A931" s="1"/>
      <c r="B931" s="8"/>
      <c r="C931" s="2"/>
      <c r="D931" s="2"/>
      <c r="E931" s="2"/>
      <c r="F931" s="2"/>
      <c r="G931" s="7"/>
      <c r="H931" s="7"/>
      <c r="I931" s="7"/>
      <c r="J931" s="7"/>
      <c r="K931" s="7"/>
      <c r="L931" s="7"/>
      <c r="M931" s="7"/>
      <c r="N931" s="4"/>
      <c r="O931" s="4"/>
      <c r="P931" s="4"/>
      <c r="Q931" s="4"/>
      <c r="R931" s="4"/>
    </row>
    <row r="932">
      <c r="A932" s="1"/>
      <c r="B932" s="8"/>
      <c r="C932" s="2"/>
      <c r="D932" s="2"/>
      <c r="E932" s="2"/>
      <c r="F932" s="2"/>
      <c r="G932" s="7"/>
      <c r="H932" s="7"/>
      <c r="I932" s="7"/>
      <c r="J932" s="7"/>
      <c r="K932" s="7"/>
      <c r="L932" s="7"/>
      <c r="M932" s="7"/>
      <c r="N932" s="4"/>
      <c r="O932" s="4"/>
      <c r="P932" s="4"/>
      <c r="Q932" s="4"/>
      <c r="R932" s="4"/>
    </row>
    <row r="933">
      <c r="A933" s="1"/>
      <c r="B933" s="8"/>
      <c r="C933" s="2"/>
      <c r="D933" s="2"/>
      <c r="E933" s="2"/>
      <c r="F933" s="2"/>
      <c r="G933" s="7"/>
      <c r="H933" s="7"/>
      <c r="I933" s="7"/>
      <c r="J933" s="7"/>
      <c r="K933" s="7"/>
      <c r="L933" s="7"/>
      <c r="M933" s="7"/>
      <c r="N933" s="4"/>
      <c r="O933" s="4"/>
      <c r="P933" s="4"/>
      <c r="Q933" s="4"/>
      <c r="R933" s="4"/>
    </row>
    <row r="934">
      <c r="A934" s="1"/>
      <c r="B934" s="8"/>
      <c r="C934" s="2"/>
      <c r="D934" s="2"/>
      <c r="E934" s="2"/>
      <c r="F934" s="2"/>
      <c r="G934" s="7"/>
      <c r="H934" s="7"/>
      <c r="I934" s="7"/>
      <c r="J934" s="7"/>
      <c r="K934" s="7"/>
      <c r="L934" s="7"/>
      <c r="M934" s="7"/>
      <c r="N934" s="4"/>
      <c r="O934" s="4"/>
      <c r="P934" s="4"/>
      <c r="Q934" s="4"/>
      <c r="R934" s="4"/>
    </row>
    <row r="935">
      <c r="A935" s="1"/>
      <c r="B935" s="8"/>
      <c r="C935" s="2"/>
      <c r="D935" s="2"/>
      <c r="E935" s="2"/>
      <c r="F935" s="2"/>
      <c r="G935" s="7"/>
      <c r="H935" s="7"/>
      <c r="I935" s="7"/>
      <c r="J935" s="7"/>
      <c r="K935" s="7"/>
      <c r="L935" s="7"/>
      <c r="M935" s="7"/>
      <c r="N935" s="4"/>
      <c r="O935" s="4"/>
      <c r="P935" s="4"/>
      <c r="Q935" s="4"/>
      <c r="R935" s="4"/>
    </row>
    <row r="936">
      <c r="A936" s="1"/>
      <c r="B936" s="8"/>
      <c r="C936" s="2"/>
      <c r="D936" s="2"/>
      <c r="E936" s="2"/>
      <c r="F936" s="2"/>
      <c r="G936" s="7"/>
      <c r="H936" s="7"/>
      <c r="I936" s="7"/>
      <c r="J936" s="7"/>
      <c r="K936" s="7"/>
      <c r="L936" s="7"/>
      <c r="M936" s="7"/>
      <c r="N936" s="4"/>
      <c r="O936" s="4"/>
      <c r="P936" s="4"/>
      <c r="Q936" s="4"/>
      <c r="R936" s="4"/>
    </row>
    <row r="937">
      <c r="A937" s="1"/>
      <c r="B937" s="8"/>
      <c r="C937" s="2"/>
      <c r="D937" s="2"/>
      <c r="E937" s="2"/>
      <c r="F937" s="2"/>
      <c r="G937" s="7"/>
      <c r="H937" s="7"/>
      <c r="I937" s="7"/>
      <c r="J937" s="7"/>
      <c r="K937" s="7"/>
      <c r="L937" s="7"/>
      <c r="M937" s="7"/>
      <c r="N937" s="4"/>
      <c r="O937" s="4"/>
      <c r="P937" s="4"/>
      <c r="Q937" s="4"/>
      <c r="R937" s="4"/>
    </row>
    <row r="938">
      <c r="A938" s="1"/>
      <c r="B938" s="8"/>
      <c r="C938" s="2"/>
      <c r="D938" s="2"/>
      <c r="E938" s="2"/>
      <c r="F938" s="2"/>
      <c r="G938" s="7"/>
      <c r="H938" s="7"/>
      <c r="I938" s="7"/>
      <c r="J938" s="7"/>
      <c r="K938" s="7"/>
      <c r="L938" s="7"/>
      <c r="M938" s="7"/>
      <c r="N938" s="4"/>
      <c r="O938" s="4"/>
      <c r="P938" s="4"/>
      <c r="Q938" s="4"/>
      <c r="R938" s="4"/>
    </row>
    <row r="939">
      <c r="A939" s="1"/>
      <c r="B939" s="8"/>
      <c r="C939" s="2"/>
      <c r="D939" s="2"/>
      <c r="E939" s="2"/>
      <c r="F939" s="2"/>
      <c r="G939" s="7"/>
      <c r="H939" s="7"/>
      <c r="I939" s="7"/>
      <c r="J939" s="7"/>
      <c r="K939" s="7"/>
      <c r="L939" s="7"/>
      <c r="M939" s="7"/>
      <c r="N939" s="4"/>
      <c r="O939" s="4"/>
      <c r="P939" s="4"/>
      <c r="Q939" s="4"/>
      <c r="R939" s="4"/>
    </row>
    <row r="940">
      <c r="A940" s="1"/>
      <c r="B940" s="8"/>
      <c r="C940" s="2"/>
      <c r="D940" s="2"/>
      <c r="E940" s="2"/>
      <c r="F940" s="2"/>
      <c r="G940" s="7"/>
      <c r="H940" s="7"/>
      <c r="I940" s="7"/>
      <c r="J940" s="7"/>
      <c r="K940" s="7"/>
      <c r="L940" s="7"/>
      <c r="M940" s="7"/>
      <c r="N940" s="4"/>
      <c r="O940" s="4"/>
      <c r="P940" s="4"/>
      <c r="Q940" s="4"/>
      <c r="R940" s="4"/>
    </row>
    <row r="941">
      <c r="A941" s="1"/>
      <c r="B941" s="8"/>
      <c r="C941" s="2"/>
      <c r="D941" s="2"/>
      <c r="E941" s="2"/>
      <c r="F941" s="2"/>
      <c r="G941" s="7"/>
      <c r="H941" s="7"/>
      <c r="I941" s="7"/>
      <c r="J941" s="7"/>
      <c r="K941" s="7"/>
      <c r="L941" s="7"/>
      <c r="M941" s="7"/>
      <c r="N941" s="4"/>
      <c r="O941" s="4"/>
      <c r="P941" s="4"/>
      <c r="Q941" s="4"/>
      <c r="R941" s="4"/>
    </row>
    <row r="942">
      <c r="A942" s="1"/>
      <c r="B942" s="8"/>
      <c r="C942" s="2"/>
      <c r="D942" s="2"/>
      <c r="E942" s="2"/>
      <c r="F942" s="2"/>
      <c r="G942" s="7"/>
      <c r="H942" s="7"/>
      <c r="I942" s="7"/>
      <c r="J942" s="7"/>
      <c r="K942" s="7"/>
      <c r="L942" s="7"/>
      <c r="M942" s="7"/>
      <c r="N942" s="4"/>
      <c r="O942" s="4"/>
      <c r="P942" s="4"/>
      <c r="Q942" s="4"/>
      <c r="R942" s="4"/>
    </row>
    <row r="943">
      <c r="A943" s="1"/>
      <c r="B943" s="8"/>
      <c r="C943" s="2"/>
      <c r="D943" s="2"/>
      <c r="E943" s="2"/>
      <c r="F943" s="2"/>
      <c r="G943" s="7"/>
      <c r="H943" s="7"/>
      <c r="I943" s="7"/>
      <c r="J943" s="7"/>
      <c r="K943" s="7"/>
      <c r="L943" s="7"/>
      <c r="M943" s="7"/>
      <c r="N943" s="4"/>
      <c r="O943" s="4"/>
      <c r="P943" s="4"/>
      <c r="Q943" s="4"/>
      <c r="R943" s="4"/>
    </row>
    <row r="944">
      <c r="A944" s="1"/>
      <c r="B944" s="8"/>
      <c r="C944" s="2"/>
      <c r="D944" s="2"/>
      <c r="E944" s="2"/>
      <c r="F944" s="2"/>
      <c r="G944" s="7"/>
      <c r="H944" s="7"/>
      <c r="I944" s="7"/>
      <c r="J944" s="7"/>
      <c r="K944" s="7"/>
      <c r="L944" s="7"/>
      <c r="M944" s="7"/>
      <c r="N944" s="4"/>
      <c r="O944" s="4"/>
      <c r="P944" s="4"/>
      <c r="Q944" s="4"/>
      <c r="R944" s="4"/>
    </row>
    <row r="945">
      <c r="A945" s="1"/>
      <c r="B945" s="8"/>
      <c r="C945" s="2"/>
      <c r="D945" s="2"/>
      <c r="E945" s="2"/>
      <c r="F945" s="2"/>
      <c r="G945" s="7"/>
      <c r="H945" s="7"/>
      <c r="I945" s="7"/>
      <c r="J945" s="7"/>
      <c r="K945" s="7"/>
      <c r="L945" s="7"/>
      <c r="M945" s="7"/>
      <c r="N945" s="4"/>
      <c r="O945" s="4"/>
      <c r="P945" s="4"/>
      <c r="Q945" s="4"/>
      <c r="R945" s="4"/>
    </row>
    <row r="946">
      <c r="A946" s="1"/>
      <c r="B946" s="8"/>
      <c r="C946" s="2"/>
      <c r="D946" s="2"/>
      <c r="E946" s="2"/>
      <c r="F946" s="2"/>
      <c r="G946" s="7"/>
      <c r="H946" s="7"/>
      <c r="I946" s="7"/>
      <c r="J946" s="7"/>
      <c r="K946" s="7"/>
      <c r="L946" s="7"/>
      <c r="M946" s="7"/>
      <c r="N946" s="4"/>
      <c r="O946" s="4"/>
      <c r="P946" s="4"/>
      <c r="Q946" s="4"/>
      <c r="R946" s="4"/>
    </row>
    <row r="947">
      <c r="A947" s="1"/>
      <c r="B947" s="8"/>
      <c r="C947" s="2"/>
      <c r="D947" s="2"/>
      <c r="E947" s="2"/>
      <c r="F947" s="2"/>
      <c r="G947" s="7"/>
      <c r="H947" s="7"/>
      <c r="I947" s="7"/>
      <c r="J947" s="7"/>
      <c r="K947" s="7"/>
      <c r="L947" s="7"/>
      <c r="M947" s="7"/>
      <c r="N947" s="4"/>
      <c r="O947" s="4"/>
      <c r="P947" s="4"/>
      <c r="Q947" s="4"/>
      <c r="R947" s="4"/>
    </row>
    <row r="948">
      <c r="A948" s="1"/>
      <c r="B948" s="8"/>
      <c r="C948" s="2"/>
      <c r="D948" s="2"/>
      <c r="E948" s="2"/>
      <c r="F948" s="2"/>
      <c r="G948" s="7"/>
      <c r="H948" s="7"/>
      <c r="I948" s="7"/>
      <c r="J948" s="7"/>
      <c r="K948" s="7"/>
      <c r="L948" s="7"/>
      <c r="M948" s="7"/>
      <c r="N948" s="4"/>
      <c r="O948" s="4"/>
      <c r="P948" s="4"/>
      <c r="Q948" s="4"/>
      <c r="R948" s="4"/>
    </row>
    <row r="949">
      <c r="A949" s="1"/>
      <c r="B949" s="8"/>
      <c r="C949" s="2"/>
      <c r="D949" s="2"/>
      <c r="E949" s="2"/>
      <c r="F949" s="2"/>
      <c r="G949" s="7"/>
      <c r="H949" s="7"/>
      <c r="I949" s="7"/>
      <c r="J949" s="7"/>
      <c r="K949" s="7"/>
      <c r="L949" s="7"/>
      <c r="M949" s="7"/>
      <c r="N949" s="4"/>
      <c r="O949" s="4"/>
      <c r="P949" s="4"/>
      <c r="Q949" s="4"/>
      <c r="R949" s="4"/>
    </row>
    <row r="950">
      <c r="A950" s="1"/>
      <c r="B950" s="8"/>
      <c r="C950" s="2"/>
      <c r="D950" s="2"/>
      <c r="E950" s="2"/>
      <c r="F950" s="2"/>
      <c r="G950" s="7"/>
      <c r="H950" s="7"/>
      <c r="I950" s="7"/>
      <c r="J950" s="7"/>
      <c r="K950" s="7"/>
      <c r="L950" s="7"/>
      <c r="M950" s="7"/>
      <c r="N950" s="4"/>
      <c r="O950" s="4"/>
      <c r="P950" s="4"/>
      <c r="Q950" s="4"/>
      <c r="R950" s="4"/>
    </row>
    <row r="951">
      <c r="A951" s="1"/>
      <c r="B951" s="8"/>
      <c r="C951" s="2"/>
      <c r="D951" s="2"/>
      <c r="E951" s="2"/>
      <c r="F951" s="2"/>
      <c r="G951" s="7"/>
      <c r="H951" s="7"/>
      <c r="I951" s="7"/>
      <c r="J951" s="7"/>
      <c r="K951" s="7"/>
      <c r="L951" s="7"/>
      <c r="M951" s="7"/>
      <c r="N951" s="4"/>
      <c r="O951" s="4"/>
      <c r="P951" s="4"/>
      <c r="Q951" s="4"/>
      <c r="R951" s="4"/>
    </row>
    <row r="952">
      <c r="A952" s="1"/>
      <c r="B952" s="8"/>
      <c r="C952" s="2"/>
      <c r="D952" s="2"/>
      <c r="E952" s="2"/>
      <c r="F952" s="2"/>
      <c r="G952" s="7"/>
      <c r="H952" s="7"/>
      <c r="I952" s="7"/>
      <c r="J952" s="7"/>
      <c r="K952" s="7"/>
      <c r="L952" s="7"/>
      <c r="M952" s="7"/>
      <c r="N952" s="4"/>
      <c r="O952" s="4"/>
      <c r="P952" s="4"/>
      <c r="Q952" s="4"/>
      <c r="R952" s="4"/>
    </row>
    <row r="953">
      <c r="A953" s="1"/>
      <c r="B953" s="8"/>
      <c r="C953" s="2"/>
      <c r="D953" s="2"/>
      <c r="E953" s="2"/>
      <c r="F953" s="2"/>
      <c r="G953" s="7"/>
      <c r="H953" s="7"/>
      <c r="I953" s="7"/>
      <c r="J953" s="7"/>
      <c r="K953" s="7"/>
      <c r="L953" s="7"/>
      <c r="M953" s="7"/>
      <c r="N953" s="4"/>
      <c r="O953" s="4"/>
      <c r="P953" s="4"/>
      <c r="Q953" s="4"/>
      <c r="R953" s="4"/>
    </row>
    <row r="954">
      <c r="A954" s="1"/>
      <c r="B954" s="8"/>
      <c r="C954" s="2"/>
      <c r="D954" s="2"/>
      <c r="E954" s="2"/>
      <c r="F954" s="2"/>
      <c r="G954" s="7"/>
      <c r="H954" s="7"/>
      <c r="I954" s="7"/>
      <c r="J954" s="7"/>
      <c r="K954" s="7"/>
      <c r="L954" s="7"/>
      <c r="M954" s="7"/>
      <c r="N954" s="4"/>
      <c r="O954" s="4"/>
      <c r="P954" s="4"/>
      <c r="Q954" s="4"/>
      <c r="R954" s="4"/>
    </row>
    <row r="955">
      <c r="A955" s="1"/>
      <c r="B955" s="8"/>
      <c r="C955" s="2"/>
      <c r="D955" s="2"/>
      <c r="E955" s="2"/>
      <c r="F955" s="2"/>
      <c r="G955" s="7"/>
      <c r="H955" s="7"/>
      <c r="I955" s="7"/>
      <c r="J955" s="7"/>
      <c r="K955" s="7"/>
      <c r="L955" s="7"/>
      <c r="M955" s="7"/>
      <c r="N955" s="4"/>
      <c r="O955" s="4"/>
      <c r="P955" s="4"/>
      <c r="Q955" s="4"/>
      <c r="R955" s="4"/>
    </row>
    <row r="956">
      <c r="A956" s="1"/>
      <c r="B956" s="8"/>
      <c r="C956" s="2"/>
      <c r="D956" s="2"/>
      <c r="E956" s="2"/>
      <c r="F956" s="2"/>
      <c r="G956" s="7"/>
      <c r="H956" s="7"/>
      <c r="I956" s="7"/>
      <c r="J956" s="7"/>
      <c r="K956" s="7"/>
      <c r="L956" s="7"/>
      <c r="M956" s="7"/>
      <c r="N956" s="4"/>
      <c r="O956" s="4"/>
      <c r="P956" s="4"/>
      <c r="Q956" s="4"/>
      <c r="R956" s="4"/>
    </row>
    <row r="957">
      <c r="A957" s="1"/>
      <c r="B957" s="8"/>
      <c r="C957" s="2"/>
      <c r="D957" s="2"/>
      <c r="E957" s="2"/>
      <c r="F957" s="2"/>
      <c r="G957" s="7"/>
      <c r="H957" s="7"/>
      <c r="I957" s="7"/>
      <c r="J957" s="7"/>
      <c r="K957" s="7"/>
      <c r="L957" s="7"/>
      <c r="M957" s="7"/>
      <c r="N957" s="4"/>
      <c r="O957" s="4"/>
      <c r="P957" s="4"/>
      <c r="Q957" s="4"/>
      <c r="R957" s="4"/>
    </row>
    <row r="958">
      <c r="A958" s="1"/>
      <c r="B958" s="8"/>
      <c r="C958" s="2"/>
      <c r="D958" s="2"/>
      <c r="E958" s="2"/>
      <c r="F958" s="2"/>
      <c r="G958" s="7"/>
      <c r="H958" s="7"/>
      <c r="I958" s="7"/>
      <c r="J958" s="7"/>
      <c r="K958" s="7"/>
      <c r="L958" s="7"/>
      <c r="M958" s="7"/>
      <c r="N958" s="4"/>
      <c r="O958" s="4"/>
      <c r="P958" s="4"/>
      <c r="Q958" s="4"/>
      <c r="R958" s="4"/>
    </row>
    <row r="959">
      <c r="A959" s="1"/>
      <c r="B959" s="8"/>
      <c r="C959" s="2"/>
      <c r="D959" s="2"/>
      <c r="E959" s="2"/>
      <c r="F959" s="2"/>
      <c r="G959" s="7"/>
      <c r="H959" s="7"/>
      <c r="I959" s="7"/>
      <c r="J959" s="7"/>
      <c r="K959" s="7"/>
      <c r="L959" s="7"/>
      <c r="M959" s="7"/>
      <c r="N959" s="4"/>
      <c r="O959" s="4"/>
      <c r="P959" s="4"/>
      <c r="Q959" s="4"/>
      <c r="R959" s="4"/>
    </row>
    <row r="960">
      <c r="A960" s="1"/>
      <c r="B960" s="8"/>
      <c r="C960" s="2"/>
      <c r="D960" s="2"/>
      <c r="E960" s="2"/>
      <c r="F960" s="2"/>
      <c r="G960" s="7"/>
      <c r="H960" s="7"/>
      <c r="I960" s="7"/>
      <c r="J960" s="7"/>
      <c r="K960" s="7"/>
      <c r="L960" s="7"/>
      <c r="M960" s="7"/>
      <c r="N960" s="4"/>
      <c r="O960" s="4"/>
      <c r="P960" s="4"/>
      <c r="Q960" s="4"/>
      <c r="R960" s="4"/>
    </row>
    <row r="961">
      <c r="A961" s="1"/>
      <c r="B961" s="8"/>
      <c r="C961" s="2"/>
      <c r="D961" s="2"/>
      <c r="E961" s="2"/>
      <c r="F961" s="2"/>
      <c r="G961" s="7"/>
      <c r="H961" s="7"/>
      <c r="I961" s="7"/>
      <c r="J961" s="7"/>
      <c r="K961" s="7"/>
      <c r="L961" s="7"/>
      <c r="M961" s="7"/>
      <c r="N961" s="4"/>
      <c r="O961" s="4"/>
      <c r="P961" s="4"/>
      <c r="Q961" s="4"/>
      <c r="R961" s="4"/>
    </row>
    <row r="962">
      <c r="A962" s="1"/>
      <c r="B962" s="8"/>
      <c r="C962" s="2"/>
      <c r="D962" s="2"/>
      <c r="E962" s="2"/>
      <c r="F962" s="2"/>
      <c r="G962" s="7"/>
      <c r="H962" s="7"/>
      <c r="I962" s="7"/>
      <c r="J962" s="7"/>
      <c r="K962" s="7"/>
      <c r="L962" s="7"/>
      <c r="M962" s="7"/>
      <c r="N962" s="4"/>
      <c r="O962" s="4"/>
      <c r="P962" s="4"/>
      <c r="Q962" s="4"/>
      <c r="R962" s="4"/>
    </row>
    <row r="963">
      <c r="A963" s="1"/>
      <c r="B963" s="8"/>
      <c r="C963" s="2"/>
      <c r="D963" s="2"/>
      <c r="E963" s="2"/>
      <c r="F963" s="2"/>
      <c r="G963" s="7"/>
      <c r="H963" s="7"/>
      <c r="I963" s="7"/>
      <c r="J963" s="7"/>
      <c r="K963" s="7"/>
      <c r="L963" s="7"/>
      <c r="M963" s="7"/>
      <c r="N963" s="4"/>
      <c r="O963" s="4"/>
      <c r="P963" s="4"/>
      <c r="Q963" s="4"/>
      <c r="R963" s="4"/>
    </row>
    <row r="964">
      <c r="A964" s="1"/>
      <c r="B964" s="8"/>
      <c r="C964" s="2"/>
      <c r="D964" s="2"/>
      <c r="E964" s="2"/>
      <c r="F964" s="2"/>
      <c r="G964" s="7"/>
      <c r="H964" s="7"/>
      <c r="I964" s="7"/>
      <c r="J964" s="7"/>
      <c r="K964" s="7"/>
      <c r="L964" s="7"/>
      <c r="M964" s="7"/>
      <c r="N964" s="4"/>
      <c r="O964" s="4"/>
      <c r="P964" s="4"/>
      <c r="Q964" s="4"/>
      <c r="R964" s="4"/>
    </row>
    <row r="965">
      <c r="A965" s="1"/>
      <c r="B965" s="8"/>
      <c r="C965" s="2"/>
      <c r="D965" s="2"/>
      <c r="E965" s="2"/>
      <c r="F965" s="2"/>
      <c r="G965" s="7"/>
      <c r="H965" s="7"/>
      <c r="I965" s="7"/>
      <c r="J965" s="7"/>
      <c r="K965" s="7"/>
      <c r="L965" s="7"/>
      <c r="M965" s="7"/>
      <c r="N965" s="4"/>
      <c r="O965" s="4"/>
      <c r="P965" s="4"/>
      <c r="Q965" s="4"/>
      <c r="R965" s="4"/>
    </row>
    <row r="966">
      <c r="A966" s="1"/>
      <c r="B966" s="8"/>
      <c r="C966" s="2"/>
      <c r="D966" s="2"/>
      <c r="E966" s="2"/>
      <c r="F966" s="2"/>
      <c r="G966" s="7"/>
      <c r="H966" s="7"/>
      <c r="I966" s="7"/>
      <c r="J966" s="7"/>
      <c r="K966" s="7"/>
      <c r="L966" s="7"/>
      <c r="M966" s="7"/>
      <c r="N966" s="4"/>
      <c r="O966" s="4"/>
      <c r="P966" s="4"/>
      <c r="Q966" s="4"/>
      <c r="R966" s="4"/>
    </row>
    <row r="967">
      <c r="A967" s="1"/>
      <c r="B967" s="8"/>
      <c r="C967" s="2"/>
      <c r="D967" s="2"/>
      <c r="E967" s="2"/>
      <c r="F967" s="2"/>
      <c r="G967" s="7"/>
      <c r="H967" s="7"/>
      <c r="I967" s="7"/>
      <c r="J967" s="7"/>
      <c r="K967" s="7"/>
      <c r="L967" s="7"/>
      <c r="M967" s="7"/>
      <c r="N967" s="4"/>
      <c r="O967" s="4"/>
      <c r="P967" s="4"/>
      <c r="Q967" s="4"/>
      <c r="R967" s="4"/>
    </row>
    <row r="968">
      <c r="A968" s="1"/>
      <c r="B968" s="8"/>
      <c r="C968" s="2"/>
      <c r="D968" s="2"/>
      <c r="E968" s="2"/>
      <c r="F968" s="2"/>
      <c r="G968" s="7"/>
      <c r="H968" s="7"/>
      <c r="I968" s="7"/>
      <c r="J968" s="7"/>
      <c r="K968" s="7"/>
      <c r="L968" s="7"/>
      <c r="M968" s="7"/>
      <c r="N968" s="4"/>
      <c r="O968" s="4"/>
      <c r="P968" s="4"/>
      <c r="Q968" s="4"/>
      <c r="R968" s="4"/>
    </row>
    <row r="969">
      <c r="A969" s="1"/>
      <c r="B969" s="8"/>
      <c r="C969" s="2"/>
      <c r="D969" s="2"/>
      <c r="E969" s="2"/>
      <c r="F969" s="2"/>
      <c r="G969" s="7"/>
      <c r="H969" s="7"/>
      <c r="I969" s="7"/>
      <c r="J969" s="7"/>
      <c r="K969" s="7"/>
      <c r="L969" s="7"/>
      <c r="M969" s="7"/>
      <c r="N969" s="4"/>
      <c r="O969" s="4"/>
      <c r="P969" s="4"/>
      <c r="Q969" s="4"/>
      <c r="R969" s="4"/>
    </row>
    <row r="970">
      <c r="A970" s="1"/>
      <c r="B970" s="8"/>
      <c r="C970" s="2"/>
      <c r="D970" s="2"/>
      <c r="E970" s="2"/>
      <c r="F970" s="2"/>
      <c r="G970" s="7"/>
      <c r="H970" s="7"/>
      <c r="I970" s="7"/>
      <c r="J970" s="7"/>
      <c r="K970" s="7"/>
      <c r="L970" s="7"/>
      <c r="M970" s="7"/>
      <c r="N970" s="4"/>
      <c r="O970" s="4"/>
      <c r="P970" s="4"/>
      <c r="Q970" s="4"/>
      <c r="R970" s="4"/>
    </row>
    <row r="971">
      <c r="A971" s="1"/>
      <c r="B971" s="8"/>
      <c r="C971" s="2"/>
      <c r="D971" s="2"/>
      <c r="E971" s="2"/>
      <c r="F971" s="2"/>
      <c r="G971" s="7"/>
      <c r="H971" s="7"/>
      <c r="I971" s="7"/>
      <c r="J971" s="7"/>
      <c r="K971" s="7"/>
      <c r="L971" s="7"/>
      <c r="M971" s="7"/>
      <c r="N971" s="4"/>
      <c r="O971" s="4"/>
      <c r="P971" s="4"/>
      <c r="Q971" s="4"/>
      <c r="R971" s="4"/>
    </row>
    <row r="972">
      <c r="A972" s="1"/>
      <c r="B972" s="8"/>
      <c r="C972" s="2"/>
      <c r="D972" s="2"/>
      <c r="E972" s="2"/>
      <c r="F972" s="2"/>
      <c r="G972" s="7"/>
      <c r="H972" s="7"/>
      <c r="I972" s="7"/>
      <c r="J972" s="7"/>
      <c r="K972" s="7"/>
      <c r="L972" s="7"/>
      <c r="M972" s="7"/>
      <c r="N972" s="4"/>
      <c r="O972" s="4"/>
      <c r="P972" s="4"/>
      <c r="Q972" s="4"/>
      <c r="R972" s="4"/>
    </row>
    <row r="973">
      <c r="A973" s="1"/>
      <c r="B973" s="8"/>
      <c r="C973" s="2"/>
      <c r="D973" s="2"/>
      <c r="E973" s="2"/>
      <c r="F973" s="2"/>
      <c r="G973" s="7"/>
      <c r="H973" s="7"/>
      <c r="I973" s="7"/>
      <c r="J973" s="7"/>
      <c r="K973" s="7"/>
      <c r="L973" s="7"/>
      <c r="M973" s="7"/>
      <c r="N973" s="4"/>
      <c r="O973" s="4"/>
      <c r="P973" s="4"/>
      <c r="Q973" s="4"/>
      <c r="R973" s="4"/>
    </row>
    <row r="974">
      <c r="A974" s="1"/>
      <c r="B974" s="8"/>
      <c r="C974" s="2"/>
      <c r="D974" s="2"/>
      <c r="E974" s="2"/>
      <c r="F974" s="2"/>
      <c r="G974" s="7"/>
      <c r="H974" s="7"/>
      <c r="I974" s="7"/>
      <c r="J974" s="7"/>
      <c r="K974" s="7"/>
      <c r="L974" s="7"/>
      <c r="M974" s="7"/>
      <c r="N974" s="4"/>
      <c r="O974" s="4"/>
      <c r="P974" s="4"/>
      <c r="Q974" s="4"/>
      <c r="R974" s="4"/>
    </row>
    <row r="975">
      <c r="A975" s="1"/>
      <c r="B975" s="8"/>
      <c r="C975" s="2"/>
      <c r="D975" s="2"/>
      <c r="E975" s="2"/>
      <c r="F975" s="2"/>
      <c r="G975" s="7"/>
      <c r="H975" s="7"/>
      <c r="I975" s="7"/>
      <c r="J975" s="7"/>
      <c r="K975" s="7"/>
      <c r="L975" s="7"/>
      <c r="M975" s="7"/>
      <c r="N975" s="4"/>
      <c r="O975" s="4"/>
      <c r="P975" s="4"/>
      <c r="Q975" s="4"/>
      <c r="R975" s="4"/>
    </row>
    <row r="976">
      <c r="A976" s="1"/>
      <c r="B976" s="8"/>
      <c r="C976" s="2"/>
      <c r="D976" s="2"/>
      <c r="E976" s="2"/>
      <c r="F976" s="2"/>
      <c r="G976" s="7"/>
      <c r="H976" s="7"/>
      <c r="I976" s="7"/>
      <c r="J976" s="7"/>
      <c r="K976" s="7"/>
      <c r="L976" s="7"/>
      <c r="M976" s="7"/>
      <c r="N976" s="4"/>
      <c r="O976" s="4"/>
      <c r="P976" s="4"/>
      <c r="Q976" s="4"/>
      <c r="R976" s="4"/>
    </row>
    <row r="977">
      <c r="A977" s="1"/>
      <c r="B977" s="8"/>
      <c r="C977" s="2"/>
      <c r="D977" s="2"/>
      <c r="E977" s="2"/>
      <c r="F977" s="2"/>
      <c r="G977" s="7"/>
      <c r="H977" s="7"/>
      <c r="I977" s="7"/>
      <c r="J977" s="7"/>
      <c r="K977" s="7"/>
      <c r="L977" s="7"/>
      <c r="M977" s="7"/>
      <c r="N977" s="4"/>
      <c r="O977" s="4"/>
      <c r="P977" s="4"/>
      <c r="Q977" s="4"/>
      <c r="R977" s="4"/>
    </row>
    <row r="978">
      <c r="A978" s="1"/>
      <c r="B978" s="8"/>
      <c r="C978" s="2"/>
      <c r="D978" s="2"/>
      <c r="E978" s="2"/>
      <c r="F978" s="2"/>
      <c r="G978" s="7"/>
      <c r="H978" s="7"/>
      <c r="I978" s="7"/>
      <c r="J978" s="7"/>
      <c r="K978" s="7"/>
      <c r="L978" s="7"/>
      <c r="M978" s="7"/>
      <c r="N978" s="4"/>
      <c r="O978" s="4"/>
      <c r="P978" s="4"/>
      <c r="Q978" s="4"/>
      <c r="R978" s="4"/>
    </row>
    <row r="979">
      <c r="A979" s="1"/>
      <c r="B979" s="8"/>
      <c r="C979" s="2"/>
      <c r="D979" s="2"/>
      <c r="E979" s="2"/>
      <c r="F979" s="2"/>
      <c r="G979" s="7"/>
      <c r="H979" s="7"/>
      <c r="I979" s="7"/>
      <c r="J979" s="7"/>
      <c r="K979" s="7"/>
      <c r="L979" s="7"/>
      <c r="M979" s="7"/>
      <c r="N979" s="4"/>
      <c r="O979" s="4"/>
      <c r="P979" s="4"/>
      <c r="Q979" s="4"/>
      <c r="R979" s="4"/>
    </row>
    <row r="980">
      <c r="A980" s="1"/>
      <c r="B980" s="8"/>
      <c r="C980" s="2"/>
      <c r="D980" s="2"/>
      <c r="E980" s="2"/>
      <c r="F980" s="2"/>
      <c r="G980" s="7"/>
      <c r="H980" s="7"/>
      <c r="I980" s="7"/>
      <c r="J980" s="7"/>
      <c r="K980" s="7"/>
      <c r="L980" s="7"/>
      <c r="M980" s="7"/>
      <c r="N980" s="4"/>
      <c r="O980" s="4"/>
      <c r="P980" s="4"/>
      <c r="Q980" s="4"/>
      <c r="R980" s="4"/>
    </row>
    <row r="981">
      <c r="A981" s="1"/>
      <c r="B981" s="8"/>
      <c r="C981" s="2"/>
      <c r="D981" s="2"/>
      <c r="E981" s="2"/>
      <c r="F981" s="2"/>
      <c r="G981" s="7"/>
      <c r="H981" s="7"/>
      <c r="I981" s="7"/>
      <c r="J981" s="7"/>
      <c r="K981" s="7"/>
      <c r="L981" s="7"/>
      <c r="M981" s="7"/>
      <c r="N981" s="4"/>
      <c r="O981" s="4"/>
      <c r="P981" s="4"/>
      <c r="Q981" s="4"/>
      <c r="R981" s="4"/>
    </row>
    <row r="982">
      <c r="A982" s="1"/>
      <c r="B982" s="8"/>
      <c r="C982" s="2"/>
      <c r="D982" s="2"/>
      <c r="E982" s="2"/>
      <c r="F982" s="2"/>
      <c r="G982" s="7"/>
      <c r="H982" s="7"/>
      <c r="I982" s="7"/>
      <c r="J982" s="7"/>
      <c r="K982" s="7"/>
      <c r="L982" s="7"/>
      <c r="M982" s="7"/>
      <c r="N982" s="4"/>
      <c r="O982" s="4"/>
      <c r="P982" s="4"/>
      <c r="Q982" s="4"/>
      <c r="R982" s="4"/>
    </row>
    <row r="983">
      <c r="A983" s="1"/>
      <c r="B983" s="8"/>
      <c r="C983" s="2"/>
      <c r="D983" s="2"/>
      <c r="E983" s="2"/>
      <c r="F983" s="2"/>
      <c r="G983" s="7"/>
      <c r="H983" s="7"/>
      <c r="I983" s="7"/>
      <c r="J983" s="7"/>
      <c r="K983" s="7"/>
      <c r="L983" s="7"/>
      <c r="M983" s="7"/>
      <c r="N983" s="4"/>
      <c r="O983" s="4"/>
      <c r="P983" s="4"/>
      <c r="Q983" s="4"/>
      <c r="R983" s="4"/>
    </row>
    <row r="984">
      <c r="A984" s="1"/>
      <c r="B984" s="8"/>
      <c r="C984" s="2"/>
      <c r="D984" s="2"/>
      <c r="E984" s="2"/>
      <c r="F984" s="2"/>
      <c r="G984" s="7"/>
      <c r="H984" s="7"/>
      <c r="I984" s="7"/>
      <c r="J984" s="7"/>
      <c r="K984" s="7"/>
      <c r="L984" s="7"/>
      <c r="M984" s="7"/>
      <c r="N984" s="4"/>
      <c r="O984" s="4"/>
      <c r="P984" s="4"/>
      <c r="Q984" s="4"/>
      <c r="R984" s="4"/>
    </row>
    <row r="985">
      <c r="A985" s="1"/>
      <c r="B985" s="8"/>
      <c r="C985" s="2"/>
      <c r="D985" s="2"/>
      <c r="E985" s="2"/>
      <c r="F985" s="2"/>
      <c r="G985" s="7"/>
      <c r="H985" s="7"/>
      <c r="I985" s="7"/>
      <c r="J985" s="7"/>
      <c r="K985" s="7"/>
      <c r="L985" s="7"/>
      <c r="M985" s="7"/>
      <c r="N985" s="4"/>
      <c r="O985" s="4"/>
      <c r="P985" s="4"/>
      <c r="Q985" s="4"/>
      <c r="R985" s="4"/>
    </row>
    <row r="986">
      <c r="A986" s="1"/>
      <c r="B986" s="8"/>
      <c r="C986" s="2"/>
      <c r="D986" s="2"/>
      <c r="E986" s="2"/>
      <c r="F986" s="2"/>
      <c r="G986" s="7"/>
      <c r="H986" s="7"/>
      <c r="I986" s="7"/>
      <c r="J986" s="7"/>
      <c r="K986" s="7"/>
      <c r="L986" s="7"/>
      <c r="M986" s="7"/>
      <c r="N986" s="4"/>
      <c r="O986" s="4"/>
      <c r="P986" s="4"/>
      <c r="Q986" s="4"/>
      <c r="R98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385</v>
      </c>
      <c r="B1" s="2" t="s">
        <v>270</v>
      </c>
      <c r="C1" s="7"/>
      <c r="D1" s="14" t="s">
        <v>346</v>
      </c>
      <c r="E1" s="14" t="s">
        <v>347</v>
      </c>
      <c r="F1" s="14" t="s">
        <v>348</v>
      </c>
      <c r="G1" s="14" t="s">
        <v>349</v>
      </c>
      <c r="H1" s="2"/>
    </row>
    <row r="2">
      <c r="A2" s="13" t="s">
        <v>386</v>
      </c>
      <c r="B2" s="15">
        <f>IFERROR(__xludf.DUMMYFUNCTION("transpose(split(B1,"",""))"),0.0)</f>
        <v>0</v>
      </c>
      <c r="C2" s="15" t="str">
        <f>IFERROR(__xludf.DUMMYFUNCTION("transpose(split(C1,"",""))"),"#VALUE!")</f>
        <v>#VALUE!</v>
      </c>
      <c r="D2" s="15">
        <f>IFERROR(__xludf.DUMMYFUNCTION("transpose(split(D1,"",""))"),0.624883987936306)</f>
        <v>0.6248839879</v>
      </c>
      <c r="E2" s="15">
        <f>IFERROR(__xludf.DUMMYFUNCTION("transpose(split(E1,"",""))"),-0.0365923055998737)</f>
        <v>-0.0365923056</v>
      </c>
      <c r="F2" s="15">
        <f>IFERROR(__xludf.DUMMYFUNCTION("transpose(split(F1,"",""))"),-0.699006863382204)</f>
        <v>-0.6990068634</v>
      </c>
      <c r="G2" s="15">
        <f>IFERROR(__xludf.DUMMYFUNCTION("transpose(split(G1,"",""))"),-0.345789545440976)</f>
        <v>-0.3457895454</v>
      </c>
      <c r="H2" s="15" t="str">
        <f>IFERROR(__xludf.DUMMYFUNCTION("transpose(split(H1,"",""))"),"#VALUE!")</f>
        <v>#VALUE!</v>
      </c>
    </row>
    <row r="3">
      <c r="B3" s="16">
        <f>IFERROR(__xludf.DUMMYFUNCTION("""COMPUTED_VALUE"""),0.1)</f>
        <v>0.1</v>
      </c>
      <c r="D3" s="16">
        <f>IFERROR(__xludf.DUMMYFUNCTION("""COMPUTED_VALUE"""),0.624883987936306)</f>
        <v>0.6248839879</v>
      </c>
      <c r="E3" s="16">
        <f>IFERROR(__xludf.DUMMYFUNCTION("""COMPUTED_VALUE"""),-0.0365923055998737)</f>
        <v>-0.0365923056</v>
      </c>
      <c r="F3" s="16">
        <f>IFERROR(__xludf.DUMMYFUNCTION("""COMPUTED_VALUE"""),-0.699006863382204)</f>
        <v>-0.6990068634</v>
      </c>
      <c r="G3" s="16">
        <f>IFERROR(__xludf.DUMMYFUNCTION("""COMPUTED_VALUE"""),-0.345789545440976)</f>
        <v>-0.3457895454</v>
      </c>
      <c r="H3" s="16">
        <f t="shared" ref="H3:H621" si="1">C3-$C$3</f>
        <v>0</v>
      </c>
    </row>
    <row r="4">
      <c r="B4" s="17">
        <f>IFERROR(__xludf.DUMMYFUNCTION("""COMPUTED_VALUE"""),0.2)</f>
        <v>0.2</v>
      </c>
      <c r="C4" s="17"/>
      <c r="D4" s="16">
        <f>IFERROR(__xludf.DUMMYFUNCTION("""COMPUTED_VALUE"""),0.624883987936306)</f>
        <v>0.6248839879</v>
      </c>
      <c r="E4" s="17">
        <f>IFERROR(__xludf.DUMMYFUNCTION("""COMPUTED_VALUE"""),-0.0365923055998737)</f>
        <v>-0.0365923056</v>
      </c>
      <c r="F4" s="17">
        <f>IFERROR(__xludf.DUMMYFUNCTION("""COMPUTED_VALUE"""),-0.699006863382204)</f>
        <v>-0.6990068634</v>
      </c>
      <c r="G4" s="17">
        <f>IFERROR(__xludf.DUMMYFUNCTION("""COMPUTED_VALUE"""),-0.345789545440976)</f>
        <v>-0.3457895454</v>
      </c>
      <c r="H4" s="18">
        <f t="shared" si="1"/>
        <v>0</v>
      </c>
    </row>
    <row r="5">
      <c r="B5" s="16">
        <f>IFERROR(__xludf.DUMMYFUNCTION("""COMPUTED_VALUE"""),0.3)</f>
        <v>0.3</v>
      </c>
      <c r="D5" s="16">
        <f>IFERROR(__xludf.DUMMYFUNCTION("""COMPUTED_VALUE"""),0.624883987936306)</f>
        <v>0.6248839879</v>
      </c>
      <c r="E5" s="16">
        <f>IFERROR(__xludf.DUMMYFUNCTION("""COMPUTED_VALUE"""),-0.0365923055998737)</f>
        <v>-0.0365923056</v>
      </c>
      <c r="F5" s="16">
        <f>IFERROR(__xludf.DUMMYFUNCTION("""COMPUTED_VALUE"""),-0.699006863382204)</f>
        <v>-0.6990068634</v>
      </c>
      <c r="G5" s="16">
        <f>IFERROR(__xludf.DUMMYFUNCTION("""COMPUTED_VALUE"""),-0.345789545440976)</f>
        <v>-0.3457895454</v>
      </c>
      <c r="H5" s="16">
        <f t="shared" si="1"/>
        <v>0</v>
      </c>
    </row>
    <row r="6">
      <c r="B6" s="16">
        <f>IFERROR(__xludf.DUMMYFUNCTION("""COMPUTED_VALUE"""),0.4)</f>
        <v>0.4</v>
      </c>
      <c r="D6" s="16">
        <f>IFERROR(__xludf.DUMMYFUNCTION("""COMPUTED_VALUE"""),0.624883987936306)</f>
        <v>0.6248839879</v>
      </c>
      <c r="E6" s="16">
        <f>IFERROR(__xludf.DUMMYFUNCTION("""COMPUTED_VALUE"""),-0.0365923055998737)</f>
        <v>-0.0365923056</v>
      </c>
      <c r="F6" s="16">
        <f>IFERROR(__xludf.DUMMYFUNCTION("""COMPUTED_VALUE"""),-0.699006863382204)</f>
        <v>-0.6990068634</v>
      </c>
      <c r="G6" s="16">
        <f>IFERROR(__xludf.DUMMYFUNCTION("""COMPUTED_VALUE"""),-0.345789545440976)</f>
        <v>-0.3457895454</v>
      </c>
      <c r="H6" s="16">
        <f t="shared" si="1"/>
        <v>0</v>
      </c>
    </row>
    <row r="7">
      <c r="B7" s="16">
        <f>IFERROR(__xludf.DUMMYFUNCTION("""COMPUTED_VALUE"""),0.5)</f>
        <v>0.5</v>
      </c>
      <c r="D7" s="16">
        <f>IFERROR(__xludf.DUMMYFUNCTION("""COMPUTED_VALUE"""),0.624883987936306)</f>
        <v>0.6248839879</v>
      </c>
      <c r="E7" s="16">
        <f>IFERROR(__xludf.DUMMYFUNCTION("""COMPUTED_VALUE"""),-0.0365923055998737)</f>
        <v>-0.0365923056</v>
      </c>
      <c r="F7" s="16">
        <f>IFERROR(__xludf.DUMMYFUNCTION("""COMPUTED_VALUE"""),-0.699006863382204)</f>
        <v>-0.6990068634</v>
      </c>
      <c r="G7" s="16">
        <f>IFERROR(__xludf.DUMMYFUNCTION("""COMPUTED_VALUE"""),-0.345789545440976)</f>
        <v>-0.3457895454</v>
      </c>
      <c r="H7" s="16">
        <f t="shared" si="1"/>
        <v>0</v>
      </c>
    </row>
    <row r="8">
      <c r="B8" s="16">
        <f>IFERROR(__xludf.DUMMYFUNCTION("""COMPUTED_VALUE"""),0.6)</f>
        <v>0.6</v>
      </c>
      <c r="D8" s="16">
        <f>IFERROR(__xludf.DUMMYFUNCTION("""COMPUTED_VALUE"""),0.624883987936306)</f>
        <v>0.6248839879</v>
      </c>
      <c r="E8" s="16">
        <f>IFERROR(__xludf.DUMMYFUNCTION("""COMPUTED_VALUE"""),-0.0365923055998737)</f>
        <v>-0.0365923056</v>
      </c>
      <c r="F8" s="16">
        <f>IFERROR(__xludf.DUMMYFUNCTION("""COMPUTED_VALUE"""),-0.699006863382204)</f>
        <v>-0.6990068634</v>
      </c>
      <c r="G8" s="16">
        <f>IFERROR(__xludf.DUMMYFUNCTION("""COMPUTED_VALUE"""),-0.345789545440976)</f>
        <v>-0.3457895454</v>
      </c>
      <c r="H8" s="16">
        <f t="shared" si="1"/>
        <v>0</v>
      </c>
    </row>
    <row r="9">
      <c r="B9" s="16">
        <f>IFERROR(__xludf.DUMMYFUNCTION("""COMPUTED_VALUE"""),0.7)</f>
        <v>0.7</v>
      </c>
      <c r="D9" s="16">
        <f>IFERROR(__xludf.DUMMYFUNCTION("""COMPUTED_VALUE"""),0.624883987936306)</f>
        <v>0.6248839879</v>
      </c>
      <c r="E9" s="16">
        <f>IFERROR(__xludf.DUMMYFUNCTION("""COMPUTED_VALUE"""),-0.0365923055998737)</f>
        <v>-0.0365923056</v>
      </c>
      <c r="F9" s="16">
        <f>IFERROR(__xludf.DUMMYFUNCTION("""COMPUTED_VALUE"""),-0.699006863382204)</f>
        <v>-0.6990068634</v>
      </c>
      <c r="G9" s="16">
        <f>IFERROR(__xludf.DUMMYFUNCTION("""COMPUTED_VALUE"""),-0.345789545440976)</f>
        <v>-0.3457895454</v>
      </c>
      <c r="H9" s="16">
        <f t="shared" si="1"/>
        <v>0</v>
      </c>
    </row>
    <row r="10">
      <c r="B10" s="16">
        <f>IFERROR(__xludf.DUMMYFUNCTION("""COMPUTED_VALUE"""),0.8)</f>
        <v>0.8</v>
      </c>
      <c r="D10" s="16">
        <f>IFERROR(__xludf.DUMMYFUNCTION("""COMPUTED_VALUE"""),0.624883987936306)</f>
        <v>0.6248839879</v>
      </c>
      <c r="E10" s="16">
        <f>IFERROR(__xludf.DUMMYFUNCTION("""COMPUTED_VALUE"""),-0.0365923055998737)</f>
        <v>-0.0365923056</v>
      </c>
      <c r="F10" s="16">
        <f>IFERROR(__xludf.DUMMYFUNCTION("""COMPUTED_VALUE"""),-0.699006863382204)</f>
        <v>-0.6990068634</v>
      </c>
      <c r="G10" s="16">
        <f>IFERROR(__xludf.DUMMYFUNCTION("""COMPUTED_VALUE"""),-0.345789545440976)</f>
        <v>-0.3457895454</v>
      </c>
      <c r="H10" s="16">
        <f t="shared" si="1"/>
        <v>0</v>
      </c>
    </row>
    <row r="11">
      <c r="B11" s="16">
        <f>IFERROR(__xludf.DUMMYFUNCTION("""COMPUTED_VALUE"""),0.9)</f>
        <v>0.9</v>
      </c>
      <c r="D11" s="16">
        <f>IFERROR(__xludf.DUMMYFUNCTION("""COMPUTED_VALUE"""),0.624883987936306)</f>
        <v>0.6248839879</v>
      </c>
      <c r="E11" s="16">
        <f>IFERROR(__xludf.DUMMYFUNCTION("""COMPUTED_VALUE"""),-0.0365923055998737)</f>
        <v>-0.0365923056</v>
      </c>
      <c r="F11" s="16">
        <f>IFERROR(__xludf.DUMMYFUNCTION("""COMPUTED_VALUE"""),-0.699006863382204)</f>
        <v>-0.6990068634</v>
      </c>
      <c r="G11" s="16">
        <f>IFERROR(__xludf.DUMMYFUNCTION("""COMPUTED_VALUE"""),-0.345789545440976)</f>
        <v>-0.3457895454</v>
      </c>
      <c r="H11" s="16">
        <f t="shared" si="1"/>
        <v>0</v>
      </c>
    </row>
    <row r="12">
      <c r="B12" s="16">
        <f>IFERROR(__xludf.DUMMYFUNCTION("""COMPUTED_VALUE"""),1.0)</f>
        <v>1</v>
      </c>
      <c r="D12" s="16">
        <f>IFERROR(__xludf.DUMMYFUNCTION("""COMPUTED_VALUE"""),0.624883987936306)</f>
        <v>0.6248839879</v>
      </c>
      <c r="E12" s="16">
        <f>IFERROR(__xludf.DUMMYFUNCTION("""COMPUTED_VALUE"""),-0.0365923055998737)</f>
        <v>-0.0365923056</v>
      </c>
      <c r="F12" s="16">
        <f>IFERROR(__xludf.DUMMYFUNCTION("""COMPUTED_VALUE"""),-0.699006863382204)</f>
        <v>-0.6990068634</v>
      </c>
      <c r="G12" s="16">
        <f>IFERROR(__xludf.DUMMYFUNCTION("""COMPUTED_VALUE"""),-0.345789545440976)</f>
        <v>-0.3457895454</v>
      </c>
      <c r="H12" s="16">
        <f t="shared" si="1"/>
        <v>0</v>
      </c>
    </row>
    <row r="13">
      <c r="B13" s="16">
        <f>IFERROR(__xludf.DUMMYFUNCTION("""COMPUTED_VALUE"""),1.1)</f>
        <v>1.1</v>
      </c>
      <c r="D13" s="16">
        <f>IFERROR(__xludf.DUMMYFUNCTION("""COMPUTED_VALUE"""),0.624883987936306)</f>
        <v>0.6248839879</v>
      </c>
      <c r="E13" s="16">
        <f>IFERROR(__xludf.DUMMYFUNCTION("""COMPUTED_VALUE"""),-0.0365923055998737)</f>
        <v>-0.0365923056</v>
      </c>
      <c r="F13" s="16">
        <f>IFERROR(__xludf.DUMMYFUNCTION("""COMPUTED_VALUE"""),-0.699006863382204)</f>
        <v>-0.6990068634</v>
      </c>
      <c r="G13" s="16">
        <f>IFERROR(__xludf.DUMMYFUNCTION("""COMPUTED_VALUE"""),-0.345789545440976)</f>
        <v>-0.3457895454</v>
      </c>
      <c r="H13" s="16">
        <f t="shared" si="1"/>
        <v>0</v>
      </c>
    </row>
    <row r="14">
      <c r="B14" s="16">
        <f>IFERROR(__xludf.DUMMYFUNCTION("""COMPUTED_VALUE"""),1.2)</f>
        <v>1.2</v>
      </c>
      <c r="D14" s="16">
        <f>IFERROR(__xludf.DUMMYFUNCTION("""COMPUTED_VALUE"""),0.624883987936306)</f>
        <v>0.6248839879</v>
      </c>
      <c r="E14" s="16">
        <f>IFERROR(__xludf.DUMMYFUNCTION("""COMPUTED_VALUE"""),-0.0365923055998737)</f>
        <v>-0.0365923056</v>
      </c>
      <c r="F14" s="16">
        <f>IFERROR(__xludf.DUMMYFUNCTION("""COMPUTED_VALUE"""),-0.699006863382204)</f>
        <v>-0.6990068634</v>
      </c>
      <c r="G14" s="16">
        <f>IFERROR(__xludf.DUMMYFUNCTION("""COMPUTED_VALUE"""),-0.345789545440976)</f>
        <v>-0.3457895454</v>
      </c>
      <c r="H14" s="16">
        <f t="shared" si="1"/>
        <v>0</v>
      </c>
    </row>
    <row r="15">
      <c r="B15" s="16">
        <f>IFERROR(__xludf.DUMMYFUNCTION("""COMPUTED_VALUE"""),1.3)</f>
        <v>1.3</v>
      </c>
      <c r="D15" s="16">
        <f>IFERROR(__xludf.DUMMYFUNCTION("""COMPUTED_VALUE"""),0.624883987936306)</f>
        <v>0.6248839879</v>
      </c>
      <c r="E15" s="16">
        <f>IFERROR(__xludf.DUMMYFUNCTION("""COMPUTED_VALUE"""),-0.0365923055998737)</f>
        <v>-0.0365923056</v>
      </c>
      <c r="F15" s="16">
        <f>IFERROR(__xludf.DUMMYFUNCTION("""COMPUTED_VALUE"""),-0.699006863382204)</f>
        <v>-0.6990068634</v>
      </c>
      <c r="G15" s="16">
        <f>IFERROR(__xludf.DUMMYFUNCTION("""COMPUTED_VALUE"""),-0.345789545440976)</f>
        <v>-0.3457895454</v>
      </c>
      <c r="H15" s="16">
        <f t="shared" si="1"/>
        <v>0</v>
      </c>
    </row>
    <row r="16">
      <c r="B16" s="16">
        <f>IFERROR(__xludf.DUMMYFUNCTION("""COMPUTED_VALUE"""),1.4)</f>
        <v>1.4</v>
      </c>
      <c r="D16" s="16">
        <f>IFERROR(__xludf.DUMMYFUNCTION("""COMPUTED_VALUE"""),0.624883987936306)</f>
        <v>0.6248839879</v>
      </c>
      <c r="E16" s="16">
        <f>IFERROR(__xludf.DUMMYFUNCTION("""COMPUTED_VALUE"""),-0.0365923055998737)</f>
        <v>-0.0365923056</v>
      </c>
      <c r="F16" s="16">
        <f>IFERROR(__xludf.DUMMYFUNCTION("""COMPUTED_VALUE"""),-0.699006863382204)</f>
        <v>-0.6990068634</v>
      </c>
      <c r="G16" s="16">
        <f>IFERROR(__xludf.DUMMYFUNCTION("""COMPUTED_VALUE"""),-0.345789545440976)</f>
        <v>-0.3457895454</v>
      </c>
      <c r="H16" s="16">
        <f t="shared" si="1"/>
        <v>0</v>
      </c>
    </row>
    <row r="17">
      <c r="B17" s="16">
        <f>IFERROR(__xludf.DUMMYFUNCTION("""COMPUTED_VALUE"""),1.5)</f>
        <v>1.5</v>
      </c>
      <c r="D17" s="16">
        <f>IFERROR(__xludf.DUMMYFUNCTION("""COMPUTED_VALUE"""),0.624883987936306)</f>
        <v>0.6248839879</v>
      </c>
      <c r="E17" s="16">
        <f>IFERROR(__xludf.DUMMYFUNCTION("""COMPUTED_VALUE"""),-0.0365923055998737)</f>
        <v>-0.0365923056</v>
      </c>
      <c r="F17" s="16">
        <f>IFERROR(__xludf.DUMMYFUNCTION("""COMPUTED_VALUE"""),-0.699006863382204)</f>
        <v>-0.6990068634</v>
      </c>
      <c r="G17" s="16">
        <f>IFERROR(__xludf.DUMMYFUNCTION("""COMPUTED_VALUE"""),-0.345789545440976)</f>
        <v>-0.3457895454</v>
      </c>
      <c r="H17" s="16">
        <f t="shared" si="1"/>
        <v>0</v>
      </c>
    </row>
    <row r="18">
      <c r="B18" s="16">
        <f>IFERROR(__xludf.DUMMYFUNCTION("""COMPUTED_VALUE"""),1.6)</f>
        <v>1.6</v>
      </c>
      <c r="D18" s="16">
        <f>IFERROR(__xludf.DUMMYFUNCTION("""COMPUTED_VALUE"""),0.624883987936306)</f>
        <v>0.6248839879</v>
      </c>
      <c r="E18" s="16">
        <f>IFERROR(__xludf.DUMMYFUNCTION("""COMPUTED_VALUE"""),-0.0365923055998737)</f>
        <v>-0.0365923056</v>
      </c>
      <c r="F18" s="16">
        <f>IFERROR(__xludf.DUMMYFUNCTION("""COMPUTED_VALUE"""),-0.699006863382204)</f>
        <v>-0.6990068634</v>
      </c>
      <c r="G18" s="16">
        <f>IFERROR(__xludf.DUMMYFUNCTION("""COMPUTED_VALUE"""),-0.345789545440976)</f>
        <v>-0.3457895454</v>
      </c>
      <c r="H18" s="16">
        <f t="shared" si="1"/>
        <v>0</v>
      </c>
    </row>
    <row r="19">
      <c r="B19" s="16">
        <f>IFERROR(__xludf.DUMMYFUNCTION("""COMPUTED_VALUE"""),1.7)</f>
        <v>1.7</v>
      </c>
      <c r="D19" s="16">
        <f>IFERROR(__xludf.DUMMYFUNCTION("""COMPUTED_VALUE"""),0.624883987936306)</f>
        <v>0.6248839879</v>
      </c>
      <c r="E19" s="16">
        <f>IFERROR(__xludf.DUMMYFUNCTION("""COMPUTED_VALUE"""),-0.0365923055998737)</f>
        <v>-0.0365923056</v>
      </c>
      <c r="F19" s="16">
        <f>IFERROR(__xludf.DUMMYFUNCTION("""COMPUTED_VALUE"""),-0.699006863382204)</f>
        <v>-0.6990068634</v>
      </c>
      <c r="G19" s="16">
        <f>IFERROR(__xludf.DUMMYFUNCTION("""COMPUTED_VALUE"""),-0.345789545440976)</f>
        <v>-0.3457895454</v>
      </c>
      <c r="H19" s="16">
        <f t="shared" si="1"/>
        <v>0</v>
      </c>
    </row>
    <row r="20">
      <c r="B20" s="16">
        <f>IFERROR(__xludf.DUMMYFUNCTION("""COMPUTED_VALUE"""),1.8)</f>
        <v>1.8</v>
      </c>
      <c r="D20" s="16">
        <f>IFERROR(__xludf.DUMMYFUNCTION("""COMPUTED_VALUE"""),0.624883987936306)</f>
        <v>0.6248839879</v>
      </c>
      <c r="E20" s="16">
        <f>IFERROR(__xludf.DUMMYFUNCTION("""COMPUTED_VALUE"""),-0.0365923055998737)</f>
        <v>-0.0365923056</v>
      </c>
      <c r="F20" s="16">
        <f>IFERROR(__xludf.DUMMYFUNCTION("""COMPUTED_VALUE"""),-0.699006863382204)</f>
        <v>-0.6990068634</v>
      </c>
      <c r="G20" s="16">
        <f>IFERROR(__xludf.DUMMYFUNCTION("""COMPUTED_VALUE"""),-0.345789545440976)</f>
        <v>-0.3457895454</v>
      </c>
      <c r="H20" s="16">
        <f t="shared" si="1"/>
        <v>0</v>
      </c>
    </row>
    <row r="21">
      <c r="B21" s="16">
        <f>IFERROR(__xludf.DUMMYFUNCTION("""COMPUTED_VALUE"""),1.9)</f>
        <v>1.9</v>
      </c>
      <c r="D21" s="16">
        <f>IFERROR(__xludf.DUMMYFUNCTION("""COMPUTED_VALUE"""),0.624883987936306)</f>
        <v>0.6248839879</v>
      </c>
      <c r="E21" s="16">
        <f>IFERROR(__xludf.DUMMYFUNCTION("""COMPUTED_VALUE"""),-0.0365923055998737)</f>
        <v>-0.0365923056</v>
      </c>
      <c r="F21" s="16">
        <f>IFERROR(__xludf.DUMMYFUNCTION("""COMPUTED_VALUE"""),-0.699006863382204)</f>
        <v>-0.6990068634</v>
      </c>
      <c r="G21" s="16">
        <f>IFERROR(__xludf.DUMMYFUNCTION("""COMPUTED_VALUE"""),-0.345789545440976)</f>
        <v>-0.3457895454</v>
      </c>
      <c r="H21" s="16">
        <f t="shared" si="1"/>
        <v>0</v>
      </c>
    </row>
    <row r="22">
      <c r="B22" s="16">
        <f>IFERROR(__xludf.DUMMYFUNCTION("""COMPUTED_VALUE"""),2.0)</f>
        <v>2</v>
      </c>
      <c r="D22" s="16">
        <f>IFERROR(__xludf.DUMMYFUNCTION("""COMPUTED_VALUE"""),0.624883987936306)</f>
        <v>0.6248839879</v>
      </c>
      <c r="E22" s="16">
        <f>IFERROR(__xludf.DUMMYFUNCTION("""COMPUTED_VALUE"""),-0.0365923055998737)</f>
        <v>-0.0365923056</v>
      </c>
      <c r="F22" s="16">
        <f>IFERROR(__xludf.DUMMYFUNCTION("""COMPUTED_VALUE"""),-0.699006863382204)</f>
        <v>-0.6990068634</v>
      </c>
      <c r="G22" s="16">
        <f>IFERROR(__xludf.DUMMYFUNCTION("""COMPUTED_VALUE"""),-0.345789545440976)</f>
        <v>-0.3457895454</v>
      </c>
      <c r="H22" s="16">
        <f t="shared" si="1"/>
        <v>0</v>
      </c>
    </row>
    <row r="23">
      <c r="B23" s="16">
        <f>IFERROR(__xludf.DUMMYFUNCTION("""COMPUTED_VALUE"""),2.1)</f>
        <v>2.1</v>
      </c>
      <c r="D23" s="16">
        <f>IFERROR(__xludf.DUMMYFUNCTION("""COMPUTED_VALUE"""),0.624883987936306)</f>
        <v>0.6248839879</v>
      </c>
      <c r="E23" s="16">
        <f>IFERROR(__xludf.DUMMYFUNCTION("""COMPUTED_VALUE"""),-0.0365923055998737)</f>
        <v>-0.0365923056</v>
      </c>
      <c r="F23" s="16">
        <f>IFERROR(__xludf.DUMMYFUNCTION("""COMPUTED_VALUE"""),-0.699006863382204)</f>
        <v>-0.6990068634</v>
      </c>
      <c r="G23" s="16">
        <f>IFERROR(__xludf.DUMMYFUNCTION("""COMPUTED_VALUE"""),-0.345789545440976)</f>
        <v>-0.3457895454</v>
      </c>
      <c r="H23" s="16">
        <f t="shared" si="1"/>
        <v>0</v>
      </c>
    </row>
    <row r="24">
      <c r="B24" s="16">
        <f>IFERROR(__xludf.DUMMYFUNCTION("""COMPUTED_VALUE"""),2.2)</f>
        <v>2.2</v>
      </c>
      <c r="D24" s="16">
        <f>IFERROR(__xludf.DUMMYFUNCTION("""COMPUTED_VALUE"""),0.624883987936306)</f>
        <v>0.6248839879</v>
      </c>
      <c r="E24" s="16">
        <f>IFERROR(__xludf.DUMMYFUNCTION("""COMPUTED_VALUE"""),-0.0365923055998737)</f>
        <v>-0.0365923056</v>
      </c>
      <c r="F24" s="16">
        <f>IFERROR(__xludf.DUMMYFUNCTION("""COMPUTED_VALUE"""),-0.699006863382204)</f>
        <v>-0.6990068634</v>
      </c>
      <c r="G24" s="16">
        <f>IFERROR(__xludf.DUMMYFUNCTION("""COMPUTED_VALUE"""),-0.345789545440976)</f>
        <v>-0.3457895454</v>
      </c>
      <c r="H24" s="16">
        <f t="shared" si="1"/>
        <v>0</v>
      </c>
    </row>
    <row r="25">
      <c r="B25" s="16">
        <f>IFERROR(__xludf.DUMMYFUNCTION("""COMPUTED_VALUE"""),2.3)</f>
        <v>2.3</v>
      </c>
      <c r="D25" s="16">
        <f>IFERROR(__xludf.DUMMYFUNCTION("""COMPUTED_VALUE"""),0.624883987936306)</f>
        <v>0.6248839879</v>
      </c>
      <c r="E25" s="16">
        <f>IFERROR(__xludf.DUMMYFUNCTION("""COMPUTED_VALUE"""),-0.0365923055998737)</f>
        <v>-0.0365923056</v>
      </c>
      <c r="F25" s="16">
        <f>IFERROR(__xludf.DUMMYFUNCTION("""COMPUTED_VALUE"""),-0.699006863382204)</f>
        <v>-0.6990068634</v>
      </c>
      <c r="G25" s="16">
        <f>IFERROR(__xludf.DUMMYFUNCTION("""COMPUTED_VALUE"""),-0.345789545440976)</f>
        <v>-0.3457895454</v>
      </c>
      <c r="H25" s="16">
        <f t="shared" si="1"/>
        <v>0</v>
      </c>
    </row>
    <row r="26">
      <c r="B26" s="16">
        <f>IFERROR(__xludf.DUMMYFUNCTION("""COMPUTED_VALUE"""),2.4)</f>
        <v>2.4</v>
      </c>
      <c r="D26" s="16">
        <f>IFERROR(__xludf.DUMMYFUNCTION("""COMPUTED_VALUE"""),0.624883987936306)</f>
        <v>0.6248839879</v>
      </c>
      <c r="E26" s="16">
        <f>IFERROR(__xludf.DUMMYFUNCTION("""COMPUTED_VALUE"""),-0.0365923055998737)</f>
        <v>-0.0365923056</v>
      </c>
      <c r="F26" s="16">
        <f>IFERROR(__xludf.DUMMYFUNCTION("""COMPUTED_VALUE"""),-0.699006863382204)</f>
        <v>-0.6990068634</v>
      </c>
      <c r="G26" s="16">
        <f>IFERROR(__xludf.DUMMYFUNCTION("""COMPUTED_VALUE"""),-0.345789545440976)</f>
        <v>-0.3457895454</v>
      </c>
      <c r="H26" s="16">
        <f t="shared" si="1"/>
        <v>0</v>
      </c>
    </row>
    <row r="27">
      <c r="B27" s="16">
        <f>IFERROR(__xludf.DUMMYFUNCTION("""COMPUTED_VALUE"""),2.5)</f>
        <v>2.5</v>
      </c>
      <c r="D27" s="16">
        <f>IFERROR(__xludf.DUMMYFUNCTION("""COMPUTED_VALUE"""),0.624883987936306)</f>
        <v>0.6248839879</v>
      </c>
      <c r="E27" s="16">
        <f>IFERROR(__xludf.DUMMYFUNCTION("""COMPUTED_VALUE"""),-0.0365923055998737)</f>
        <v>-0.0365923056</v>
      </c>
      <c r="F27" s="16">
        <f>IFERROR(__xludf.DUMMYFUNCTION("""COMPUTED_VALUE"""),-0.699006863382204)</f>
        <v>-0.6990068634</v>
      </c>
      <c r="G27" s="16">
        <f>IFERROR(__xludf.DUMMYFUNCTION("""COMPUTED_VALUE"""),-0.345789545440976)</f>
        <v>-0.3457895454</v>
      </c>
      <c r="H27" s="16">
        <f t="shared" si="1"/>
        <v>0</v>
      </c>
    </row>
    <row r="28">
      <c r="B28" s="16">
        <f>IFERROR(__xludf.DUMMYFUNCTION("""COMPUTED_VALUE"""),2.6)</f>
        <v>2.6</v>
      </c>
      <c r="D28" s="16">
        <f>IFERROR(__xludf.DUMMYFUNCTION("""COMPUTED_VALUE"""),0.624883987936306)</f>
        <v>0.6248839879</v>
      </c>
      <c r="E28" s="16">
        <f>IFERROR(__xludf.DUMMYFUNCTION("""COMPUTED_VALUE"""),-0.0365923055998737)</f>
        <v>-0.0365923056</v>
      </c>
      <c r="F28" s="16">
        <f>IFERROR(__xludf.DUMMYFUNCTION("""COMPUTED_VALUE"""),-0.699006863382204)</f>
        <v>-0.6990068634</v>
      </c>
      <c r="G28" s="16">
        <f>IFERROR(__xludf.DUMMYFUNCTION("""COMPUTED_VALUE"""),-0.345789545440976)</f>
        <v>-0.3457895454</v>
      </c>
      <c r="H28" s="16">
        <f t="shared" si="1"/>
        <v>0</v>
      </c>
    </row>
    <row r="29">
      <c r="B29" s="16">
        <f>IFERROR(__xludf.DUMMYFUNCTION("""COMPUTED_VALUE"""),2.7)</f>
        <v>2.7</v>
      </c>
      <c r="D29" s="16">
        <f>IFERROR(__xludf.DUMMYFUNCTION("""COMPUTED_VALUE"""),0.624883987936306)</f>
        <v>0.6248839879</v>
      </c>
      <c r="E29" s="16">
        <f>IFERROR(__xludf.DUMMYFUNCTION("""COMPUTED_VALUE"""),-0.0365923055998737)</f>
        <v>-0.0365923056</v>
      </c>
      <c r="F29" s="16">
        <f>IFERROR(__xludf.DUMMYFUNCTION("""COMPUTED_VALUE"""),-0.699006863382204)</f>
        <v>-0.6990068634</v>
      </c>
      <c r="G29" s="16">
        <f>IFERROR(__xludf.DUMMYFUNCTION("""COMPUTED_VALUE"""),-0.345789545440976)</f>
        <v>-0.3457895454</v>
      </c>
      <c r="H29" s="16">
        <f t="shared" si="1"/>
        <v>0</v>
      </c>
    </row>
    <row r="30">
      <c r="B30" s="16">
        <f>IFERROR(__xludf.DUMMYFUNCTION("""COMPUTED_VALUE"""),2.8)</f>
        <v>2.8</v>
      </c>
      <c r="D30" s="16">
        <f>IFERROR(__xludf.DUMMYFUNCTION("""COMPUTED_VALUE"""),0.624883987936306)</f>
        <v>0.6248839879</v>
      </c>
      <c r="E30" s="16">
        <f>IFERROR(__xludf.DUMMYFUNCTION("""COMPUTED_VALUE"""),-0.0365923055998737)</f>
        <v>-0.0365923056</v>
      </c>
      <c r="F30" s="16">
        <f>IFERROR(__xludf.DUMMYFUNCTION("""COMPUTED_VALUE"""),-0.699006863382204)</f>
        <v>-0.6990068634</v>
      </c>
      <c r="G30" s="16">
        <f>IFERROR(__xludf.DUMMYFUNCTION("""COMPUTED_VALUE"""),-0.345789545440976)</f>
        <v>-0.3457895454</v>
      </c>
      <c r="H30" s="16">
        <f t="shared" si="1"/>
        <v>0</v>
      </c>
    </row>
    <row r="31">
      <c r="B31" s="16">
        <f>IFERROR(__xludf.DUMMYFUNCTION("""COMPUTED_VALUE"""),2.9)</f>
        <v>2.9</v>
      </c>
      <c r="D31" s="16">
        <f>IFERROR(__xludf.DUMMYFUNCTION("""COMPUTED_VALUE"""),0.624883987936306)</f>
        <v>0.6248839879</v>
      </c>
      <c r="E31" s="16">
        <f>IFERROR(__xludf.DUMMYFUNCTION("""COMPUTED_VALUE"""),-0.0365923055998737)</f>
        <v>-0.0365923056</v>
      </c>
      <c r="F31" s="16">
        <f>IFERROR(__xludf.DUMMYFUNCTION("""COMPUTED_VALUE"""),-0.699006863382204)</f>
        <v>-0.6990068634</v>
      </c>
      <c r="G31" s="16">
        <f>IFERROR(__xludf.DUMMYFUNCTION("""COMPUTED_VALUE"""),-0.345789545440976)</f>
        <v>-0.3457895454</v>
      </c>
      <c r="H31" s="16">
        <f t="shared" si="1"/>
        <v>0</v>
      </c>
    </row>
    <row r="32">
      <c r="B32" s="16">
        <f>IFERROR(__xludf.DUMMYFUNCTION("""COMPUTED_VALUE"""),3.0)</f>
        <v>3</v>
      </c>
      <c r="D32" s="16">
        <f>IFERROR(__xludf.DUMMYFUNCTION("""COMPUTED_VALUE"""),0.624883987936306)</f>
        <v>0.6248839879</v>
      </c>
      <c r="E32" s="16">
        <f>IFERROR(__xludf.DUMMYFUNCTION("""COMPUTED_VALUE"""),-0.0365923055998737)</f>
        <v>-0.0365923056</v>
      </c>
      <c r="F32" s="16">
        <f>IFERROR(__xludf.DUMMYFUNCTION("""COMPUTED_VALUE"""),-0.699006863382204)</f>
        <v>-0.6990068634</v>
      </c>
      <c r="G32" s="16">
        <f>IFERROR(__xludf.DUMMYFUNCTION("""COMPUTED_VALUE"""),-0.345789545440976)</f>
        <v>-0.3457895454</v>
      </c>
      <c r="H32" s="16">
        <f t="shared" si="1"/>
        <v>0</v>
      </c>
    </row>
    <row r="33">
      <c r="B33" s="16">
        <f>IFERROR(__xludf.DUMMYFUNCTION("""COMPUTED_VALUE"""),3.1)</f>
        <v>3.1</v>
      </c>
      <c r="D33" s="16">
        <f>IFERROR(__xludf.DUMMYFUNCTION("""COMPUTED_VALUE"""),0.624883987936306)</f>
        <v>0.6248839879</v>
      </c>
      <c r="E33" s="16">
        <f>IFERROR(__xludf.DUMMYFUNCTION("""COMPUTED_VALUE"""),-0.0365923055998737)</f>
        <v>-0.0365923056</v>
      </c>
      <c r="F33" s="16">
        <f>IFERROR(__xludf.DUMMYFUNCTION("""COMPUTED_VALUE"""),-0.699006863382204)</f>
        <v>-0.6990068634</v>
      </c>
      <c r="G33" s="16">
        <f>IFERROR(__xludf.DUMMYFUNCTION("""COMPUTED_VALUE"""),-0.345789545440976)</f>
        <v>-0.3457895454</v>
      </c>
      <c r="H33" s="16">
        <f t="shared" si="1"/>
        <v>0</v>
      </c>
    </row>
    <row r="34">
      <c r="B34" s="16">
        <f>IFERROR(__xludf.DUMMYFUNCTION("""COMPUTED_VALUE"""),3.2)</f>
        <v>3.2</v>
      </c>
      <c r="D34" s="16">
        <f>IFERROR(__xludf.DUMMYFUNCTION("""COMPUTED_VALUE"""),0.624883987936306)</f>
        <v>0.6248839879</v>
      </c>
      <c r="E34" s="16">
        <f>IFERROR(__xludf.DUMMYFUNCTION("""COMPUTED_VALUE"""),-0.0365923055998737)</f>
        <v>-0.0365923056</v>
      </c>
      <c r="F34" s="16">
        <f>IFERROR(__xludf.DUMMYFUNCTION("""COMPUTED_VALUE"""),-0.699006863382204)</f>
        <v>-0.6990068634</v>
      </c>
      <c r="G34" s="16">
        <f>IFERROR(__xludf.DUMMYFUNCTION("""COMPUTED_VALUE"""),-0.345789545440976)</f>
        <v>-0.3457895454</v>
      </c>
      <c r="H34" s="16">
        <f t="shared" si="1"/>
        <v>0</v>
      </c>
    </row>
    <row r="35">
      <c r="B35" s="16">
        <f>IFERROR(__xludf.DUMMYFUNCTION("""COMPUTED_VALUE"""),3.3)</f>
        <v>3.3</v>
      </c>
      <c r="D35" s="16">
        <f>IFERROR(__xludf.DUMMYFUNCTION("""COMPUTED_VALUE"""),0.624883987936306)</f>
        <v>0.6248839879</v>
      </c>
      <c r="E35" s="16">
        <f>IFERROR(__xludf.DUMMYFUNCTION("""COMPUTED_VALUE"""),-0.0365923055998737)</f>
        <v>-0.0365923056</v>
      </c>
      <c r="F35" s="16">
        <f>IFERROR(__xludf.DUMMYFUNCTION("""COMPUTED_VALUE"""),-0.699006863382204)</f>
        <v>-0.6990068634</v>
      </c>
      <c r="G35" s="16">
        <f>IFERROR(__xludf.DUMMYFUNCTION("""COMPUTED_VALUE"""),-0.345789545440976)</f>
        <v>-0.3457895454</v>
      </c>
      <c r="H35" s="16">
        <f t="shared" si="1"/>
        <v>0</v>
      </c>
    </row>
    <row r="36">
      <c r="B36" s="16">
        <f>IFERROR(__xludf.DUMMYFUNCTION("""COMPUTED_VALUE"""),3.4)</f>
        <v>3.4</v>
      </c>
      <c r="D36" s="16">
        <f>IFERROR(__xludf.DUMMYFUNCTION("""COMPUTED_VALUE"""),0.624883987936306)</f>
        <v>0.6248839879</v>
      </c>
      <c r="E36" s="16">
        <f>IFERROR(__xludf.DUMMYFUNCTION("""COMPUTED_VALUE"""),-0.0365923055998737)</f>
        <v>-0.0365923056</v>
      </c>
      <c r="F36" s="16">
        <f>IFERROR(__xludf.DUMMYFUNCTION("""COMPUTED_VALUE"""),-0.699006863382204)</f>
        <v>-0.6990068634</v>
      </c>
      <c r="G36" s="16">
        <f>IFERROR(__xludf.DUMMYFUNCTION("""COMPUTED_VALUE"""),-0.345789545440976)</f>
        <v>-0.3457895454</v>
      </c>
      <c r="H36" s="16">
        <f t="shared" si="1"/>
        <v>0</v>
      </c>
    </row>
    <row r="37">
      <c r="B37" s="16">
        <f>IFERROR(__xludf.DUMMYFUNCTION("""COMPUTED_VALUE"""),3.5)</f>
        <v>3.5</v>
      </c>
      <c r="D37" s="16">
        <f>IFERROR(__xludf.DUMMYFUNCTION("""COMPUTED_VALUE"""),0.624883987936306)</f>
        <v>0.6248839879</v>
      </c>
      <c r="E37" s="16">
        <f>IFERROR(__xludf.DUMMYFUNCTION("""COMPUTED_VALUE"""),-0.0365923055998737)</f>
        <v>-0.0365923056</v>
      </c>
      <c r="F37" s="16">
        <f>IFERROR(__xludf.DUMMYFUNCTION("""COMPUTED_VALUE"""),-0.699006863382204)</f>
        <v>-0.6990068634</v>
      </c>
      <c r="G37" s="16">
        <f>IFERROR(__xludf.DUMMYFUNCTION("""COMPUTED_VALUE"""),-0.345789545440976)</f>
        <v>-0.3457895454</v>
      </c>
      <c r="H37" s="16">
        <f t="shared" si="1"/>
        <v>0</v>
      </c>
    </row>
    <row r="38">
      <c r="B38" s="16">
        <f>IFERROR(__xludf.DUMMYFUNCTION("""COMPUTED_VALUE"""),3.6)</f>
        <v>3.6</v>
      </c>
      <c r="D38" s="16">
        <f>IFERROR(__xludf.DUMMYFUNCTION("""COMPUTED_VALUE"""),0.624883987936306)</f>
        <v>0.6248839879</v>
      </c>
      <c r="E38" s="16">
        <f>IFERROR(__xludf.DUMMYFUNCTION("""COMPUTED_VALUE"""),-0.0365923055998737)</f>
        <v>-0.0365923056</v>
      </c>
      <c r="F38" s="16">
        <f>IFERROR(__xludf.DUMMYFUNCTION("""COMPUTED_VALUE"""),-0.699006863382204)</f>
        <v>-0.6990068634</v>
      </c>
      <c r="G38" s="16">
        <f>IFERROR(__xludf.DUMMYFUNCTION("""COMPUTED_VALUE"""),-0.345789545440976)</f>
        <v>-0.3457895454</v>
      </c>
      <c r="H38" s="16">
        <f t="shared" si="1"/>
        <v>0</v>
      </c>
    </row>
    <row r="39">
      <c r="B39" s="16">
        <f>IFERROR(__xludf.DUMMYFUNCTION("""COMPUTED_VALUE"""),3.7)</f>
        <v>3.7</v>
      </c>
      <c r="D39" s="16">
        <f>IFERROR(__xludf.DUMMYFUNCTION("""COMPUTED_VALUE"""),0.624883987936306)</f>
        <v>0.6248839879</v>
      </c>
      <c r="E39" s="16">
        <f>IFERROR(__xludf.DUMMYFUNCTION("""COMPUTED_VALUE"""),-0.0365923055998737)</f>
        <v>-0.0365923056</v>
      </c>
      <c r="F39" s="16">
        <f>IFERROR(__xludf.DUMMYFUNCTION("""COMPUTED_VALUE"""),-0.699006863382204)</f>
        <v>-0.6990068634</v>
      </c>
      <c r="G39" s="16">
        <f>IFERROR(__xludf.DUMMYFUNCTION("""COMPUTED_VALUE"""),-0.345789545440976)</f>
        <v>-0.3457895454</v>
      </c>
      <c r="H39" s="16">
        <f t="shared" si="1"/>
        <v>0</v>
      </c>
    </row>
    <row r="40">
      <c r="B40" s="16">
        <f>IFERROR(__xludf.DUMMYFUNCTION("""COMPUTED_VALUE"""),3.8)</f>
        <v>3.8</v>
      </c>
      <c r="D40" s="16">
        <f>IFERROR(__xludf.DUMMYFUNCTION("""COMPUTED_VALUE"""),0.624883987936306)</f>
        <v>0.6248839879</v>
      </c>
      <c r="E40" s="16">
        <f>IFERROR(__xludf.DUMMYFUNCTION("""COMPUTED_VALUE"""),-0.0365923055998737)</f>
        <v>-0.0365923056</v>
      </c>
      <c r="F40" s="16">
        <f>IFERROR(__xludf.DUMMYFUNCTION("""COMPUTED_VALUE"""),-0.699006863382204)</f>
        <v>-0.6990068634</v>
      </c>
      <c r="G40" s="16">
        <f>IFERROR(__xludf.DUMMYFUNCTION("""COMPUTED_VALUE"""),-0.345789545440976)</f>
        <v>-0.3457895454</v>
      </c>
      <c r="H40" s="16">
        <f t="shared" si="1"/>
        <v>0</v>
      </c>
    </row>
    <row r="41">
      <c r="B41" s="16">
        <f>IFERROR(__xludf.DUMMYFUNCTION("""COMPUTED_VALUE"""),3.9)</f>
        <v>3.9</v>
      </c>
      <c r="D41" s="16">
        <f>IFERROR(__xludf.DUMMYFUNCTION("""COMPUTED_VALUE"""),0.624883987936306)</f>
        <v>0.6248839879</v>
      </c>
      <c r="E41" s="16">
        <f>IFERROR(__xludf.DUMMYFUNCTION("""COMPUTED_VALUE"""),-0.0365923055998737)</f>
        <v>-0.0365923056</v>
      </c>
      <c r="F41" s="16">
        <f>IFERROR(__xludf.DUMMYFUNCTION("""COMPUTED_VALUE"""),-0.699006863382204)</f>
        <v>-0.6990068634</v>
      </c>
      <c r="G41" s="16">
        <f>IFERROR(__xludf.DUMMYFUNCTION("""COMPUTED_VALUE"""),-0.345789545440976)</f>
        <v>-0.3457895454</v>
      </c>
      <c r="H41" s="16">
        <f t="shared" si="1"/>
        <v>0</v>
      </c>
    </row>
    <row r="42">
      <c r="B42" s="16">
        <f>IFERROR(__xludf.DUMMYFUNCTION("""COMPUTED_VALUE"""),4.0)</f>
        <v>4</v>
      </c>
      <c r="D42" s="16">
        <f>IFERROR(__xludf.DUMMYFUNCTION("""COMPUTED_VALUE"""),0.624883987936306)</f>
        <v>0.6248839879</v>
      </c>
      <c r="E42" s="16">
        <f>IFERROR(__xludf.DUMMYFUNCTION("""COMPUTED_VALUE"""),-0.0365923055998737)</f>
        <v>-0.0365923056</v>
      </c>
      <c r="F42" s="16">
        <f>IFERROR(__xludf.DUMMYFUNCTION("""COMPUTED_VALUE"""),-0.699006863382204)</f>
        <v>-0.6990068634</v>
      </c>
      <c r="G42" s="16">
        <f>IFERROR(__xludf.DUMMYFUNCTION("""COMPUTED_VALUE"""),-0.345789545440976)</f>
        <v>-0.3457895454</v>
      </c>
      <c r="H42" s="16">
        <f t="shared" si="1"/>
        <v>0</v>
      </c>
    </row>
    <row r="43">
      <c r="B43" s="16">
        <f>IFERROR(__xludf.DUMMYFUNCTION("""COMPUTED_VALUE"""),4.1)</f>
        <v>4.1</v>
      </c>
      <c r="D43" s="16">
        <f>IFERROR(__xludf.DUMMYFUNCTION("""COMPUTED_VALUE"""),0.624883987936306)</f>
        <v>0.6248839879</v>
      </c>
      <c r="E43" s="16">
        <f>IFERROR(__xludf.DUMMYFUNCTION("""COMPUTED_VALUE"""),-0.0365923055998737)</f>
        <v>-0.0365923056</v>
      </c>
      <c r="F43" s="16">
        <f>IFERROR(__xludf.DUMMYFUNCTION("""COMPUTED_VALUE"""),-0.699006863382204)</f>
        <v>-0.6990068634</v>
      </c>
      <c r="G43" s="16">
        <f>IFERROR(__xludf.DUMMYFUNCTION("""COMPUTED_VALUE"""),-0.345789545440976)</f>
        <v>-0.3457895454</v>
      </c>
      <c r="H43" s="16">
        <f t="shared" si="1"/>
        <v>0</v>
      </c>
    </row>
    <row r="44">
      <c r="B44" s="16">
        <f>IFERROR(__xludf.DUMMYFUNCTION("""COMPUTED_VALUE"""),4.2)</f>
        <v>4.2</v>
      </c>
      <c r="D44" s="16">
        <f>IFERROR(__xludf.DUMMYFUNCTION("""COMPUTED_VALUE"""),0.624883987936306)</f>
        <v>0.6248839879</v>
      </c>
      <c r="E44" s="16">
        <f>IFERROR(__xludf.DUMMYFUNCTION("""COMPUTED_VALUE"""),-0.0365923055998737)</f>
        <v>-0.0365923056</v>
      </c>
      <c r="F44" s="16">
        <f>IFERROR(__xludf.DUMMYFUNCTION("""COMPUTED_VALUE"""),-0.699006863382204)</f>
        <v>-0.6990068634</v>
      </c>
      <c r="G44" s="16">
        <f>IFERROR(__xludf.DUMMYFUNCTION("""COMPUTED_VALUE"""),-0.345789545440976)</f>
        <v>-0.3457895454</v>
      </c>
      <c r="H44" s="16">
        <f t="shared" si="1"/>
        <v>0</v>
      </c>
    </row>
    <row r="45">
      <c r="B45" s="16">
        <f>IFERROR(__xludf.DUMMYFUNCTION("""COMPUTED_VALUE"""),4.3)</f>
        <v>4.3</v>
      </c>
      <c r="D45" s="16">
        <f>IFERROR(__xludf.DUMMYFUNCTION("""COMPUTED_VALUE"""),0.624883987936306)</f>
        <v>0.6248839879</v>
      </c>
      <c r="E45" s="16">
        <f>IFERROR(__xludf.DUMMYFUNCTION("""COMPUTED_VALUE"""),-0.0365923055998737)</f>
        <v>-0.0365923056</v>
      </c>
      <c r="F45" s="16">
        <f>IFERROR(__xludf.DUMMYFUNCTION("""COMPUTED_VALUE"""),-0.699006863382204)</f>
        <v>-0.6990068634</v>
      </c>
      <c r="G45" s="16">
        <f>IFERROR(__xludf.DUMMYFUNCTION("""COMPUTED_VALUE"""),-0.345789545440976)</f>
        <v>-0.3457895454</v>
      </c>
      <c r="H45" s="16">
        <f t="shared" si="1"/>
        <v>0</v>
      </c>
    </row>
    <row r="46">
      <c r="B46" s="16">
        <f>IFERROR(__xludf.DUMMYFUNCTION("""COMPUTED_VALUE"""),4.4)</f>
        <v>4.4</v>
      </c>
      <c r="D46" s="16">
        <f>IFERROR(__xludf.DUMMYFUNCTION("""COMPUTED_VALUE"""),0.624883987936306)</f>
        <v>0.6248839879</v>
      </c>
      <c r="E46" s="16">
        <f>IFERROR(__xludf.DUMMYFUNCTION("""COMPUTED_VALUE"""),-0.0365923055998737)</f>
        <v>-0.0365923056</v>
      </c>
      <c r="F46" s="16">
        <f>IFERROR(__xludf.DUMMYFUNCTION("""COMPUTED_VALUE"""),-0.699006863382204)</f>
        <v>-0.6990068634</v>
      </c>
      <c r="G46" s="16">
        <f>IFERROR(__xludf.DUMMYFUNCTION("""COMPUTED_VALUE"""),-0.345789545440976)</f>
        <v>-0.3457895454</v>
      </c>
      <c r="H46" s="16">
        <f t="shared" si="1"/>
        <v>0</v>
      </c>
    </row>
    <row r="47">
      <c r="B47" s="16">
        <f>IFERROR(__xludf.DUMMYFUNCTION("""COMPUTED_VALUE"""),4.5)</f>
        <v>4.5</v>
      </c>
      <c r="D47" s="16">
        <f>IFERROR(__xludf.DUMMYFUNCTION("""COMPUTED_VALUE"""),0.624883987936306)</f>
        <v>0.6248839879</v>
      </c>
      <c r="E47" s="16">
        <f>IFERROR(__xludf.DUMMYFUNCTION("""COMPUTED_VALUE"""),-0.0365923055998737)</f>
        <v>-0.0365923056</v>
      </c>
      <c r="F47" s="16">
        <f>IFERROR(__xludf.DUMMYFUNCTION("""COMPUTED_VALUE"""),-0.699006863382204)</f>
        <v>-0.6990068634</v>
      </c>
      <c r="G47" s="16">
        <f>IFERROR(__xludf.DUMMYFUNCTION("""COMPUTED_VALUE"""),-0.345789545440976)</f>
        <v>-0.3457895454</v>
      </c>
      <c r="H47" s="16">
        <f t="shared" si="1"/>
        <v>0</v>
      </c>
    </row>
    <row r="48">
      <c r="B48" s="16">
        <f>IFERROR(__xludf.DUMMYFUNCTION("""COMPUTED_VALUE"""),4.6)</f>
        <v>4.6</v>
      </c>
      <c r="D48" s="16">
        <f>IFERROR(__xludf.DUMMYFUNCTION("""COMPUTED_VALUE"""),0.624883987936306)</f>
        <v>0.6248839879</v>
      </c>
      <c r="E48" s="16">
        <f>IFERROR(__xludf.DUMMYFUNCTION("""COMPUTED_VALUE"""),-0.0365923055998737)</f>
        <v>-0.0365923056</v>
      </c>
      <c r="F48" s="16">
        <f>IFERROR(__xludf.DUMMYFUNCTION("""COMPUTED_VALUE"""),-0.699006863382204)</f>
        <v>-0.6990068634</v>
      </c>
      <c r="G48" s="16">
        <f>IFERROR(__xludf.DUMMYFUNCTION("""COMPUTED_VALUE"""),-0.345789545440976)</f>
        <v>-0.3457895454</v>
      </c>
      <c r="H48" s="16">
        <f t="shared" si="1"/>
        <v>0</v>
      </c>
    </row>
    <row r="49">
      <c r="B49" s="16">
        <f>IFERROR(__xludf.DUMMYFUNCTION("""COMPUTED_VALUE"""),4.7)</f>
        <v>4.7</v>
      </c>
      <c r="D49" s="16">
        <f>IFERROR(__xludf.DUMMYFUNCTION("""COMPUTED_VALUE"""),0.624883987936306)</f>
        <v>0.6248839879</v>
      </c>
      <c r="E49" s="16">
        <f>IFERROR(__xludf.DUMMYFUNCTION("""COMPUTED_VALUE"""),-0.0365923055998737)</f>
        <v>-0.0365923056</v>
      </c>
      <c r="F49" s="16">
        <f>IFERROR(__xludf.DUMMYFUNCTION("""COMPUTED_VALUE"""),-0.699006863382204)</f>
        <v>-0.6990068634</v>
      </c>
      <c r="G49" s="16">
        <f>IFERROR(__xludf.DUMMYFUNCTION("""COMPUTED_VALUE"""),-0.345789545440976)</f>
        <v>-0.3457895454</v>
      </c>
      <c r="H49" s="16">
        <f t="shared" si="1"/>
        <v>0</v>
      </c>
    </row>
    <row r="50">
      <c r="B50" s="16">
        <f>IFERROR(__xludf.DUMMYFUNCTION("""COMPUTED_VALUE"""),4.8)</f>
        <v>4.8</v>
      </c>
      <c r="D50" s="16">
        <f>IFERROR(__xludf.DUMMYFUNCTION("""COMPUTED_VALUE"""),0.624883987936306)</f>
        <v>0.6248839879</v>
      </c>
      <c r="E50" s="16">
        <f>IFERROR(__xludf.DUMMYFUNCTION("""COMPUTED_VALUE"""),-0.0365923055998737)</f>
        <v>-0.0365923056</v>
      </c>
      <c r="F50" s="16">
        <f>IFERROR(__xludf.DUMMYFUNCTION("""COMPUTED_VALUE"""),-0.699006863382204)</f>
        <v>-0.6990068634</v>
      </c>
      <c r="G50" s="16">
        <f>IFERROR(__xludf.DUMMYFUNCTION("""COMPUTED_VALUE"""),-0.345789545440976)</f>
        <v>-0.3457895454</v>
      </c>
      <c r="H50" s="16">
        <f t="shared" si="1"/>
        <v>0</v>
      </c>
    </row>
    <row r="51">
      <c r="B51" s="16">
        <f>IFERROR(__xludf.DUMMYFUNCTION("""COMPUTED_VALUE"""),4.9)</f>
        <v>4.9</v>
      </c>
      <c r="D51" s="16">
        <f>IFERROR(__xludf.DUMMYFUNCTION("""COMPUTED_VALUE"""),0.624883987936306)</f>
        <v>0.6248839879</v>
      </c>
      <c r="E51" s="16">
        <f>IFERROR(__xludf.DUMMYFUNCTION("""COMPUTED_VALUE"""),-0.0365923055998737)</f>
        <v>-0.0365923056</v>
      </c>
      <c r="F51" s="16">
        <f>IFERROR(__xludf.DUMMYFUNCTION("""COMPUTED_VALUE"""),-0.699006863382204)</f>
        <v>-0.6990068634</v>
      </c>
      <c r="G51" s="16">
        <f>IFERROR(__xludf.DUMMYFUNCTION("""COMPUTED_VALUE"""),-0.345789545440976)</f>
        <v>-0.3457895454</v>
      </c>
      <c r="H51" s="16">
        <f t="shared" si="1"/>
        <v>0</v>
      </c>
    </row>
    <row r="52">
      <c r="B52" s="16">
        <f>IFERROR(__xludf.DUMMYFUNCTION("""COMPUTED_VALUE"""),5.0)</f>
        <v>5</v>
      </c>
      <c r="D52" s="16">
        <f>IFERROR(__xludf.DUMMYFUNCTION("""COMPUTED_VALUE"""),0.624883987936306)</f>
        <v>0.6248839879</v>
      </c>
      <c r="E52" s="16">
        <f>IFERROR(__xludf.DUMMYFUNCTION("""COMPUTED_VALUE"""),-0.0365923055998737)</f>
        <v>-0.0365923056</v>
      </c>
      <c r="F52" s="16">
        <f>IFERROR(__xludf.DUMMYFUNCTION("""COMPUTED_VALUE"""),-0.699006863382204)</f>
        <v>-0.6990068634</v>
      </c>
      <c r="G52" s="16">
        <f>IFERROR(__xludf.DUMMYFUNCTION("""COMPUTED_VALUE"""),-0.345789545440976)</f>
        <v>-0.3457895454</v>
      </c>
      <c r="H52" s="16">
        <f t="shared" si="1"/>
        <v>0</v>
      </c>
    </row>
    <row r="53">
      <c r="B53" s="16">
        <f>IFERROR(__xludf.DUMMYFUNCTION("""COMPUTED_VALUE"""),5.1)</f>
        <v>5.1</v>
      </c>
      <c r="D53" s="16">
        <f>IFERROR(__xludf.DUMMYFUNCTION("""COMPUTED_VALUE"""),0.624883987936306)</f>
        <v>0.6248839879</v>
      </c>
      <c r="E53" s="16">
        <f>IFERROR(__xludf.DUMMYFUNCTION("""COMPUTED_VALUE"""),-0.0365923055998737)</f>
        <v>-0.0365923056</v>
      </c>
      <c r="F53" s="16">
        <f>IFERROR(__xludf.DUMMYFUNCTION("""COMPUTED_VALUE"""),-0.699006863382204)</f>
        <v>-0.6990068634</v>
      </c>
      <c r="G53" s="16">
        <f>IFERROR(__xludf.DUMMYFUNCTION("""COMPUTED_VALUE"""),-0.345789545440976)</f>
        <v>-0.3457895454</v>
      </c>
      <c r="H53" s="16">
        <f t="shared" si="1"/>
        <v>0</v>
      </c>
    </row>
    <row r="54">
      <c r="B54" s="16">
        <f>IFERROR(__xludf.DUMMYFUNCTION("""COMPUTED_VALUE"""),5.2)</f>
        <v>5.2</v>
      </c>
      <c r="D54" s="16">
        <f>IFERROR(__xludf.DUMMYFUNCTION("""COMPUTED_VALUE"""),0.624883987936306)</f>
        <v>0.6248839879</v>
      </c>
      <c r="E54" s="16">
        <f>IFERROR(__xludf.DUMMYFUNCTION("""COMPUTED_VALUE"""),-0.0365923055998737)</f>
        <v>-0.0365923056</v>
      </c>
      <c r="F54" s="16">
        <f>IFERROR(__xludf.DUMMYFUNCTION("""COMPUTED_VALUE"""),-0.699006863382204)</f>
        <v>-0.6990068634</v>
      </c>
      <c r="G54" s="16">
        <f>IFERROR(__xludf.DUMMYFUNCTION("""COMPUTED_VALUE"""),-0.345789545440976)</f>
        <v>-0.3457895454</v>
      </c>
      <c r="H54" s="16">
        <f t="shared" si="1"/>
        <v>0</v>
      </c>
    </row>
    <row r="55">
      <c r="B55" s="16">
        <f>IFERROR(__xludf.DUMMYFUNCTION("""COMPUTED_VALUE"""),5.3)</f>
        <v>5.3</v>
      </c>
      <c r="D55" s="16">
        <f>IFERROR(__xludf.DUMMYFUNCTION("""COMPUTED_VALUE"""),0.624883987936306)</f>
        <v>0.6248839879</v>
      </c>
      <c r="E55" s="16">
        <f>IFERROR(__xludf.DUMMYFUNCTION("""COMPUTED_VALUE"""),-0.0365923055998737)</f>
        <v>-0.0365923056</v>
      </c>
      <c r="F55" s="16">
        <f>IFERROR(__xludf.DUMMYFUNCTION("""COMPUTED_VALUE"""),-0.699006863382204)</f>
        <v>-0.6990068634</v>
      </c>
      <c r="G55" s="16">
        <f>IFERROR(__xludf.DUMMYFUNCTION("""COMPUTED_VALUE"""),-0.345789545440976)</f>
        <v>-0.3457895454</v>
      </c>
      <c r="H55" s="16">
        <f t="shared" si="1"/>
        <v>0</v>
      </c>
    </row>
    <row r="56">
      <c r="B56" s="16">
        <f>IFERROR(__xludf.DUMMYFUNCTION("""COMPUTED_VALUE"""),5.4)</f>
        <v>5.4</v>
      </c>
      <c r="D56" s="16">
        <f>IFERROR(__xludf.DUMMYFUNCTION("""COMPUTED_VALUE"""),0.624883987936306)</f>
        <v>0.6248839879</v>
      </c>
      <c r="E56" s="16">
        <f>IFERROR(__xludf.DUMMYFUNCTION("""COMPUTED_VALUE"""),-0.0365923055998737)</f>
        <v>-0.0365923056</v>
      </c>
      <c r="F56" s="16">
        <f>IFERROR(__xludf.DUMMYFUNCTION("""COMPUTED_VALUE"""),-0.699006863382204)</f>
        <v>-0.6990068634</v>
      </c>
      <c r="G56" s="16">
        <f>IFERROR(__xludf.DUMMYFUNCTION("""COMPUTED_VALUE"""),-0.345789545440976)</f>
        <v>-0.3457895454</v>
      </c>
      <c r="H56" s="16">
        <f t="shared" si="1"/>
        <v>0</v>
      </c>
    </row>
    <row r="57">
      <c r="B57" s="16">
        <f>IFERROR(__xludf.DUMMYFUNCTION("""COMPUTED_VALUE"""),5.5)</f>
        <v>5.5</v>
      </c>
      <c r="D57" s="16">
        <f>IFERROR(__xludf.DUMMYFUNCTION("""COMPUTED_VALUE"""),0.624883987936306)</f>
        <v>0.6248839879</v>
      </c>
      <c r="E57" s="16">
        <f>IFERROR(__xludf.DUMMYFUNCTION("""COMPUTED_VALUE"""),-0.0365923055998737)</f>
        <v>-0.0365923056</v>
      </c>
      <c r="F57" s="16">
        <f>IFERROR(__xludf.DUMMYFUNCTION("""COMPUTED_VALUE"""),-0.699006863382204)</f>
        <v>-0.6990068634</v>
      </c>
      <c r="G57" s="16">
        <f>IFERROR(__xludf.DUMMYFUNCTION("""COMPUTED_VALUE"""),-0.345789545440976)</f>
        <v>-0.3457895454</v>
      </c>
      <c r="H57" s="16">
        <f t="shared" si="1"/>
        <v>0</v>
      </c>
    </row>
    <row r="58">
      <c r="B58" s="16">
        <f>IFERROR(__xludf.DUMMYFUNCTION("""COMPUTED_VALUE"""),5.6)</f>
        <v>5.6</v>
      </c>
      <c r="D58" s="16">
        <f>IFERROR(__xludf.DUMMYFUNCTION("""COMPUTED_VALUE"""),0.624883987936306)</f>
        <v>0.6248839879</v>
      </c>
      <c r="E58" s="16">
        <f>IFERROR(__xludf.DUMMYFUNCTION("""COMPUTED_VALUE"""),-0.0365923055998737)</f>
        <v>-0.0365923056</v>
      </c>
      <c r="F58" s="16">
        <f>IFERROR(__xludf.DUMMYFUNCTION("""COMPUTED_VALUE"""),-0.699006863382204)</f>
        <v>-0.6990068634</v>
      </c>
      <c r="G58" s="16">
        <f>IFERROR(__xludf.DUMMYFUNCTION("""COMPUTED_VALUE"""),-0.345789545440976)</f>
        <v>-0.3457895454</v>
      </c>
      <c r="H58" s="16">
        <f t="shared" si="1"/>
        <v>0</v>
      </c>
    </row>
    <row r="59">
      <c r="B59" s="16">
        <f>IFERROR(__xludf.DUMMYFUNCTION("""COMPUTED_VALUE"""),5.7)</f>
        <v>5.7</v>
      </c>
      <c r="D59" s="16">
        <f>IFERROR(__xludf.DUMMYFUNCTION("""COMPUTED_VALUE"""),0.624883987936306)</f>
        <v>0.6248839879</v>
      </c>
      <c r="E59" s="16">
        <f>IFERROR(__xludf.DUMMYFUNCTION("""COMPUTED_VALUE"""),-0.0365923055998737)</f>
        <v>-0.0365923056</v>
      </c>
      <c r="F59" s="16">
        <f>IFERROR(__xludf.DUMMYFUNCTION("""COMPUTED_VALUE"""),-0.699006863382204)</f>
        <v>-0.6990068634</v>
      </c>
      <c r="G59" s="16">
        <f>IFERROR(__xludf.DUMMYFUNCTION("""COMPUTED_VALUE"""),-0.345789545440976)</f>
        <v>-0.3457895454</v>
      </c>
      <c r="H59" s="16">
        <f t="shared" si="1"/>
        <v>0</v>
      </c>
    </row>
    <row r="60">
      <c r="B60" s="16">
        <f>IFERROR(__xludf.DUMMYFUNCTION("""COMPUTED_VALUE"""),5.8)</f>
        <v>5.8</v>
      </c>
      <c r="D60" s="16">
        <f>IFERROR(__xludf.DUMMYFUNCTION("""COMPUTED_VALUE"""),0.613827375274831)</f>
        <v>0.6138273753</v>
      </c>
      <c r="E60" s="16">
        <f>IFERROR(__xludf.DUMMYFUNCTION("""COMPUTED_VALUE"""),-0.0420192172497702)</f>
        <v>-0.04201921725</v>
      </c>
      <c r="F60" s="16">
        <f>IFERROR(__xludf.DUMMYFUNCTION("""COMPUTED_VALUE"""),-0.708735879434517)</f>
        <v>-0.7087358794</v>
      </c>
      <c r="G60" s="16">
        <f>IFERROR(__xludf.DUMMYFUNCTION("""COMPUTED_VALUE"""),-0.345172119307321)</f>
        <v>-0.3451721193</v>
      </c>
      <c r="H60" s="16">
        <f t="shared" si="1"/>
        <v>0</v>
      </c>
    </row>
    <row r="61">
      <c r="B61" s="16">
        <f>IFERROR(__xludf.DUMMYFUNCTION("""COMPUTED_VALUE"""),5.9)</f>
        <v>5.9</v>
      </c>
      <c r="D61" s="16">
        <f>IFERROR(__xludf.DUMMYFUNCTION("""COMPUTED_VALUE"""),-0.599793952334782)</f>
        <v>-0.5997939523</v>
      </c>
      <c r="E61" s="16">
        <f>IFERROR(__xludf.DUMMYFUNCTION("""COMPUTED_VALUE"""),0.0487881206807903)</f>
        <v>0.04878812068</v>
      </c>
      <c r="F61" s="16">
        <f>IFERROR(__xludf.DUMMYFUNCTION("""COMPUTED_VALUE"""),0.720650961407274)</f>
        <v>0.7206509614</v>
      </c>
      <c r="G61" s="16">
        <f>IFERROR(__xludf.DUMMYFUNCTION("""COMPUTED_VALUE"""),0.344280591735619)</f>
        <v>0.3442805917</v>
      </c>
      <c r="H61" s="16">
        <f t="shared" si="1"/>
        <v>0</v>
      </c>
    </row>
    <row r="62">
      <c r="B62" s="16">
        <f>IFERROR(__xludf.DUMMYFUNCTION("""COMPUTED_VALUE"""),6.0)</f>
        <v>6</v>
      </c>
      <c r="D62" s="16">
        <f>IFERROR(__xludf.DUMMYFUNCTION("""COMPUTED_VALUE"""),-0.555199773190159)</f>
        <v>-0.5551997732</v>
      </c>
      <c r="E62" s="16">
        <f>IFERROR(__xludf.DUMMYFUNCTION("""COMPUTED_VALUE"""),0.0590566478262059)</f>
        <v>0.05905664783</v>
      </c>
      <c r="F62" s="16">
        <f>IFERROR(__xludf.DUMMYFUNCTION("""COMPUTED_VALUE"""),0.753091721845375)</f>
        <v>0.7530917218</v>
      </c>
      <c r="G62" s="16">
        <f>IFERROR(__xludf.DUMMYFUNCTION("""COMPUTED_VALUE"""),0.348020664163917)</f>
        <v>0.3480206642</v>
      </c>
      <c r="H62" s="16">
        <f t="shared" si="1"/>
        <v>0</v>
      </c>
    </row>
    <row r="63">
      <c r="B63" s="16">
        <f>IFERROR(__xludf.DUMMYFUNCTION("""COMPUTED_VALUE"""),6.1)</f>
        <v>6.1</v>
      </c>
      <c r="D63" s="16">
        <f>IFERROR(__xludf.DUMMYFUNCTION("""COMPUTED_VALUE"""),-0.540553872480911)</f>
        <v>-0.5405538725</v>
      </c>
      <c r="E63" s="16">
        <f>IFERROR(__xludf.DUMMYFUNCTION("""COMPUTED_VALUE"""),0.0585823540823423)</f>
        <v>0.05858235408</v>
      </c>
      <c r="F63" s="16">
        <f>IFERROR(__xludf.DUMMYFUNCTION("""COMPUTED_VALUE"""),0.762170714732059)</f>
        <v>0.7621707147</v>
      </c>
      <c r="G63" s="16">
        <f>IFERROR(__xludf.DUMMYFUNCTION("""COMPUTED_VALUE"""),0.351376465263233)</f>
        <v>0.3513764653</v>
      </c>
      <c r="H63" s="16">
        <f t="shared" si="1"/>
        <v>0</v>
      </c>
    </row>
    <row r="64">
      <c r="B64" s="16">
        <f>IFERROR(__xludf.DUMMYFUNCTION("""COMPUTED_VALUE"""),6.2)</f>
        <v>6.2</v>
      </c>
      <c r="D64" s="16">
        <f>IFERROR(__xludf.DUMMYFUNCTION("""COMPUTED_VALUE"""),-0.525737678239394)</f>
        <v>-0.5257376782</v>
      </c>
      <c r="E64" s="16">
        <f>IFERROR(__xludf.DUMMYFUNCTION("""COMPUTED_VALUE"""),0.0581231696575474)</f>
        <v>0.05812316966</v>
      </c>
      <c r="F64" s="16">
        <f>IFERROR(__xludf.DUMMYFUNCTION("""COMPUTED_VALUE"""),0.770992912009327)</f>
        <v>0.770992912</v>
      </c>
      <c r="G64" s="16">
        <f>IFERROR(__xludf.DUMMYFUNCTION("""COMPUTED_VALUE"""),0.354671003127952)</f>
        <v>0.3546710031</v>
      </c>
      <c r="H64" s="16">
        <f t="shared" si="1"/>
        <v>0</v>
      </c>
    </row>
    <row r="65">
      <c r="B65" s="16">
        <f>IFERROR(__xludf.DUMMYFUNCTION("""COMPUTED_VALUE"""),6.3)</f>
        <v>6.3</v>
      </c>
      <c r="D65" s="16">
        <f>IFERROR(__xludf.DUMMYFUNCTION("""COMPUTED_VALUE"""),-0.507926678024986)</f>
        <v>-0.507926678</v>
      </c>
      <c r="E65" s="16">
        <f>IFERROR(__xludf.DUMMYFUNCTION("""COMPUTED_VALUE"""),0.0515779975565672)</f>
        <v>0.05157799756</v>
      </c>
      <c r="F65" s="16">
        <f>IFERROR(__xludf.DUMMYFUNCTION("""COMPUTED_VALUE"""),0.779967720813665)</f>
        <v>0.7799677208</v>
      </c>
      <c r="G65" s="16">
        <f>IFERROR(__xludf.DUMMYFUNCTION("""COMPUTED_VALUE"""),0.361939987300783)</f>
        <v>0.3619399873</v>
      </c>
      <c r="H65" s="16">
        <f t="shared" si="1"/>
        <v>0</v>
      </c>
    </row>
    <row r="66">
      <c r="B66" s="16">
        <f>IFERROR(__xludf.DUMMYFUNCTION("""COMPUTED_VALUE"""),6.4)</f>
        <v>6.4</v>
      </c>
      <c r="D66" s="16">
        <f>IFERROR(__xludf.DUMMYFUNCTION("""COMPUTED_VALUE"""),-0.497488684710761)</f>
        <v>-0.4974886847</v>
      </c>
      <c r="E66" s="16">
        <f>IFERROR(__xludf.DUMMYFUNCTION("""COMPUTED_VALUE"""),0.0452035667653917)</f>
        <v>0.04520356677</v>
      </c>
      <c r="F66" s="16">
        <f>IFERROR(__xludf.DUMMYFUNCTION("""COMPUTED_VALUE"""),0.784503018425589)</f>
        <v>0.7845030184</v>
      </c>
      <c r="G66" s="16">
        <f>IFERROR(__xludf.DUMMYFUNCTION("""COMPUTED_VALUE"""),0.367446132402535)</f>
        <v>0.3674461324</v>
      </c>
      <c r="H66" s="16">
        <f t="shared" si="1"/>
        <v>0</v>
      </c>
    </row>
    <row r="67">
      <c r="B67" s="16">
        <f>IFERROR(__xludf.DUMMYFUNCTION("""COMPUTED_VALUE"""),6.5)</f>
        <v>6.5</v>
      </c>
      <c r="D67" s="16">
        <f>IFERROR(__xludf.DUMMYFUNCTION("""COMPUTED_VALUE"""),-0.490042348207034)</f>
        <v>-0.4900423482</v>
      </c>
      <c r="E67" s="16">
        <f>IFERROR(__xludf.DUMMYFUNCTION("""COMPUTED_VALUE"""),0.0373857044395275)</f>
        <v>0.03738570444</v>
      </c>
      <c r="F67" s="16">
        <f>IFERROR(__xludf.DUMMYFUNCTION("""COMPUTED_VALUE"""),0.786939951593018)</f>
        <v>0.7869399516</v>
      </c>
      <c r="G67" s="16">
        <f>IFERROR(__xludf.DUMMYFUNCTION("""COMPUTED_VALUE"""),0.373076826744938)</f>
        <v>0.3730768267</v>
      </c>
      <c r="H67" s="16">
        <f t="shared" si="1"/>
        <v>0</v>
      </c>
    </row>
    <row r="68">
      <c r="B68" s="16">
        <f>IFERROR(__xludf.DUMMYFUNCTION("""COMPUTED_VALUE"""),6.6)</f>
        <v>6.6</v>
      </c>
      <c r="D68" s="16">
        <f>IFERROR(__xludf.DUMMYFUNCTION("""COMPUTED_VALUE"""),-0.479603018614216)</f>
        <v>-0.4796030186</v>
      </c>
      <c r="E68" s="16">
        <f>IFERROR(__xludf.DUMMYFUNCTION("""COMPUTED_VALUE"""),0.0157421633882194)</f>
        <v>0.01574216339</v>
      </c>
      <c r="F68" s="16">
        <f>IFERROR(__xludf.DUMMYFUNCTION("""COMPUTED_VALUE"""),0.787670211828225)</f>
        <v>0.7876702118</v>
      </c>
      <c r="G68" s="16">
        <f>IFERROR(__xludf.DUMMYFUNCTION("""COMPUTED_VALUE"""),0.386404925209899)</f>
        <v>0.3864049252</v>
      </c>
      <c r="H68" s="16">
        <f t="shared" si="1"/>
        <v>0</v>
      </c>
    </row>
    <row r="69">
      <c r="B69" s="16">
        <f>IFERROR(__xludf.DUMMYFUNCTION("""COMPUTED_VALUE"""),6.7)</f>
        <v>6.7</v>
      </c>
      <c r="D69" s="16">
        <f>IFERROR(__xludf.DUMMYFUNCTION("""COMPUTED_VALUE"""),-0.473454786890126)</f>
        <v>-0.4734547869</v>
      </c>
      <c r="E69" s="16">
        <f>IFERROR(__xludf.DUMMYFUNCTION("""COMPUTED_VALUE"""),-0.00431463362451016)</f>
        <v>-0.004314633625</v>
      </c>
      <c r="F69" s="16">
        <f>IFERROR(__xludf.DUMMYFUNCTION("""COMPUTED_VALUE"""),0.785915292393742)</f>
        <v>0.7859152924</v>
      </c>
      <c r="G69" s="16">
        <f>IFERROR(__xludf.DUMMYFUNCTION("""COMPUTED_VALUE"""),0.397692220051095)</f>
        <v>0.3976922201</v>
      </c>
      <c r="H69" s="16">
        <f t="shared" si="1"/>
        <v>0</v>
      </c>
    </row>
    <row r="70">
      <c r="B70" s="16">
        <f>IFERROR(__xludf.DUMMYFUNCTION("""COMPUTED_VALUE"""),6.8)</f>
        <v>6.8</v>
      </c>
      <c r="D70" s="16">
        <f>IFERROR(__xludf.DUMMYFUNCTION("""COMPUTED_VALUE"""),-0.462189034908373)</f>
        <v>-0.4621890349</v>
      </c>
      <c r="E70" s="16">
        <f>IFERROR(__xludf.DUMMYFUNCTION("""COMPUTED_VALUE"""),-0.0336514822235266)</f>
        <v>-0.03365148222</v>
      </c>
      <c r="F70" s="16">
        <f>IFERROR(__xludf.DUMMYFUNCTION("""COMPUTED_VALUE"""),0.783412893959537)</f>
        <v>0.783412894</v>
      </c>
      <c r="G70" s="16">
        <f>IFERROR(__xludf.DUMMYFUNCTION("""COMPUTED_VALUE"""),0.414141414655147)</f>
        <v>0.4141414147</v>
      </c>
      <c r="H70" s="16">
        <f t="shared" si="1"/>
        <v>0</v>
      </c>
    </row>
    <row r="71">
      <c r="B71" s="16">
        <f>IFERROR(__xludf.DUMMYFUNCTION("""COMPUTED_VALUE"""),6.9)</f>
        <v>6.9</v>
      </c>
      <c r="D71" s="16">
        <f>IFERROR(__xludf.DUMMYFUNCTION("""COMPUTED_VALUE"""),-0.450012087308854)</f>
        <v>-0.4500120873</v>
      </c>
      <c r="E71" s="16">
        <f>IFERROR(__xludf.DUMMYFUNCTION("""COMPUTED_VALUE"""),-0.0706719848185521)</f>
        <v>-0.07067198482</v>
      </c>
      <c r="F71" s="16">
        <f>IFERROR(__xludf.DUMMYFUNCTION("""COMPUTED_VALUE"""),0.777550765884507)</f>
        <v>0.7775507659</v>
      </c>
      <c r="G71" s="16">
        <f>IFERROR(__xludf.DUMMYFUNCTION("""COMPUTED_VALUE"""),0.433485176574873)</f>
        <v>0.4334851766</v>
      </c>
      <c r="H71" s="16">
        <f t="shared" si="1"/>
        <v>0</v>
      </c>
    </row>
    <row r="72">
      <c r="B72" s="16">
        <f>IFERROR(__xludf.DUMMYFUNCTION("""COMPUTED_VALUE"""),7.0)</f>
        <v>7</v>
      </c>
      <c r="D72" s="16">
        <f>IFERROR(__xludf.DUMMYFUNCTION("""COMPUTED_VALUE"""),-0.435704570250835)</f>
        <v>-0.4357045703</v>
      </c>
      <c r="E72" s="16">
        <f>IFERROR(__xludf.DUMMYFUNCTION("""COMPUTED_VALUE"""),-0.102782009931089)</f>
        <v>-0.1027820099</v>
      </c>
      <c r="F72" s="16">
        <f>IFERROR(__xludf.DUMMYFUNCTION("""COMPUTED_VALUE"""),0.772344530308464)</f>
        <v>0.7723445303</v>
      </c>
      <c r="G72" s="16">
        <f>IFERROR(__xludf.DUMMYFUNCTION("""COMPUTED_VALUE"""),0.450645439785712)</f>
        <v>0.4506454398</v>
      </c>
      <c r="H72" s="16">
        <f t="shared" si="1"/>
        <v>0</v>
      </c>
    </row>
    <row r="73">
      <c r="B73" s="16">
        <f>IFERROR(__xludf.DUMMYFUNCTION("""COMPUTED_VALUE"""),7.1)</f>
        <v>7.1</v>
      </c>
      <c r="D73" s="16">
        <f>IFERROR(__xludf.DUMMYFUNCTION("""COMPUTED_VALUE"""),-0.424966531567)</f>
        <v>-0.4249665316</v>
      </c>
      <c r="E73" s="16">
        <f>IFERROR(__xludf.DUMMYFUNCTION("""COMPUTED_VALUE"""),-0.120949735715315)</f>
        <v>-0.1209497357</v>
      </c>
      <c r="F73" s="16">
        <f>IFERROR(__xludf.DUMMYFUNCTION("""COMPUTED_VALUE"""),0.769708630907353)</f>
        <v>0.7697086309</v>
      </c>
      <c r="G73" s="16">
        <f>IFERROR(__xludf.DUMMYFUNCTION("""COMPUTED_VALUE"""),0.460785451142976)</f>
        <v>0.4607854511</v>
      </c>
      <c r="H73" s="16">
        <f t="shared" si="1"/>
        <v>0</v>
      </c>
    </row>
    <row r="74">
      <c r="B74" s="16">
        <f>IFERROR(__xludf.DUMMYFUNCTION("""COMPUTED_VALUE"""),7.2)</f>
        <v>7.2</v>
      </c>
      <c r="D74" s="16">
        <f>IFERROR(__xludf.DUMMYFUNCTION("""COMPUTED_VALUE"""),-0.415837695659522)</f>
        <v>-0.4158376957</v>
      </c>
      <c r="E74" s="16">
        <f>IFERROR(__xludf.DUMMYFUNCTION("""COMPUTED_VALUE"""),-0.136038643597335)</f>
        <v>-0.1360386436</v>
      </c>
      <c r="F74" s="16">
        <f>IFERROR(__xludf.DUMMYFUNCTION("""COMPUTED_VALUE"""),0.767185572408054)</f>
        <v>0.7671855724</v>
      </c>
      <c r="G74" s="16">
        <f>IFERROR(__xludf.DUMMYFUNCTION("""COMPUTED_VALUE"""),0.46904029230515)</f>
        <v>0.4690402923</v>
      </c>
      <c r="H74" s="16">
        <f t="shared" si="1"/>
        <v>0</v>
      </c>
    </row>
    <row r="75">
      <c r="B75" s="16">
        <f>IFERROR(__xludf.DUMMYFUNCTION("""COMPUTED_VALUE"""),7.3)</f>
        <v>7.3</v>
      </c>
      <c r="D75" s="16">
        <f>IFERROR(__xludf.DUMMYFUNCTION("""COMPUTED_VALUE"""),-0.404247418230445)</f>
        <v>-0.4042474182</v>
      </c>
      <c r="E75" s="16">
        <f>IFERROR(__xludf.DUMMYFUNCTION("""COMPUTED_VALUE"""),-0.141372940511812)</f>
        <v>-0.1413729405</v>
      </c>
      <c r="F75" s="16">
        <f>IFERROR(__xludf.DUMMYFUNCTION("""COMPUTED_VALUE"""),0.768764595267433)</f>
        <v>0.7687645953</v>
      </c>
      <c r="G75" s="16">
        <f>IFERROR(__xludf.DUMMYFUNCTION("""COMPUTED_VALUE"""),0.474972329308099)</f>
        <v>0.4749723293</v>
      </c>
      <c r="H75" s="16">
        <f t="shared" si="1"/>
        <v>0</v>
      </c>
    </row>
    <row r="76">
      <c r="B76" s="16">
        <f>IFERROR(__xludf.DUMMYFUNCTION("""COMPUTED_VALUE"""),7.4)</f>
        <v>7.4</v>
      </c>
      <c r="D76" s="16">
        <f>IFERROR(__xludf.DUMMYFUNCTION("""COMPUTED_VALUE"""),-0.402379094107028)</f>
        <v>-0.4023790941</v>
      </c>
      <c r="E76" s="16">
        <f>IFERROR(__xludf.DUMMYFUNCTION("""COMPUTED_VALUE"""),-0.144390774095887)</f>
        <v>-0.1443907741</v>
      </c>
      <c r="F76" s="16">
        <f>IFERROR(__xludf.DUMMYFUNCTION("""COMPUTED_VALUE"""),0.768203498821534)</f>
        <v>0.7682034988</v>
      </c>
      <c r="G76" s="16">
        <f>IFERROR(__xludf.DUMMYFUNCTION("""COMPUTED_VALUE"""),0.476556138749622)</f>
        <v>0.4765561387</v>
      </c>
      <c r="H76" s="16">
        <f t="shared" si="1"/>
        <v>0</v>
      </c>
    </row>
    <row r="77">
      <c r="B77" s="16">
        <f>IFERROR(__xludf.DUMMYFUNCTION("""COMPUTED_VALUE"""),7.5)</f>
        <v>7.5</v>
      </c>
      <c r="D77" s="16">
        <f>IFERROR(__xludf.DUMMYFUNCTION("""COMPUTED_VALUE"""),-0.402379094107028)</f>
        <v>-0.4023790941</v>
      </c>
      <c r="E77" s="16">
        <f>IFERROR(__xludf.DUMMYFUNCTION("""COMPUTED_VALUE"""),-0.144390774095887)</f>
        <v>-0.1443907741</v>
      </c>
      <c r="F77" s="16">
        <f>IFERROR(__xludf.DUMMYFUNCTION("""COMPUTED_VALUE"""),0.768203498821534)</f>
        <v>0.7682034988</v>
      </c>
      <c r="G77" s="16">
        <f>IFERROR(__xludf.DUMMYFUNCTION("""COMPUTED_VALUE"""),0.476556138749622)</f>
        <v>0.4765561387</v>
      </c>
      <c r="H77" s="16">
        <f t="shared" si="1"/>
        <v>0</v>
      </c>
    </row>
    <row r="78">
      <c r="B78" s="16">
        <f>IFERROR(__xludf.DUMMYFUNCTION("""COMPUTED_VALUE"""),7.6)</f>
        <v>7.6</v>
      </c>
      <c r="D78" s="16">
        <f>IFERROR(__xludf.DUMMYFUNCTION("""COMPUTED_VALUE"""),-0.402379094107028)</f>
        <v>-0.4023790941</v>
      </c>
      <c r="E78" s="16">
        <f>IFERROR(__xludf.DUMMYFUNCTION("""COMPUTED_VALUE"""),-0.144390774095887)</f>
        <v>-0.1443907741</v>
      </c>
      <c r="F78" s="16">
        <f>IFERROR(__xludf.DUMMYFUNCTION("""COMPUTED_VALUE"""),0.768203498821534)</f>
        <v>0.7682034988</v>
      </c>
      <c r="G78" s="16">
        <f>IFERROR(__xludf.DUMMYFUNCTION("""COMPUTED_VALUE"""),0.476556138749622)</f>
        <v>0.4765561387</v>
      </c>
      <c r="H78" s="16">
        <f t="shared" si="1"/>
        <v>0</v>
      </c>
    </row>
    <row r="79">
      <c r="B79" s="16">
        <f>IFERROR(__xludf.DUMMYFUNCTION("""COMPUTED_VALUE"""),7.7)</f>
        <v>7.7</v>
      </c>
      <c r="D79" s="16">
        <f>IFERROR(__xludf.DUMMYFUNCTION("""COMPUTED_VALUE"""),-0.402379094107028)</f>
        <v>-0.4023790941</v>
      </c>
      <c r="E79" s="16">
        <f>IFERROR(__xludf.DUMMYFUNCTION("""COMPUTED_VALUE"""),-0.144390774095887)</f>
        <v>-0.1443907741</v>
      </c>
      <c r="F79" s="16">
        <f>IFERROR(__xludf.DUMMYFUNCTION("""COMPUTED_VALUE"""),0.768203498821534)</f>
        <v>0.7682034988</v>
      </c>
      <c r="G79" s="16">
        <f>IFERROR(__xludf.DUMMYFUNCTION("""COMPUTED_VALUE"""),0.476556138749622)</f>
        <v>0.4765561387</v>
      </c>
      <c r="H79" s="16">
        <f t="shared" si="1"/>
        <v>0</v>
      </c>
    </row>
    <row r="80">
      <c r="B80" s="16">
        <f>IFERROR(__xludf.DUMMYFUNCTION("""COMPUTED_VALUE"""),7.8)</f>
        <v>7.8</v>
      </c>
      <c r="D80" s="16">
        <f>IFERROR(__xludf.DUMMYFUNCTION("""COMPUTED_VALUE"""),-0.400504564800584)</f>
        <v>-0.4005045648</v>
      </c>
      <c r="E80" s="16">
        <f>IFERROR(__xludf.DUMMYFUNCTION("""COMPUTED_VALUE"""),-0.147406380995738)</f>
        <v>-0.147406381</v>
      </c>
      <c r="F80" s="16">
        <f>IFERROR(__xludf.DUMMYFUNCTION("""COMPUTED_VALUE"""),0.767630555728076)</f>
        <v>0.7676305557</v>
      </c>
      <c r="G80" s="16">
        <f>IFERROR(__xludf.DUMMYFUNCTION("""COMPUTED_VALUE"""),0.478132599106395)</f>
        <v>0.4781325991</v>
      </c>
      <c r="H80" s="16">
        <f t="shared" si="1"/>
        <v>0</v>
      </c>
    </row>
    <row r="81">
      <c r="B81" s="16">
        <f>IFERROR(__xludf.DUMMYFUNCTION("""COMPUTED_VALUE"""),7.9)</f>
        <v>7.9</v>
      </c>
      <c r="D81" s="16">
        <f>IFERROR(__xludf.DUMMYFUNCTION("""COMPUTED_VALUE"""),-0.400504564800584)</f>
        <v>-0.4005045648</v>
      </c>
      <c r="E81" s="16">
        <f>IFERROR(__xludf.DUMMYFUNCTION("""COMPUTED_VALUE"""),-0.147406380995738)</f>
        <v>-0.147406381</v>
      </c>
      <c r="F81" s="16">
        <f>IFERROR(__xludf.DUMMYFUNCTION("""COMPUTED_VALUE"""),0.767630555728076)</f>
        <v>0.7676305557</v>
      </c>
      <c r="G81" s="16">
        <f>IFERROR(__xludf.DUMMYFUNCTION("""COMPUTED_VALUE"""),0.478132599106395)</f>
        <v>0.4781325991</v>
      </c>
      <c r="H81" s="16">
        <f t="shared" si="1"/>
        <v>0</v>
      </c>
    </row>
    <row r="82">
      <c r="B82" s="16">
        <f>IFERROR(__xludf.DUMMYFUNCTION("""COMPUTED_VALUE"""),8.0)</f>
        <v>8</v>
      </c>
      <c r="D82" s="16">
        <f>IFERROR(__xludf.DUMMYFUNCTION("""COMPUTED_VALUE"""),-0.400504564800584)</f>
        <v>-0.4005045648</v>
      </c>
      <c r="E82" s="16">
        <f>IFERROR(__xludf.DUMMYFUNCTION("""COMPUTED_VALUE"""),-0.147406380995738)</f>
        <v>-0.147406381</v>
      </c>
      <c r="F82" s="16">
        <f>IFERROR(__xludf.DUMMYFUNCTION("""COMPUTED_VALUE"""),0.767630555728076)</f>
        <v>0.7676305557</v>
      </c>
      <c r="G82" s="16">
        <f>IFERROR(__xludf.DUMMYFUNCTION("""COMPUTED_VALUE"""),0.478132599106395)</f>
        <v>0.4781325991</v>
      </c>
      <c r="H82" s="16">
        <f t="shared" si="1"/>
        <v>0</v>
      </c>
    </row>
    <row r="83">
      <c r="B83" s="16">
        <f>IFERROR(__xludf.DUMMYFUNCTION("""COMPUTED_VALUE"""),8.1)</f>
        <v>8.1</v>
      </c>
      <c r="D83" s="16">
        <f>IFERROR(__xludf.DUMMYFUNCTION("""COMPUTED_VALUE"""),-0.400504564800584)</f>
        <v>-0.4005045648</v>
      </c>
      <c r="E83" s="16">
        <f>IFERROR(__xludf.DUMMYFUNCTION("""COMPUTED_VALUE"""),-0.147406380995738)</f>
        <v>-0.147406381</v>
      </c>
      <c r="F83" s="16">
        <f>IFERROR(__xludf.DUMMYFUNCTION("""COMPUTED_VALUE"""),0.767630555728076)</f>
        <v>0.7676305557</v>
      </c>
      <c r="G83" s="16">
        <f>IFERROR(__xludf.DUMMYFUNCTION("""COMPUTED_VALUE"""),0.478132599106395)</f>
        <v>0.4781325991</v>
      </c>
      <c r="H83" s="16">
        <f t="shared" si="1"/>
        <v>0</v>
      </c>
    </row>
    <row r="84">
      <c r="B84" s="16">
        <f>IFERROR(__xludf.DUMMYFUNCTION("""COMPUTED_VALUE"""),8.2)</f>
        <v>8.2</v>
      </c>
      <c r="D84" s="16">
        <f>IFERROR(__xludf.DUMMYFUNCTION("""COMPUTED_VALUE"""),-0.400504564800584)</f>
        <v>-0.4005045648</v>
      </c>
      <c r="E84" s="16">
        <f>IFERROR(__xludf.DUMMYFUNCTION("""COMPUTED_VALUE"""),-0.147406380995738)</f>
        <v>-0.147406381</v>
      </c>
      <c r="F84" s="16">
        <f>IFERROR(__xludf.DUMMYFUNCTION("""COMPUTED_VALUE"""),0.767630555728076)</f>
        <v>0.7676305557</v>
      </c>
      <c r="G84" s="16">
        <f>IFERROR(__xludf.DUMMYFUNCTION("""COMPUTED_VALUE"""),0.478132599106395)</f>
        <v>0.4781325991</v>
      </c>
      <c r="H84" s="16">
        <f t="shared" si="1"/>
        <v>0</v>
      </c>
    </row>
    <row r="85">
      <c r="B85" s="16">
        <f>IFERROR(__xludf.DUMMYFUNCTION("""COMPUTED_VALUE"""),8.3)</f>
        <v>8.3</v>
      </c>
      <c r="D85" s="16">
        <f>IFERROR(__xludf.DUMMYFUNCTION("""COMPUTED_VALUE"""),-0.400504564800584)</f>
        <v>-0.4005045648</v>
      </c>
      <c r="E85" s="16">
        <f>IFERROR(__xludf.DUMMYFUNCTION("""COMPUTED_VALUE"""),-0.147406380995738)</f>
        <v>-0.147406381</v>
      </c>
      <c r="F85" s="16">
        <f>IFERROR(__xludf.DUMMYFUNCTION("""COMPUTED_VALUE"""),0.767630555728076)</f>
        <v>0.7676305557</v>
      </c>
      <c r="G85" s="16">
        <f>IFERROR(__xludf.DUMMYFUNCTION("""COMPUTED_VALUE"""),0.478132599106395)</f>
        <v>0.4781325991</v>
      </c>
      <c r="H85" s="16">
        <f t="shared" si="1"/>
        <v>0</v>
      </c>
    </row>
    <row r="86">
      <c r="B86" s="16">
        <f>IFERROR(__xludf.DUMMYFUNCTION("""COMPUTED_VALUE"""),8.4)</f>
        <v>8.4</v>
      </c>
      <c r="D86" s="16">
        <f>IFERROR(__xludf.DUMMYFUNCTION("""COMPUTED_VALUE"""),-0.400504564800584)</f>
        <v>-0.4005045648</v>
      </c>
      <c r="E86" s="16">
        <f>IFERROR(__xludf.DUMMYFUNCTION("""COMPUTED_VALUE"""),-0.147406380995738)</f>
        <v>-0.147406381</v>
      </c>
      <c r="F86" s="16">
        <f>IFERROR(__xludf.DUMMYFUNCTION("""COMPUTED_VALUE"""),0.767630555728076)</f>
        <v>0.7676305557</v>
      </c>
      <c r="G86" s="16">
        <f>IFERROR(__xludf.DUMMYFUNCTION("""COMPUTED_VALUE"""),0.478132599106395)</f>
        <v>0.4781325991</v>
      </c>
      <c r="H86" s="16">
        <f t="shared" si="1"/>
        <v>0</v>
      </c>
    </row>
    <row r="87">
      <c r="B87" s="16">
        <f>IFERROR(__xludf.DUMMYFUNCTION("""COMPUTED_VALUE"""),8.5)</f>
        <v>8.5</v>
      </c>
      <c r="D87" s="16">
        <f>IFERROR(__xludf.DUMMYFUNCTION("""COMPUTED_VALUE"""),-0.390695860452381)</f>
        <v>-0.3906958605</v>
      </c>
      <c r="E87" s="16">
        <f>IFERROR(__xludf.DUMMYFUNCTION("""COMPUTED_VALUE"""),-0.14967095313871)</f>
        <v>-0.1496709531</v>
      </c>
      <c r="F87" s="16">
        <f>IFERROR(__xludf.DUMMYFUNCTION("""COMPUTED_VALUE"""),0.769570992460909)</f>
        <v>0.7695709925</v>
      </c>
      <c r="G87" s="16">
        <f>IFERROR(__xludf.DUMMYFUNCTION("""COMPUTED_VALUE"""),0.482406299683837)</f>
        <v>0.4824062997</v>
      </c>
      <c r="H87" s="16">
        <f t="shared" si="1"/>
        <v>0</v>
      </c>
    </row>
    <row r="88">
      <c r="B88" s="16">
        <f>IFERROR(__xludf.DUMMYFUNCTION("""COMPUTED_VALUE"""),8.6)</f>
        <v>8.6</v>
      </c>
      <c r="D88" s="16">
        <f>IFERROR(__xludf.DUMMYFUNCTION("""COMPUTED_VALUE"""),-0.362914414229825)</f>
        <v>-0.3629144142</v>
      </c>
      <c r="E88" s="16">
        <f>IFERROR(__xludf.DUMMYFUNCTION("""COMPUTED_VALUE"""),-0.153339048859374)</f>
        <v>-0.1533390489</v>
      </c>
      <c r="F88" s="16">
        <f>IFERROR(__xludf.DUMMYFUNCTION("""COMPUTED_VALUE"""),0.775466946296266)</f>
        <v>0.7754669463</v>
      </c>
      <c r="G88" s="16">
        <f>IFERROR(__xludf.DUMMYFUNCTION("""COMPUTED_VALUE"""),0.493387554809671)</f>
        <v>0.4933875548</v>
      </c>
      <c r="H88" s="16">
        <f t="shared" si="1"/>
        <v>0</v>
      </c>
    </row>
    <row r="89">
      <c r="B89" s="16">
        <f>IFERROR(__xludf.DUMMYFUNCTION("""COMPUTED_VALUE"""),8.7)</f>
        <v>8.7</v>
      </c>
      <c r="D89" s="16">
        <f>IFERROR(__xludf.DUMMYFUNCTION("""COMPUTED_VALUE"""),-0.286881005804004)</f>
        <v>-0.2868810058</v>
      </c>
      <c r="E89" s="16">
        <f>IFERROR(__xludf.DUMMYFUNCTION("""COMPUTED_VALUE"""),-0.122308833403905)</f>
        <v>-0.1223088334</v>
      </c>
      <c r="F89" s="16">
        <f>IFERROR(__xludf.DUMMYFUNCTION("""COMPUTED_VALUE"""),0.801350385554589)</f>
        <v>0.8013503856</v>
      </c>
      <c r="G89" s="16">
        <f>IFERROR(__xludf.DUMMYFUNCTION("""COMPUTED_VALUE"""),0.51046782205323)</f>
        <v>0.5104678221</v>
      </c>
      <c r="H89" s="16">
        <f t="shared" si="1"/>
        <v>0</v>
      </c>
    </row>
    <row r="90">
      <c r="B90" s="16">
        <f>IFERROR(__xludf.DUMMYFUNCTION("""COMPUTED_VALUE"""),8.8)</f>
        <v>8.8</v>
      </c>
      <c r="D90" s="16">
        <f>IFERROR(__xludf.DUMMYFUNCTION("""COMPUTED_VALUE"""),-0.242413210038115)</f>
        <v>-0.24241321</v>
      </c>
      <c r="E90" s="16">
        <f>IFERROR(__xludf.DUMMYFUNCTION("""COMPUTED_VALUE"""),-0.0940737388601538)</f>
        <v>-0.09407373886</v>
      </c>
      <c r="F90" s="16">
        <f>IFERROR(__xludf.DUMMYFUNCTION("""COMPUTED_VALUE"""),0.815903785699406)</f>
        <v>0.8159037857</v>
      </c>
      <c r="G90" s="16">
        <f>IFERROR(__xludf.DUMMYFUNCTION("""COMPUTED_VALUE"""),0.516417447165822)</f>
        <v>0.5164174472</v>
      </c>
      <c r="H90" s="16">
        <f t="shared" si="1"/>
        <v>0</v>
      </c>
    </row>
    <row r="91">
      <c r="B91" s="16">
        <f>IFERROR(__xludf.DUMMYFUNCTION("""COMPUTED_VALUE"""),8.9)</f>
        <v>8.9</v>
      </c>
      <c r="D91" s="16">
        <f>IFERROR(__xludf.DUMMYFUNCTION("""COMPUTED_VALUE"""),-0.17438063928365)</f>
        <v>-0.1743806393</v>
      </c>
      <c r="E91" s="16">
        <f>IFERROR(__xludf.DUMMYFUNCTION("""COMPUTED_VALUE"""),-0.0512149909215648)</f>
        <v>-0.05121499092</v>
      </c>
      <c r="F91" s="16">
        <f>IFERROR(__xludf.DUMMYFUNCTION("""COMPUTED_VALUE"""),0.833099360558289)</f>
        <v>0.8330993606</v>
      </c>
      <c r="G91" s="16">
        <f>IFERROR(__xludf.DUMMYFUNCTION("""COMPUTED_VALUE"""),0.522411593272294)</f>
        <v>0.5224115933</v>
      </c>
      <c r="H91" s="16">
        <f t="shared" si="1"/>
        <v>0</v>
      </c>
    </row>
    <row r="92">
      <c r="B92" s="16">
        <f>IFERROR(__xludf.DUMMYFUNCTION("""COMPUTED_VALUE"""),9.0)</f>
        <v>9</v>
      </c>
      <c r="D92" s="16">
        <f>IFERROR(__xludf.DUMMYFUNCTION("""COMPUTED_VALUE"""),-0.118416752625383)</f>
        <v>-0.1184167526</v>
      </c>
      <c r="E92" s="16">
        <f>IFERROR(__xludf.DUMMYFUNCTION("""COMPUTED_VALUE"""),-0.0162512138006476)</f>
        <v>-0.0162512138</v>
      </c>
      <c r="F92" s="16">
        <f>IFERROR(__xludf.DUMMYFUNCTION("""COMPUTED_VALUE"""),0.842876399371381)</f>
        <v>0.8428763994</v>
      </c>
      <c r="G92" s="16">
        <f>IFERROR(__xludf.DUMMYFUNCTION("""COMPUTED_VALUE"""),0.524664412868262)</f>
        <v>0.5246644129</v>
      </c>
      <c r="H92" s="16">
        <f t="shared" si="1"/>
        <v>0</v>
      </c>
    </row>
    <row r="93">
      <c r="B93" s="16">
        <f>IFERROR(__xludf.DUMMYFUNCTION("""COMPUTED_VALUE"""),9.1)</f>
        <v>9.1</v>
      </c>
      <c r="D93" s="16">
        <f>IFERROR(__xludf.DUMMYFUNCTION("""COMPUTED_VALUE"""),-0.0785803808518497)</f>
        <v>-0.07858038085</v>
      </c>
      <c r="E93" s="16">
        <f>IFERROR(__xludf.DUMMYFUNCTION("""COMPUTED_VALUE"""),0.00848190464576775)</f>
        <v>0.008481904646</v>
      </c>
      <c r="F93" s="16">
        <f>IFERROR(__xludf.DUMMYFUNCTION("""COMPUTED_VALUE"""),0.847518893986903)</f>
        <v>0.847518894</v>
      </c>
      <c r="G93" s="16">
        <f>IFERROR(__xludf.DUMMYFUNCTION("""COMPUTED_VALUE"""),0.524847506780753)</f>
        <v>0.5248475068</v>
      </c>
      <c r="H93" s="16">
        <f t="shared" si="1"/>
        <v>0</v>
      </c>
    </row>
    <row r="94">
      <c r="B94" s="16">
        <f>IFERROR(__xludf.DUMMYFUNCTION("""COMPUTED_VALUE"""),9.2)</f>
        <v>9.2</v>
      </c>
      <c r="D94" s="16">
        <f>IFERROR(__xludf.DUMMYFUNCTION("""COMPUTED_VALUE"""),-0.0665287180710982)</f>
        <v>-0.06652871807</v>
      </c>
      <c r="E94" s="16">
        <f>IFERROR(__xludf.DUMMYFUNCTION("""COMPUTED_VALUE"""),0.0113399498092575)</f>
        <v>0.01133994981</v>
      </c>
      <c r="F94" s="16">
        <f>IFERROR(__xludf.DUMMYFUNCTION("""COMPUTED_VALUE"""),0.848388295986735)</f>
        <v>0.848388296</v>
      </c>
      <c r="G94" s="16">
        <f>IFERROR(__xludf.DUMMYFUNCTION("""COMPUTED_VALUE"""),0.525054887076448)</f>
        <v>0.5250548871</v>
      </c>
      <c r="H94" s="16">
        <f t="shared" si="1"/>
        <v>0</v>
      </c>
    </row>
    <row r="95">
      <c r="B95" s="16">
        <f>IFERROR(__xludf.DUMMYFUNCTION("""COMPUTED_VALUE"""),9.3)</f>
        <v>9.3</v>
      </c>
      <c r="D95" s="16">
        <f>IFERROR(__xludf.DUMMYFUNCTION("""COMPUTED_VALUE"""),-0.0511327296359188)</f>
        <v>-0.05113272964</v>
      </c>
      <c r="E95" s="16">
        <f>IFERROR(__xludf.DUMMYFUNCTION("""COMPUTED_VALUE"""),0.0162520497640835)</f>
        <v>0.01625204976</v>
      </c>
      <c r="F95" s="16">
        <f>IFERROR(__xludf.DUMMYFUNCTION("""COMPUTED_VALUE"""),0.849382795432685)</f>
        <v>0.8493827954</v>
      </c>
      <c r="G95" s="16">
        <f>IFERROR(__xludf.DUMMYFUNCTION("""COMPUTED_VALUE"""),0.525043028390436)</f>
        <v>0.5250430284</v>
      </c>
      <c r="H95" s="16">
        <f t="shared" si="1"/>
        <v>0</v>
      </c>
    </row>
    <row r="96">
      <c r="B96" s="16">
        <f>IFERROR(__xludf.DUMMYFUNCTION("""COMPUTED_VALUE"""),9.4)</f>
        <v>9.4</v>
      </c>
      <c r="D96" s="16">
        <f>IFERROR(__xludf.DUMMYFUNCTION("""COMPUTED_VALUE"""),-0.0423977613038225)</f>
        <v>-0.0423977613</v>
      </c>
      <c r="E96" s="16">
        <f>IFERROR(__xludf.DUMMYFUNCTION("""COMPUTED_VALUE"""),0.0170403508395103)</f>
        <v>0.01704035084</v>
      </c>
      <c r="F96" s="16">
        <f>IFERROR(__xludf.DUMMYFUNCTION("""COMPUTED_VALUE"""),0.849807362685049)</f>
        <v>0.8498073627</v>
      </c>
      <c r="G96" s="16">
        <f>IFERROR(__xludf.DUMMYFUNCTION("""COMPUTED_VALUE"""),0.525109038777633)</f>
        <v>0.5251090388</v>
      </c>
      <c r="H96" s="16">
        <f t="shared" si="1"/>
        <v>0</v>
      </c>
    </row>
    <row r="97">
      <c r="B97" s="16">
        <f>IFERROR(__xludf.DUMMYFUNCTION("""COMPUTED_VALUE"""),9.5)</f>
        <v>9.5</v>
      </c>
      <c r="D97" s="16">
        <f>IFERROR(__xludf.DUMMYFUNCTION("""COMPUTED_VALUE"""),-0.0195186377769308)</f>
        <v>-0.01951863778</v>
      </c>
      <c r="E97" s="16">
        <f>IFERROR(__xludf.DUMMYFUNCTION("""COMPUTED_VALUE"""),0.0173298650722558)</f>
        <v>0.01732986507</v>
      </c>
      <c r="F97" s="16">
        <f>IFERROR(__xludf.DUMMYFUNCTION("""COMPUTED_VALUE"""),0.850674390001493)</f>
        <v>0.85067439</v>
      </c>
      <c r="G97" s="16">
        <f>IFERROR(__xludf.DUMMYFUNCTION("""COMPUTED_VALUE"""),0.525044551206367)</f>
        <v>0.5250445512</v>
      </c>
      <c r="H97" s="16">
        <f t="shared" si="1"/>
        <v>0</v>
      </c>
    </row>
    <row r="98">
      <c r="B98" s="16">
        <f>IFERROR(__xludf.DUMMYFUNCTION("""COMPUTED_VALUE"""),9.6)</f>
        <v>9.6</v>
      </c>
      <c r="D98" s="16">
        <f>IFERROR(__xludf.DUMMYFUNCTION("""COMPUTED_VALUE"""),0.0373495981755891)</f>
        <v>0.03734959818</v>
      </c>
      <c r="E98" s="16">
        <f>IFERROR(__xludf.DUMMYFUNCTION("""COMPUTED_VALUE"""),-0.00756055798238877)</f>
        <v>-0.007560557982</v>
      </c>
      <c r="F98" s="16">
        <f>IFERROR(__xludf.DUMMYFUNCTION("""COMPUTED_VALUE"""),0.850673381886752)</f>
        <v>0.8506733819</v>
      </c>
      <c r="G98" s="16">
        <f>IFERROR(__xludf.DUMMYFUNCTION("""COMPUTED_VALUE"""),0.52431158944703)</f>
        <v>0.5243115894</v>
      </c>
      <c r="H98" s="16">
        <f t="shared" si="1"/>
        <v>0</v>
      </c>
    </row>
    <row r="99">
      <c r="B99" s="16">
        <f>IFERROR(__xludf.DUMMYFUNCTION("""COMPUTED_VALUE"""),9.7)</f>
        <v>9.7</v>
      </c>
      <c r="D99" s="16">
        <f>IFERROR(__xludf.DUMMYFUNCTION("""COMPUTED_VALUE"""),0.0679225780184532)</f>
        <v>0.06792257802</v>
      </c>
      <c r="E99" s="16">
        <f>IFERROR(__xludf.DUMMYFUNCTION("""COMPUTED_VALUE"""),-0.0347717862868502)</f>
        <v>-0.03477178629</v>
      </c>
      <c r="F99" s="16">
        <f>IFERROR(__xludf.DUMMYFUNCTION("""COMPUTED_VALUE"""),0.849254100541423)</f>
        <v>0.8492541005</v>
      </c>
      <c r="G99" s="16">
        <f>IFERROR(__xludf.DUMMYFUNCTION("""COMPUTED_VALUE"""),0.522441306739163)</f>
        <v>0.5224413067</v>
      </c>
      <c r="H99" s="16">
        <f t="shared" si="1"/>
        <v>0</v>
      </c>
    </row>
    <row r="100">
      <c r="B100" s="16">
        <f>IFERROR(__xludf.DUMMYFUNCTION("""COMPUTED_VALUE"""),9.8)</f>
        <v>9.8</v>
      </c>
      <c r="D100" s="16">
        <f>IFERROR(__xludf.DUMMYFUNCTION("""COMPUTED_VALUE"""),0.121122672103568)</f>
        <v>0.1211226721</v>
      </c>
      <c r="E100" s="16">
        <f>IFERROR(__xludf.DUMMYFUNCTION("""COMPUTED_VALUE"""),-0.0616277751945077)</f>
        <v>-0.06162777519</v>
      </c>
      <c r="F100" s="16">
        <f>IFERROR(__xludf.DUMMYFUNCTION("""COMPUTED_VALUE"""),0.843927256539705)</f>
        <v>0.8439272565</v>
      </c>
      <c r="G100" s="16">
        <f>IFERROR(__xludf.DUMMYFUNCTION("""COMPUTED_VALUE"""),0.518958670123576)</f>
        <v>0.5189586701</v>
      </c>
      <c r="H100" s="16">
        <f t="shared" si="1"/>
        <v>0</v>
      </c>
    </row>
    <row r="101">
      <c r="B101" s="16">
        <f>IFERROR(__xludf.DUMMYFUNCTION("""COMPUTED_VALUE"""),9.9)</f>
        <v>9.9</v>
      </c>
      <c r="D101" s="16">
        <f>IFERROR(__xludf.DUMMYFUNCTION("""COMPUTED_VALUE"""),0.173865443206503)</f>
        <v>0.1738654432</v>
      </c>
      <c r="E101" s="16">
        <f>IFERROR(__xludf.DUMMYFUNCTION("""COMPUTED_VALUE"""),-0.0883066385848524)</f>
        <v>-0.08830663858</v>
      </c>
      <c r="F101" s="16">
        <f>IFERROR(__xludf.DUMMYFUNCTION("""COMPUTED_VALUE"""),0.835352444817588)</f>
        <v>0.8353524448</v>
      </c>
      <c r="G101" s="16">
        <f>IFERROR(__xludf.DUMMYFUNCTION("""COMPUTED_VALUE"""),0.513964043662323)</f>
        <v>0.5139640437</v>
      </c>
      <c r="H101" s="16">
        <f t="shared" si="1"/>
        <v>0</v>
      </c>
    </row>
    <row r="102">
      <c r="B102" s="16">
        <f>IFERROR(__xludf.DUMMYFUNCTION("""COMPUTED_VALUE"""),10.0)</f>
        <v>10</v>
      </c>
      <c r="D102" s="16">
        <f>IFERROR(__xludf.DUMMYFUNCTION("""COMPUTED_VALUE"""),0.228530720574497)</f>
        <v>0.2285307206</v>
      </c>
      <c r="E102" s="16">
        <f>IFERROR(__xludf.DUMMYFUNCTION("""COMPUTED_VALUE"""),-0.104074556901981)</f>
        <v>-0.1040745569</v>
      </c>
      <c r="F102" s="16">
        <f>IFERROR(__xludf.DUMMYFUNCTION("""COMPUTED_VALUE"""),0.823222094203646)</f>
        <v>0.8232220942</v>
      </c>
      <c r="G102" s="16">
        <f>IFERROR(__xludf.DUMMYFUNCTION("""COMPUTED_VALUE"""),0.509163608258012)</f>
        <v>0.5091636083</v>
      </c>
      <c r="H102" s="16">
        <f t="shared" si="1"/>
        <v>0</v>
      </c>
    </row>
    <row r="103">
      <c r="B103" s="16">
        <f>IFERROR(__xludf.DUMMYFUNCTION("""COMPUTED_VALUE"""),10.1)</f>
        <v>10.1</v>
      </c>
      <c r="D103" s="16">
        <f>IFERROR(__xludf.DUMMYFUNCTION("""COMPUTED_VALUE"""),0.278498354420266)</f>
        <v>0.2784983544</v>
      </c>
      <c r="E103" s="16">
        <f>IFERROR(__xludf.DUMMYFUNCTION("""COMPUTED_VALUE"""),-0.113054928306003)</f>
        <v>-0.1130549283</v>
      </c>
      <c r="F103" s="16">
        <f>IFERROR(__xludf.DUMMYFUNCTION("""COMPUTED_VALUE"""),0.809364025468912)</f>
        <v>0.8093640255</v>
      </c>
      <c r="G103" s="16">
        <f>IFERROR(__xludf.DUMMYFUNCTION("""COMPUTED_VALUE"""),0.504566273196775)</f>
        <v>0.5045662732</v>
      </c>
      <c r="H103" s="16">
        <f t="shared" si="1"/>
        <v>0</v>
      </c>
    </row>
    <row r="104">
      <c r="B104" s="16">
        <f>IFERROR(__xludf.DUMMYFUNCTION("""COMPUTED_VALUE"""),10.2)</f>
        <v>10.2</v>
      </c>
      <c r="D104" s="16">
        <f>IFERROR(__xludf.DUMMYFUNCTION("""COMPUTED_VALUE"""),0.332045014002962)</f>
        <v>0.332045014</v>
      </c>
      <c r="E104" s="16">
        <f>IFERROR(__xludf.DUMMYFUNCTION("""COMPUTED_VALUE"""),-0.114449618466699)</f>
        <v>-0.1144496185</v>
      </c>
      <c r="F104" s="16">
        <f>IFERROR(__xludf.DUMMYFUNCTION("""COMPUTED_VALUE"""),0.791540173583572)</f>
        <v>0.7915401736</v>
      </c>
      <c r="G104" s="16">
        <f>IFERROR(__xludf.DUMMYFUNCTION("""COMPUTED_VALUE"""),0.500111534671901)</f>
        <v>0.5001115347</v>
      </c>
      <c r="H104" s="16">
        <f t="shared" si="1"/>
        <v>0</v>
      </c>
    </row>
    <row r="105">
      <c r="B105" s="16">
        <f>IFERROR(__xludf.DUMMYFUNCTION("""COMPUTED_VALUE"""),10.3)</f>
        <v>10.3</v>
      </c>
      <c r="D105" s="16">
        <f>IFERROR(__xludf.DUMMYFUNCTION("""COMPUTED_VALUE"""),0.348347131849881)</f>
        <v>0.3483471318</v>
      </c>
      <c r="E105" s="16">
        <f>IFERROR(__xludf.DUMMYFUNCTION("""COMPUTED_VALUE"""),-0.11281362442693)</f>
        <v>-0.1128136244</v>
      </c>
      <c r="F105" s="16">
        <f>IFERROR(__xludf.DUMMYFUNCTION("""COMPUTED_VALUE"""),0.785272995377184)</f>
        <v>0.7852729954</v>
      </c>
      <c r="G105" s="16">
        <f>IFERROR(__xludf.DUMMYFUNCTION("""COMPUTED_VALUE"""),0.499273156305205)</f>
        <v>0.4992731563</v>
      </c>
      <c r="H105" s="16">
        <f t="shared" si="1"/>
        <v>0</v>
      </c>
    </row>
    <row r="106">
      <c r="B106" s="16">
        <f>IFERROR(__xludf.DUMMYFUNCTION("""COMPUTED_VALUE"""),10.4)</f>
        <v>10.4</v>
      </c>
      <c r="D106" s="16">
        <f>IFERROR(__xludf.DUMMYFUNCTION("""COMPUTED_VALUE"""),0.36455904931535)</f>
        <v>0.3645590493</v>
      </c>
      <c r="E106" s="16">
        <f>IFERROR(__xludf.DUMMYFUNCTION("""COMPUTED_VALUE"""),-0.111088865805268)</f>
        <v>-0.1110888658</v>
      </c>
      <c r="F106" s="16">
        <f>IFERROR(__xludf.DUMMYFUNCTION("""COMPUTED_VALUE"""),0.778840654296795)</f>
        <v>0.7788406543</v>
      </c>
      <c r="G106" s="16">
        <f>IFERROR(__xludf.DUMMYFUNCTION("""COMPUTED_VALUE"""),0.498159812380448)</f>
        <v>0.4981598124</v>
      </c>
      <c r="H106" s="16">
        <f t="shared" si="1"/>
        <v>0</v>
      </c>
    </row>
    <row r="107">
      <c r="B107" s="16">
        <f>IFERROR(__xludf.DUMMYFUNCTION("""COMPUTED_VALUE"""),10.5)</f>
        <v>10.5</v>
      </c>
      <c r="D107" s="16">
        <f>IFERROR(__xludf.DUMMYFUNCTION("""COMPUTED_VALUE"""),0.39359911388372)</f>
        <v>0.3935991139</v>
      </c>
      <c r="E107" s="16">
        <f>IFERROR(__xludf.DUMMYFUNCTION("""COMPUTED_VALUE"""),-0.109596887968614)</f>
        <v>-0.109596888</v>
      </c>
      <c r="F107" s="16">
        <f>IFERROR(__xludf.DUMMYFUNCTION("""COMPUTED_VALUE"""),0.766655386593344)</f>
        <v>0.7666553866</v>
      </c>
      <c r="G107" s="16">
        <f>IFERROR(__xludf.DUMMYFUNCTION("""COMPUTED_VALUE"""),0.495285551883912)</f>
        <v>0.4952855519</v>
      </c>
      <c r="H107" s="16">
        <f t="shared" si="1"/>
        <v>0</v>
      </c>
    </row>
    <row r="108">
      <c r="B108" s="16">
        <f>IFERROR(__xludf.DUMMYFUNCTION("""COMPUTED_VALUE"""),10.6)</f>
        <v>10.6</v>
      </c>
      <c r="D108" s="16">
        <f>IFERROR(__xludf.DUMMYFUNCTION("""COMPUTED_VALUE"""),0.39359911388372)</f>
        <v>0.3935991139</v>
      </c>
      <c r="E108" s="16">
        <f>IFERROR(__xludf.DUMMYFUNCTION("""COMPUTED_VALUE"""),-0.109596887968614)</f>
        <v>-0.109596888</v>
      </c>
      <c r="F108" s="16">
        <f>IFERROR(__xludf.DUMMYFUNCTION("""COMPUTED_VALUE"""),0.766655386593344)</f>
        <v>0.7666553866</v>
      </c>
      <c r="G108" s="16">
        <f>IFERROR(__xludf.DUMMYFUNCTION("""COMPUTED_VALUE"""),0.495285551883912)</f>
        <v>0.4952855519</v>
      </c>
      <c r="H108" s="16">
        <f t="shared" si="1"/>
        <v>0</v>
      </c>
    </row>
    <row r="109">
      <c r="B109" s="16">
        <f>IFERROR(__xludf.DUMMYFUNCTION("""COMPUTED_VALUE"""),10.7)</f>
        <v>10.7</v>
      </c>
      <c r="D109" s="16">
        <f>IFERROR(__xludf.DUMMYFUNCTION("""COMPUTED_VALUE"""),0.39359911388372)</f>
        <v>0.3935991139</v>
      </c>
      <c r="E109" s="16">
        <f>IFERROR(__xludf.DUMMYFUNCTION("""COMPUTED_VALUE"""),-0.109596887968614)</f>
        <v>-0.109596888</v>
      </c>
      <c r="F109" s="16">
        <f>IFERROR(__xludf.DUMMYFUNCTION("""COMPUTED_VALUE"""),0.766655386593344)</f>
        <v>0.7666553866</v>
      </c>
      <c r="G109" s="16">
        <f>IFERROR(__xludf.DUMMYFUNCTION("""COMPUTED_VALUE"""),0.495285551883912)</f>
        <v>0.4952855519</v>
      </c>
      <c r="H109" s="16">
        <f t="shared" si="1"/>
        <v>0</v>
      </c>
    </row>
    <row r="110">
      <c r="B110" s="16">
        <f>IFERROR(__xludf.DUMMYFUNCTION("""COMPUTED_VALUE"""),10.8)</f>
        <v>10.8</v>
      </c>
      <c r="D110" s="16">
        <f>IFERROR(__xludf.DUMMYFUNCTION("""COMPUTED_VALUE"""),0.395541055748366)</f>
        <v>0.3955410557</v>
      </c>
      <c r="E110" s="16">
        <f>IFERROR(__xludf.DUMMYFUNCTION("""COMPUTED_VALUE"""),-0.112606683744135)</f>
        <v>-0.1126066837</v>
      </c>
      <c r="F110" s="16">
        <f>IFERROR(__xludf.DUMMYFUNCTION("""COMPUTED_VALUE"""),0.766219090352846)</f>
        <v>0.7662190904</v>
      </c>
      <c r="G110" s="16">
        <f>IFERROR(__xludf.DUMMYFUNCTION("""COMPUTED_VALUE"""),0.493736076839103)</f>
        <v>0.4937360768</v>
      </c>
      <c r="H110" s="16">
        <f t="shared" si="1"/>
        <v>0</v>
      </c>
    </row>
    <row r="111">
      <c r="B111" s="16">
        <f>IFERROR(__xludf.DUMMYFUNCTION("""COMPUTED_VALUE"""),10.9)</f>
        <v>10.9</v>
      </c>
      <c r="D111" s="16">
        <f>IFERROR(__xludf.DUMMYFUNCTION("""COMPUTED_VALUE"""),0.397476897880989)</f>
        <v>0.3974768979</v>
      </c>
      <c r="E111" s="16">
        <f>IFERROR(__xludf.DUMMYFUNCTION("""COMPUTED_VALUE"""),-0.115614742985395)</f>
        <v>-0.115614743</v>
      </c>
      <c r="F111" s="16">
        <f>IFERROR(__xludf.DUMMYFUNCTION("""COMPUTED_VALUE"""),0.765770978066821)</f>
        <v>0.7657709781</v>
      </c>
      <c r="G111" s="16">
        <f>IFERROR(__xludf.DUMMYFUNCTION("""COMPUTED_VALUE"""),0.492178987773663)</f>
        <v>0.4921789878</v>
      </c>
      <c r="H111" s="16">
        <f t="shared" si="1"/>
        <v>0</v>
      </c>
    </row>
    <row r="112">
      <c r="B112" s="16">
        <f>IFERROR(__xludf.DUMMYFUNCTION("""COMPUTED_VALUE"""),11.0)</f>
        <v>11</v>
      </c>
      <c r="D112" s="16">
        <f>IFERROR(__xludf.DUMMYFUNCTION("""COMPUTED_VALUE"""),0.400235541711033)</f>
        <v>0.4002355417</v>
      </c>
      <c r="E112" s="16">
        <f>IFERROR(__xludf.DUMMYFUNCTION("""COMPUTED_VALUE"""),-0.126565979746401)</f>
        <v>-0.1265659797</v>
      </c>
      <c r="F112" s="16">
        <f>IFERROR(__xludf.DUMMYFUNCTION("""COMPUTED_VALUE"""),0.765903182470518)</f>
        <v>0.7659031825</v>
      </c>
      <c r="G112" s="16">
        <f>IFERROR(__xludf.DUMMYFUNCTION("""COMPUTED_VALUE"""),0.487016302605609)</f>
        <v>0.4870163026</v>
      </c>
      <c r="H112" s="16">
        <f t="shared" si="1"/>
        <v>0</v>
      </c>
    </row>
    <row r="113">
      <c r="B113" s="16">
        <f>IFERROR(__xludf.DUMMYFUNCTION("""COMPUTED_VALUE"""),11.1)</f>
        <v>11.1</v>
      </c>
      <c r="D113" s="16">
        <f>IFERROR(__xludf.DUMMYFUNCTION("""COMPUTED_VALUE"""),0.397224768703369)</f>
        <v>0.3972247687</v>
      </c>
      <c r="E113" s="16">
        <f>IFERROR(__xludf.DUMMYFUNCTION("""COMPUTED_VALUE"""),-0.128477507420008)</f>
        <v>-0.1284775074</v>
      </c>
      <c r="F113" s="16">
        <f>IFERROR(__xludf.DUMMYFUNCTION("""COMPUTED_VALUE"""),0.767468994094058)</f>
        <v>0.7674689941</v>
      </c>
      <c r="G113" s="16">
        <f>IFERROR(__xludf.DUMMYFUNCTION("""COMPUTED_VALUE"""),0.486515525260959)</f>
        <v>0.4865155253</v>
      </c>
      <c r="H113" s="16">
        <f t="shared" si="1"/>
        <v>0</v>
      </c>
    </row>
    <row r="114">
      <c r="B114" s="16">
        <f>IFERROR(__xludf.DUMMYFUNCTION("""COMPUTED_VALUE"""),11.2)</f>
        <v>11.2</v>
      </c>
      <c r="D114" s="16">
        <f>IFERROR(__xludf.DUMMYFUNCTION("""COMPUTED_VALUE"""),0.397224768703369)</f>
        <v>0.3972247687</v>
      </c>
      <c r="E114" s="16">
        <f>IFERROR(__xludf.DUMMYFUNCTION("""COMPUTED_VALUE"""),-0.128477507420008)</f>
        <v>-0.1284775074</v>
      </c>
      <c r="F114" s="16">
        <f>IFERROR(__xludf.DUMMYFUNCTION("""COMPUTED_VALUE"""),0.767468994094058)</f>
        <v>0.7674689941</v>
      </c>
      <c r="G114" s="16">
        <f>IFERROR(__xludf.DUMMYFUNCTION("""COMPUTED_VALUE"""),0.486515525260959)</f>
        <v>0.4865155253</v>
      </c>
      <c r="H114" s="16">
        <f t="shared" si="1"/>
        <v>0</v>
      </c>
    </row>
    <row r="115">
      <c r="B115" s="16">
        <f>IFERROR(__xludf.DUMMYFUNCTION("""COMPUTED_VALUE"""),11.3)</f>
        <v>11.3</v>
      </c>
      <c r="D115" s="16">
        <f>IFERROR(__xludf.DUMMYFUNCTION("""COMPUTED_VALUE"""),0.397224768703369)</f>
        <v>0.3972247687</v>
      </c>
      <c r="E115" s="16">
        <f>IFERROR(__xludf.DUMMYFUNCTION("""COMPUTED_VALUE"""),-0.128477507420008)</f>
        <v>-0.1284775074</v>
      </c>
      <c r="F115" s="16">
        <f>IFERROR(__xludf.DUMMYFUNCTION("""COMPUTED_VALUE"""),0.767468994094058)</f>
        <v>0.7674689941</v>
      </c>
      <c r="G115" s="16">
        <f>IFERROR(__xludf.DUMMYFUNCTION("""COMPUTED_VALUE"""),0.486515525260959)</f>
        <v>0.4865155253</v>
      </c>
      <c r="H115" s="16">
        <f t="shared" si="1"/>
        <v>0</v>
      </c>
    </row>
    <row r="116">
      <c r="B116" s="16">
        <f>IFERROR(__xludf.DUMMYFUNCTION("""COMPUTED_VALUE"""),11.4)</f>
        <v>11.4</v>
      </c>
      <c r="D116" s="16">
        <f>IFERROR(__xludf.DUMMYFUNCTION("""COMPUTED_VALUE"""),0.397224768703369)</f>
        <v>0.3972247687</v>
      </c>
      <c r="E116" s="16">
        <f>IFERROR(__xludf.DUMMYFUNCTION("""COMPUTED_VALUE"""),-0.128477507420008)</f>
        <v>-0.1284775074</v>
      </c>
      <c r="F116" s="16">
        <f>IFERROR(__xludf.DUMMYFUNCTION("""COMPUTED_VALUE"""),0.767468994094058)</f>
        <v>0.7674689941</v>
      </c>
      <c r="G116" s="16">
        <f>IFERROR(__xludf.DUMMYFUNCTION("""COMPUTED_VALUE"""),0.486515525260959)</f>
        <v>0.4865155253</v>
      </c>
      <c r="H116" s="16">
        <f t="shared" si="1"/>
        <v>0</v>
      </c>
    </row>
    <row r="117">
      <c r="B117" s="16">
        <f>IFERROR(__xludf.DUMMYFUNCTION("""COMPUTED_VALUE"""),11.5)</f>
        <v>11.5</v>
      </c>
      <c r="D117" s="16">
        <f>IFERROR(__xludf.DUMMYFUNCTION("""COMPUTED_VALUE"""),0.397224768703369)</f>
        <v>0.3972247687</v>
      </c>
      <c r="E117" s="16">
        <f>IFERROR(__xludf.DUMMYFUNCTION("""COMPUTED_VALUE"""),-0.128477507420008)</f>
        <v>-0.1284775074</v>
      </c>
      <c r="F117" s="16">
        <f>IFERROR(__xludf.DUMMYFUNCTION("""COMPUTED_VALUE"""),0.767468994094058)</f>
        <v>0.7674689941</v>
      </c>
      <c r="G117" s="16">
        <f>IFERROR(__xludf.DUMMYFUNCTION("""COMPUTED_VALUE"""),0.486515525260959)</f>
        <v>0.4865155253</v>
      </c>
      <c r="H117" s="16">
        <f t="shared" si="1"/>
        <v>0</v>
      </c>
    </row>
    <row r="118">
      <c r="B118" s="16">
        <f>IFERROR(__xludf.DUMMYFUNCTION("""COMPUTED_VALUE"""),11.6)</f>
        <v>11.6</v>
      </c>
      <c r="D118" s="16">
        <f>IFERROR(__xludf.DUMMYFUNCTION("""COMPUTED_VALUE"""),0.397224768703369)</f>
        <v>0.3972247687</v>
      </c>
      <c r="E118" s="16">
        <f>IFERROR(__xludf.DUMMYFUNCTION("""COMPUTED_VALUE"""),-0.128477507420008)</f>
        <v>-0.1284775074</v>
      </c>
      <c r="F118" s="16">
        <f>IFERROR(__xludf.DUMMYFUNCTION("""COMPUTED_VALUE"""),0.767468994094058)</f>
        <v>0.7674689941</v>
      </c>
      <c r="G118" s="16">
        <f>IFERROR(__xludf.DUMMYFUNCTION("""COMPUTED_VALUE"""),0.486515525260959)</f>
        <v>0.4865155253</v>
      </c>
      <c r="H118" s="16">
        <f t="shared" si="1"/>
        <v>0</v>
      </c>
    </row>
    <row r="119">
      <c r="B119" s="16">
        <f>IFERROR(__xludf.DUMMYFUNCTION("""COMPUTED_VALUE"""),11.7)</f>
        <v>11.7</v>
      </c>
      <c r="D119" s="16">
        <f>IFERROR(__xludf.DUMMYFUNCTION("""COMPUTED_VALUE"""),0.397224768703369)</f>
        <v>0.3972247687</v>
      </c>
      <c r="E119" s="16">
        <f>IFERROR(__xludf.DUMMYFUNCTION("""COMPUTED_VALUE"""),-0.128477507420008)</f>
        <v>-0.1284775074</v>
      </c>
      <c r="F119" s="16">
        <f>IFERROR(__xludf.DUMMYFUNCTION("""COMPUTED_VALUE"""),0.767468994094058)</f>
        <v>0.7674689941</v>
      </c>
      <c r="G119" s="16">
        <f>IFERROR(__xludf.DUMMYFUNCTION("""COMPUTED_VALUE"""),0.486515525260959)</f>
        <v>0.4865155253</v>
      </c>
      <c r="H119" s="16">
        <f t="shared" si="1"/>
        <v>0</v>
      </c>
    </row>
    <row r="120">
      <c r="B120" s="16">
        <f>IFERROR(__xludf.DUMMYFUNCTION("""COMPUTED_VALUE"""),11.8)</f>
        <v>11.8</v>
      </c>
      <c r="D120" s="16">
        <f>IFERROR(__xludf.DUMMYFUNCTION("""COMPUTED_VALUE"""),0.00391710692504239)</f>
        <v>0.003917106925</v>
      </c>
      <c r="E120" s="16">
        <f>IFERROR(__xludf.DUMMYFUNCTION("""COMPUTED_VALUE"""),-0.316158368872581)</f>
        <v>-0.3161583689</v>
      </c>
      <c r="F120" s="16">
        <f>IFERROR(__xludf.DUMMYFUNCTION("""COMPUTED_VALUE"""),0.868760990361455)</f>
        <v>0.8687609904</v>
      </c>
      <c r="G120" s="16">
        <f>IFERROR(__xludf.DUMMYFUNCTION("""COMPUTED_VALUE"""),0.381159918789145)</f>
        <v>0.3811599188</v>
      </c>
      <c r="H120" s="16">
        <f t="shared" si="1"/>
        <v>0</v>
      </c>
    </row>
    <row r="121">
      <c r="B121" s="16">
        <f>IFERROR(__xludf.DUMMYFUNCTION("""COMPUTED_VALUE"""),11.9)</f>
        <v>11.9</v>
      </c>
      <c r="D121" s="16">
        <f>IFERROR(__xludf.DUMMYFUNCTION("""COMPUTED_VALUE"""),-0.0648753355270427)</f>
        <v>-0.06487533553</v>
      </c>
      <c r="E121" s="16">
        <f>IFERROR(__xludf.DUMMYFUNCTION("""COMPUTED_VALUE"""),-0.325186542011381)</f>
        <v>-0.325186542</v>
      </c>
      <c r="F121" s="16">
        <f>IFERROR(__xludf.DUMMYFUNCTION("""COMPUTED_VALUE"""),0.872960584905968)</f>
        <v>0.8729605849</v>
      </c>
      <c r="G121" s="16">
        <f>IFERROR(__xludf.DUMMYFUNCTION("""COMPUTED_VALUE"""),0.35774952262101)</f>
        <v>0.3577495226</v>
      </c>
      <c r="H121" s="16">
        <f t="shared" si="1"/>
        <v>0</v>
      </c>
    </row>
    <row r="122">
      <c r="B122" s="16">
        <f>IFERROR(__xludf.DUMMYFUNCTION("""COMPUTED_VALUE"""),12.0)</f>
        <v>12</v>
      </c>
      <c r="D122" s="16">
        <f>IFERROR(__xludf.DUMMYFUNCTION("""COMPUTED_VALUE"""),-0.170258507154323)</f>
        <v>-0.1702585072</v>
      </c>
      <c r="E122" s="16">
        <f>IFERROR(__xludf.DUMMYFUNCTION("""COMPUTED_VALUE"""),-0.298533751480952)</f>
        <v>-0.2985337515</v>
      </c>
      <c r="F122" s="16">
        <f>IFERROR(__xludf.DUMMYFUNCTION("""COMPUTED_VALUE"""),0.882820867054609)</f>
        <v>0.8828208671</v>
      </c>
      <c r="G122" s="16">
        <f>IFERROR(__xludf.DUMMYFUNCTION("""COMPUTED_VALUE"""),0.320182692632245)</f>
        <v>0.3201826926</v>
      </c>
      <c r="H122" s="16">
        <f t="shared" si="1"/>
        <v>0</v>
      </c>
    </row>
    <row r="123">
      <c r="B123" s="16">
        <f>IFERROR(__xludf.DUMMYFUNCTION("""COMPUTED_VALUE"""),12.1)</f>
        <v>12.1</v>
      </c>
      <c r="D123" s="16">
        <f>IFERROR(__xludf.DUMMYFUNCTION("""COMPUTED_VALUE"""),-0.31991436967552)</f>
        <v>-0.3199143697</v>
      </c>
      <c r="E123" s="16">
        <f>IFERROR(__xludf.DUMMYFUNCTION("""COMPUTED_VALUE"""),-0.24009677137867)</f>
        <v>-0.2400967714</v>
      </c>
      <c r="F123" s="16">
        <f>IFERROR(__xludf.DUMMYFUNCTION("""COMPUTED_VALUE"""),0.879818329653058)</f>
        <v>0.8798183297</v>
      </c>
      <c r="G123" s="16">
        <f>IFERROR(__xludf.DUMMYFUNCTION("""COMPUTED_VALUE"""),0.256764567756442)</f>
        <v>0.2567645678</v>
      </c>
      <c r="H123" s="16">
        <f t="shared" si="1"/>
        <v>0</v>
      </c>
    </row>
    <row r="124">
      <c r="B124" s="16">
        <f>IFERROR(__xludf.DUMMYFUNCTION("""COMPUTED_VALUE"""),12.2)</f>
        <v>12.2</v>
      </c>
      <c r="D124" s="16">
        <f>IFERROR(__xludf.DUMMYFUNCTION("""COMPUTED_VALUE"""),-0.402867902074078)</f>
        <v>-0.4028679021</v>
      </c>
      <c r="E124" s="16">
        <f>IFERROR(__xludf.DUMMYFUNCTION("""COMPUTED_VALUE"""),-0.116917591098369)</f>
        <v>-0.1169175911</v>
      </c>
      <c r="F124" s="16">
        <f>IFERROR(__xludf.DUMMYFUNCTION("""COMPUTED_VALUE"""),0.887409487335261)</f>
        <v>0.8874094873</v>
      </c>
      <c r="G124" s="16">
        <f>IFERROR(__xludf.DUMMYFUNCTION("""COMPUTED_VALUE"""),0.191133806945689)</f>
        <v>0.1911338069</v>
      </c>
      <c r="H124" s="16">
        <f t="shared" si="1"/>
        <v>0</v>
      </c>
    </row>
    <row r="125">
      <c r="B125" s="16">
        <f>IFERROR(__xludf.DUMMYFUNCTION("""COMPUTED_VALUE"""),12.3)</f>
        <v>12.3</v>
      </c>
      <c r="D125" s="16">
        <f>IFERROR(__xludf.DUMMYFUNCTION("""COMPUTED_VALUE"""),-0.459946529228261)</f>
        <v>-0.4599465292</v>
      </c>
      <c r="E125" s="16">
        <f>IFERROR(__xludf.DUMMYFUNCTION("""COMPUTED_VALUE"""),-0.0230757828687206)</f>
        <v>-0.02307578287</v>
      </c>
      <c r="F125" s="16">
        <f>IFERROR(__xludf.DUMMYFUNCTION("""COMPUTED_VALUE"""),0.87656800360173)</f>
        <v>0.8765680036</v>
      </c>
      <c r="G125" s="16">
        <f>IFERROR(__xludf.DUMMYFUNCTION("""COMPUTED_VALUE"""),0.13980426873864)</f>
        <v>0.1398042687</v>
      </c>
      <c r="H125" s="16">
        <f t="shared" si="1"/>
        <v>0</v>
      </c>
    </row>
    <row r="126">
      <c r="B126" s="16">
        <f>IFERROR(__xludf.DUMMYFUNCTION("""COMPUTED_VALUE"""),12.4)</f>
        <v>12.4</v>
      </c>
      <c r="D126" s="16">
        <f>IFERROR(__xludf.DUMMYFUNCTION("""COMPUTED_VALUE"""),-0.548730135679118)</f>
        <v>-0.5487301357</v>
      </c>
      <c r="E126" s="16">
        <f>IFERROR(__xludf.DUMMYFUNCTION("""COMPUTED_VALUE"""),0.0888599190212548)</f>
        <v>0.08885991902</v>
      </c>
      <c r="F126" s="16">
        <f>IFERROR(__xludf.DUMMYFUNCTION("""COMPUTED_VALUE"""),0.828161269391715)</f>
        <v>0.8281612694</v>
      </c>
      <c r="G126" s="16">
        <f>IFERROR(__xludf.DUMMYFUNCTION("""COMPUTED_VALUE"""),0.0717500165060069)</f>
        <v>0.07175001651</v>
      </c>
      <c r="H126" s="16">
        <f t="shared" si="1"/>
        <v>0</v>
      </c>
    </row>
    <row r="127">
      <c r="B127" s="16">
        <f>IFERROR(__xludf.DUMMYFUNCTION("""COMPUTED_VALUE"""),12.5)</f>
        <v>12.5</v>
      </c>
      <c r="D127" s="16">
        <f>IFERROR(__xludf.DUMMYFUNCTION("""COMPUTED_VALUE"""),0.620753802085556)</f>
        <v>0.6207538021</v>
      </c>
      <c r="E127" s="16">
        <f>IFERROR(__xludf.DUMMYFUNCTION("""COMPUTED_VALUE"""),-0.12195497124068)</f>
        <v>-0.1219549712</v>
      </c>
      <c r="F127" s="16">
        <f>IFERROR(__xludf.DUMMYFUNCTION("""COMPUTED_VALUE"""),-0.772548846254821)</f>
        <v>-0.7725488463</v>
      </c>
      <c r="G127" s="16">
        <f>IFERROR(__xludf.DUMMYFUNCTION("""COMPUTED_VALUE"""),-0.0544057197025546)</f>
        <v>-0.0544057197</v>
      </c>
      <c r="H127" s="16">
        <f t="shared" si="1"/>
        <v>0</v>
      </c>
    </row>
    <row r="128">
      <c r="B128" s="16">
        <f>IFERROR(__xludf.DUMMYFUNCTION("""COMPUTED_VALUE"""),12.6)</f>
        <v>12.6</v>
      </c>
      <c r="D128" s="16">
        <f>IFERROR(__xludf.DUMMYFUNCTION("""COMPUTED_VALUE"""),0.766429448747702)</f>
        <v>0.7664294487</v>
      </c>
      <c r="E128" s="16">
        <f>IFERROR(__xludf.DUMMYFUNCTION("""COMPUTED_VALUE"""),-0.150608860421153)</f>
        <v>-0.1506088604</v>
      </c>
      <c r="F128" s="16">
        <f>IFERROR(__xludf.DUMMYFUNCTION("""COMPUTED_VALUE"""),-0.622853362701679)</f>
        <v>-0.6228533627</v>
      </c>
      <c r="G128" s="16">
        <f>IFERROR(__xludf.DUMMYFUNCTION("""COMPUTED_VALUE"""),-0.0442330173755058)</f>
        <v>-0.04423301738</v>
      </c>
      <c r="H128" s="16">
        <f t="shared" si="1"/>
        <v>0</v>
      </c>
    </row>
    <row r="129">
      <c r="B129" s="16">
        <f>IFERROR(__xludf.DUMMYFUNCTION("""COMPUTED_VALUE"""),12.7)</f>
        <v>12.7</v>
      </c>
      <c r="D129" s="16">
        <f>IFERROR(__xludf.DUMMYFUNCTION("""COMPUTED_VALUE"""),0.829409195403233)</f>
        <v>0.8294091954</v>
      </c>
      <c r="E129" s="16">
        <f>IFERROR(__xludf.DUMMYFUNCTION("""COMPUTED_VALUE"""),-0.191690429705997)</f>
        <v>-0.1916904297</v>
      </c>
      <c r="F129" s="16">
        <f>IFERROR(__xludf.DUMMYFUNCTION("""COMPUTED_VALUE"""),-0.524721477481353)</f>
        <v>-0.5247214775</v>
      </c>
      <c r="G129" s="16">
        <f>IFERROR(__xludf.DUMMYFUNCTION("""COMPUTED_VALUE"""),0.00159273647386037)</f>
        <v>0.001592736474</v>
      </c>
      <c r="H129" s="16">
        <f t="shared" si="1"/>
        <v>0</v>
      </c>
    </row>
    <row r="130">
      <c r="B130" s="16">
        <f>IFERROR(__xludf.DUMMYFUNCTION("""COMPUTED_VALUE"""),12.8)</f>
        <v>12.8</v>
      </c>
      <c r="D130" s="16">
        <f>IFERROR(__xludf.DUMMYFUNCTION("""COMPUTED_VALUE"""),0.835273996491318)</f>
        <v>0.8352739965</v>
      </c>
      <c r="E130" s="16">
        <f>IFERROR(__xludf.DUMMYFUNCTION("""COMPUTED_VALUE"""),-0.203966185237888)</f>
        <v>-0.2039661852</v>
      </c>
      <c r="F130" s="16">
        <f>IFERROR(__xludf.DUMMYFUNCTION("""COMPUTED_VALUE"""),-0.510252877937435)</f>
        <v>-0.5102528779</v>
      </c>
      <c r="G130" s="16">
        <f>IFERROR(__xludf.DUMMYFUNCTION("""COMPUTED_VALUE"""),0.0188983232453733)</f>
        <v>0.01889832325</v>
      </c>
      <c r="H130" s="16">
        <f t="shared" si="1"/>
        <v>0</v>
      </c>
    </row>
    <row r="131">
      <c r="B131" s="16">
        <f>IFERROR(__xludf.DUMMYFUNCTION("""COMPUTED_VALUE"""),12.9)</f>
        <v>12.9</v>
      </c>
      <c r="D131" s="16">
        <f>IFERROR(__xludf.DUMMYFUNCTION("""COMPUTED_VALUE"""),0.838978177612602)</f>
        <v>0.8389781776</v>
      </c>
      <c r="E131" s="16">
        <f>IFERROR(__xludf.DUMMYFUNCTION("""COMPUTED_VALUE"""),-0.210092335916492)</f>
        <v>-0.2100923359</v>
      </c>
      <c r="F131" s="16">
        <f>IFERROR(__xludf.DUMMYFUNCTION("""COMPUTED_VALUE"""),-0.501238585140048)</f>
        <v>-0.5012385851</v>
      </c>
      <c r="G131" s="16">
        <f>IFERROR(__xludf.DUMMYFUNCTION("""COMPUTED_VALUE"""),0.0271423773053993)</f>
        <v>0.02714237731</v>
      </c>
      <c r="H131" s="16">
        <f t="shared" si="1"/>
        <v>0</v>
      </c>
    </row>
    <row r="132">
      <c r="B132" s="16">
        <f>IFERROR(__xludf.DUMMYFUNCTION("""COMPUTED_VALUE"""),13.0)</f>
        <v>13</v>
      </c>
      <c r="D132" s="16">
        <f>IFERROR(__xludf.DUMMYFUNCTION("""COMPUTED_VALUE"""),0.848537853739394)</f>
        <v>0.8485378537</v>
      </c>
      <c r="E132" s="16">
        <f>IFERROR(__xludf.DUMMYFUNCTION("""COMPUTED_VALUE"""),-0.232352829388262)</f>
        <v>-0.2323528294</v>
      </c>
      <c r="F132" s="16">
        <f>IFERROR(__xludf.DUMMYFUNCTION("""COMPUTED_VALUE"""),-0.471808057385707)</f>
        <v>-0.4718080574</v>
      </c>
      <c r="G132" s="16">
        <f>IFERROR(__xludf.DUMMYFUNCTION("""COMPUTED_VALUE"""),0.0582480079705176)</f>
        <v>0.05824800797</v>
      </c>
      <c r="H132" s="16">
        <f t="shared" si="1"/>
        <v>0</v>
      </c>
    </row>
    <row r="133">
      <c r="B133" s="16">
        <f>IFERROR(__xludf.DUMMYFUNCTION("""COMPUTED_VALUE"""),13.1)</f>
        <v>13.1</v>
      </c>
      <c r="D133" s="16">
        <f>IFERROR(__xludf.DUMMYFUNCTION("""COMPUTED_VALUE"""),0.861498375142364)</f>
        <v>0.8614983751</v>
      </c>
      <c r="E133" s="16">
        <f>IFERROR(__xludf.DUMMYFUNCTION("""COMPUTED_VALUE"""),-0.2618126101187)</f>
        <v>-0.2618126101</v>
      </c>
      <c r="F133" s="16">
        <f>IFERROR(__xludf.DUMMYFUNCTION("""COMPUTED_VALUE"""),-0.423658245131311)</f>
        <v>-0.4236582451</v>
      </c>
      <c r="G133" s="16">
        <f>IFERROR(__xludf.DUMMYFUNCTION("""COMPUTED_VALUE"""),0.0989363337816492)</f>
        <v>0.09893633378</v>
      </c>
      <c r="H133" s="16">
        <f t="shared" si="1"/>
        <v>0</v>
      </c>
    </row>
    <row r="134">
      <c r="B134" s="16">
        <f>IFERROR(__xludf.DUMMYFUNCTION("""COMPUTED_VALUE"""),13.2)</f>
        <v>13.2</v>
      </c>
      <c r="D134" s="16">
        <f>IFERROR(__xludf.DUMMYFUNCTION("""COMPUTED_VALUE"""),0.862347772940436)</f>
        <v>0.8623477729</v>
      </c>
      <c r="E134" s="16">
        <f>IFERROR(__xludf.DUMMYFUNCTION("""COMPUTED_VALUE"""),-0.265531671514722)</f>
        <v>-0.2655316715</v>
      </c>
      <c r="F134" s="16">
        <f>IFERROR(__xludf.DUMMYFUNCTION("""COMPUTED_VALUE"""),-0.418204145317092)</f>
        <v>-0.4182041453</v>
      </c>
      <c r="G134" s="16">
        <f>IFERROR(__xludf.DUMMYFUNCTION("""COMPUTED_VALUE"""),0.104663951611169)</f>
        <v>0.1046639516</v>
      </c>
      <c r="H134" s="16">
        <f t="shared" si="1"/>
        <v>0</v>
      </c>
    </row>
    <row r="135">
      <c r="B135" s="16">
        <f>IFERROR(__xludf.DUMMYFUNCTION("""COMPUTED_VALUE"""),13.3)</f>
        <v>13.3</v>
      </c>
      <c r="D135" s="16">
        <f>IFERROR(__xludf.DUMMYFUNCTION("""COMPUTED_VALUE"""),0.863130678805458)</f>
        <v>0.8631306788</v>
      </c>
      <c r="E135" s="16">
        <f>IFERROR(__xludf.DUMMYFUNCTION("""COMPUTED_VALUE"""),-0.269230258903994)</f>
        <v>-0.2692302589</v>
      </c>
      <c r="F135" s="16">
        <f>IFERROR(__xludf.DUMMYFUNCTION("""COMPUTED_VALUE"""),-0.412717799577385)</f>
        <v>-0.4127177996</v>
      </c>
      <c r="G135" s="16">
        <f>IFERROR(__xludf.DUMMYFUNCTION("""COMPUTED_VALUE"""),0.110383499252904)</f>
        <v>0.1103834993</v>
      </c>
      <c r="H135" s="16">
        <f t="shared" si="1"/>
        <v>0</v>
      </c>
    </row>
    <row r="136">
      <c r="B136" s="16">
        <f>IFERROR(__xludf.DUMMYFUNCTION("""COMPUTED_VALUE"""),13.4)</f>
        <v>13.4</v>
      </c>
      <c r="D136" s="16">
        <f>IFERROR(__xludf.DUMMYFUNCTION("""COMPUTED_VALUE"""),0.863995193800074)</f>
        <v>0.8639951938</v>
      </c>
      <c r="E136" s="16">
        <f>IFERROR(__xludf.DUMMYFUNCTION("""COMPUTED_VALUE"""),-0.278193193649507)</f>
        <v>-0.2781931936</v>
      </c>
      <c r="F136" s="16">
        <f>IFERROR(__xludf.DUMMYFUNCTION("""COMPUTED_VALUE"""),-0.400567814526935)</f>
        <v>-0.4005678145</v>
      </c>
      <c r="G136" s="16">
        <f>IFERROR(__xludf.DUMMYFUNCTION("""COMPUTED_VALUE"""),0.125165003345871)</f>
        <v>0.1251650033</v>
      </c>
      <c r="H136" s="16">
        <f t="shared" si="1"/>
        <v>0</v>
      </c>
    </row>
    <row r="137">
      <c r="B137" s="16">
        <f>IFERROR(__xludf.DUMMYFUNCTION("""COMPUTED_VALUE"""),13.5)</f>
        <v>13.5</v>
      </c>
      <c r="D137" s="16">
        <f>IFERROR(__xludf.DUMMYFUNCTION("""COMPUTED_VALUE"""),0.865063368662175)</f>
        <v>0.8650633687</v>
      </c>
      <c r="E137" s="16">
        <f>IFERROR(__xludf.DUMMYFUNCTION("""COMPUTED_VALUE"""),-0.280253440845936)</f>
        <v>-0.2802534408</v>
      </c>
      <c r="F137" s="16">
        <f>IFERROR(__xludf.DUMMYFUNCTION("""COMPUTED_VALUE"""),-0.396076297165462)</f>
        <v>-0.3960762972</v>
      </c>
      <c r="G137" s="16">
        <f>IFERROR(__xludf.DUMMYFUNCTION("""COMPUTED_VALUE"""),0.12746350033071)</f>
        <v>0.1274635003</v>
      </c>
      <c r="H137" s="16">
        <f t="shared" si="1"/>
        <v>0</v>
      </c>
    </row>
    <row r="138">
      <c r="B138" s="16">
        <f>IFERROR(__xludf.DUMMYFUNCTION("""COMPUTED_VALUE"""),13.6)</f>
        <v>13.6</v>
      </c>
      <c r="D138" s="16">
        <f>IFERROR(__xludf.DUMMYFUNCTION("""COMPUTED_VALUE"""),0.862954538361804)</f>
        <v>0.8629545384</v>
      </c>
      <c r="E138" s="16">
        <f>IFERROR(__xludf.DUMMYFUNCTION("""COMPUTED_VALUE"""),-0.286440162570441)</f>
        <v>-0.2864401626</v>
      </c>
      <c r="F138" s="16">
        <f>IFERROR(__xludf.DUMMYFUNCTION("""COMPUTED_VALUE"""),-0.39162540462655)</f>
        <v>-0.3916254046</v>
      </c>
      <c r="G138" s="16">
        <f>IFERROR(__xludf.DUMMYFUNCTION("""COMPUTED_VALUE"""),0.141035599897586)</f>
        <v>0.1410355999</v>
      </c>
      <c r="H138" s="16">
        <f t="shared" si="1"/>
        <v>0</v>
      </c>
    </row>
    <row r="139">
      <c r="B139" s="16">
        <f>IFERROR(__xludf.DUMMYFUNCTION("""COMPUTED_VALUE"""),13.7)</f>
        <v>13.7</v>
      </c>
      <c r="D139" s="16">
        <f>IFERROR(__xludf.DUMMYFUNCTION("""COMPUTED_VALUE"""),0.858752086560697)</f>
        <v>0.8587520866</v>
      </c>
      <c r="E139" s="16">
        <f>IFERROR(__xludf.DUMMYFUNCTION("""COMPUTED_VALUE"""),-0.297095955853352)</f>
        <v>-0.2970959559</v>
      </c>
      <c r="F139" s="16">
        <f>IFERROR(__xludf.DUMMYFUNCTION("""COMPUTED_VALUE"""),-0.383604506357619)</f>
        <v>-0.3836045064</v>
      </c>
      <c r="G139" s="16">
        <f>IFERROR(__xludf.DUMMYFUNCTION("""COMPUTED_VALUE"""),0.164701030796276)</f>
        <v>0.1647010308</v>
      </c>
      <c r="H139" s="16">
        <f t="shared" si="1"/>
        <v>0</v>
      </c>
    </row>
    <row r="140">
      <c r="B140" s="16">
        <f>IFERROR(__xludf.DUMMYFUNCTION("""COMPUTED_VALUE"""),13.8)</f>
        <v>13.8</v>
      </c>
      <c r="D140" s="16">
        <f>IFERROR(__xludf.DUMMYFUNCTION("""COMPUTED_VALUE"""),0.850139286336485)</f>
        <v>0.8501392863</v>
      </c>
      <c r="E140" s="16">
        <f>IFERROR(__xludf.DUMMYFUNCTION("""COMPUTED_VALUE"""),-0.30762988853783)</f>
        <v>-0.3076298885</v>
      </c>
      <c r="F140" s="16">
        <f>IFERROR(__xludf.DUMMYFUNCTION("""COMPUTED_VALUE"""),-0.380801925550339)</f>
        <v>-0.3808019256</v>
      </c>
      <c r="G140" s="16">
        <f>IFERROR(__xludf.DUMMYFUNCTION("""COMPUTED_VALUE"""),0.193950867496499)</f>
        <v>0.1939508675</v>
      </c>
      <c r="H140" s="16">
        <f t="shared" si="1"/>
        <v>0</v>
      </c>
    </row>
    <row r="141">
      <c r="B141" s="16">
        <f>IFERROR(__xludf.DUMMYFUNCTION("""COMPUTED_VALUE"""),13.9)</f>
        <v>13.9</v>
      </c>
      <c r="D141" s="16">
        <f>IFERROR(__xludf.DUMMYFUNCTION("""COMPUTED_VALUE"""),0.841238994284423)</f>
        <v>0.8412389943</v>
      </c>
      <c r="E141" s="16">
        <f>IFERROR(__xludf.DUMMYFUNCTION("""COMPUTED_VALUE"""),-0.320168913096117)</f>
        <v>-0.3201689131</v>
      </c>
      <c r="F141" s="16">
        <f>IFERROR(__xludf.DUMMYFUNCTION("""COMPUTED_VALUE"""),-0.373038165910613)</f>
        <v>-0.3730381659</v>
      </c>
      <c r="G141" s="16">
        <f>IFERROR(__xludf.DUMMYFUNCTION("""COMPUTED_VALUE"""),0.225058544286204)</f>
        <v>0.2250585443</v>
      </c>
      <c r="H141" s="16">
        <f t="shared" si="1"/>
        <v>0</v>
      </c>
    </row>
    <row r="142">
      <c r="B142" s="16">
        <f>IFERROR(__xludf.DUMMYFUNCTION("""COMPUTED_VALUE"""),14.0)</f>
        <v>14</v>
      </c>
      <c r="D142" s="16">
        <f>IFERROR(__xludf.DUMMYFUNCTION("""COMPUTED_VALUE"""),0.829347083146952)</f>
        <v>0.8293470831</v>
      </c>
      <c r="E142" s="16">
        <f>IFERROR(__xludf.DUMMYFUNCTION("""COMPUTED_VALUE"""),-0.32893816062922)</f>
        <v>-0.3289381606</v>
      </c>
      <c r="F142" s="16">
        <f>IFERROR(__xludf.DUMMYFUNCTION("""COMPUTED_VALUE"""),-0.372649098430997)</f>
        <v>-0.3726490984</v>
      </c>
      <c r="G142" s="16">
        <f>IFERROR(__xludf.DUMMYFUNCTION("""COMPUTED_VALUE"""),0.255177882262686)</f>
        <v>0.2551778823</v>
      </c>
      <c r="H142" s="16">
        <f t="shared" si="1"/>
        <v>0</v>
      </c>
    </row>
    <row r="143">
      <c r="B143" s="16">
        <f>IFERROR(__xludf.DUMMYFUNCTION("""COMPUTED_VALUE"""),14.1)</f>
        <v>14.1</v>
      </c>
      <c r="D143" s="16">
        <f>IFERROR(__xludf.DUMMYFUNCTION("""COMPUTED_VALUE"""),0.823331147862782)</f>
        <v>0.8233311479</v>
      </c>
      <c r="E143" s="16">
        <f>IFERROR(__xludf.DUMMYFUNCTION("""COMPUTED_VALUE"""),-0.331291151292565)</f>
        <v>-0.3312911513</v>
      </c>
      <c r="F143" s="16">
        <f>IFERROR(__xludf.DUMMYFUNCTION("""COMPUTED_VALUE"""),-0.375250042322402)</f>
        <v>-0.3752500423</v>
      </c>
      <c r="G143" s="16">
        <f>IFERROR(__xludf.DUMMYFUNCTION("""COMPUTED_VALUE"""),0.267505887358075)</f>
        <v>0.2675058874</v>
      </c>
      <c r="H143" s="16">
        <f t="shared" si="1"/>
        <v>0</v>
      </c>
    </row>
    <row r="144">
      <c r="B144" s="16">
        <f>IFERROR(__xludf.DUMMYFUNCTION("""COMPUTED_VALUE"""),14.2)</f>
        <v>14.2</v>
      </c>
      <c r="D144" s="16">
        <f>IFERROR(__xludf.DUMMYFUNCTION("""COMPUTED_VALUE"""),0.816065688650495)</f>
        <v>0.8160656887</v>
      </c>
      <c r="E144" s="16">
        <f>IFERROR(__xludf.DUMMYFUNCTION("""COMPUTED_VALUE"""),-0.335008020851358)</f>
        <v>-0.3350080209</v>
      </c>
      <c r="F144" s="16">
        <f>IFERROR(__xludf.DUMMYFUNCTION("""COMPUTED_VALUE"""),-0.376446086715947)</f>
        <v>-0.3764460867</v>
      </c>
      <c r="G144" s="16">
        <f>IFERROR(__xludf.DUMMYFUNCTION("""COMPUTED_VALUE"""),0.283010179267273)</f>
        <v>0.2830101793</v>
      </c>
      <c r="H144" s="16">
        <f t="shared" si="1"/>
        <v>0</v>
      </c>
    </row>
    <row r="145">
      <c r="B145" s="16">
        <f>IFERROR(__xludf.DUMMYFUNCTION("""COMPUTED_VALUE"""),14.3)</f>
        <v>14.3</v>
      </c>
      <c r="D145" s="16">
        <f>IFERROR(__xludf.DUMMYFUNCTION("""COMPUTED_VALUE"""),0.800416201147972)</f>
        <v>0.8004162011</v>
      </c>
      <c r="E145" s="16">
        <f>IFERROR(__xludf.DUMMYFUNCTION("""COMPUTED_VALUE"""),-0.339644126371949)</f>
        <v>-0.3396441264</v>
      </c>
      <c r="F145" s="16">
        <f>IFERROR(__xludf.DUMMYFUNCTION("""COMPUTED_VALUE"""),-0.383058943496321)</f>
        <v>-0.3830589435</v>
      </c>
      <c r="G145" s="16">
        <f>IFERROR(__xludf.DUMMYFUNCTION("""COMPUTED_VALUE"""),0.31183588338798)</f>
        <v>0.3118358834</v>
      </c>
      <c r="H145" s="16">
        <f t="shared" si="1"/>
        <v>0</v>
      </c>
    </row>
    <row r="146">
      <c r="B146" s="16">
        <f>IFERROR(__xludf.DUMMYFUNCTION("""COMPUTED_VALUE"""),14.4)</f>
        <v>14.4</v>
      </c>
      <c r="D146" s="16">
        <f>IFERROR(__xludf.DUMMYFUNCTION("""COMPUTED_VALUE"""),0.781735051319556)</f>
        <v>0.7817350513</v>
      </c>
      <c r="E146" s="16">
        <f>IFERROR(__xludf.DUMMYFUNCTION("""COMPUTED_VALUE"""),-0.337087274801238)</f>
        <v>-0.3370872748</v>
      </c>
      <c r="F146" s="16">
        <f>IFERROR(__xludf.DUMMYFUNCTION("""COMPUTED_VALUE"""),-0.401249075343313)</f>
        <v>-0.4012490753</v>
      </c>
      <c r="G146" s="16">
        <f>IFERROR(__xludf.DUMMYFUNCTION("""COMPUTED_VALUE"""),0.338026120649895)</f>
        <v>0.3380261206</v>
      </c>
      <c r="H146" s="16">
        <f t="shared" si="1"/>
        <v>0</v>
      </c>
    </row>
    <row r="147">
      <c r="B147" s="16">
        <f>IFERROR(__xludf.DUMMYFUNCTION("""COMPUTED_VALUE"""),14.5)</f>
        <v>14.5</v>
      </c>
      <c r="D147" s="16">
        <f>IFERROR(__xludf.DUMMYFUNCTION("""COMPUTED_VALUE"""),0.780401601638752)</f>
        <v>0.7804016016</v>
      </c>
      <c r="E147" s="16">
        <f>IFERROR(__xludf.DUMMYFUNCTION("""COMPUTED_VALUE"""),-0.338660372987383)</f>
        <v>-0.338660373</v>
      </c>
      <c r="F147" s="16">
        <f>IFERROR(__xludf.DUMMYFUNCTION("""COMPUTED_VALUE"""),-0.399922246273992)</f>
        <v>-0.3999222463</v>
      </c>
      <c r="G147" s="16">
        <f>IFERROR(__xludf.DUMMYFUNCTION("""COMPUTED_VALUE"""),0.341093372645784)</f>
        <v>0.3410933726</v>
      </c>
      <c r="H147" s="16">
        <f t="shared" si="1"/>
        <v>0</v>
      </c>
    </row>
    <row r="148">
      <c r="B148" s="16">
        <f>IFERROR(__xludf.DUMMYFUNCTION("""COMPUTED_VALUE"""),14.6)</f>
        <v>14.6</v>
      </c>
      <c r="D148" s="16">
        <f>IFERROR(__xludf.DUMMYFUNCTION("""COMPUTED_VALUE"""),0.780401601638752)</f>
        <v>0.7804016016</v>
      </c>
      <c r="E148" s="16">
        <f>IFERROR(__xludf.DUMMYFUNCTION("""COMPUTED_VALUE"""),-0.338660372987383)</f>
        <v>-0.338660373</v>
      </c>
      <c r="F148" s="16">
        <f>IFERROR(__xludf.DUMMYFUNCTION("""COMPUTED_VALUE"""),-0.399922246273992)</f>
        <v>-0.3999222463</v>
      </c>
      <c r="G148" s="16">
        <f>IFERROR(__xludf.DUMMYFUNCTION("""COMPUTED_VALUE"""),0.341093372645784)</f>
        <v>0.3410933726</v>
      </c>
      <c r="H148" s="16">
        <f t="shared" si="1"/>
        <v>0</v>
      </c>
    </row>
    <row r="149">
      <c r="B149" s="16">
        <f>IFERROR(__xludf.DUMMYFUNCTION("""COMPUTED_VALUE"""),14.7)</f>
        <v>14.7</v>
      </c>
      <c r="D149" s="16">
        <f>IFERROR(__xludf.DUMMYFUNCTION("""COMPUTED_VALUE"""),0.780401601638752)</f>
        <v>0.7804016016</v>
      </c>
      <c r="E149" s="16">
        <f>IFERROR(__xludf.DUMMYFUNCTION("""COMPUTED_VALUE"""),-0.338660372987383)</f>
        <v>-0.338660373</v>
      </c>
      <c r="F149" s="16">
        <f>IFERROR(__xludf.DUMMYFUNCTION("""COMPUTED_VALUE"""),-0.399922246273992)</f>
        <v>-0.3999222463</v>
      </c>
      <c r="G149" s="16">
        <f>IFERROR(__xludf.DUMMYFUNCTION("""COMPUTED_VALUE"""),0.341093372645784)</f>
        <v>0.3410933726</v>
      </c>
      <c r="H149" s="16">
        <f t="shared" si="1"/>
        <v>0</v>
      </c>
    </row>
    <row r="150">
      <c r="B150" s="16">
        <f>IFERROR(__xludf.DUMMYFUNCTION("""COMPUTED_VALUE"""),14.8)</f>
        <v>14.8</v>
      </c>
      <c r="D150" s="16">
        <f>IFERROR(__xludf.DUMMYFUNCTION("""COMPUTED_VALUE"""),0.780401601638752)</f>
        <v>0.7804016016</v>
      </c>
      <c r="E150" s="16">
        <f>IFERROR(__xludf.DUMMYFUNCTION("""COMPUTED_VALUE"""),-0.338660372987383)</f>
        <v>-0.338660373</v>
      </c>
      <c r="F150" s="16">
        <f>IFERROR(__xludf.DUMMYFUNCTION("""COMPUTED_VALUE"""),-0.399922246273992)</f>
        <v>-0.3999222463</v>
      </c>
      <c r="G150" s="16">
        <f>IFERROR(__xludf.DUMMYFUNCTION("""COMPUTED_VALUE"""),0.341093372645784)</f>
        <v>0.3410933726</v>
      </c>
      <c r="H150" s="16">
        <f t="shared" si="1"/>
        <v>0</v>
      </c>
    </row>
    <row r="151">
      <c r="B151" s="16">
        <f>IFERROR(__xludf.DUMMYFUNCTION("""COMPUTED_VALUE"""),14.9)</f>
        <v>14.9</v>
      </c>
      <c r="D151" s="16">
        <f>IFERROR(__xludf.DUMMYFUNCTION("""COMPUTED_VALUE"""),0.780401601638752)</f>
        <v>0.7804016016</v>
      </c>
      <c r="E151" s="16">
        <f>IFERROR(__xludf.DUMMYFUNCTION("""COMPUTED_VALUE"""),-0.338660372987383)</f>
        <v>-0.338660373</v>
      </c>
      <c r="F151" s="16">
        <f>IFERROR(__xludf.DUMMYFUNCTION("""COMPUTED_VALUE"""),-0.399922246273992)</f>
        <v>-0.3999222463</v>
      </c>
      <c r="G151" s="16">
        <f>IFERROR(__xludf.DUMMYFUNCTION("""COMPUTED_VALUE"""),0.341093372645784)</f>
        <v>0.3410933726</v>
      </c>
      <c r="H151" s="16">
        <f t="shared" si="1"/>
        <v>0</v>
      </c>
    </row>
    <row r="152">
      <c r="B152" s="16">
        <f>IFERROR(__xludf.DUMMYFUNCTION("""COMPUTED_VALUE"""),15.0)</f>
        <v>15</v>
      </c>
      <c r="D152" s="16">
        <f>IFERROR(__xludf.DUMMYFUNCTION("""COMPUTED_VALUE"""),0.780401601638752)</f>
        <v>0.7804016016</v>
      </c>
      <c r="E152" s="16">
        <f>IFERROR(__xludf.DUMMYFUNCTION("""COMPUTED_VALUE"""),-0.338660372987383)</f>
        <v>-0.338660373</v>
      </c>
      <c r="F152" s="16">
        <f>IFERROR(__xludf.DUMMYFUNCTION("""COMPUTED_VALUE"""),-0.399922246273992)</f>
        <v>-0.3999222463</v>
      </c>
      <c r="G152" s="16">
        <f>IFERROR(__xludf.DUMMYFUNCTION("""COMPUTED_VALUE"""),0.341093372645784)</f>
        <v>0.3410933726</v>
      </c>
      <c r="H152" s="16">
        <f t="shared" si="1"/>
        <v>0</v>
      </c>
    </row>
    <row r="153">
      <c r="B153" s="16">
        <f>IFERROR(__xludf.DUMMYFUNCTION("""COMPUTED_VALUE"""),15.1)</f>
        <v>15.1</v>
      </c>
      <c r="D153" s="16">
        <f>IFERROR(__xludf.DUMMYFUNCTION("""COMPUTED_VALUE"""),0.758977368945319)</f>
        <v>0.7589773689</v>
      </c>
      <c r="E153" s="16">
        <f>IFERROR(__xludf.DUMMYFUNCTION("""COMPUTED_VALUE"""),-0.32081360794301)</f>
        <v>-0.3208136079</v>
      </c>
      <c r="F153" s="16">
        <f>IFERROR(__xludf.DUMMYFUNCTION("""COMPUTED_VALUE"""),-0.43922410718676)</f>
        <v>-0.4392241072</v>
      </c>
      <c r="G153" s="16">
        <f>IFERROR(__xludf.DUMMYFUNCTION("""COMPUTED_VALUE"""),0.357930392748951)</f>
        <v>0.3579303927</v>
      </c>
      <c r="H153" s="16">
        <f t="shared" si="1"/>
        <v>0</v>
      </c>
    </row>
    <row r="154">
      <c r="B154" s="16">
        <f>IFERROR(__xludf.DUMMYFUNCTION("""COMPUTED_VALUE"""),15.2)</f>
        <v>15.2</v>
      </c>
      <c r="D154" s="16">
        <f>IFERROR(__xludf.DUMMYFUNCTION("""COMPUTED_VALUE"""),0.742983161446367)</f>
        <v>0.7429831614</v>
      </c>
      <c r="E154" s="16">
        <f>IFERROR(__xludf.DUMMYFUNCTION("""COMPUTED_VALUE"""),-0.307965590725831)</f>
        <v>-0.3079655907</v>
      </c>
      <c r="F154" s="16">
        <f>IFERROR(__xludf.DUMMYFUNCTION("""COMPUTED_VALUE"""),-0.465768703019349)</f>
        <v>-0.465768703</v>
      </c>
      <c r="G154" s="16">
        <f>IFERROR(__xludf.DUMMYFUNCTION("""COMPUTED_VALUE"""),0.369042994817296)</f>
        <v>0.3690429948</v>
      </c>
      <c r="H154" s="16">
        <f t="shared" si="1"/>
        <v>0</v>
      </c>
    </row>
    <row r="155">
      <c r="B155" s="16">
        <f>IFERROR(__xludf.DUMMYFUNCTION("""COMPUTED_VALUE"""),15.3)</f>
        <v>15.3</v>
      </c>
      <c r="D155" s="16">
        <f>IFERROR(__xludf.DUMMYFUNCTION("""COMPUTED_VALUE"""),0.681517713599116)</f>
        <v>0.6815177136</v>
      </c>
      <c r="E155" s="16">
        <f>IFERROR(__xludf.DUMMYFUNCTION("""COMPUTED_VALUE"""),-0.264569341282145)</f>
        <v>-0.2645693413</v>
      </c>
      <c r="F155" s="16">
        <f>IFERROR(__xludf.DUMMYFUNCTION("""COMPUTED_VALUE"""),-0.54880900581825)</f>
        <v>-0.5488090058</v>
      </c>
      <c r="G155" s="16">
        <f>IFERROR(__xludf.DUMMYFUNCTION("""COMPUTED_VALUE"""),0.405395294542184)</f>
        <v>0.4053952945</v>
      </c>
      <c r="H155" s="16">
        <f t="shared" si="1"/>
        <v>0</v>
      </c>
    </row>
    <row r="156">
      <c r="B156" s="16">
        <f>IFERROR(__xludf.DUMMYFUNCTION("""COMPUTED_VALUE"""),15.4)</f>
        <v>15.4</v>
      </c>
      <c r="D156" s="16">
        <f>IFERROR(__xludf.DUMMYFUNCTION("""COMPUTED_VALUE"""),0.637897572886676)</f>
        <v>0.6378975729</v>
      </c>
      <c r="E156" s="16">
        <f>IFERROR(__xludf.DUMMYFUNCTION("""COMPUTED_VALUE"""),-0.239461434474049)</f>
        <v>-0.2394614345</v>
      </c>
      <c r="F156" s="16">
        <f>IFERROR(__xludf.DUMMYFUNCTION("""COMPUTED_VALUE"""),-0.593408826557281)</f>
        <v>-0.5934088266</v>
      </c>
      <c r="G156" s="16">
        <f>IFERROR(__xludf.DUMMYFUNCTION("""COMPUTED_VALUE"""),0.428498392609381)</f>
        <v>0.4284983926</v>
      </c>
      <c r="H156" s="16">
        <f t="shared" si="1"/>
        <v>0</v>
      </c>
    </row>
    <row r="157">
      <c r="B157" s="16">
        <f>IFERROR(__xludf.DUMMYFUNCTION("""COMPUTED_VALUE"""),15.5)</f>
        <v>15.5</v>
      </c>
      <c r="D157" s="16">
        <f>IFERROR(__xludf.DUMMYFUNCTION("""COMPUTED_VALUE"""),-0.558493715438933)</f>
        <v>-0.5584937154</v>
      </c>
      <c r="E157" s="16">
        <f>IFERROR(__xludf.DUMMYFUNCTION("""COMPUTED_VALUE"""),0.183868122120545)</f>
        <v>0.1838681221</v>
      </c>
      <c r="F157" s="16">
        <f>IFERROR(__xludf.DUMMYFUNCTION("""COMPUTED_VALUE"""),0.668679384119189)</f>
        <v>0.6686793841</v>
      </c>
      <c r="G157" s="16">
        <f>IFERROR(__xludf.DUMMYFUNCTION("""COMPUTED_VALUE"""),-0.455132030005642)</f>
        <v>-0.45513203</v>
      </c>
      <c r="H157" s="16">
        <f t="shared" si="1"/>
        <v>0</v>
      </c>
    </row>
    <row r="158">
      <c r="B158" s="16">
        <f>IFERROR(__xludf.DUMMYFUNCTION("""COMPUTED_VALUE"""),15.6)</f>
        <v>15.6</v>
      </c>
      <c r="D158" s="16">
        <f>IFERROR(__xludf.DUMMYFUNCTION("""COMPUTED_VALUE"""),-0.498712832048252)</f>
        <v>-0.498712832</v>
      </c>
      <c r="E158" s="16">
        <f>IFERROR(__xludf.DUMMYFUNCTION("""COMPUTED_VALUE"""),0.143910675630513)</f>
        <v>0.1439106756</v>
      </c>
      <c r="F158" s="16">
        <f>IFERROR(__xludf.DUMMYFUNCTION("""COMPUTED_VALUE"""),0.714375853512151)</f>
        <v>0.7143758535</v>
      </c>
      <c r="G158" s="16">
        <f>IFERROR(__xludf.DUMMYFUNCTION("""COMPUTED_VALUE"""),-0.469299870561203)</f>
        <v>-0.4692998706</v>
      </c>
      <c r="H158" s="16">
        <f t="shared" si="1"/>
        <v>0</v>
      </c>
    </row>
    <row r="159">
      <c r="B159" s="16">
        <f>IFERROR(__xludf.DUMMYFUNCTION("""COMPUTED_VALUE"""),15.7)</f>
        <v>15.7</v>
      </c>
      <c r="D159" s="16">
        <f>IFERROR(__xludf.DUMMYFUNCTION("""COMPUTED_VALUE"""),-0.464507488549721)</f>
        <v>-0.4645074885</v>
      </c>
      <c r="E159" s="16">
        <f>IFERROR(__xludf.DUMMYFUNCTION("""COMPUTED_VALUE"""),0.121643866233234)</f>
        <v>0.1216438662</v>
      </c>
      <c r="F159" s="16">
        <f>IFERROR(__xludf.DUMMYFUNCTION("""COMPUTED_VALUE"""),0.737075397779653)</f>
        <v>0.7370753978</v>
      </c>
      <c r="G159" s="16">
        <f>IFERROR(__xludf.DUMMYFUNCTION("""COMPUTED_VALUE"""),-0.475558010001959)</f>
        <v>-0.47555801</v>
      </c>
      <c r="H159" s="16">
        <f t="shared" si="1"/>
        <v>0</v>
      </c>
    </row>
    <row r="160">
      <c r="B160" s="16">
        <f>IFERROR(__xludf.DUMMYFUNCTION("""COMPUTED_VALUE"""),15.8)</f>
        <v>15.8</v>
      </c>
      <c r="D160" s="16">
        <f>IFERROR(__xludf.DUMMYFUNCTION("""COMPUTED_VALUE"""),-0.382676254305495)</f>
        <v>-0.3826762543</v>
      </c>
      <c r="E160" s="16">
        <f>IFERROR(__xludf.DUMMYFUNCTION("""COMPUTED_VALUE"""),0.0658586158046088)</f>
        <v>0.0658586158</v>
      </c>
      <c r="F160" s="16">
        <f>IFERROR(__xludf.DUMMYFUNCTION("""COMPUTED_VALUE"""),0.784097480393572)</f>
        <v>0.7840974804</v>
      </c>
      <c r="G160" s="16">
        <f>IFERROR(__xludf.DUMMYFUNCTION("""COMPUTED_VALUE"""),-0.484161820423156)</f>
        <v>-0.4841618204</v>
      </c>
      <c r="H160" s="16">
        <f t="shared" si="1"/>
        <v>0</v>
      </c>
    </row>
    <row r="161">
      <c r="B161" s="16">
        <f>IFERROR(__xludf.DUMMYFUNCTION("""COMPUTED_VALUE"""),15.9)</f>
        <v>15.9</v>
      </c>
      <c r="D161" s="16">
        <f>IFERROR(__xludf.DUMMYFUNCTION("""COMPUTED_VALUE"""),-0.274890236133513)</f>
        <v>-0.2748902361</v>
      </c>
      <c r="E161" s="16">
        <f>IFERROR(__xludf.DUMMYFUNCTION("""COMPUTED_VALUE"""),8.20189831155488E-4)</f>
        <v>0.0008201898312</v>
      </c>
      <c r="F161" s="16">
        <f>IFERROR(__xludf.DUMMYFUNCTION("""COMPUTED_VALUE"""),0.828061188830447)</f>
        <v>0.8280611888</v>
      </c>
      <c r="G161" s="16">
        <f>IFERROR(__xludf.DUMMYFUNCTION("""COMPUTED_VALUE"""),-0.488619844991794)</f>
        <v>-0.488619845</v>
      </c>
      <c r="H161" s="16">
        <f t="shared" si="1"/>
        <v>0</v>
      </c>
    </row>
    <row r="162">
      <c r="B162" s="16">
        <f>IFERROR(__xludf.DUMMYFUNCTION("""COMPUTED_VALUE"""),16.0)</f>
        <v>16</v>
      </c>
      <c r="D162" s="16">
        <f>IFERROR(__xludf.DUMMYFUNCTION("""COMPUTED_VALUE"""),-0.248744564674309)</f>
        <v>-0.2487445647</v>
      </c>
      <c r="E162" s="16">
        <f>IFERROR(__xludf.DUMMYFUNCTION("""COMPUTED_VALUE"""),-0.0145281346577477)</f>
        <v>-0.01452813466</v>
      </c>
      <c r="F162" s="16">
        <f>IFERROR(__xludf.DUMMYFUNCTION("""COMPUTED_VALUE"""),0.836287101367599)</f>
        <v>0.8362871014</v>
      </c>
      <c r="G162" s="16">
        <f>IFERROR(__xludf.DUMMYFUNCTION("""COMPUTED_VALUE"""),-0.488404503392966)</f>
        <v>-0.4884045034</v>
      </c>
      <c r="H162" s="16">
        <f t="shared" si="1"/>
        <v>0</v>
      </c>
    </row>
    <row r="163">
      <c r="B163" s="16">
        <f>IFERROR(__xludf.DUMMYFUNCTION("""COMPUTED_VALUE"""),16.1)</f>
        <v>16.1</v>
      </c>
      <c r="D163" s="16">
        <f>IFERROR(__xludf.DUMMYFUNCTION("""COMPUTED_VALUE"""),-0.230358588214336)</f>
        <v>-0.2303585882</v>
      </c>
      <c r="E163" s="16">
        <f>IFERROR(__xludf.DUMMYFUNCTION("""COMPUTED_VALUE"""),-0.0208153289221506)</f>
        <v>-0.02081532892</v>
      </c>
      <c r="F163" s="16">
        <f>IFERROR(__xludf.DUMMYFUNCTION("""COMPUTED_VALUE"""),0.841090363602813)</f>
        <v>0.8410903636</v>
      </c>
      <c r="G163" s="16">
        <f>IFERROR(__xludf.DUMMYFUNCTION("""COMPUTED_VALUE"""),-0.48894646248055)</f>
        <v>-0.4889464625</v>
      </c>
      <c r="H163" s="16">
        <f t="shared" si="1"/>
        <v>0</v>
      </c>
    </row>
    <row r="164">
      <c r="B164" s="16">
        <f>IFERROR(__xludf.DUMMYFUNCTION("""COMPUTED_VALUE"""),16.2)</f>
        <v>16.2</v>
      </c>
      <c r="D164" s="16">
        <f>IFERROR(__xludf.DUMMYFUNCTION("""COMPUTED_VALUE"""),-0.230358588214336)</f>
        <v>-0.2303585882</v>
      </c>
      <c r="E164" s="16">
        <f>IFERROR(__xludf.DUMMYFUNCTION("""COMPUTED_VALUE"""),-0.0208153289221506)</f>
        <v>-0.02081532892</v>
      </c>
      <c r="F164" s="16">
        <f>IFERROR(__xludf.DUMMYFUNCTION("""COMPUTED_VALUE"""),0.841090363602813)</f>
        <v>0.8410903636</v>
      </c>
      <c r="G164" s="16">
        <f>IFERROR(__xludf.DUMMYFUNCTION("""COMPUTED_VALUE"""),-0.48894646248055)</f>
        <v>-0.4889464625</v>
      </c>
      <c r="H164" s="16">
        <f t="shared" si="1"/>
        <v>0</v>
      </c>
    </row>
    <row r="165">
      <c r="B165" s="16">
        <f>IFERROR(__xludf.DUMMYFUNCTION("""COMPUTED_VALUE"""),16.3)</f>
        <v>16.3</v>
      </c>
      <c r="D165" s="16">
        <f>IFERROR(__xludf.DUMMYFUNCTION("""COMPUTED_VALUE"""),-0.230358588214336)</f>
        <v>-0.2303585882</v>
      </c>
      <c r="E165" s="16">
        <f>IFERROR(__xludf.DUMMYFUNCTION("""COMPUTED_VALUE"""),-0.0208153289221506)</f>
        <v>-0.02081532892</v>
      </c>
      <c r="F165" s="16">
        <f>IFERROR(__xludf.DUMMYFUNCTION("""COMPUTED_VALUE"""),0.841090363602813)</f>
        <v>0.8410903636</v>
      </c>
      <c r="G165" s="16">
        <f>IFERROR(__xludf.DUMMYFUNCTION("""COMPUTED_VALUE"""),-0.48894646248055)</f>
        <v>-0.4889464625</v>
      </c>
      <c r="H165" s="16">
        <f t="shared" si="1"/>
        <v>0</v>
      </c>
    </row>
    <row r="166">
      <c r="B166" s="16">
        <f>IFERROR(__xludf.DUMMYFUNCTION("""COMPUTED_VALUE"""),16.4)</f>
        <v>16.4</v>
      </c>
      <c r="D166" s="16">
        <f>IFERROR(__xludf.DUMMYFUNCTION("""COMPUTED_VALUE"""),-0.230358588214336)</f>
        <v>-0.2303585882</v>
      </c>
      <c r="E166" s="16">
        <f>IFERROR(__xludf.DUMMYFUNCTION("""COMPUTED_VALUE"""),-0.0208153289221506)</f>
        <v>-0.02081532892</v>
      </c>
      <c r="F166" s="16">
        <f>IFERROR(__xludf.DUMMYFUNCTION("""COMPUTED_VALUE"""),0.841090363602813)</f>
        <v>0.8410903636</v>
      </c>
      <c r="G166" s="16">
        <f>IFERROR(__xludf.DUMMYFUNCTION("""COMPUTED_VALUE"""),-0.48894646248055)</f>
        <v>-0.4889464625</v>
      </c>
      <c r="H166" s="16">
        <f t="shared" si="1"/>
        <v>0</v>
      </c>
    </row>
    <row r="167">
      <c r="B167" s="16">
        <f>IFERROR(__xludf.DUMMYFUNCTION("""COMPUTED_VALUE"""),16.5)</f>
        <v>16.5</v>
      </c>
      <c r="D167" s="16">
        <f>IFERROR(__xludf.DUMMYFUNCTION("""COMPUTED_VALUE"""),-0.139863054291336)</f>
        <v>-0.1398630543</v>
      </c>
      <c r="E167" s="16">
        <f>IFERROR(__xludf.DUMMYFUNCTION("""COMPUTED_VALUE"""),-0.0109638476938522)</f>
        <v>-0.01096384769</v>
      </c>
      <c r="F167" s="16">
        <f>IFERROR(__xludf.DUMMYFUNCTION("""COMPUTED_VALUE"""),0.855800392101095)</f>
        <v>0.8558003921</v>
      </c>
      <c r="G167" s="16">
        <f>IFERROR(__xludf.DUMMYFUNCTION("""COMPUTED_VALUE"""),-0.497919480405871)</f>
        <v>-0.4979194804</v>
      </c>
      <c r="H167" s="16">
        <f t="shared" si="1"/>
        <v>0</v>
      </c>
    </row>
    <row r="168">
      <c r="B168" s="16">
        <f>IFERROR(__xludf.DUMMYFUNCTION("""COMPUTED_VALUE"""),16.6)</f>
        <v>16.6</v>
      </c>
      <c r="D168" s="16">
        <f>IFERROR(__xludf.DUMMYFUNCTION("""COMPUTED_VALUE"""),-0.0845414550917823)</f>
        <v>-0.08454145509</v>
      </c>
      <c r="E168" s="16">
        <f>IFERROR(__xludf.DUMMYFUNCTION("""COMPUTED_VALUE"""),0.0064756277376928)</f>
        <v>0.006475627738</v>
      </c>
      <c r="F168" s="16">
        <f>IFERROR(__xludf.DUMMYFUNCTION("""COMPUTED_VALUE"""),0.860366616292238)</f>
        <v>0.8603666163</v>
      </c>
      <c r="G168" s="16">
        <f>IFERROR(__xludf.DUMMYFUNCTION("""COMPUTED_VALUE"""),-0.502573471431)</f>
        <v>-0.5025734714</v>
      </c>
      <c r="H168" s="16">
        <f t="shared" si="1"/>
        <v>0</v>
      </c>
    </row>
    <row r="169">
      <c r="B169" s="16">
        <f>IFERROR(__xludf.DUMMYFUNCTION("""COMPUTED_VALUE"""),16.7)</f>
        <v>16.7</v>
      </c>
      <c r="D169" s="16">
        <f>IFERROR(__xludf.DUMMYFUNCTION("""COMPUTED_VALUE"""),-0.0351181360729372)</f>
        <v>-0.03511813607</v>
      </c>
      <c r="E169" s="16">
        <f>IFERROR(__xludf.DUMMYFUNCTION("""COMPUTED_VALUE"""),0.0365762732396828)</f>
        <v>0.03657627324</v>
      </c>
      <c r="F169" s="16">
        <f>IFERROR(__xludf.DUMMYFUNCTION("""COMPUTED_VALUE"""),0.861044810769559)</f>
        <v>0.8610448108</v>
      </c>
      <c r="G169" s="16">
        <f>IFERROR(__xludf.DUMMYFUNCTION("""COMPUTED_VALUE"""),-0.505994789105053)</f>
        <v>-0.5059947891</v>
      </c>
      <c r="H169" s="16">
        <f t="shared" si="1"/>
        <v>0</v>
      </c>
    </row>
    <row r="170">
      <c r="B170" s="16">
        <f>IFERROR(__xludf.DUMMYFUNCTION("""COMPUTED_VALUE"""),16.8)</f>
        <v>16.8</v>
      </c>
      <c r="D170" s="16">
        <f>IFERROR(__xludf.DUMMYFUNCTION("""COMPUTED_VALUE"""),0.00367603099659775)</f>
        <v>0.003676030997</v>
      </c>
      <c r="E170" s="16">
        <f>IFERROR(__xludf.DUMMYFUNCTION("""COMPUTED_VALUE"""),0.0637884161923517)</f>
        <v>0.06378841619</v>
      </c>
      <c r="F170" s="16">
        <f>IFERROR(__xludf.DUMMYFUNCTION("""COMPUTED_VALUE"""),0.859255803716092)</f>
        <v>0.8592558037</v>
      </c>
      <c r="G170" s="16">
        <f>IFERROR(__xludf.DUMMYFUNCTION("""COMPUTED_VALUE"""),-0.507540134901656)</f>
        <v>-0.5075401349</v>
      </c>
      <c r="H170" s="16">
        <f t="shared" si="1"/>
        <v>0</v>
      </c>
    </row>
    <row r="171">
      <c r="B171" s="16">
        <f>IFERROR(__xludf.DUMMYFUNCTION("""COMPUTED_VALUE"""),16.9)</f>
        <v>16.9</v>
      </c>
      <c r="D171" s="16">
        <f>IFERROR(__xludf.DUMMYFUNCTION("""COMPUTED_VALUE"""),0.0283618074809605)</f>
        <v>0.02836180748</v>
      </c>
      <c r="E171" s="16">
        <f>IFERROR(__xludf.DUMMYFUNCTION("""COMPUTED_VALUE"""),0.0901223767075233)</f>
        <v>0.09012237671</v>
      </c>
      <c r="F171" s="16">
        <f>IFERROR(__xludf.DUMMYFUNCTION("""COMPUTED_VALUE"""),0.856464668355639)</f>
        <v>0.8564646684</v>
      </c>
      <c r="G171" s="16">
        <f>IFERROR(__xludf.DUMMYFUNCTION("""COMPUTED_VALUE"""),-0.507485799753511)</f>
        <v>-0.5074857998</v>
      </c>
      <c r="H171" s="16">
        <f t="shared" si="1"/>
        <v>0</v>
      </c>
    </row>
    <row r="172">
      <c r="B172" s="16">
        <f>IFERROR(__xludf.DUMMYFUNCTION("""COMPUTED_VALUE"""),17.0)</f>
        <v>17</v>
      </c>
      <c r="D172" s="16">
        <f>IFERROR(__xludf.DUMMYFUNCTION("""COMPUTED_VALUE"""),0.04168318655571)</f>
        <v>0.04168318656</v>
      </c>
      <c r="E172" s="16">
        <f>IFERROR(__xludf.DUMMYFUNCTION("""COMPUTED_VALUE"""),0.104926879222306)</f>
        <v>0.1049268792</v>
      </c>
      <c r="F172" s="16">
        <f>IFERROR(__xludf.DUMMYFUNCTION("""COMPUTED_VALUE"""),0.854412174611781)</f>
        <v>0.8544121746</v>
      </c>
      <c r="G172" s="16">
        <f>IFERROR(__xludf.DUMMYFUNCTION("""COMPUTED_VALUE"""),-0.507181129233326)</f>
        <v>-0.5071811292</v>
      </c>
      <c r="H172" s="16">
        <f t="shared" si="1"/>
        <v>0</v>
      </c>
    </row>
    <row r="173">
      <c r="B173" s="16">
        <f>IFERROR(__xludf.DUMMYFUNCTION("""COMPUTED_VALUE"""),17.1)</f>
        <v>17.1</v>
      </c>
      <c r="D173" s="16">
        <f>IFERROR(__xludf.DUMMYFUNCTION("""COMPUTED_VALUE"""),0.04168318655571)</f>
        <v>0.04168318656</v>
      </c>
      <c r="E173" s="16">
        <f>IFERROR(__xludf.DUMMYFUNCTION("""COMPUTED_VALUE"""),0.104926879222306)</f>
        <v>0.1049268792</v>
      </c>
      <c r="F173" s="16">
        <f>IFERROR(__xludf.DUMMYFUNCTION("""COMPUTED_VALUE"""),0.854412174611781)</f>
        <v>0.8544121746</v>
      </c>
      <c r="G173" s="16">
        <f>IFERROR(__xludf.DUMMYFUNCTION("""COMPUTED_VALUE"""),-0.507181129233326)</f>
        <v>-0.5071811292</v>
      </c>
      <c r="H173" s="16">
        <f t="shared" si="1"/>
        <v>0</v>
      </c>
    </row>
    <row r="174">
      <c r="B174" s="16">
        <f>IFERROR(__xludf.DUMMYFUNCTION("""COMPUTED_VALUE"""),17.2)</f>
        <v>17.2</v>
      </c>
      <c r="D174" s="16">
        <f>IFERROR(__xludf.DUMMYFUNCTION("""COMPUTED_VALUE"""),0.04168318655571)</f>
        <v>0.04168318656</v>
      </c>
      <c r="E174" s="16">
        <f>IFERROR(__xludf.DUMMYFUNCTION("""COMPUTED_VALUE"""),0.104926879222306)</f>
        <v>0.1049268792</v>
      </c>
      <c r="F174" s="16">
        <f>IFERROR(__xludf.DUMMYFUNCTION("""COMPUTED_VALUE"""),0.854412174611781)</f>
        <v>0.8544121746</v>
      </c>
      <c r="G174" s="16">
        <f>IFERROR(__xludf.DUMMYFUNCTION("""COMPUTED_VALUE"""),-0.507181129233326)</f>
        <v>-0.5071811292</v>
      </c>
      <c r="H174" s="16">
        <f t="shared" si="1"/>
        <v>0</v>
      </c>
    </row>
    <row r="175">
      <c r="B175" s="16">
        <f>IFERROR(__xludf.DUMMYFUNCTION("""COMPUTED_VALUE"""),17.3)</f>
        <v>17.3</v>
      </c>
      <c r="D175" s="16">
        <f>IFERROR(__xludf.DUMMYFUNCTION("""COMPUTED_VALUE"""),0.04168318655571)</f>
        <v>0.04168318656</v>
      </c>
      <c r="E175" s="16">
        <f>IFERROR(__xludf.DUMMYFUNCTION("""COMPUTED_VALUE"""),0.104926879222306)</f>
        <v>0.1049268792</v>
      </c>
      <c r="F175" s="16">
        <f>IFERROR(__xludf.DUMMYFUNCTION("""COMPUTED_VALUE"""),0.854412174611781)</f>
        <v>0.8544121746</v>
      </c>
      <c r="G175" s="16">
        <f>IFERROR(__xludf.DUMMYFUNCTION("""COMPUTED_VALUE"""),-0.507181129233326)</f>
        <v>-0.5071811292</v>
      </c>
      <c r="H175" s="16">
        <f t="shared" si="1"/>
        <v>0</v>
      </c>
    </row>
    <row r="176">
      <c r="B176" s="16">
        <f>IFERROR(__xludf.DUMMYFUNCTION("""COMPUTED_VALUE"""),17.4)</f>
        <v>17.4</v>
      </c>
      <c r="D176" s="16">
        <f>IFERROR(__xludf.DUMMYFUNCTION("""COMPUTED_VALUE"""),0.04168318655571)</f>
        <v>0.04168318656</v>
      </c>
      <c r="E176" s="16">
        <f>IFERROR(__xludf.DUMMYFUNCTION("""COMPUTED_VALUE"""),0.104926879222306)</f>
        <v>0.1049268792</v>
      </c>
      <c r="F176" s="16">
        <f>IFERROR(__xludf.DUMMYFUNCTION("""COMPUTED_VALUE"""),0.854412174611781)</f>
        <v>0.8544121746</v>
      </c>
      <c r="G176" s="16">
        <f>IFERROR(__xludf.DUMMYFUNCTION("""COMPUTED_VALUE"""),-0.507181129233326)</f>
        <v>-0.5071811292</v>
      </c>
      <c r="H176" s="16">
        <f t="shared" si="1"/>
        <v>0</v>
      </c>
    </row>
    <row r="177">
      <c r="B177" s="16">
        <f>IFERROR(__xludf.DUMMYFUNCTION("""COMPUTED_VALUE"""),17.5)</f>
        <v>17.5</v>
      </c>
      <c r="D177" s="16">
        <f>IFERROR(__xludf.DUMMYFUNCTION("""COMPUTED_VALUE"""),0.04168318655571)</f>
        <v>0.04168318656</v>
      </c>
      <c r="E177" s="16">
        <f>IFERROR(__xludf.DUMMYFUNCTION("""COMPUTED_VALUE"""),0.104926879222306)</f>
        <v>0.1049268792</v>
      </c>
      <c r="F177" s="16">
        <f>IFERROR(__xludf.DUMMYFUNCTION("""COMPUTED_VALUE"""),0.854412174611781)</f>
        <v>0.8544121746</v>
      </c>
      <c r="G177" s="16">
        <f>IFERROR(__xludf.DUMMYFUNCTION("""COMPUTED_VALUE"""),-0.507181129233326)</f>
        <v>-0.5071811292</v>
      </c>
      <c r="H177" s="16">
        <f t="shared" si="1"/>
        <v>0</v>
      </c>
    </row>
    <row r="178">
      <c r="B178" s="16">
        <f>IFERROR(__xludf.DUMMYFUNCTION("""COMPUTED_VALUE"""),17.6)</f>
        <v>17.6</v>
      </c>
      <c r="D178" s="16">
        <f>IFERROR(__xludf.DUMMYFUNCTION("""COMPUTED_VALUE"""),0.0483923692857453)</f>
        <v>0.04839236929</v>
      </c>
      <c r="E178" s="16">
        <f>IFERROR(__xludf.DUMMYFUNCTION("""COMPUTED_VALUE"""),0.100940292827459)</f>
        <v>0.1009402928</v>
      </c>
      <c r="F178" s="16">
        <f>IFERROR(__xludf.DUMMYFUNCTION("""COMPUTED_VALUE"""),0.854058446923384)</f>
        <v>0.8540584469</v>
      </c>
      <c r="G178" s="16">
        <f>IFERROR(__xludf.DUMMYFUNCTION("""COMPUTED_VALUE"""),-0.507989571859138)</f>
        <v>-0.5079895719</v>
      </c>
      <c r="H178" s="16">
        <f t="shared" si="1"/>
        <v>0</v>
      </c>
    </row>
    <row r="179">
      <c r="B179" s="16">
        <f>IFERROR(__xludf.DUMMYFUNCTION("""COMPUTED_VALUE"""),17.7)</f>
        <v>17.7</v>
      </c>
      <c r="D179" s="16">
        <f>IFERROR(__xludf.DUMMYFUNCTION("""COMPUTED_VALUE"""),0.133157830584787)</f>
        <v>0.1331578306</v>
      </c>
      <c r="E179" s="16">
        <f>IFERROR(__xludf.DUMMYFUNCTION("""COMPUTED_VALUE"""),0.0908576675472014)</f>
        <v>0.09085766755</v>
      </c>
      <c r="F179" s="16">
        <f>IFERROR(__xludf.DUMMYFUNCTION("""COMPUTED_VALUE"""),0.843627633064928)</f>
        <v>0.8436276331</v>
      </c>
      <c r="G179" s="16">
        <f>IFERROR(__xludf.DUMMYFUNCTION("""COMPUTED_VALUE"""),-0.512158464863266)</f>
        <v>-0.5121584649</v>
      </c>
      <c r="H179" s="16">
        <f t="shared" si="1"/>
        <v>0</v>
      </c>
    </row>
    <row r="180">
      <c r="B180" s="16">
        <f>IFERROR(__xludf.DUMMYFUNCTION("""COMPUTED_VALUE"""),17.8)</f>
        <v>17.8</v>
      </c>
      <c r="D180" s="16">
        <f>IFERROR(__xludf.DUMMYFUNCTION("""COMPUTED_VALUE"""),0.22290056724327)</f>
        <v>0.2229005672</v>
      </c>
      <c r="E180" s="16">
        <f>IFERROR(__xludf.DUMMYFUNCTION("""COMPUTED_VALUE"""),0.0899602613738859)</f>
        <v>0.08996026137</v>
      </c>
      <c r="F180" s="16">
        <f>IFERROR(__xludf.DUMMYFUNCTION("""COMPUTED_VALUE"""),0.825569738295538)</f>
        <v>0.8255697383</v>
      </c>
      <c r="G180" s="16">
        <f>IFERROR(__xludf.DUMMYFUNCTION("""COMPUTED_VALUE"""),-0.510545880119311)</f>
        <v>-0.5105458801</v>
      </c>
      <c r="H180" s="16">
        <f t="shared" si="1"/>
        <v>0</v>
      </c>
    </row>
    <row r="181">
      <c r="B181" s="16">
        <f>IFERROR(__xludf.DUMMYFUNCTION("""COMPUTED_VALUE"""),17.9)</f>
        <v>17.9</v>
      </c>
      <c r="D181" s="16">
        <f>IFERROR(__xludf.DUMMYFUNCTION("""COMPUTED_VALUE"""),0.294884919371436)</f>
        <v>0.2948849194</v>
      </c>
      <c r="E181" s="16">
        <f>IFERROR(__xludf.DUMMYFUNCTION("""COMPUTED_VALUE"""),0.0985321269199536)</f>
        <v>0.09853212692</v>
      </c>
      <c r="F181" s="16">
        <f>IFERROR(__xludf.DUMMYFUNCTION("""COMPUTED_VALUE"""),0.805861536591643)</f>
        <v>0.8058615366</v>
      </c>
      <c r="G181" s="16">
        <f>IFERROR(__xludf.DUMMYFUNCTION("""COMPUTED_VALUE"""),-0.503906229505135)</f>
        <v>-0.5039062295</v>
      </c>
      <c r="H181" s="16">
        <f t="shared" si="1"/>
        <v>0</v>
      </c>
    </row>
    <row r="182">
      <c r="B182" s="16">
        <f>IFERROR(__xludf.DUMMYFUNCTION("""COMPUTED_VALUE"""),18.0)</f>
        <v>18</v>
      </c>
      <c r="D182" s="16">
        <f>IFERROR(__xludf.DUMMYFUNCTION("""COMPUTED_VALUE"""),0.338403347416864)</f>
        <v>0.3384033474</v>
      </c>
      <c r="E182" s="16">
        <f>IFERROR(__xludf.DUMMYFUNCTION("""COMPUTED_VALUE"""),0.119338747699997)</f>
        <v>0.1193387477</v>
      </c>
      <c r="F182" s="16">
        <f>IFERROR(__xludf.DUMMYFUNCTION("""COMPUTED_VALUE"""),0.792471764368947)</f>
        <v>0.7924717644</v>
      </c>
      <c r="G182" s="16">
        <f>IFERROR(__xludf.DUMMYFUNCTION("""COMPUTED_VALUE"""),-0.493183475425141)</f>
        <v>-0.4931834754</v>
      </c>
      <c r="H182" s="16">
        <f t="shared" si="1"/>
        <v>0</v>
      </c>
    </row>
    <row r="183">
      <c r="B183" s="16">
        <f>IFERROR(__xludf.DUMMYFUNCTION("""COMPUTED_VALUE"""),18.1)</f>
        <v>18.1</v>
      </c>
      <c r="D183" s="16">
        <f>IFERROR(__xludf.DUMMYFUNCTION("""COMPUTED_VALUE"""),0.402543452454148)</f>
        <v>0.4025434525</v>
      </c>
      <c r="E183" s="16">
        <f>IFERROR(__xludf.DUMMYFUNCTION("""COMPUTED_VALUE"""),0.147544970724418)</f>
        <v>0.1475449707</v>
      </c>
      <c r="F183" s="16">
        <f>IFERROR(__xludf.DUMMYFUNCTION("""COMPUTED_VALUE"""),0.76794630647158)</f>
        <v>0.7679463065</v>
      </c>
      <c r="G183" s="16">
        <f>IFERROR(__xludf.DUMMYFUNCTION("""COMPUTED_VALUE"""),-0.475865233944315)</f>
        <v>-0.4758652339</v>
      </c>
      <c r="H183" s="16">
        <f t="shared" si="1"/>
        <v>0</v>
      </c>
    </row>
    <row r="184">
      <c r="B184" s="16">
        <f>IFERROR(__xludf.DUMMYFUNCTION("""COMPUTED_VALUE"""),18.2)</f>
        <v>18.2</v>
      </c>
      <c r="D184" s="16">
        <f>IFERROR(__xludf.DUMMYFUNCTION("""COMPUTED_VALUE"""),0.490238626269061)</f>
        <v>0.4902386263</v>
      </c>
      <c r="E184" s="16">
        <f>IFERROR(__xludf.DUMMYFUNCTION("""COMPUTED_VALUE"""),0.137155302767449)</f>
        <v>0.1371553028</v>
      </c>
      <c r="F184" s="16">
        <f>IFERROR(__xludf.DUMMYFUNCTION("""COMPUTED_VALUE"""),0.721264605753268)</f>
        <v>0.7212646058</v>
      </c>
      <c r="G184" s="16">
        <f>IFERROR(__xludf.DUMMYFUNCTION("""COMPUTED_VALUE"""),-0.46971468012419)</f>
        <v>-0.4697146801</v>
      </c>
      <c r="H184" s="16">
        <f t="shared" si="1"/>
        <v>0</v>
      </c>
    </row>
    <row r="185">
      <c r="B185" s="16">
        <f>IFERROR(__xludf.DUMMYFUNCTION("""COMPUTED_VALUE"""),18.3)</f>
        <v>18.3</v>
      </c>
      <c r="D185" s="16">
        <f>IFERROR(__xludf.DUMMYFUNCTION("""COMPUTED_VALUE"""),0.584438817973895)</f>
        <v>0.584438818</v>
      </c>
      <c r="E185" s="16">
        <f>IFERROR(__xludf.DUMMYFUNCTION("""COMPUTED_VALUE"""),0.100201171722974)</f>
        <v>0.1002011717</v>
      </c>
      <c r="F185" s="16">
        <f>IFERROR(__xludf.DUMMYFUNCTION("""COMPUTED_VALUE"""),0.655120589630067)</f>
        <v>0.6551205896</v>
      </c>
      <c r="G185" s="16">
        <f>IFERROR(__xludf.DUMMYFUNCTION("""COMPUTED_VALUE"""),-0.468196546626912)</f>
        <v>-0.4681965466</v>
      </c>
      <c r="H185" s="16">
        <f t="shared" si="1"/>
        <v>0</v>
      </c>
    </row>
    <row r="186">
      <c r="B186" s="16">
        <f>IFERROR(__xludf.DUMMYFUNCTION("""COMPUTED_VALUE"""),18.4)</f>
        <v>18.4</v>
      </c>
      <c r="D186" s="16">
        <f>IFERROR(__xludf.DUMMYFUNCTION("""COMPUTED_VALUE"""),0.584438817973895)</f>
        <v>0.584438818</v>
      </c>
      <c r="E186" s="16">
        <f>IFERROR(__xludf.DUMMYFUNCTION("""COMPUTED_VALUE"""),0.100201171722974)</f>
        <v>0.1002011717</v>
      </c>
      <c r="F186" s="16">
        <f>IFERROR(__xludf.DUMMYFUNCTION("""COMPUTED_VALUE"""),0.655120589630067)</f>
        <v>0.6551205896</v>
      </c>
      <c r="G186" s="16">
        <f>IFERROR(__xludf.DUMMYFUNCTION("""COMPUTED_VALUE"""),-0.468196546626912)</f>
        <v>-0.4681965466</v>
      </c>
      <c r="H186" s="16">
        <f t="shared" si="1"/>
        <v>0</v>
      </c>
    </row>
    <row r="187">
      <c r="B187" s="16">
        <f>IFERROR(__xludf.DUMMYFUNCTION("""COMPUTED_VALUE"""),18.5)</f>
        <v>18.5</v>
      </c>
      <c r="D187" s="16">
        <f>IFERROR(__xludf.DUMMYFUNCTION("""COMPUTED_VALUE"""),0.584438817973895)</f>
        <v>0.584438818</v>
      </c>
      <c r="E187" s="16">
        <f>IFERROR(__xludf.DUMMYFUNCTION("""COMPUTED_VALUE"""),0.100201171722974)</f>
        <v>0.1002011717</v>
      </c>
      <c r="F187" s="16">
        <f>IFERROR(__xludf.DUMMYFUNCTION("""COMPUTED_VALUE"""),0.655120589630067)</f>
        <v>0.6551205896</v>
      </c>
      <c r="G187" s="16">
        <f>IFERROR(__xludf.DUMMYFUNCTION("""COMPUTED_VALUE"""),-0.468196546626912)</f>
        <v>-0.4681965466</v>
      </c>
      <c r="H187" s="16">
        <f t="shared" si="1"/>
        <v>0</v>
      </c>
    </row>
    <row r="188">
      <c r="B188" s="16">
        <f>IFERROR(__xludf.DUMMYFUNCTION("""COMPUTED_VALUE"""),18.6)</f>
        <v>18.6</v>
      </c>
      <c r="D188" s="16">
        <f>IFERROR(__xludf.DUMMYFUNCTION("""COMPUTED_VALUE"""),0.584438817973895)</f>
        <v>0.584438818</v>
      </c>
      <c r="E188" s="16">
        <f>IFERROR(__xludf.DUMMYFUNCTION("""COMPUTED_VALUE"""),0.100201171722974)</f>
        <v>0.1002011717</v>
      </c>
      <c r="F188" s="16">
        <f>IFERROR(__xludf.DUMMYFUNCTION("""COMPUTED_VALUE"""),0.655120589630067)</f>
        <v>0.6551205896</v>
      </c>
      <c r="G188" s="16">
        <f>IFERROR(__xludf.DUMMYFUNCTION("""COMPUTED_VALUE"""),-0.468196546626912)</f>
        <v>-0.4681965466</v>
      </c>
      <c r="H188" s="16">
        <f t="shared" si="1"/>
        <v>0</v>
      </c>
    </row>
    <row r="189">
      <c r="B189" s="16">
        <f>IFERROR(__xludf.DUMMYFUNCTION("""COMPUTED_VALUE"""),18.7)</f>
        <v>18.7</v>
      </c>
      <c r="D189" s="16">
        <f>IFERROR(__xludf.DUMMYFUNCTION("""COMPUTED_VALUE"""),0.584438817973895)</f>
        <v>0.584438818</v>
      </c>
      <c r="E189" s="16">
        <f>IFERROR(__xludf.DUMMYFUNCTION("""COMPUTED_VALUE"""),0.100201171722974)</f>
        <v>0.1002011717</v>
      </c>
      <c r="F189" s="16">
        <f>IFERROR(__xludf.DUMMYFUNCTION("""COMPUTED_VALUE"""),0.655120589630067)</f>
        <v>0.6551205896</v>
      </c>
      <c r="G189" s="16">
        <f>IFERROR(__xludf.DUMMYFUNCTION("""COMPUTED_VALUE"""),-0.468196546626912)</f>
        <v>-0.4681965466</v>
      </c>
      <c r="H189" s="16">
        <f t="shared" si="1"/>
        <v>0</v>
      </c>
    </row>
    <row r="190">
      <c r="B190" s="16">
        <f>IFERROR(__xludf.DUMMYFUNCTION("""COMPUTED_VALUE"""),18.8)</f>
        <v>18.8</v>
      </c>
      <c r="D190" s="16">
        <f>IFERROR(__xludf.DUMMYFUNCTION("""COMPUTED_VALUE"""),0.584438817973895)</f>
        <v>0.584438818</v>
      </c>
      <c r="E190" s="16">
        <f>IFERROR(__xludf.DUMMYFUNCTION("""COMPUTED_VALUE"""),0.100201171722974)</f>
        <v>0.1002011717</v>
      </c>
      <c r="F190" s="16">
        <f>IFERROR(__xludf.DUMMYFUNCTION("""COMPUTED_VALUE"""),0.655120589630067)</f>
        <v>0.6551205896</v>
      </c>
      <c r="G190" s="16">
        <f>IFERROR(__xludf.DUMMYFUNCTION("""COMPUTED_VALUE"""),-0.468196546626912)</f>
        <v>-0.4681965466</v>
      </c>
      <c r="H190" s="16">
        <f t="shared" si="1"/>
        <v>0</v>
      </c>
    </row>
    <row r="191">
      <c r="B191" s="16">
        <f>IFERROR(__xludf.DUMMYFUNCTION("""COMPUTED_VALUE"""),18.9)</f>
        <v>18.9</v>
      </c>
      <c r="D191" s="16">
        <f>IFERROR(__xludf.DUMMYFUNCTION("""COMPUTED_VALUE"""),0.584438817973895)</f>
        <v>0.584438818</v>
      </c>
      <c r="E191" s="16">
        <f>IFERROR(__xludf.DUMMYFUNCTION("""COMPUTED_VALUE"""),0.100201171722974)</f>
        <v>0.1002011717</v>
      </c>
      <c r="F191" s="16">
        <f>IFERROR(__xludf.DUMMYFUNCTION("""COMPUTED_VALUE"""),0.655120589630067)</f>
        <v>0.6551205896</v>
      </c>
      <c r="G191" s="16">
        <f>IFERROR(__xludf.DUMMYFUNCTION("""COMPUTED_VALUE"""),-0.468196546626912)</f>
        <v>-0.4681965466</v>
      </c>
      <c r="H191" s="16">
        <f t="shared" si="1"/>
        <v>0</v>
      </c>
    </row>
    <row r="192">
      <c r="B192" s="16">
        <f>IFERROR(__xludf.DUMMYFUNCTION("""COMPUTED_VALUE"""),19.0)</f>
        <v>19</v>
      </c>
      <c r="D192" s="16">
        <f>IFERROR(__xludf.DUMMYFUNCTION("""COMPUTED_VALUE"""),0.584438817973895)</f>
        <v>0.584438818</v>
      </c>
      <c r="E192" s="16">
        <f>IFERROR(__xludf.DUMMYFUNCTION("""COMPUTED_VALUE"""),0.100201171722974)</f>
        <v>0.1002011717</v>
      </c>
      <c r="F192" s="16">
        <f>IFERROR(__xludf.DUMMYFUNCTION("""COMPUTED_VALUE"""),0.655120589630067)</f>
        <v>0.6551205896</v>
      </c>
      <c r="G192" s="16">
        <f>IFERROR(__xludf.DUMMYFUNCTION("""COMPUTED_VALUE"""),-0.468196546626912)</f>
        <v>-0.4681965466</v>
      </c>
      <c r="H192" s="16">
        <f t="shared" si="1"/>
        <v>0</v>
      </c>
    </row>
    <row r="193">
      <c r="B193" s="16">
        <f>IFERROR(__xludf.DUMMYFUNCTION("""COMPUTED_VALUE"""),19.1)</f>
        <v>19.1</v>
      </c>
      <c r="D193" s="16">
        <f>IFERROR(__xludf.DUMMYFUNCTION("""COMPUTED_VALUE"""),0.607702822986065)</f>
        <v>0.607702823</v>
      </c>
      <c r="E193" s="16">
        <f>IFERROR(__xludf.DUMMYFUNCTION("""COMPUTED_VALUE"""),0.0949774763312764)</f>
        <v>0.09497747633</v>
      </c>
      <c r="F193" s="16">
        <f>IFERROR(__xludf.DUMMYFUNCTION("""COMPUTED_VALUE"""),0.637605781724021)</f>
        <v>0.6376057817</v>
      </c>
      <c r="G193" s="16">
        <f>IFERROR(__xludf.DUMMYFUNCTION("""COMPUTED_VALUE"""),-0.463826934358713)</f>
        <v>-0.4638269344</v>
      </c>
      <c r="H193" s="16">
        <f t="shared" si="1"/>
        <v>0</v>
      </c>
    </row>
    <row r="194">
      <c r="B194" s="16">
        <f>IFERROR(__xludf.DUMMYFUNCTION("""COMPUTED_VALUE"""),19.2)</f>
        <v>19.2</v>
      </c>
      <c r="D194" s="16">
        <f>IFERROR(__xludf.DUMMYFUNCTION("""COMPUTED_VALUE"""),0.63106130133636)</f>
        <v>0.6310613013</v>
      </c>
      <c r="E194" s="16">
        <f>IFERROR(__xludf.DUMMYFUNCTION("""COMPUTED_VALUE"""),0.0853190615547375)</f>
        <v>0.08531906155</v>
      </c>
      <c r="F194" s="16">
        <f>IFERROR(__xludf.DUMMYFUNCTION("""COMPUTED_VALUE"""),0.61747333887131)</f>
        <v>0.6174733389</v>
      </c>
      <c r="G194" s="16">
        <f>IFERROR(__xludf.DUMMYFUNCTION("""COMPUTED_VALUE"""),-0.461745565733109)</f>
        <v>-0.4617455657</v>
      </c>
      <c r="H194" s="16">
        <f t="shared" si="1"/>
        <v>0</v>
      </c>
    </row>
    <row r="195">
      <c r="B195" s="16">
        <f>IFERROR(__xludf.DUMMYFUNCTION("""COMPUTED_VALUE"""),19.3)</f>
        <v>19.3</v>
      </c>
      <c r="D195" s="16">
        <f>IFERROR(__xludf.DUMMYFUNCTION("""COMPUTED_VALUE"""),0.638880871886912)</f>
        <v>0.6388808719</v>
      </c>
      <c r="E195" s="16">
        <f>IFERROR(__xludf.DUMMYFUNCTION("""COMPUTED_VALUE"""),0.0907443602788798)</f>
        <v>0.09074436028</v>
      </c>
      <c r="F195" s="16">
        <f>IFERROR(__xludf.DUMMYFUNCTION("""COMPUTED_VALUE"""),0.613963986168838)</f>
        <v>0.6139639862</v>
      </c>
      <c r="G195" s="16">
        <f>IFERROR(__xludf.DUMMYFUNCTION("""COMPUTED_VALUE"""),-0.454582133725316)</f>
        <v>-0.4545821337</v>
      </c>
      <c r="H195" s="16">
        <f t="shared" si="1"/>
        <v>0</v>
      </c>
    </row>
    <row r="196">
      <c r="B196" s="16">
        <f>IFERROR(__xludf.DUMMYFUNCTION("""COMPUTED_VALUE"""),19.4)</f>
        <v>19.4</v>
      </c>
      <c r="D196" s="16">
        <f>IFERROR(__xludf.DUMMYFUNCTION("""COMPUTED_VALUE"""),0.646599270743764)</f>
        <v>0.6465992707</v>
      </c>
      <c r="E196" s="16">
        <f>IFERROR(__xludf.DUMMYFUNCTION("""COMPUTED_VALUE"""),0.0961752591947159)</f>
        <v>0.09617525919</v>
      </c>
      <c r="F196" s="16">
        <f>IFERROR(__xludf.DUMMYFUNCTION("""COMPUTED_VALUE"""),0.610345779455063)</f>
        <v>0.6103457795</v>
      </c>
      <c r="G196" s="16">
        <f>IFERROR(__xludf.DUMMYFUNCTION("""COMPUTED_VALUE"""),-0.447367558159784)</f>
        <v>-0.4473675582</v>
      </c>
      <c r="H196" s="16">
        <f t="shared" si="1"/>
        <v>0</v>
      </c>
    </row>
    <row r="197">
      <c r="B197" s="16">
        <f>IFERROR(__xludf.DUMMYFUNCTION("""COMPUTED_VALUE"""),19.5)</f>
        <v>19.5</v>
      </c>
      <c r="D197" s="16">
        <f>IFERROR(__xludf.DUMMYFUNCTION("""COMPUTED_VALUE"""),0.652148000286669)</f>
        <v>0.6521480003</v>
      </c>
      <c r="E197" s="16">
        <f>IFERROR(__xludf.DUMMYFUNCTION("""COMPUTED_VALUE"""),0.114028301873035)</f>
        <v>0.1140283019</v>
      </c>
      <c r="F197" s="16">
        <f>IFERROR(__xludf.DUMMYFUNCTION("""COMPUTED_VALUE"""),0.612976402678138)</f>
        <v>0.6129764027</v>
      </c>
      <c r="G197" s="16">
        <f>IFERROR(__xludf.DUMMYFUNCTION("""COMPUTED_VALUE"""),-0.431231332180088)</f>
        <v>-0.4312313322</v>
      </c>
      <c r="H197" s="16">
        <f t="shared" si="1"/>
        <v>0</v>
      </c>
    </row>
    <row r="198">
      <c r="B198" s="16">
        <f>IFERROR(__xludf.DUMMYFUNCTION("""COMPUTED_VALUE"""),19.6)</f>
        <v>19.6</v>
      </c>
      <c r="D198" s="16">
        <f>IFERROR(__xludf.DUMMYFUNCTION("""COMPUTED_VALUE"""),0.654772514629626)</f>
        <v>0.6547725146</v>
      </c>
      <c r="E198" s="16">
        <f>IFERROR(__xludf.DUMMYFUNCTION("""COMPUTED_VALUE"""),0.122924112032619)</f>
        <v>0.122924112</v>
      </c>
      <c r="F198" s="16">
        <f>IFERROR(__xludf.DUMMYFUNCTION("""COMPUTED_VALUE"""),0.61415341926125)</f>
        <v>0.6141534193</v>
      </c>
      <c r="G198" s="16">
        <f>IFERROR(__xludf.DUMMYFUNCTION("""COMPUTED_VALUE"""),-0.423058145384646)</f>
        <v>-0.4230581454</v>
      </c>
      <c r="H198" s="16">
        <f t="shared" si="1"/>
        <v>0</v>
      </c>
    </row>
    <row r="199">
      <c r="B199" s="16">
        <f>IFERROR(__xludf.DUMMYFUNCTION("""COMPUTED_VALUE"""),19.7)</f>
        <v>19.7</v>
      </c>
      <c r="D199" s="16">
        <f>IFERROR(__xludf.DUMMYFUNCTION("""COMPUTED_VALUE"""),0.659710997707828)</f>
        <v>0.6597109977</v>
      </c>
      <c r="E199" s="16">
        <f>IFERROR(__xludf.DUMMYFUNCTION("""COMPUTED_VALUE"""),0.130150738664319)</f>
        <v>0.1301507387</v>
      </c>
      <c r="F199" s="16">
        <f>IFERROR(__xludf.DUMMYFUNCTION("""COMPUTED_VALUE"""),0.612662668141633)</f>
        <v>0.6126626681</v>
      </c>
      <c r="G199" s="16">
        <f>IFERROR(__xludf.DUMMYFUNCTION("""COMPUTED_VALUE"""),-0.415315109036551)</f>
        <v>-0.415315109</v>
      </c>
      <c r="H199" s="16">
        <f t="shared" si="1"/>
        <v>0</v>
      </c>
    </row>
    <row r="200">
      <c r="B200" s="16">
        <f>IFERROR(__xludf.DUMMYFUNCTION("""COMPUTED_VALUE"""),19.8)</f>
        <v>19.8</v>
      </c>
      <c r="D200" s="16">
        <f>IFERROR(__xludf.DUMMYFUNCTION("""COMPUTED_VALUE"""),0.659710997707828)</f>
        <v>0.6597109977</v>
      </c>
      <c r="E200" s="16">
        <f>IFERROR(__xludf.DUMMYFUNCTION("""COMPUTED_VALUE"""),0.130150738664319)</f>
        <v>0.1301507387</v>
      </c>
      <c r="F200" s="16">
        <f>IFERROR(__xludf.DUMMYFUNCTION("""COMPUTED_VALUE"""),0.612662668141633)</f>
        <v>0.6126626681</v>
      </c>
      <c r="G200" s="16">
        <f>IFERROR(__xludf.DUMMYFUNCTION("""COMPUTED_VALUE"""),-0.415315109036551)</f>
        <v>-0.415315109</v>
      </c>
      <c r="H200" s="16">
        <f t="shared" si="1"/>
        <v>0</v>
      </c>
    </row>
    <row r="201">
      <c r="B201" s="16">
        <f>IFERROR(__xludf.DUMMYFUNCTION("""COMPUTED_VALUE"""),19.9)</f>
        <v>19.9</v>
      </c>
      <c r="D201" s="16">
        <f>IFERROR(__xludf.DUMMYFUNCTION("""COMPUTED_VALUE"""),0.669252897451017)</f>
        <v>0.6692528975</v>
      </c>
      <c r="E201" s="16">
        <f>IFERROR(__xludf.DUMMYFUNCTION("""COMPUTED_VALUE"""),0.123611196283928)</f>
        <v>0.1236111963</v>
      </c>
      <c r="F201" s="16">
        <f>IFERROR(__xludf.DUMMYFUNCTION("""COMPUTED_VALUE"""),0.602224795806767)</f>
        <v>0.6022247958</v>
      </c>
      <c r="G201" s="16">
        <f>IFERROR(__xludf.DUMMYFUNCTION("""COMPUTED_VALUE"""),-0.417308191534945)</f>
        <v>-0.4173081915</v>
      </c>
      <c r="H201" s="16">
        <f t="shared" si="1"/>
        <v>0</v>
      </c>
    </row>
    <row r="202">
      <c r="B202" s="16">
        <f>IFERROR(__xludf.DUMMYFUNCTION("""COMPUTED_VALUE"""),20.0)</f>
        <v>20</v>
      </c>
      <c r="D202" s="16">
        <f>IFERROR(__xludf.DUMMYFUNCTION("""COMPUTED_VALUE"""),0.703328117253393)</f>
        <v>0.7033281173</v>
      </c>
      <c r="E202" s="16">
        <f>IFERROR(__xludf.DUMMYFUNCTION("""COMPUTED_VALUE"""),0.113361004038186)</f>
        <v>0.113361004</v>
      </c>
      <c r="F202" s="16">
        <f>IFERROR(__xludf.DUMMYFUNCTION("""COMPUTED_VALUE"""),0.567952167461727)</f>
        <v>0.5679521675</v>
      </c>
      <c r="G202" s="16">
        <f>IFERROR(__xludf.DUMMYFUNCTION("""COMPUTED_VALUE"""),-0.412200409655027)</f>
        <v>-0.4122004097</v>
      </c>
      <c r="H202" s="16">
        <f t="shared" si="1"/>
        <v>0</v>
      </c>
    </row>
    <row r="203">
      <c r="B203" s="16">
        <f>IFERROR(__xludf.DUMMYFUNCTION("""COMPUTED_VALUE"""),20.1)</f>
        <v>20.1</v>
      </c>
      <c r="D203" s="16">
        <f>IFERROR(__xludf.DUMMYFUNCTION("""COMPUTED_VALUE"""),0.707767064858955)</f>
        <v>0.7077670649</v>
      </c>
      <c r="E203" s="16">
        <f>IFERROR(__xludf.DUMMYFUNCTION("""COMPUTED_VALUE"""),0.110120126650765)</f>
        <v>0.1101201267</v>
      </c>
      <c r="F203" s="16">
        <f>IFERROR(__xludf.DUMMYFUNCTION("""COMPUTED_VALUE"""),0.562410781319683)</f>
        <v>0.5624107813</v>
      </c>
      <c r="G203" s="16">
        <f>IFERROR(__xludf.DUMMYFUNCTION("""COMPUTED_VALUE"""),-0.41307802248817)</f>
        <v>-0.4130780225</v>
      </c>
      <c r="H203" s="16">
        <f t="shared" si="1"/>
        <v>0</v>
      </c>
    </row>
    <row r="204">
      <c r="B204" s="16">
        <f>IFERROR(__xludf.DUMMYFUNCTION("""COMPUTED_VALUE"""),20.2)</f>
        <v>20.2</v>
      </c>
      <c r="D204" s="16">
        <f>IFERROR(__xludf.DUMMYFUNCTION("""COMPUTED_VALUE"""),0.735994690224044)</f>
        <v>0.7359946902</v>
      </c>
      <c r="E204" s="16">
        <f>IFERROR(__xludf.DUMMYFUNCTION("""COMPUTED_VALUE"""),0.08492785105147)</f>
        <v>0.08492785105</v>
      </c>
      <c r="F204" s="16">
        <f>IFERROR(__xludf.DUMMYFUNCTION("""COMPUTED_VALUE"""),0.523167107132925)</f>
        <v>0.5231671071</v>
      </c>
      <c r="G204" s="16">
        <f>IFERROR(__xludf.DUMMYFUNCTION("""COMPUTED_VALUE"""),-0.421183159791501)</f>
        <v>-0.4211831598</v>
      </c>
      <c r="H204" s="16">
        <f t="shared" si="1"/>
        <v>0</v>
      </c>
    </row>
    <row r="205">
      <c r="B205" s="16">
        <f>IFERROR(__xludf.DUMMYFUNCTION("""COMPUTED_VALUE"""),20.3)</f>
        <v>20.3</v>
      </c>
      <c r="D205" s="16">
        <f>IFERROR(__xludf.DUMMYFUNCTION("""COMPUTED_VALUE"""),0.749406766399192)</f>
        <v>0.7494067664</v>
      </c>
      <c r="E205" s="16">
        <f>IFERROR(__xludf.DUMMYFUNCTION("""COMPUTED_VALUE"""),0.0807708389755928)</f>
        <v>0.08077083898</v>
      </c>
      <c r="F205" s="16">
        <f>IFERROR(__xludf.DUMMYFUNCTION("""COMPUTED_VALUE"""),0.507920031865688)</f>
        <v>0.5079200319</v>
      </c>
      <c r="G205" s="16">
        <f>IFERROR(__xludf.DUMMYFUNCTION("""COMPUTED_VALUE"""),-0.416992579401407)</f>
        <v>-0.4169925794</v>
      </c>
      <c r="H205" s="16">
        <f t="shared" si="1"/>
        <v>0</v>
      </c>
    </row>
    <row r="206">
      <c r="B206" s="16">
        <f>IFERROR(__xludf.DUMMYFUNCTION("""COMPUTED_VALUE"""),20.4)</f>
        <v>20.4</v>
      </c>
      <c r="D206" s="16">
        <f>IFERROR(__xludf.DUMMYFUNCTION("""COMPUTED_VALUE"""),0.751395580124789)</f>
        <v>0.7513955801</v>
      </c>
      <c r="E206" s="16">
        <f>IFERROR(__xludf.DUMMYFUNCTION("""COMPUTED_VALUE"""),0.0791326944100052)</f>
        <v>0.07913269441</v>
      </c>
      <c r="F206" s="16">
        <f>IFERROR(__xludf.DUMMYFUNCTION("""COMPUTED_VALUE"""),0.504973209650043)</f>
        <v>0.5049732097</v>
      </c>
      <c r="G206" s="16">
        <f>IFERROR(__xludf.DUMMYFUNCTION("""COMPUTED_VALUE"""),-0.417306549649143)</f>
        <v>-0.4173065496</v>
      </c>
      <c r="H206" s="16">
        <f t="shared" si="1"/>
        <v>0</v>
      </c>
    </row>
    <row r="207">
      <c r="B207" s="16">
        <f>IFERROR(__xludf.DUMMYFUNCTION("""COMPUTED_VALUE"""),20.5)</f>
        <v>20.5</v>
      </c>
      <c r="D207" s="16">
        <f>IFERROR(__xludf.DUMMYFUNCTION("""COMPUTED_VALUE"""),0.751395580124789)</f>
        <v>0.7513955801</v>
      </c>
      <c r="E207" s="16">
        <f>IFERROR(__xludf.DUMMYFUNCTION("""COMPUTED_VALUE"""),0.0791326944100052)</f>
        <v>0.07913269441</v>
      </c>
      <c r="F207" s="16">
        <f>IFERROR(__xludf.DUMMYFUNCTION("""COMPUTED_VALUE"""),0.504973209650043)</f>
        <v>0.5049732097</v>
      </c>
      <c r="G207" s="16">
        <f>IFERROR(__xludf.DUMMYFUNCTION("""COMPUTED_VALUE"""),-0.417306549649143)</f>
        <v>-0.4173065496</v>
      </c>
      <c r="H207" s="16">
        <f t="shared" si="1"/>
        <v>0</v>
      </c>
    </row>
    <row r="208">
      <c r="B208" s="16">
        <f>IFERROR(__xludf.DUMMYFUNCTION("""COMPUTED_VALUE"""),20.6)</f>
        <v>20.6</v>
      </c>
      <c r="D208" s="16">
        <f>IFERROR(__xludf.DUMMYFUNCTION("""COMPUTED_VALUE"""),0.765241771641033)</f>
        <v>0.7652417716</v>
      </c>
      <c r="E208" s="16">
        <f>IFERROR(__xludf.DUMMYFUNCTION("""COMPUTED_VALUE"""),0.0640022067680238)</f>
        <v>0.06400220677</v>
      </c>
      <c r="F208" s="16">
        <f>IFERROR(__xludf.DUMMYFUNCTION("""COMPUTED_VALUE"""),0.481429139760134)</f>
        <v>0.4814291398</v>
      </c>
      <c r="G208" s="16">
        <f>IFERROR(__xludf.DUMMYFUNCTION("""COMPUTED_VALUE"""),-0.422533704992073)</f>
        <v>-0.422533705</v>
      </c>
      <c r="H208" s="16">
        <f t="shared" si="1"/>
        <v>0</v>
      </c>
    </row>
    <row r="209">
      <c r="B209" s="16">
        <f>IFERROR(__xludf.DUMMYFUNCTION("""COMPUTED_VALUE"""),20.7)</f>
        <v>20.7</v>
      </c>
      <c r="D209" s="16">
        <f>IFERROR(__xludf.DUMMYFUNCTION("""COMPUTED_VALUE"""),0.772709325704473)</f>
        <v>0.7727093257</v>
      </c>
      <c r="E209" s="16">
        <f>IFERROR(__xludf.DUMMYFUNCTION("""COMPUTED_VALUE"""),0.0573574401935271)</f>
        <v>0.05735744019</v>
      </c>
      <c r="F209" s="16">
        <f>IFERROR(__xludf.DUMMYFUNCTION("""COMPUTED_VALUE"""),0.469349852076068)</f>
        <v>0.4693498521</v>
      </c>
      <c r="G209" s="16">
        <f>IFERROR(__xludf.DUMMYFUNCTION("""COMPUTED_VALUE"""),-0.423486881000995)</f>
        <v>-0.423486881</v>
      </c>
      <c r="H209" s="16">
        <f t="shared" si="1"/>
        <v>0</v>
      </c>
    </row>
    <row r="210">
      <c r="B210" s="16">
        <f>IFERROR(__xludf.DUMMYFUNCTION("""COMPUTED_VALUE"""),20.8)</f>
        <v>20.8</v>
      </c>
      <c r="D210" s="16">
        <f>IFERROR(__xludf.DUMMYFUNCTION("""COMPUTED_VALUE"""),0.77637172064092)</f>
        <v>0.7763717206</v>
      </c>
      <c r="E210" s="16">
        <f>IFERROR(__xludf.DUMMYFUNCTION("""COMPUTED_VALUE"""),0.0540296472631189)</f>
        <v>0.05402964726</v>
      </c>
      <c r="F210" s="16">
        <f>IFERROR(__xludf.DUMMYFUNCTION("""COMPUTED_VALUE"""),0.463266593942998)</f>
        <v>0.4632665939</v>
      </c>
      <c r="G210" s="16">
        <f>IFERROR(__xludf.DUMMYFUNCTION("""COMPUTED_VALUE"""),-0.423924299306053)</f>
        <v>-0.4239242993</v>
      </c>
      <c r="H210" s="16">
        <f t="shared" si="1"/>
        <v>0</v>
      </c>
    </row>
    <row r="211">
      <c r="B211" s="16">
        <f>IFERROR(__xludf.DUMMYFUNCTION("""COMPUTED_VALUE"""),20.9)</f>
        <v>20.9</v>
      </c>
      <c r="D211" s="16">
        <f>IFERROR(__xludf.DUMMYFUNCTION("""COMPUTED_VALUE"""),0.77637172064092)</f>
        <v>0.7763717206</v>
      </c>
      <c r="E211" s="16">
        <f>IFERROR(__xludf.DUMMYFUNCTION("""COMPUTED_VALUE"""),0.0540296472631189)</f>
        <v>0.05402964726</v>
      </c>
      <c r="F211" s="16">
        <f>IFERROR(__xludf.DUMMYFUNCTION("""COMPUTED_VALUE"""),0.463266593942998)</f>
        <v>0.4632665939</v>
      </c>
      <c r="G211" s="16">
        <f>IFERROR(__xludf.DUMMYFUNCTION("""COMPUTED_VALUE"""),-0.423924299306053)</f>
        <v>-0.4239242993</v>
      </c>
      <c r="H211" s="16">
        <f t="shared" si="1"/>
        <v>0</v>
      </c>
    </row>
    <row r="212">
      <c r="B212" s="16">
        <f>IFERROR(__xludf.DUMMYFUNCTION("""COMPUTED_VALUE"""),21.0)</f>
        <v>21</v>
      </c>
      <c r="D212" s="16">
        <f>IFERROR(__xludf.DUMMYFUNCTION("""COMPUTED_VALUE"""),0.77637172064092)</f>
        <v>0.7763717206</v>
      </c>
      <c r="E212" s="16">
        <f>IFERROR(__xludf.DUMMYFUNCTION("""COMPUTED_VALUE"""),0.0540296472631189)</f>
        <v>0.05402964726</v>
      </c>
      <c r="F212" s="16">
        <f>IFERROR(__xludf.DUMMYFUNCTION("""COMPUTED_VALUE"""),0.463266593942998)</f>
        <v>0.4632665939</v>
      </c>
      <c r="G212" s="16">
        <f>IFERROR(__xludf.DUMMYFUNCTION("""COMPUTED_VALUE"""),-0.423924299306053)</f>
        <v>-0.4239242993</v>
      </c>
      <c r="H212" s="16">
        <f t="shared" si="1"/>
        <v>0</v>
      </c>
    </row>
    <row r="213">
      <c r="B213" s="16">
        <f>IFERROR(__xludf.DUMMYFUNCTION("""COMPUTED_VALUE"""),21.1)</f>
        <v>21.1</v>
      </c>
      <c r="D213" s="16">
        <f>IFERROR(__xludf.DUMMYFUNCTION("""COMPUTED_VALUE"""),0.762500336704448)</f>
        <v>0.7625003367</v>
      </c>
      <c r="E213" s="16">
        <f>IFERROR(__xludf.DUMMYFUNCTION("""COMPUTED_VALUE"""),0.0465235837694941)</f>
        <v>0.04652358377</v>
      </c>
      <c r="F213" s="16">
        <f>IFERROR(__xludf.DUMMYFUNCTION("""COMPUTED_VALUE"""),0.470441049728203)</f>
        <v>0.4704410497</v>
      </c>
      <c r="G213" s="16">
        <f>IFERROR(__xludf.DUMMYFUNCTION("""COMPUTED_VALUE"""),-0.441717116953223)</f>
        <v>-0.441717117</v>
      </c>
      <c r="H213" s="16">
        <f t="shared" si="1"/>
        <v>0</v>
      </c>
    </row>
    <row r="214">
      <c r="B214" s="16">
        <f>IFERROR(__xludf.DUMMYFUNCTION("""COMPUTED_VALUE"""),21.2)</f>
        <v>21.2</v>
      </c>
      <c r="D214" s="16">
        <f>IFERROR(__xludf.DUMMYFUNCTION("""COMPUTED_VALUE"""),0.733275512562918)</f>
        <v>0.7332755126</v>
      </c>
      <c r="E214" s="16">
        <f>IFERROR(__xludf.DUMMYFUNCTION("""COMPUTED_VALUE"""),0.0384835625344962)</f>
        <v>0.03848356253</v>
      </c>
      <c r="F214" s="16">
        <f>IFERROR(__xludf.DUMMYFUNCTION("""COMPUTED_VALUE"""),0.489694708966764)</f>
        <v>0.489694709</v>
      </c>
      <c r="G214" s="16">
        <f>IFERROR(__xludf.DUMMYFUNCTION("""COMPUTED_VALUE"""),-0.470133098281959)</f>
        <v>-0.4701330983</v>
      </c>
      <c r="H214" s="16">
        <f t="shared" si="1"/>
        <v>0</v>
      </c>
    </row>
    <row r="215">
      <c r="B215" s="16">
        <f>IFERROR(__xludf.DUMMYFUNCTION("""COMPUTED_VALUE"""),21.3)</f>
        <v>21.3</v>
      </c>
      <c r="D215" s="16">
        <f>IFERROR(__xludf.DUMMYFUNCTION("""COMPUTED_VALUE"""),0.700521056338614)</f>
        <v>0.7005210563</v>
      </c>
      <c r="E215" s="16">
        <f>IFERROR(__xludf.DUMMYFUNCTION("""COMPUTED_VALUE"""),0.0321574696612032)</f>
        <v>0.03215746966</v>
      </c>
      <c r="F215" s="16">
        <f>IFERROR(__xludf.DUMMYFUNCTION("""COMPUTED_VALUE"""),0.5107775206713)</f>
        <v>0.5107775207</v>
      </c>
      <c r="G215" s="16">
        <f>IFERROR(__xludf.DUMMYFUNCTION("""COMPUTED_VALUE"""),-0.497335370899854)</f>
        <v>-0.4973353709</v>
      </c>
      <c r="H215" s="16">
        <f t="shared" si="1"/>
        <v>0</v>
      </c>
    </row>
    <row r="216">
      <c r="B216" s="16">
        <f>IFERROR(__xludf.DUMMYFUNCTION("""COMPUTED_VALUE"""),21.4)</f>
        <v>21.4</v>
      </c>
      <c r="D216" s="16">
        <f>IFERROR(__xludf.DUMMYFUNCTION("""COMPUTED_VALUE"""),0.692602827558268)</f>
        <v>0.6926028276</v>
      </c>
      <c r="E216" s="16">
        <f>IFERROR(__xludf.DUMMYFUNCTION("""COMPUTED_VALUE"""),0.0280798878728718)</f>
        <v>0.02807988787</v>
      </c>
      <c r="F216" s="16">
        <f>IFERROR(__xludf.DUMMYFUNCTION("""COMPUTED_VALUE"""),0.513875525437619)</f>
        <v>0.5138755254</v>
      </c>
      <c r="G216" s="16">
        <f>IFERROR(__xludf.DUMMYFUNCTION("""COMPUTED_VALUE"""),-0.505415460301269)</f>
        <v>-0.5054154603</v>
      </c>
      <c r="H216" s="16">
        <f t="shared" si="1"/>
        <v>0</v>
      </c>
    </row>
    <row r="217">
      <c r="B217" s="16">
        <f>IFERROR(__xludf.DUMMYFUNCTION("""COMPUTED_VALUE"""),21.5)</f>
        <v>21.5</v>
      </c>
      <c r="D217" s="16">
        <f>IFERROR(__xludf.DUMMYFUNCTION("""COMPUTED_VALUE"""),0.682543504222615)</f>
        <v>0.6825435042</v>
      </c>
      <c r="E217" s="16">
        <f>IFERROR(__xludf.DUMMYFUNCTION("""COMPUTED_VALUE"""),0.025992651734206)</f>
        <v>0.02599265173</v>
      </c>
      <c r="F217" s="16">
        <f>IFERROR(__xludf.DUMMYFUNCTION("""COMPUTED_VALUE"""),0.519594266945251)</f>
        <v>0.5195942669</v>
      </c>
      <c r="G217" s="16">
        <f>IFERROR(__xludf.DUMMYFUNCTION("""COMPUTED_VALUE"""),-0.513303559949626)</f>
        <v>-0.5133035599</v>
      </c>
      <c r="H217" s="16">
        <f t="shared" si="1"/>
        <v>0</v>
      </c>
    </row>
    <row r="218">
      <c r="B218" s="16">
        <f>IFERROR(__xludf.DUMMYFUNCTION("""COMPUTED_VALUE"""),21.6)</f>
        <v>21.6</v>
      </c>
      <c r="D218" s="16">
        <f>IFERROR(__xludf.DUMMYFUNCTION("""COMPUTED_VALUE"""),0.651500503036406)</f>
        <v>0.651500503</v>
      </c>
      <c r="E218" s="16">
        <f>IFERROR(__xludf.DUMMYFUNCTION("""COMPUTED_VALUE"""),0.011545416838042)</f>
        <v>0.01154541684</v>
      </c>
      <c r="F218" s="16">
        <f>IFERROR(__xludf.DUMMYFUNCTION("""COMPUTED_VALUE"""),0.530916267269829)</f>
        <v>0.5309162673</v>
      </c>
      <c r="G218" s="16">
        <f>IFERROR(__xludf.DUMMYFUNCTION("""COMPUTED_VALUE"""),-0.541794901269486)</f>
        <v>-0.5417949013</v>
      </c>
      <c r="H218" s="16">
        <f t="shared" si="1"/>
        <v>0</v>
      </c>
    </row>
    <row r="219">
      <c r="B219" s="16">
        <f>IFERROR(__xludf.DUMMYFUNCTION("""COMPUTED_VALUE"""),21.7)</f>
        <v>21.7</v>
      </c>
      <c r="D219" s="16">
        <f>IFERROR(__xludf.DUMMYFUNCTION("""COMPUTED_VALUE"""),0.651500503036406)</f>
        <v>0.651500503</v>
      </c>
      <c r="E219" s="16">
        <f>IFERROR(__xludf.DUMMYFUNCTION("""COMPUTED_VALUE"""),0.011545416838042)</f>
        <v>0.01154541684</v>
      </c>
      <c r="F219" s="16">
        <f>IFERROR(__xludf.DUMMYFUNCTION("""COMPUTED_VALUE"""),0.530916267269829)</f>
        <v>0.5309162673</v>
      </c>
      <c r="G219" s="16">
        <f>IFERROR(__xludf.DUMMYFUNCTION("""COMPUTED_VALUE"""),-0.541794901269486)</f>
        <v>-0.5417949013</v>
      </c>
      <c r="H219" s="16">
        <f t="shared" si="1"/>
        <v>0</v>
      </c>
    </row>
    <row r="220">
      <c r="B220" s="16">
        <f>IFERROR(__xludf.DUMMYFUNCTION("""COMPUTED_VALUE"""),21.8)</f>
        <v>21.8</v>
      </c>
      <c r="D220" s="16">
        <f>IFERROR(__xludf.DUMMYFUNCTION("""COMPUTED_VALUE"""),0.651500503036406)</f>
        <v>0.651500503</v>
      </c>
      <c r="E220" s="16">
        <f>IFERROR(__xludf.DUMMYFUNCTION("""COMPUTED_VALUE"""),0.011545416838042)</f>
        <v>0.01154541684</v>
      </c>
      <c r="F220" s="16">
        <f>IFERROR(__xludf.DUMMYFUNCTION("""COMPUTED_VALUE"""),0.530916267269829)</f>
        <v>0.5309162673</v>
      </c>
      <c r="G220" s="16">
        <f>IFERROR(__xludf.DUMMYFUNCTION("""COMPUTED_VALUE"""),-0.541794901269486)</f>
        <v>-0.5417949013</v>
      </c>
      <c r="H220" s="16">
        <f t="shared" si="1"/>
        <v>0</v>
      </c>
    </row>
    <row r="221">
      <c r="B221" s="16">
        <f>IFERROR(__xludf.DUMMYFUNCTION("""COMPUTED_VALUE"""),21.9)</f>
        <v>21.9</v>
      </c>
      <c r="D221" s="16">
        <f>IFERROR(__xludf.DUMMYFUNCTION("""COMPUTED_VALUE"""),0.651500503036406)</f>
        <v>0.651500503</v>
      </c>
      <c r="E221" s="16">
        <f>IFERROR(__xludf.DUMMYFUNCTION("""COMPUTED_VALUE"""),0.011545416838042)</f>
        <v>0.01154541684</v>
      </c>
      <c r="F221" s="16">
        <f>IFERROR(__xludf.DUMMYFUNCTION("""COMPUTED_VALUE"""),0.530916267269829)</f>
        <v>0.5309162673</v>
      </c>
      <c r="G221" s="16">
        <f>IFERROR(__xludf.DUMMYFUNCTION("""COMPUTED_VALUE"""),-0.541794901269486)</f>
        <v>-0.5417949013</v>
      </c>
      <c r="H221" s="16">
        <f t="shared" si="1"/>
        <v>0</v>
      </c>
    </row>
    <row r="222">
      <c r="B222" s="16">
        <f>IFERROR(__xludf.DUMMYFUNCTION("""COMPUTED_VALUE"""),22.0)</f>
        <v>22</v>
      </c>
      <c r="D222" s="16">
        <f>IFERROR(__xludf.DUMMYFUNCTION("""COMPUTED_VALUE"""),0.672091535577378)</f>
        <v>0.6720915356</v>
      </c>
      <c r="E222" s="16">
        <f>IFERROR(__xludf.DUMMYFUNCTION("""COMPUTED_VALUE"""),-0.00138880587896092)</f>
        <v>-0.001388805879</v>
      </c>
      <c r="F222" s="16">
        <f>IFERROR(__xludf.DUMMYFUNCTION("""COMPUTED_VALUE"""),0.51015062915658)</f>
        <v>0.5101506292</v>
      </c>
      <c r="G222" s="16">
        <f>IFERROR(__xludf.DUMMYFUNCTION("""COMPUTED_VALUE"""),-0.53669113519287)</f>
        <v>-0.5366911352</v>
      </c>
      <c r="H222" s="16">
        <f t="shared" si="1"/>
        <v>0</v>
      </c>
    </row>
    <row r="223">
      <c r="B223" s="16">
        <f>IFERROR(__xludf.DUMMYFUNCTION("""COMPUTED_VALUE"""),22.1)</f>
        <v>22.1</v>
      </c>
      <c r="D223" s="16">
        <f>IFERROR(__xludf.DUMMYFUNCTION("""COMPUTED_VALUE"""),0.694058756358824)</f>
        <v>0.6940587564</v>
      </c>
      <c r="E223" s="16">
        <f>IFERROR(__xludf.DUMMYFUNCTION("""COMPUTED_VALUE"""),-0.0122465671054511)</f>
        <v>-0.01224656711</v>
      </c>
      <c r="F223" s="16">
        <f>IFERROR(__xludf.DUMMYFUNCTION("""COMPUTED_VALUE"""),0.488777904015864)</f>
        <v>0.488777904</v>
      </c>
      <c r="G223" s="16">
        <f>IFERROR(__xludf.DUMMYFUNCTION("""COMPUTED_VALUE"""),-0.528420878525468)</f>
        <v>-0.5284208785</v>
      </c>
      <c r="H223" s="16">
        <f t="shared" si="1"/>
        <v>0</v>
      </c>
    </row>
    <row r="224">
      <c r="B224" s="16">
        <f>IFERROR(__xludf.DUMMYFUNCTION("""COMPUTED_VALUE"""),22.2)</f>
        <v>22.2</v>
      </c>
      <c r="D224" s="16">
        <f>IFERROR(__xludf.DUMMYFUNCTION("""COMPUTED_VALUE"""),0.74202140087235)</f>
        <v>0.7420214009</v>
      </c>
      <c r="E224" s="16">
        <f>IFERROR(__xludf.DUMMYFUNCTION("""COMPUTED_VALUE"""),-0.0200751263930587)</f>
        <v>-0.02007512639</v>
      </c>
      <c r="F224" s="16">
        <f>IFERROR(__xludf.DUMMYFUNCTION("""COMPUTED_VALUE"""),0.449927455832299)</f>
        <v>0.4499274558</v>
      </c>
      <c r="G224" s="16">
        <f>IFERROR(__xludf.DUMMYFUNCTION("""COMPUTED_VALUE"""),-0.496554643957749)</f>
        <v>-0.496554644</v>
      </c>
      <c r="H224" s="16">
        <f t="shared" si="1"/>
        <v>0</v>
      </c>
    </row>
    <row r="225">
      <c r="B225" s="16">
        <f>IFERROR(__xludf.DUMMYFUNCTION("""COMPUTED_VALUE"""),22.3)</f>
        <v>22.3</v>
      </c>
      <c r="D225" s="16">
        <f>IFERROR(__xludf.DUMMYFUNCTION("""COMPUTED_VALUE"""),0.756875599864234)</f>
        <v>0.7568755999</v>
      </c>
      <c r="E225" s="16">
        <f>IFERROR(__xludf.DUMMYFUNCTION("""COMPUTED_VALUE"""),-0.0170969450410789)</f>
        <v>-0.01709694504</v>
      </c>
      <c r="F225" s="16">
        <f>IFERROR(__xludf.DUMMYFUNCTION("""COMPUTED_VALUE"""),0.441470562787649)</f>
        <v>0.4414705628</v>
      </c>
      <c r="G225" s="16">
        <f>IFERROR(__xludf.DUMMYFUNCTION("""COMPUTED_VALUE"""),-0.481612669053015)</f>
        <v>-0.4816126691</v>
      </c>
      <c r="H225" s="16">
        <f t="shared" si="1"/>
        <v>0</v>
      </c>
    </row>
    <row r="226">
      <c r="B226" s="16">
        <f>IFERROR(__xludf.DUMMYFUNCTION("""COMPUTED_VALUE"""),22.4)</f>
        <v>22.4</v>
      </c>
      <c r="D226" s="16">
        <f>IFERROR(__xludf.DUMMYFUNCTION("""COMPUTED_VALUE"""),0.769739338681463)</f>
        <v>0.7697393387</v>
      </c>
      <c r="E226" s="16">
        <f>IFERROR(__xludf.DUMMYFUNCTION("""COMPUTED_VALUE"""),-0.00860577444632692)</f>
        <v>-0.008605774446</v>
      </c>
      <c r="F226" s="16">
        <f>IFERROR(__xludf.DUMMYFUNCTION("""COMPUTED_VALUE"""),0.438790127549634)</f>
        <v>0.4387901275</v>
      </c>
      <c r="G226" s="16">
        <f>IFERROR(__xludf.DUMMYFUNCTION("""COMPUTED_VALUE"""),-0.463562849134152)</f>
        <v>-0.4635628491</v>
      </c>
      <c r="H226" s="16">
        <f t="shared" si="1"/>
        <v>0</v>
      </c>
    </row>
    <row r="227">
      <c r="B227" s="16">
        <f>IFERROR(__xludf.DUMMYFUNCTION("""COMPUTED_VALUE"""),22.5)</f>
        <v>22.5</v>
      </c>
      <c r="D227" s="16">
        <f>IFERROR(__xludf.DUMMYFUNCTION("""COMPUTED_VALUE"""),0.783868148104545)</f>
        <v>0.7838681481</v>
      </c>
      <c r="E227" s="16">
        <f>IFERROR(__xludf.DUMMYFUNCTION("""COMPUTED_VALUE"""),-0.00197693760079436)</f>
        <v>-0.001976937601</v>
      </c>
      <c r="F227" s="16">
        <f>IFERROR(__xludf.DUMMYFUNCTION("""COMPUTED_VALUE"""),0.432855849985937)</f>
        <v>0.43285585</v>
      </c>
      <c r="G227" s="16">
        <f>IFERROR(__xludf.DUMMYFUNCTION("""COMPUTED_VALUE"""),-0.445177078517998)</f>
        <v>-0.4451770785</v>
      </c>
      <c r="H227" s="16">
        <f t="shared" si="1"/>
        <v>0</v>
      </c>
    </row>
    <row r="228">
      <c r="B228" s="16">
        <f>IFERROR(__xludf.DUMMYFUNCTION("""COMPUTED_VALUE"""),22.6)</f>
        <v>22.6</v>
      </c>
      <c r="D228" s="16">
        <f>IFERROR(__xludf.DUMMYFUNCTION("""COMPUTED_VALUE"""),0.790763981666107)</f>
        <v>0.7907639817</v>
      </c>
      <c r="E228" s="16">
        <f>IFERROR(__xludf.DUMMYFUNCTION("""COMPUTED_VALUE"""),0.00482231027255433)</f>
        <v>0.004822310273</v>
      </c>
      <c r="F228" s="16">
        <f>IFERROR(__xludf.DUMMYFUNCTION("""COMPUTED_VALUE"""),0.432833502022383)</f>
        <v>0.432833502</v>
      </c>
      <c r="G228" s="16">
        <f>IFERROR(__xludf.DUMMYFUNCTION("""COMPUTED_VALUE"""),-0.43280969276373)</f>
        <v>-0.4328096928</v>
      </c>
      <c r="H228" s="16">
        <f t="shared" si="1"/>
        <v>0</v>
      </c>
    </row>
    <row r="229">
      <c r="B229" s="16">
        <f>IFERROR(__xludf.DUMMYFUNCTION("""COMPUTED_VALUE"""),22.7)</f>
        <v>22.7</v>
      </c>
      <c r="D229" s="16">
        <f>IFERROR(__xludf.DUMMYFUNCTION("""COMPUTED_VALUE"""),0.790763981666107)</f>
        <v>0.7907639817</v>
      </c>
      <c r="E229" s="16">
        <f>IFERROR(__xludf.DUMMYFUNCTION("""COMPUTED_VALUE"""),0.00482231027255433)</f>
        <v>0.004822310273</v>
      </c>
      <c r="F229" s="16">
        <f>IFERROR(__xludf.DUMMYFUNCTION("""COMPUTED_VALUE"""),0.432833502022383)</f>
        <v>0.432833502</v>
      </c>
      <c r="G229" s="16">
        <f>IFERROR(__xludf.DUMMYFUNCTION("""COMPUTED_VALUE"""),-0.43280969276373)</f>
        <v>-0.4328096928</v>
      </c>
      <c r="H229" s="16">
        <f t="shared" si="1"/>
        <v>0</v>
      </c>
    </row>
    <row r="230">
      <c r="B230" s="16">
        <f>IFERROR(__xludf.DUMMYFUNCTION("""COMPUTED_VALUE"""),22.8)</f>
        <v>22.8</v>
      </c>
      <c r="D230" s="16">
        <f>IFERROR(__xludf.DUMMYFUNCTION("""COMPUTED_VALUE"""),0.790763981666107)</f>
        <v>0.7907639817</v>
      </c>
      <c r="E230" s="16">
        <f>IFERROR(__xludf.DUMMYFUNCTION("""COMPUTED_VALUE"""),0.00482231027255433)</f>
        <v>0.004822310273</v>
      </c>
      <c r="F230" s="16">
        <f>IFERROR(__xludf.DUMMYFUNCTION("""COMPUTED_VALUE"""),0.432833502022383)</f>
        <v>0.432833502</v>
      </c>
      <c r="G230" s="16">
        <f>IFERROR(__xludf.DUMMYFUNCTION("""COMPUTED_VALUE"""),-0.43280969276373)</f>
        <v>-0.4328096928</v>
      </c>
      <c r="H230" s="16">
        <f t="shared" si="1"/>
        <v>0</v>
      </c>
    </row>
    <row r="231">
      <c r="B231" s="16">
        <f>IFERROR(__xludf.DUMMYFUNCTION("""COMPUTED_VALUE"""),22.9)</f>
        <v>22.9</v>
      </c>
      <c r="D231" s="16">
        <f>IFERROR(__xludf.DUMMYFUNCTION("""COMPUTED_VALUE"""),0.790763981666107)</f>
        <v>0.7907639817</v>
      </c>
      <c r="E231" s="16">
        <f>IFERROR(__xludf.DUMMYFUNCTION("""COMPUTED_VALUE"""),0.00482231027255433)</f>
        <v>0.004822310273</v>
      </c>
      <c r="F231" s="16">
        <f>IFERROR(__xludf.DUMMYFUNCTION("""COMPUTED_VALUE"""),0.432833502022383)</f>
        <v>0.432833502</v>
      </c>
      <c r="G231" s="16">
        <f>IFERROR(__xludf.DUMMYFUNCTION("""COMPUTED_VALUE"""),-0.43280969276373)</f>
        <v>-0.4328096928</v>
      </c>
      <c r="H231" s="16">
        <f t="shared" si="1"/>
        <v>0</v>
      </c>
    </row>
    <row r="232">
      <c r="B232" s="16">
        <f>IFERROR(__xludf.DUMMYFUNCTION("""COMPUTED_VALUE"""),23.0)</f>
        <v>23</v>
      </c>
      <c r="D232" s="16">
        <f>IFERROR(__xludf.DUMMYFUNCTION("""COMPUTED_VALUE"""),0.792457613155484)</f>
        <v>0.7924576132</v>
      </c>
      <c r="E232" s="16">
        <f>IFERROR(__xludf.DUMMYFUNCTION("""COMPUTED_VALUE"""),0.00312263781963485)</f>
        <v>0.00312263782</v>
      </c>
      <c r="F232" s="16">
        <f>IFERROR(__xludf.DUMMYFUNCTION("""COMPUTED_VALUE"""),0.429724849787987)</f>
        <v>0.4297248498</v>
      </c>
      <c r="G232" s="16">
        <f>IFERROR(__xludf.DUMMYFUNCTION("""COMPUTED_VALUE"""),-0.432825292652412)</f>
        <v>-0.4328252927</v>
      </c>
      <c r="H232" s="16">
        <f t="shared" si="1"/>
        <v>0</v>
      </c>
    </row>
    <row r="233">
      <c r="B233" s="16">
        <f>IFERROR(__xludf.DUMMYFUNCTION("""COMPUTED_VALUE"""),23.1)</f>
        <v>23.1</v>
      </c>
      <c r="D233" s="16">
        <f>IFERROR(__xludf.DUMMYFUNCTION("""COMPUTED_VALUE"""),0.797513775181851)</f>
        <v>0.7975137752</v>
      </c>
      <c r="E233" s="16">
        <f>IFERROR(__xludf.DUMMYFUNCTION("""COMPUTED_VALUE"""),0.00482230465059348)</f>
        <v>0.004822304651</v>
      </c>
      <c r="F233" s="16">
        <f>IFERROR(__xludf.DUMMYFUNCTION("""COMPUTED_VALUE"""),0.426558539076269)</f>
        <v>0.4265585391</v>
      </c>
      <c r="G233" s="16">
        <f>IFERROR(__xludf.DUMMYFUNCTION("""COMPUTED_VALUE"""),-0.426610286460796)</f>
        <v>-0.4266102865</v>
      </c>
      <c r="H233" s="16">
        <f t="shared" si="1"/>
        <v>0</v>
      </c>
    </row>
    <row r="234">
      <c r="B234" s="16">
        <f>IFERROR(__xludf.DUMMYFUNCTION("""COMPUTED_VALUE"""),23.2)</f>
        <v>23.2</v>
      </c>
      <c r="D234" s="16">
        <f>IFERROR(__xludf.DUMMYFUNCTION("""COMPUTED_VALUE"""),0.826658257080212)</f>
        <v>0.8266582571</v>
      </c>
      <c r="E234" s="16">
        <f>IFERROR(__xludf.DUMMYFUNCTION("""COMPUTED_VALUE"""),0.00487590525179153)</f>
        <v>0.004875905252</v>
      </c>
      <c r="F234" s="16">
        <f>IFERROR(__xludf.DUMMYFUNCTION("""COMPUTED_VALUE"""),0.39764789567819)</f>
        <v>0.3976478957</v>
      </c>
      <c r="G234" s="16">
        <f>IFERROR(__xludf.DUMMYFUNCTION("""COMPUTED_VALUE"""),-0.398106144905831)</f>
        <v>-0.3981061449</v>
      </c>
      <c r="H234" s="16">
        <f t="shared" si="1"/>
        <v>0</v>
      </c>
    </row>
    <row r="235">
      <c r="B235" s="16">
        <f>IFERROR(__xludf.DUMMYFUNCTION("""COMPUTED_VALUE"""),23.3)</f>
        <v>23.3</v>
      </c>
      <c r="D235" s="16">
        <f>IFERROR(__xludf.DUMMYFUNCTION("""COMPUTED_VALUE"""),0.863443623673331)</f>
        <v>0.8634436237</v>
      </c>
      <c r="E235" s="16">
        <f>IFERROR(__xludf.DUMMYFUNCTION("""COMPUTED_VALUE"""),0.0181252583119549)</f>
        <v>0.01812525831</v>
      </c>
      <c r="F235" s="16">
        <f>IFERROR(__xludf.DUMMYFUNCTION("""COMPUTED_VALUE"""),0.370667032851872)</f>
        <v>0.3706670329</v>
      </c>
      <c r="G235" s="16">
        <f>IFERROR(__xludf.DUMMYFUNCTION("""COMPUTED_VALUE"""),-0.341676066627113)</f>
        <v>-0.3416760666</v>
      </c>
      <c r="H235" s="16">
        <f t="shared" si="1"/>
        <v>0</v>
      </c>
    </row>
    <row r="236">
      <c r="B236" s="16">
        <f>IFERROR(__xludf.DUMMYFUNCTION("""COMPUTED_VALUE"""),23.4)</f>
        <v>23.4</v>
      </c>
      <c r="D236" s="16">
        <f>IFERROR(__xludf.DUMMYFUNCTION("""COMPUTED_VALUE"""),0.877642163632402)</f>
        <v>0.8776421636</v>
      </c>
      <c r="E236" s="16">
        <f>IFERROR(__xludf.DUMMYFUNCTION("""COMPUTED_VALUE"""),0.0312421722681779)</f>
        <v>0.03124217227</v>
      </c>
      <c r="F236" s="16">
        <f>IFERROR(__xludf.DUMMYFUNCTION("""COMPUTED_VALUE"""),0.366308779288346)</f>
        <v>0.3663087793</v>
      </c>
      <c r="G236" s="16">
        <f>IFERROR(__xludf.DUMMYFUNCTION("""COMPUTED_VALUE"""),-0.307548431150084)</f>
        <v>-0.3075484312</v>
      </c>
      <c r="H236" s="16">
        <f t="shared" si="1"/>
        <v>0</v>
      </c>
    </row>
    <row r="237">
      <c r="B237" s="16">
        <f>IFERROR(__xludf.DUMMYFUNCTION("""COMPUTED_VALUE"""),23.5)</f>
        <v>23.5</v>
      </c>
      <c r="D237" s="16">
        <f>IFERROR(__xludf.DUMMYFUNCTION("""COMPUTED_VALUE"""),0.877642163632402)</f>
        <v>0.8776421636</v>
      </c>
      <c r="E237" s="16">
        <f>IFERROR(__xludf.DUMMYFUNCTION("""COMPUTED_VALUE"""),0.0312421722681779)</f>
        <v>0.03124217227</v>
      </c>
      <c r="F237" s="16">
        <f>IFERROR(__xludf.DUMMYFUNCTION("""COMPUTED_VALUE"""),0.366308779288346)</f>
        <v>0.3663087793</v>
      </c>
      <c r="G237" s="16">
        <f>IFERROR(__xludf.DUMMYFUNCTION("""COMPUTED_VALUE"""),-0.307548431150084)</f>
        <v>-0.3075484312</v>
      </c>
      <c r="H237" s="16">
        <f t="shared" si="1"/>
        <v>0</v>
      </c>
    </row>
    <row r="238">
      <c r="B238" s="16">
        <f>IFERROR(__xludf.DUMMYFUNCTION("""COMPUTED_VALUE"""),23.6)</f>
        <v>23.6</v>
      </c>
      <c r="D238" s="16">
        <f>IFERROR(__xludf.DUMMYFUNCTION("""COMPUTED_VALUE"""),0.877642163632402)</f>
        <v>0.8776421636</v>
      </c>
      <c r="E238" s="16">
        <f>IFERROR(__xludf.DUMMYFUNCTION("""COMPUTED_VALUE"""),0.0312421722681779)</f>
        <v>0.03124217227</v>
      </c>
      <c r="F238" s="16">
        <f>IFERROR(__xludf.DUMMYFUNCTION("""COMPUTED_VALUE"""),0.366308779288346)</f>
        <v>0.3663087793</v>
      </c>
      <c r="G238" s="16">
        <f>IFERROR(__xludf.DUMMYFUNCTION("""COMPUTED_VALUE"""),-0.307548431150084)</f>
        <v>-0.3075484312</v>
      </c>
      <c r="H238" s="16">
        <f t="shared" si="1"/>
        <v>0</v>
      </c>
    </row>
    <row r="239">
      <c r="B239" s="16">
        <f>IFERROR(__xludf.DUMMYFUNCTION("""COMPUTED_VALUE"""),23.7)</f>
        <v>23.7</v>
      </c>
      <c r="D239" s="16">
        <f>IFERROR(__xludf.DUMMYFUNCTION("""COMPUTED_VALUE"""),0.877642163632402)</f>
        <v>0.8776421636</v>
      </c>
      <c r="E239" s="16">
        <f>IFERROR(__xludf.DUMMYFUNCTION("""COMPUTED_VALUE"""),0.0312421722681779)</f>
        <v>0.03124217227</v>
      </c>
      <c r="F239" s="16">
        <f>IFERROR(__xludf.DUMMYFUNCTION("""COMPUTED_VALUE"""),0.366308779288346)</f>
        <v>0.3663087793</v>
      </c>
      <c r="G239" s="16">
        <f>IFERROR(__xludf.DUMMYFUNCTION("""COMPUTED_VALUE"""),-0.307548431150084)</f>
        <v>-0.3075484312</v>
      </c>
      <c r="H239" s="16">
        <f t="shared" si="1"/>
        <v>0</v>
      </c>
    </row>
    <row r="240">
      <c r="B240" s="16">
        <f>IFERROR(__xludf.DUMMYFUNCTION("""COMPUTED_VALUE"""),23.8)</f>
        <v>23.8</v>
      </c>
      <c r="D240" s="16">
        <f>IFERROR(__xludf.DUMMYFUNCTION("""COMPUTED_VALUE"""),0.877642163632402)</f>
        <v>0.8776421636</v>
      </c>
      <c r="E240" s="16">
        <f>IFERROR(__xludf.DUMMYFUNCTION("""COMPUTED_VALUE"""),0.0312421722681779)</f>
        <v>0.03124217227</v>
      </c>
      <c r="F240" s="16">
        <f>IFERROR(__xludf.DUMMYFUNCTION("""COMPUTED_VALUE"""),0.366308779288346)</f>
        <v>0.3663087793</v>
      </c>
      <c r="G240" s="16">
        <f>IFERROR(__xludf.DUMMYFUNCTION("""COMPUTED_VALUE"""),-0.307548431150084)</f>
        <v>-0.3075484312</v>
      </c>
      <c r="H240" s="16">
        <f t="shared" si="1"/>
        <v>0</v>
      </c>
    </row>
    <row r="241">
      <c r="B241" s="16">
        <f>IFERROR(__xludf.DUMMYFUNCTION("""COMPUTED_VALUE"""),23.9)</f>
        <v>23.9</v>
      </c>
      <c r="D241" s="16">
        <f>IFERROR(__xludf.DUMMYFUNCTION("""COMPUTED_VALUE"""),0.877642163632402)</f>
        <v>0.8776421636</v>
      </c>
      <c r="E241" s="16">
        <f>IFERROR(__xludf.DUMMYFUNCTION("""COMPUTED_VALUE"""),0.0312421722681779)</f>
        <v>0.03124217227</v>
      </c>
      <c r="F241" s="16">
        <f>IFERROR(__xludf.DUMMYFUNCTION("""COMPUTED_VALUE"""),0.366308779288346)</f>
        <v>0.3663087793</v>
      </c>
      <c r="G241" s="16">
        <f>IFERROR(__xludf.DUMMYFUNCTION("""COMPUTED_VALUE"""),-0.307548431150084)</f>
        <v>-0.3075484312</v>
      </c>
      <c r="H241" s="16">
        <f t="shared" si="1"/>
        <v>0</v>
      </c>
    </row>
    <row r="242">
      <c r="B242" s="16">
        <f>IFERROR(__xludf.DUMMYFUNCTION("""COMPUTED_VALUE"""),24.0)</f>
        <v>24</v>
      </c>
      <c r="D242" s="16">
        <f>IFERROR(__xludf.DUMMYFUNCTION("""COMPUTED_VALUE"""),0.877642163632402)</f>
        <v>0.8776421636</v>
      </c>
      <c r="E242" s="16">
        <f>IFERROR(__xludf.DUMMYFUNCTION("""COMPUTED_VALUE"""),0.0312421722681779)</f>
        <v>0.03124217227</v>
      </c>
      <c r="F242" s="16">
        <f>IFERROR(__xludf.DUMMYFUNCTION("""COMPUTED_VALUE"""),0.366308779288346)</f>
        <v>0.3663087793</v>
      </c>
      <c r="G242" s="16">
        <f>IFERROR(__xludf.DUMMYFUNCTION("""COMPUTED_VALUE"""),-0.307548431150084)</f>
        <v>-0.3075484312</v>
      </c>
      <c r="H242" s="16">
        <f t="shared" si="1"/>
        <v>0</v>
      </c>
    </row>
    <row r="243">
      <c r="B243" s="16">
        <f>IFERROR(__xludf.DUMMYFUNCTION("""COMPUTED_VALUE"""),24.1)</f>
        <v>24.1</v>
      </c>
      <c r="D243" s="16">
        <f>IFERROR(__xludf.DUMMYFUNCTION("""COMPUTED_VALUE"""),0.877642163632402)</f>
        <v>0.8776421636</v>
      </c>
      <c r="E243" s="16">
        <f>IFERROR(__xludf.DUMMYFUNCTION("""COMPUTED_VALUE"""),0.0312421722681779)</f>
        <v>0.03124217227</v>
      </c>
      <c r="F243" s="16">
        <f>IFERROR(__xludf.DUMMYFUNCTION("""COMPUTED_VALUE"""),0.366308779288346)</f>
        <v>0.3663087793</v>
      </c>
      <c r="G243" s="16">
        <f>IFERROR(__xludf.DUMMYFUNCTION("""COMPUTED_VALUE"""),-0.307548431150084)</f>
        <v>-0.3075484312</v>
      </c>
      <c r="H243" s="16">
        <f t="shared" si="1"/>
        <v>0</v>
      </c>
    </row>
    <row r="244">
      <c r="B244" s="16">
        <f>IFERROR(__xludf.DUMMYFUNCTION("""COMPUTED_VALUE"""),24.2)</f>
        <v>24.2</v>
      </c>
      <c r="D244" s="16">
        <f>IFERROR(__xludf.DUMMYFUNCTION("""COMPUTED_VALUE"""),0.877642163632402)</f>
        <v>0.8776421636</v>
      </c>
      <c r="E244" s="16">
        <f>IFERROR(__xludf.DUMMYFUNCTION("""COMPUTED_VALUE"""),0.0312421722681779)</f>
        <v>0.03124217227</v>
      </c>
      <c r="F244" s="16">
        <f>IFERROR(__xludf.DUMMYFUNCTION("""COMPUTED_VALUE"""),0.366308779288346)</f>
        <v>0.3663087793</v>
      </c>
      <c r="G244" s="16">
        <f>IFERROR(__xludf.DUMMYFUNCTION("""COMPUTED_VALUE"""),-0.307548431150084)</f>
        <v>-0.3075484312</v>
      </c>
      <c r="H244" s="16">
        <f t="shared" si="1"/>
        <v>0</v>
      </c>
    </row>
    <row r="245">
      <c r="B245" s="16">
        <f>IFERROR(__xludf.DUMMYFUNCTION("""COMPUTED_VALUE"""),24.3)</f>
        <v>24.3</v>
      </c>
      <c r="D245" s="16">
        <f>IFERROR(__xludf.DUMMYFUNCTION("""COMPUTED_VALUE"""),0.841508846639502)</f>
        <v>0.8415088466</v>
      </c>
      <c r="E245" s="16">
        <f>IFERROR(__xludf.DUMMYFUNCTION("""COMPUTED_VALUE"""),0.0374649318408049)</f>
        <v>0.03746493184</v>
      </c>
      <c r="F245" s="16">
        <f>IFERROR(__xludf.DUMMYFUNCTION("""COMPUTED_VALUE"""),0.421580067045573)</f>
        <v>0.421580067</v>
      </c>
      <c r="G245" s="16">
        <f>IFERROR(__xludf.DUMMYFUNCTION("""COMPUTED_VALUE"""),-0.335752121332781)</f>
        <v>-0.3357521213</v>
      </c>
      <c r="H245" s="16">
        <f t="shared" si="1"/>
        <v>0</v>
      </c>
    </row>
    <row r="246">
      <c r="B246" s="16">
        <f>IFERROR(__xludf.DUMMYFUNCTION("""COMPUTED_VALUE"""),24.4)</f>
        <v>24.4</v>
      </c>
      <c r="D246" s="16">
        <f>IFERROR(__xludf.DUMMYFUNCTION("""COMPUTED_VALUE"""),0.804697292893979)</f>
        <v>0.8046972929</v>
      </c>
      <c r="E246" s="16">
        <f>IFERROR(__xludf.DUMMYFUNCTION("""COMPUTED_VALUE"""),0.0408517494420868)</f>
        <v>0.04085174944</v>
      </c>
      <c r="F246" s="16">
        <f>IFERROR(__xludf.DUMMYFUNCTION("""COMPUTED_VALUE"""),0.468271521906499)</f>
        <v>0.4682715219</v>
      </c>
      <c r="G246" s="16">
        <f>IFERROR(__xludf.DUMMYFUNCTION("""COMPUTED_VALUE"""),-0.362650221491712)</f>
        <v>-0.3626502215</v>
      </c>
      <c r="H246" s="16">
        <f t="shared" si="1"/>
        <v>0</v>
      </c>
    </row>
    <row r="247">
      <c r="B247" s="16">
        <f>IFERROR(__xludf.DUMMYFUNCTION("""COMPUTED_VALUE"""),24.5)</f>
        <v>24.5</v>
      </c>
      <c r="D247" s="16">
        <f>IFERROR(__xludf.DUMMYFUNCTION("""COMPUTED_VALUE"""),0.776280349108875)</f>
        <v>0.7762803491</v>
      </c>
      <c r="E247" s="16">
        <f>IFERROR(__xludf.DUMMYFUNCTION("""COMPUTED_VALUE"""),0.0356388438375266)</f>
        <v>0.03563884384</v>
      </c>
      <c r="F247" s="16">
        <f>IFERROR(__xludf.DUMMYFUNCTION("""COMPUTED_VALUE"""),0.494468133932629)</f>
        <v>0.4944681339</v>
      </c>
      <c r="G247" s="16">
        <f>IFERROR(__xludf.DUMMYFUNCTION("""COMPUTED_VALUE"""),-0.389384073791551)</f>
        <v>-0.3893840738</v>
      </c>
      <c r="H247" s="16">
        <f t="shared" si="1"/>
        <v>0</v>
      </c>
    </row>
    <row r="248">
      <c r="B248" s="16">
        <f>IFERROR(__xludf.DUMMYFUNCTION("""COMPUTED_VALUE"""),24.6)</f>
        <v>24.6</v>
      </c>
      <c r="D248" s="16">
        <f>IFERROR(__xludf.DUMMYFUNCTION("""COMPUTED_VALUE"""),0.723049842413445)</f>
        <v>0.7230498424</v>
      </c>
      <c r="E248" s="16">
        <f>IFERROR(__xludf.DUMMYFUNCTION("""COMPUTED_VALUE"""),0.0154086684542857)</f>
        <v>0.01540866845</v>
      </c>
      <c r="F248" s="16">
        <f>IFERROR(__xludf.DUMMYFUNCTION("""COMPUTED_VALUE"""),0.52880110591672)</f>
        <v>0.5288011059</v>
      </c>
      <c r="G248" s="16">
        <f>IFERROR(__xludf.DUMMYFUNCTION("""COMPUTED_VALUE"""),-0.44421941504577)</f>
        <v>-0.444219415</v>
      </c>
      <c r="H248" s="16">
        <f t="shared" si="1"/>
        <v>0</v>
      </c>
    </row>
    <row r="249">
      <c r="B249" s="16">
        <f>IFERROR(__xludf.DUMMYFUNCTION("""COMPUTED_VALUE"""),24.7)</f>
        <v>24.7</v>
      </c>
      <c r="D249" s="16">
        <f>IFERROR(__xludf.DUMMYFUNCTION("""COMPUTED_VALUE"""),0.717456550224534)</f>
        <v>0.7174565502</v>
      </c>
      <c r="E249" s="16">
        <f>IFERROR(__xludf.DUMMYFUNCTION("""COMPUTED_VALUE"""),0.0129993568218475)</f>
        <v>0.01299935682</v>
      </c>
      <c r="F249" s="16">
        <f>IFERROR(__xludf.DUMMYFUNCTION("""COMPUTED_VALUE"""),0.531741110462466)</f>
        <v>0.5317411105</v>
      </c>
      <c r="G249" s="16">
        <f>IFERROR(__xludf.DUMMYFUNCTION("""COMPUTED_VALUE"""),-0.449820527217541)</f>
        <v>-0.4498205272</v>
      </c>
      <c r="H249" s="16">
        <f t="shared" si="1"/>
        <v>0</v>
      </c>
    </row>
    <row r="250">
      <c r="B250" s="16">
        <f>IFERROR(__xludf.DUMMYFUNCTION("""COMPUTED_VALUE"""),24.8)</f>
        <v>24.8</v>
      </c>
      <c r="D250" s="16">
        <f>IFERROR(__xludf.DUMMYFUNCTION("""COMPUTED_VALUE"""),0.708486616023211)</f>
        <v>0.708486616</v>
      </c>
      <c r="E250" s="16">
        <f>IFERROR(__xludf.DUMMYFUNCTION("""COMPUTED_VALUE"""),0.00255680995172403)</f>
        <v>0.002556809952</v>
      </c>
      <c r="F250" s="16">
        <f>IFERROR(__xludf.DUMMYFUNCTION("""COMPUTED_VALUE"""),0.531893837674878)</f>
        <v>0.5318938377</v>
      </c>
      <c r="G250" s="16">
        <f>IFERROR(__xludf.DUMMYFUNCTION("""COMPUTED_VALUE"""),-0.463820140876109)</f>
        <v>-0.4638201409</v>
      </c>
      <c r="H250" s="16">
        <f t="shared" si="1"/>
        <v>0</v>
      </c>
    </row>
    <row r="251">
      <c r="B251" s="16">
        <f>IFERROR(__xludf.DUMMYFUNCTION("""COMPUTED_VALUE"""),24.9)</f>
        <v>24.9</v>
      </c>
      <c r="D251" s="16">
        <f>IFERROR(__xludf.DUMMYFUNCTION("""COMPUTED_VALUE"""),0.701113841881487)</f>
        <v>0.7011138419</v>
      </c>
      <c r="E251" s="16">
        <f>IFERROR(__xludf.DUMMYFUNCTION("""COMPUTED_VALUE"""),-0.00579813051124867)</f>
        <v>-0.005798130511</v>
      </c>
      <c r="F251" s="16">
        <f>IFERROR(__xludf.DUMMYFUNCTION("""COMPUTED_VALUE"""),0.531868379880035)</f>
        <v>0.5318683799</v>
      </c>
      <c r="G251" s="16">
        <f>IFERROR(__xludf.DUMMYFUNCTION("""COMPUTED_VALUE"""),-0.474891344297343)</f>
        <v>-0.4748913443</v>
      </c>
      <c r="H251" s="16">
        <f t="shared" si="1"/>
        <v>0</v>
      </c>
    </row>
    <row r="252">
      <c r="B252" s="16">
        <f>IFERROR(__xludf.DUMMYFUNCTION("""COMPUTED_VALUE"""),25.0)</f>
        <v>25</v>
      </c>
      <c r="D252" s="16">
        <f>IFERROR(__xludf.DUMMYFUNCTION("""COMPUTED_VALUE"""),0.688218484299242)</f>
        <v>0.6882184843</v>
      </c>
      <c r="E252" s="16">
        <f>IFERROR(__xludf.DUMMYFUNCTION("""COMPUTED_VALUE"""),-0.0363887216382344)</f>
        <v>-0.03638872164</v>
      </c>
      <c r="F252" s="16">
        <f>IFERROR(__xludf.DUMMYFUNCTION("""COMPUTED_VALUE"""),0.5201632219055)</f>
        <v>0.5201632219</v>
      </c>
      <c r="G252" s="16">
        <f>IFERROR(__xludf.DUMMYFUNCTION("""COMPUTED_VALUE"""),-0.504441672924901)</f>
        <v>-0.5044416729</v>
      </c>
      <c r="H252" s="16">
        <f t="shared" si="1"/>
        <v>0</v>
      </c>
    </row>
    <row r="253">
      <c r="B253" s="16">
        <f>IFERROR(__xludf.DUMMYFUNCTION("""COMPUTED_VALUE"""),25.1)</f>
        <v>25.1</v>
      </c>
      <c r="D253" s="16">
        <f>IFERROR(__xludf.DUMMYFUNCTION("""COMPUTED_VALUE"""),0.682220243106989)</f>
        <v>0.6822202431</v>
      </c>
      <c r="E253" s="16">
        <f>IFERROR(__xludf.DUMMYFUNCTION("""COMPUTED_VALUE"""),-0.0546258872848278)</f>
        <v>-0.05462588728</v>
      </c>
      <c r="F253" s="16">
        <f>IFERROR(__xludf.DUMMYFUNCTION("""COMPUTED_VALUE"""),0.511057249054048)</f>
        <v>0.5110572491</v>
      </c>
      <c r="G253" s="16">
        <f>IFERROR(__xludf.DUMMYFUNCTION("""COMPUTED_VALUE"""),-0.520011577296784)</f>
        <v>-0.5200115773</v>
      </c>
      <c r="H253" s="16">
        <f t="shared" si="1"/>
        <v>0</v>
      </c>
    </row>
    <row r="254">
      <c r="B254" s="16">
        <f>IFERROR(__xludf.DUMMYFUNCTION("""COMPUTED_VALUE"""),25.2)</f>
        <v>25.2</v>
      </c>
      <c r="D254" s="16">
        <f>IFERROR(__xludf.DUMMYFUNCTION("""COMPUTED_VALUE"""),0.684086514396612)</f>
        <v>0.6840865144</v>
      </c>
      <c r="E254" s="16">
        <f>IFERROR(__xludf.DUMMYFUNCTION("""COMPUTED_VALUE"""),-0.0647811261152542)</f>
        <v>-0.06478112612</v>
      </c>
      <c r="F254" s="16">
        <f>IFERROR(__xludf.DUMMYFUNCTION("""COMPUTED_VALUE"""),0.502556254617745)</f>
        <v>0.5025562546</v>
      </c>
      <c r="G254" s="16">
        <f>IFERROR(__xludf.DUMMYFUNCTION("""COMPUTED_VALUE"""),-0.524658229197361)</f>
        <v>-0.5246582292</v>
      </c>
      <c r="H254" s="16">
        <f t="shared" si="1"/>
        <v>0</v>
      </c>
    </row>
    <row r="255">
      <c r="B255" s="16">
        <f>IFERROR(__xludf.DUMMYFUNCTION("""COMPUTED_VALUE"""),25.3)</f>
        <v>25.3</v>
      </c>
      <c r="D255" s="16">
        <f>IFERROR(__xludf.DUMMYFUNCTION("""COMPUTED_VALUE"""),0.681911028964585)</f>
        <v>0.681911029</v>
      </c>
      <c r="E255" s="16">
        <f>IFERROR(__xludf.DUMMYFUNCTION("""COMPUTED_VALUE"""),-0.0708069829103213)</f>
        <v>-0.07080698291</v>
      </c>
      <c r="F255" s="16">
        <f>IFERROR(__xludf.DUMMYFUNCTION("""COMPUTED_VALUE"""),0.499357969043598)</f>
        <v>0.499357969</v>
      </c>
      <c r="G255" s="16">
        <f>IFERROR(__xludf.DUMMYFUNCTION("""COMPUTED_VALUE"""),-0.529740822006616)</f>
        <v>-0.529740822</v>
      </c>
      <c r="H255" s="16">
        <f t="shared" si="1"/>
        <v>0</v>
      </c>
    </row>
    <row r="256">
      <c r="B256" s="16">
        <f>IFERROR(__xludf.DUMMYFUNCTION("""COMPUTED_VALUE"""),25.4)</f>
        <v>25.4</v>
      </c>
      <c r="D256" s="16">
        <f>IFERROR(__xludf.DUMMYFUNCTION("""COMPUTED_VALUE"""),0.677729465434859)</f>
        <v>0.6777294654</v>
      </c>
      <c r="E256" s="16">
        <f>IFERROR(__xludf.DUMMYFUNCTION("""COMPUTED_VALUE"""),-0.0747267069363563)</f>
        <v>-0.07472670694</v>
      </c>
      <c r="F256" s="16">
        <f>IFERROR(__xludf.DUMMYFUNCTION("""COMPUTED_VALUE"""),0.498786456659217)</f>
        <v>0.4987864567</v>
      </c>
      <c r="G256" s="16">
        <f>IFERROR(__xludf.DUMMYFUNCTION("""COMPUTED_VALUE"""),-0.53508014502985)</f>
        <v>-0.535080145</v>
      </c>
      <c r="H256" s="16">
        <f t="shared" si="1"/>
        <v>0</v>
      </c>
    </row>
    <row r="257">
      <c r="B257" s="16">
        <f>IFERROR(__xludf.DUMMYFUNCTION("""COMPUTED_VALUE"""),25.5)</f>
        <v>25.5</v>
      </c>
      <c r="D257" s="16">
        <f>IFERROR(__xludf.DUMMYFUNCTION("""COMPUTED_VALUE"""),0.675622990369169)</f>
        <v>0.6756229904</v>
      </c>
      <c r="E257" s="16">
        <f>IFERROR(__xludf.DUMMYFUNCTION("""COMPUTED_VALUE"""),-0.0766848554895046)</f>
        <v>-0.07668485549</v>
      </c>
      <c r="F257" s="16">
        <f>IFERROR(__xludf.DUMMYFUNCTION("""COMPUTED_VALUE"""),0.498489160378401)</f>
        <v>0.4984891604</v>
      </c>
      <c r="G257" s="16">
        <f>IFERROR(__xludf.DUMMYFUNCTION("""COMPUTED_VALUE"""),-0.537737449698647)</f>
        <v>-0.5377374497</v>
      </c>
      <c r="H257" s="16">
        <f t="shared" si="1"/>
        <v>0</v>
      </c>
    </row>
    <row r="258">
      <c r="B258" s="16">
        <f>IFERROR(__xludf.DUMMYFUNCTION("""COMPUTED_VALUE"""),25.6)</f>
        <v>25.6</v>
      </c>
      <c r="D258" s="16">
        <f>IFERROR(__xludf.DUMMYFUNCTION("""COMPUTED_VALUE"""),0.675622990369169)</f>
        <v>0.6756229904</v>
      </c>
      <c r="E258" s="16">
        <f>IFERROR(__xludf.DUMMYFUNCTION("""COMPUTED_VALUE"""),-0.0766848554895046)</f>
        <v>-0.07668485549</v>
      </c>
      <c r="F258" s="16">
        <f>IFERROR(__xludf.DUMMYFUNCTION("""COMPUTED_VALUE"""),0.498489160378401)</f>
        <v>0.4984891604</v>
      </c>
      <c r="G258" s="16">
        <f>IFERROR(__xludf.DUMMYFUNCTION("""COMPUTED_VALUE"""),-0.537737449698647)</f>
        <v>-0.5377374497</v>
      </c>
      <c r="H258" s="16">
        <f t="shared" si="1"/>
        <v>0</v>
      </c>
    </row>
    <row r="259">
      <c r="B259" s="16">
        <f>IFERROR(__xludf.DUMMYFUNCTION("""COMPUTED_VALUE"""),25.7)</f>
        <v>25.7</v>
      </c>
      <c r="D259" s="16">
        <f>IFERROR(__xludf.DUMMYFUNCTION("""COMPUTED_VALUE"""),0.675622990369169)</f>
        <v>0.6756229904</v>
      </c>
      <c r="E259" s="16">
        <f>IFERROR(__xludf.DUMMYFUNCTION("""COMPUTED_VALUE"""),-0.0766848554895046)</f>
        <v>-0.07668485549</v>
      </c>
      <c r="F259" s="16">
        <f>IFERROR(__xludf.DUMMYFUNCTION("""COMPUTED_VALUE"""),0.498489160378401)</f>
        <v>0.4984891604</v>
      </c>
      <c r="G259" s="16">
        <f>IFERROR(__xludf.DUMMYFUNCTION("""COMPUTED_VALUE"""),-0.537737449698647)</f>
        <v>-0.5377374497</v>
      </c>
      <c r="H259" s="16">
        <f t="shared" si="1"/>
        <v>0</v>
      </c>
    </row>
    <row r="260">
      <c r="B260" s="16">
        <f>IFERROR(__xludf.DUMMYFUNCTION("""COMPUTED_VALUE"""),25.8)</f>
        <v>25.8</v>
      </c>
      <c r="D260" s="16">
        <f>IFERROR(__xludf.DUMMYFUNCTION("""COMPUTED_VALUE"""),0.675622990369169)</f>
        <v>0.6756229904</v>
      </c>
      <c r="E260" s="16">
        <f>IFERROR(__xludf.DUMMYFUNCTION("""COMPUTED_VALUE"""),-0.0766848554895046)</f>
        <v>-0.07668485549</v>
      </c>
      <c r="F260" s="16">
        <f>IFERROR(__xludf.DUMMYFUNCTION("""COMPUTED_VALUE"""),0.498489160378401)</f>
        <v>0.4984891604</v>
      </c>
      <c r="G260" s="16">
        <f>IFERROR(__xludf.DUMMYFUNCTION("""COMPUTED_VALUE"""),-0.537737449698647)</f>
        <v>-0.5377374497</v>
      </c>
      <c r="H260" s="16">
        <f t="shared" si="1"/>
        <v>0</v>
      </c>
    </row>
    <row r="261">
      <c r="B261" s="16">
        <f>IFERROR(__xludf.DUMMYFUNCTION("""COMPUTED_VALUE"""),25.9)</f>
        <v>25.9</v>
      </c>
      <c r="D261" s="16">
        <f>IFERROR(__xludf.DUMMYFUNCTION("""COMPUTED_VALUE"""),0.675622990369169)</f>
        <v>0.6756229904</v>
      </c>
      <c r="E261" s="16">
        <f>IFERROR(__xludf.DUMMYFUNCTION("""COMPUTED_VALUE"""),-0.0766848554895046)</f>
        <v>-0.07668485549</v>
      </c>
      <c r="F261" s="16">
        <f>IFERROR(__xludf.DUMMYFUNCTION("""COMPUTED_VALUE"""),0.498489160378401)</f>
        <v>0.4984891604</v>
      </c>
      <c r="G261" s="16">
        <f>IFERROR(__xludf.DUMMYFUNCTION("""COMPUTED_VALUE"""),-0.537737449698647)</f>
        <v>-0.5377374497</v>
      </c>
      <c r="H261" s="16">
        <f t="shared" si="1"/>
        <v>0</v>
      </c>
    </row>
    <row r="262">
      <c r="B262" s="16">
        <f>IFERROR(__xludf.DUMMYFUNCTION("""COMPUTED_VALUE"""),26.0)</f>
        <v>26</v>
      </c>
      <c r="D262" s="16">
        <f>IFERROR(__xludf.DUMMYFUNCTION("""COMPUTED_VALUE"""),0.675622990369169)</f>
        <v>0.6756229904</v>
      </c>
      <c r="E262" s="16">
        <f>IFERROR(__xludf.DUMMYFUNCTION("""COMPUTED_VALUE"""),-0.0766848554895046)</f>
        <v>-0.07668485549</v>
      </c>
      <c r="F262" s="16">
        <f>IFERROR(__xludf.DUMMYFUNCTION("""COMPUTED_VALUE"""),0.498489160378401)</f>
        <v>0.4984891604</v>
      </c>
      <c r="G262" s="16">
        <f>IFERROR(__xludf.DUMMYFUNCTION("""COMPUTED_VALUE"""),-0.537737449698647)</f>
        <v>-0.5377374497</v>
      </c>
      <c r="H262" s="16">
        <f t="shared" si="1"/>
        <v>0</v>
      </c>
    </row>
    <row r="263">
      <c r="B263" s="16">
        <f>IFERROR(__xludf.DUMMYFUNCTION("""COMPUTED_VALUE"""),26.1)</f>
        <v>26.1</v>
      </c>
      <c r="D263" s="16">
        <f>IFERROR(__xludf.DUMMYFUNCTION("""COMPUTED_VALUE"""),0.675622990369169)</f>
        <v>0.6756229904</v>
      </c>
      <c r="E263" s="16">
        <f>IFERROR(__xludf.DUMMYFUNCTION("""COMPUTED_VALUE"""),-0.0766848554895046)</f>
        <v>-0.07668485549</v>
      </c>
      <c r="F263" s="16">
        <f>IFERROR(__xludf.DUMMYFUNCTION("""COMPUTED_VALUE"""),0.498489160378401)</f>
        <v>0.4984891604</v>
      </c>
      <c r="G263" s="16">
        <f>IFERROR(__xludf.DUMMYFUNCTION("""COMPUTED_VALUE"""),-0.537737449698647)</f>
        <v>-0.5377374497</v>
      </c>
      <c r="H263" s="16">
        <f t="shared" si="1"/>
        <v>0</v>
      </c>
    </row>
    <row r="264">
      <c r="B264" s="16">
        <f>IFERROR(__xludf.DUMMYFUNCTION("""COMPUTED_VALUE"""),26.2)</f>
        <v>26.2</v>
      </c>
      <c r="D264" s="16">
        <f>IFERROR(__xludf.DUMMYFUNCTION("""COMPUTED_VALUE"""),0.675622990369169)</f>
        <v>0.6756229904</v>
      </c>
      <c r="E264" s="16">
        <f>IFERROR(__xludf.DUMMYFUNCTION("""COMPUTED_VALUE"""),-0.0766848554895046)</f>
        <v>-0.07668485549</v>
      </c>
      <c r="F264" s="16">
        <f>IFERROR(__xludf.DUMMYFUNCTION("""COMPUTED_VALUE"""),0.498489160378401)</f>
        <v>0.4984891604</v>
      </c>
      <c r="G264" s="16">
        <f>IFERROR(__xludf.DUMMYFUNCTION("""COMPUTED_VALUE"""),-0.537737449698647)</f>
        <v>-0.5377374497</v>
      </c>
      <c r="H264" s="16">
        <f t="shared" si="1"/>
        <v>0</v>
      </c>
    </row>
    <row r="265">
      <c r="B265" s="16">
        <f>IFERROR(__xludf.DUMMYFUNCTION("""COMPUTED_VALUE"""),26.3)</f>
        <v>26.3</v>
      </c>
      <c r="D265" s="16">
        <f>IFERROR(__xludf.DUMMYFUNCTION("""COMPUTED_VALUE"""),0.675622990369169)</f>
        <v>0.6756229904</v>
      </c>
      <c r="E265" s="16">
        <f>IFERROR(__xludf.DUMMYFUNCTION("""COMPUTED_VALUE"""),-0.0766848554895046)</f>
        <v>-0.07668485549</v>
      </c>
      <c r="F265" s="16">
        <f>IFERROR(__xludf.DUMMYFUNCTION("""COMPUTED_VALUE"""),0.498489160378401)</f>
        <v>0.4984891604</v>
      </c>
      <c r="G265" s="16">
        <f>IFERROR(__xludf.DUMMYFUNCTION("""COMPUTED_VALUE"""),-0.537737449698647)</f>
        <v>-0.5377374497</v>
      </c>
      <c r="H265" s="16">
        <f t="shared" si="1"/>
        <v>0</v>
      </c>
    </row>
    <row r="266">
      <c r="B266" s="16">
        <f>IFERROR(__xludf.DUMMYFUNCTION("""COMPUTED_VALUE"""),26.4)</f>
        <v>26.4</v>
      </c>
      <c r="D266" s="16">
        <f>IFERROR(__xludf.DUMMYFUNCTION("""COMPUTED_VALUE"""),0.675622990369169)</f>
        <v>0.6756229904</v>
      </c>
      <c r="E266" s="16">
        <f>IFERROR(__xludf.DUMMYFUNCTION("""COMPUTED_VALUE"""),-0.0766848554895046)</f>
        <v>-0.07668485549</v>
      </c>
      <c r="F266" s="16">
        <f>IFERROR(__xludf.DUMMYFUNCTION("""COMPUTED_VALUE"""),0.498489160378401)</f>
        <v>0.4984891604</v>
      </c>
      <c r="G266" s="16">
        <f>IFERROR(__xludf.DUMMYFUNCTION("""COMPUTED_VALUE"""),-0.537737449698647)</f>
        <v>-0.5377374497</v>
      </c>
      <c r="H266" s="16">
        <f t="shared" si="1"/>
        <v>0</v>
      </c>
    </row>
    <row r="267">
      <c r="B267" s="16">
        <f>IFERROR(__xludf.DUMMYFUNCTION("""COMPUTED_VALUE"""),26.5)</f>
        <v>26.5</v>
      </c>
      <c r="D267" s="16">
        <f>IFERROR(__xludf.DUMMYFUNCTION("""COMPUTED_VALUE"""),0.675622990369169)</f>
        <v>0.6756229904</v>
      </c>
      <c r="E267" s="16">
        <f>IFERROR(__xludf.DUMMYFUNCTION("""COMPUTED_VALUE"""),-0.0766848554895046)</f>
        <v>-0.07668485549</v>
      </c>
      <c r="F267" s="16">
        <f>IFERROR(__xludf.DUMMYFUNCTION("""COMPUTED_VALUE"""),0.498489160378401)</f>
        <v>0.4984891604</v>
      </c>
      <c r="G267" s="16">
        <f>IFERROR(__xludf.DUMMYFUNCTION("""COMPUTED_VALUE"""),-0.537737449698647)</f>
        <v>-0.5377374497</v>
      </c>
      <c r="H267" s="16">
        <f t="shared" si="1"/>
        <v>0</v>
      </c>
    </row>
    <row r="268">
      <c r="B268" s="16">
        <f>IFERROR(__xludf.DUMMYFUNCTION("""COMPUTED_VALUE"""),26.6)</f>
        <v>26.6</v>
      </c>
      <c r="D268" s="16">
        <f>IFERROR(__xludf.DUMMYFUNCTION("""COMPUTED_VALUE"""),0.675622990369169)</f>
        <v>0.6756229904</v>
      </c>
      <c r="E268" s="16">
        <f>IFERROR(__xludf.DUMMYFUNCTION("""COMPUTED_VALUE"""),-0.0766848554895046)</f>
        <v>-0.07668485549</v>
      </c>
      <c r="F268" s="16">
        <f>IFERROR(__xludf.DUMMYFUNCTION("""COMPUTED_VALUE"""),0.498489160378401)</f>
        <v>0.4984891604</v>
      </c>
      <c r="G268" s="16">
        <f>IFERROR(__xludf.DUMMYFUNCTION("""COMPUTED_VALUE"""),-0.537737449698647)</f>
        <v>-0.5377374497</v>
      </c>
      <c r="H268" s="16">
        <f t="shared" si="1"/>
        <v>0</v>
      </c>
    </row>
    <row r="269">
      <c r="B269" s="16">
        <f>IFERROR(__xludf.DUMMYFUNCTION("""COMPUTED_VALUE"""),26.7)</f>
        <v>26.7</v>
      </c>
      <c r="D269" s="16">
        <f>IFERROR(__xludf.DUMMYFUNCTION("""COMPUTED_VALUE"""),0.675622990369169)</f>
        <v>0.6756229904</v>
      </c>
      <c r="E269" s="16">
        <f>IFERROR(__xludf.DUMMYFUNCTION("""COMPUTED_VALUE"""),-0.0766848554895046)</f>
        <v>-0.07668485549</v>
      </c>
      <c r="F269" s="16">
        <f>IFERROR(__xludf.DUMMYFUNCTION("""COMPUTED_VALUE"""),0.498489160378401)</f>
        <v>0.4984891604</v>
      </c>
      <c r="G269" s="16">
        <f>IFERROR(__xludf.DUMMYFUNCTION("""COMPUTED_VALUE"""),-0.537737449698647)</f>
        <v>-0.5377374497</v>
      </c>
      <c r="H269" s="16">
        <f t="shared" si="1"/>
        <v>0</v>
      </c>
    </row>
    <row r="270">
      <c r="B270" s="16">
        <f>IFERROR(__xludf.DUMMYFUNCTION("""COMPUTED_VALUE"""),26.8)</f>
        <v>26.8</v>
      </c>
      <c r="D270" s="16">
        <f>IFERROR(__xludf.DUMMYFUNCTION("""COMPUTED_VALUE"""),0.675622990369169)</f>
        <v>0.6756229904</v>
      </c>
      <c r="E270" s="16">
        <f>IFERROR(__xludf.DUMMYFUNCTION("""COMPUTED_VALUE"""),-0.0766848554895046)</f>
        <v>-0.07668485549</v>
      </c>
      <c r="F270" s="16">
        <f>IFERROR(__xludf.DUMMYFUNCTION("""COMPUTED_VALUE"""),0.498489160378401)</f>
        <v>0.4984891604</v>
      </c>
      <c r="G270" s="16">
        <f>IFERROR(__xludf.DUMMYFUNCTION("""COMPUTED_VALUE"""),-0.537737449698647)</f>
        <v>-0.5377374497</v>
      </c>
      <c r="H270" s="16">
        <f t="shared" si="1"/>
        <v>0</v>
      </c>
    </row>
    <row r="271">
      <c r="B271" s="16">
        <f>IFERROR(__xludf.DUMMYFUNCTION("""COMPUTED_VALUE"""),26.9)</f>
        <v>26.9</v>
      </c>
      <c r="D271" s="16">
        <f>IFERROR(__xludf.DUMMYFUNCTION("""COMPUTED_VALUE"""),0.675622990369169)</f>
        <v>0.6756229904</v>
      </c>
      <c r="E271" s="16">
        <f>IFERROR(__xludf.DUMMYFUNCTION("""COMPUTED_VALUE"""),-0.0766848554895046)</f>
        <v>-0.07668485549</v>
      </c>
      <c r="F271" s="16">
        <f>IFERROR(__xludf.DUMMYFUNCTION("""COMPUTED_VALUE"""),0.498489160378401)</f>
        <v>0.4984891604</v>
      </c>
      <c r="G271" s="16">
        <f>IFERROR(__xludf.DUMMYFUNCTION("""COMPUTED_VALUE"""),-0.537737449698647)</f>
        <v>-0.5377374497</v>
      </c>
      <c r="H271" s="16">
        <f t="shared" si="1"/>
        <v>0</v>
      </c>
    </row>
    <row r="272">
      <c r="B272" s="16">
        <f>IFERROR(__xludf.DUMMYFUNCTION("""COMPUTED_VALUE"""),27.0)</f>
        <v>27</v>
      </c>
      <c r="D272" s="16">
        <f>IFERROR(__xludf.DUMMYFUNCTION("""COMPUTED_VALUE"""),0.675622990369169)</f>
        <v>0.6756229904</v>
      </c>
      <c r="E272" s="16">
        <f>IFERROR(__xludf.DUMMYFUNCTION("""COMPUTED_VALUE"""),-0.0766848554895046)</f>
        <v>-0.07668485549</v>
      </c>
      <c r="F272" s="16">
        <f>IFERROR(__xludf.DUMMYFUNCTION("""COMPUTED_VALUE"""),0.498489160378401)</f>
        <v>0.4984891604</v>
      </c>
      <c r="G272" s="16">
        <f>IFERROR(__xludf.DUMMYFUNCTION("""COMPUTED_VALUE"""),-0.537737449698647)</f>
        <v>-0.5377374497</v>
      </c>
      <c r="H272" s="16">
        <f t="shared" si="1"/>
        <v>0</v>
      </c>
    </row>
    <row r="273">
      <c r="B273" s="16">
        <f>IFERROR(__xludf.DUMMYFUNCTION("""COMPUTED_VALUE"""),27.1)</f>
        <v>27.1</v>
      </c>
      <c r="D273" s="16">
        <f>IFERROR(__xludf.DUMMYFUNCTION("""COMPUTED_VALUE"""),0.675622990369169)</f>
        <v>0.6756229904</v>
      </c>
      <c r="E273" s="16">
        <f>IFERROR(__xludf.DUMMYFUNCTION("""COMPUTED_VALUE"""),-0.0766848554895046)</f>
        <v>-0.07668485549</v>
      </c>
      <c r="F273" s="16">
        <f>IFERROR(__xludf.DUMMYFUNCTION("""COMPUTED_VALUE"""),0.498489160378401)</f>
        <v>0.4984891604</v>
      </c>
      <c r="G273" s="16">
        <f>IFERROR(__xludf.DUMMYFUNCTION("""COMPUTED_VALUE"""),-0.537737449698647)</f>
        <v>-0.5377374497</v>
      </c>
      <c r="H273" s="16">
        <f t="shared" si="1"/>
        <v>0</v>
      </c>
    </row>
    <row r="274">
      <c r="B274" s="16">
        <f>IFERROR(__xludf.DUMMYFUNCTION("""COMPUTED_VALUE"""),27.2)</f>
        <v>27.2</v>
      </c>
      <c r="D274" s="16">
        <f>IFERROR(__xludf.DUMMYFUNCTION("""COMPUTED_VALUE"""),0.675622990369169)</f>
        <v>0.6756229904</v>
      </c>
      <c r="E274" s="16">
        <f>IFERROR(__xludf.DUMMYFUNCTION("""COMPUTED_VALUE"""),-0.0766848554895046)</f>
        <v>-0.07668485549</v>
      </c>
      <c r="F274" s="16">
        <f>IFERROR(__xludf.DUMMYFUNCTION("""COMPUTED_VALUE"""),0.498489160378401)</f>
        <v>0.4984891604</v>
      </c>
      <c r="G274" s="16">
        <f>IFERROR(__xludf.DUMMYFUNCTION("""COMPUTED_VALUE"""),-0.537737449698647)</f>
        <v>-0.5377374497</v>
      </c>
      <c r="H274" s="16">
        <f t="shared" si="1"/>
        <v>0</v>
      </c>
    </row>
    <row r="275">
      <c r="B275" s="16">
        <f>IFERROR(__xludf.DUMMYFUNCTION("""COMPUTED_VALUE"""),27.3)</f>
        <v>27.3</v>
      </c>
      <c r="D275" s="16">
        <f>IFERROR(__xludf.DUMMYFUNCTION("""COMPUTED_VALUE"""),0.675622990369169)</f>
        <v>0.6756229904</v>
      </c>
      <c r="E275" s="16">
        <f>IFERROR(__xludf.DUMMYFUNCTION("""COMPUTED_VALUE"""),-0.0766848554895046)</f>
        <v>-0.07668485549</v>
      </c>
      <c r="F275" s="16">
        <f>IFERROR(__xludf.DUMMYFUNCTION("""COMPUTED_VALUE"""),0.498489160378401)</f>
        <v>0.4984891604</v>
      </c>
      <c r="G275" s="16">
        <f>IFERROR(__xludf.DUMMYFUNCTION("""COMPUTED_VALUE"""),-0.537737449698647)</f>
        <v>-0.5377374497</v>
      </c>
      <c r="H275" s="16">
        <f t="shared" si="1"/>
        <v>0</v>
      </c>
    </row>
    <row r="276">
      <c r="B276" s="16">
        <f>IFERROR(__xludf.DUMMYFUNCTION("""COMPUTED_VALUE"""),27.4)</f>
        <v>27.4</v>
      </c>
      <c r="D276" s="16">
        <f>IFERROR(__xludf.DUMMYFUNCTION("""COMPUTED_VALUE"""),0.675622990369169)</f>
        <v>0.6756229904</v>
      </c>
      <c r="E276" s="16">
        <f>IFERROR(__xludf.DUMMYFUNCTION("""COMPUTED_VALUE"""),-0.0766848554895046)</f>
        <v>-0.07668485549</v>
      </c>
      <c r="F276" s="16">
        <f>IFERROR(__xludf.DUMMYFUNCTION("""COMPUTED_VALUE"""),0.498489160378401)</f>
        <v>0.4984891604</v>
      </c>
      <c r="G276" s="16">
        <f>IFERROR(__xludf.DUMMYFUNCTION("""COMPUTED_VALUE"""),-0.537737449698647)</f>
        <v>-0.5377374497</v>
      </c>
      <c r="H276" s="16">
        <f t="shared" si="1"/>
        <v>0</v>
      </c>
    </row>
    <row r="277">
      <c r="B277" s="16">
        <f>IFERROR(__xludf.DUMMYFUNCTION("""COMPUTED_VALUE"""),27.5)</f>
        <v>27.5</v>
      </c>
      <c r="D277" s="16">
        <f>IFERROR(__xludf.DUMMYFUNCTION("""COMPUTED_VALUE"""),0.675622990369169)</f>
        <v>0.6756229904</v>
      </c>
      <c r="E277" s="16">
        <f>IFERROR(__xludf.DUMMYFUNCTION("""COMPUTED_VALUE"""),-0.0766848554895046)</f>
        <v>-0.07668485549</v>
      </c>
      <c r="F277" s="16">
        <f>IFERROR(__xludf.DUMMYFUNCTION("""COMPUTED_VALUE"""),0.498489160378401)</f>
        <v>0.4984891604</v>
      </c>
      <c r="G277" s="16">
        <f>IFERROR(__xludf.DUMMYFUNCTION("""COMPUTED_VALUE"""),-0.537737449698647)</f>
        <v>-0.5377374497</v>
      </c>
      <c r="H277" s="16">
        <f t="shared" si="1"/>
        <v>0</v>
      </c>
    </row>
    <row r="278">
      <c r="B278" s="16">
        <f>IFERROR(__xludf.DUMMYFUNCTION("""COMPUTED_VALUE"""),27.6)</f>
        <v>27.6</v>
      </c>
      <c r="D278" s="16">
        <f>IFERROR(__xludf.DUMMYFUNCTION("""COMPUTED_VALUE"""),0.644456511384279)</f>
        <v>0.6444565114</v>
      </c>
      <c r="E278" s="16">
        <f>IFERROR(__xludf.DUMMYFUNCTION("""COMPUTED_VALUE"""),-0.0774135306773323)</f>
        <v>-0.07741353068</v>
      </c>
      <c r="F278" s="16">
        <f>IFERROR(__xludf.DUMMYFUNCTION("""COMPUTED_VALUE"""),0.514146476208275)</f>
        <v>0.5141464762</v>
      </c>
      <c r="G278" s="16">
        <f>IFERROR(__xludf.DUMMYFUNCTION("""COMPUTED_VALUE"""),-0.560657070948973)</f>
        <v>-0.5606570709</v>
      </c>
      <c r="H278" s="16">
        <f t="shared" si="1"/>
        <v>0</v>
      </c>
    </row>
    <row r="279">
      <c r="B279" s="16">
        <f>IFERROR(__xludf.DUMMYFUNCTION("""COMPUTED_VALUE"""),27.7)</f>
        <v>27.7</v>
      </c>
      <c r="D279" s="16">
        <f>IFERROR(__xludf.DUMMYFUNCTION("""COMPUTED_VALUE"""),0.591110019682782)</f>
        <v>0.5911100197</v>
      </c>
      <c r="E279" s="16">
        <f>IFERROR(__xludf.DUMMYFUNCTION("""COMPUTED_VALUE"""),-0.0384974174214251)</f>
        <v>-0.03849741742</v>
      </c>
      <c r="F279" s="16">
        <f>IFERROR(__xludf.DUMMYFUNCTION("""COMPUTED_VALUE"""),0.563745811481918)</f>
        <v>0.5637458115</v>
      </c>
      <c r="G279" s="16">
        <f>IFERROR(__xludf.DUMMYFUNCTION("""COMPUTED_VALUE"""),-0.575584532035986)</f>
        <v>-0.575584532</v>
      </c>
      <c r="H279" s="16">
        <f t="shared" si="1"/>
        <v>0</v>
      </c>
    </row>
    <row r="280">
      <c r="B280" s="16">
        <f>IFERROR(__xludf.DUMMYFUNCTION("""COMPUTED_VALUE"""),27.8)</f>
        <v>27.8</v>
      </c>
      <c r="D280" s="16">
        <f>IFERROR(__xludf.DUMMYFUNCTION("""COMPUTED_VALUE"""),0.570820600640691)</f>
        <v>0.5708206006</v>
      </c>
      <c r="E280" s="16">
        <f>IFERROR(__xludf.DUMMYFUNCTION("""COMPUTED_VALUE"""),-0.0181347748530234)</f>
        <v>-0.01813477485</v>
      </c>
      <c r="F280" s="16">
        <f>IFERROR(__xludf.DUMMYFUNCTION("""COMPUTED_VALUE"""),0.584280957431428)</f>
        <v>0.5842809574</v>
      </c>
      <c r="G280" s="16">
        <f>IFERROR(__xludf.DUMMYFUNCTION("""COMPUTED_VALUE"""),-0.576585409638706)</f>
        <v>-0.5765854096</v>
      </c>
      <c r="H280" s="16">
        <f t="shared" si="1"/>
        <v>0</v>
      </c>
    </row>
    <row r="281">
      <c r="B281" s="16">
        <f>IFERROR(__xludf.DUMMYFUNCTION("""COMPUTED_VALUE"""),27.9)</f>
        <v>27.9</v>
      </c>
      <c r="D281" s="16">
        <f>IFERROR(__xludf.DUMMYFUNCTION("""COMPUTED_VALUE"""),0.566214110595888)</f>
        <v>0.5662141106</v>
      </c>
      <c r="E281" s="16">
        <f>IFERROR(__xludf.DUMMYFUNCTION("""COMPUTED_VALUE"""),-0.0136057710076118)</f>
        <v>-0.01360577101</v>
      </c>
      <c r="F281" s="16">
        <f>IFERROR(__xludf.DUMMYFUNCTION("""COMPUTED_VALUE"""),0.588746105120783)</f>
        <v>0.5887461051</v>
      </c>
      <c r="G281" s="16">
        <f>IFERROR(__xludf.DUMMYFUNCTION("""COMPUTED_VALUE"""),-0.576710055107844)</f>
        <v>-0.5767100551</v>
      </c>
      <c r="H281" s="16">
        <f t="shared" si="1"/>
        <v>0</v>
      </c>
    </row>
    <row r="282">
      <c r="B282" s="16">
        <f>IFERROR(__xludf.DUMMYFUNCTION("""COMPUTED_VALUE"""),28.0)</f>
        <v>28</v>
      </c>
      <c r="D282" s="16">
        <f>IFERROR(__xludf.DUMMYFUNCTION("""COMPUTED_VALUE"""),0.521132422344864)</f>
        <v>0.5211324223</v>
      </c>
      <c r="E282" s="16">
        <f>IFERROR(__xludf.DUMMYFUNCTION("""COMPUTED_VALUE"""),0.0200679134081451)</f>
        <v>0.02006791341</v>
      </c>
      <c r="F282" s="16">
        <f>IFERROR(__xludf.DUMMYFUNCTION("""COMPUTED_VALUE"""),0.625293924795111)</f>
        <v>0.6252939248</v>
      </c>
      <c r="G282" s="16">
        <f>IFERROR(__xludf.DUMMYFUNCTION("""COMPUTED_VALUE"""),-0.580539219042722)</f>
        <v>-0.580539219</v>
      </c>
      <c r="H282" s="16">
        <f t="shared" si="1"/>
        <v>0</v>
      </c>
    </row>
    <row r="283">
      <c r="B283" s="16">
        <f>IFERROR(__xludf.DUMMYFUNCTION("""COMPUTED_VALUE"""),28.1)</f>
        <v>28.1</v>
      </c>
      <c r="D283" s="16">
        <f>IFERROR(__xludf.DUMMYFUNCTION("""COMPUTED_VALUE"""),0.48677312843747)</f>
        <v>0.4867731284</v>
      </c>
      <c r="E283" s="16">
        <f>IFERROR(__xludf.DUMMYFUNCTION("""COMPUTED_VALUE"""),0.0377128852329661)</f>
        <v>0.03771288523</v>
      </c>
      <c r="F283" s="16">
        <f>IFERROR(__xludf.DUMMYFUNCTION("""COMPUTED_VALUE"""),0.647452125964967)</f>
        <v>0.647452126</v>
      </c>
      <c r="G283" s="16">
        <f>IFERROR(__xludf.DUMMYFUNCTION("""COMPUTED_VALUE"""),-0.585179805104412)</f>
        <v>-0.5851798051</v>
      </c>
      <c r="H283" s="16">
        <f t="shared" si="1"/>
        <v>0</v>
      </c>
    </row>
    <row r="284">
      <c r="B284" s="16">
        <f>IFERROR(__xludf.DUMMYFUNCTION("""COMPUTED_VALUE"""),28.2)</f>
        <v>28.2</v>
      </c>
      <c r="D284" s="16">
        <f>IFERROR(__xludf.DUMMYFUNCTION("""COMPUTED_VALUE"""),0.474240084054772)</f>
        <v>0.4742400841</v>
      </c>
      <c r="E284" s="16">
        <f>IFERROR(__xludf.DUMMYFUNCTION("""COMPUTED_VALUE"""),0.0443796578247788)</f>
        <v>0.04437965782</v>
      </c>
      <c r="F284" s="16">
        <f>IFERROR(__xludf.DUMMYFUNCTION("""COMPUTED_VALUE"""),0.655134125471817)</f>
        <v>0.6551341255</v>
      </c>
      <c r="G284" s="16">
        <f>IFERROR(__xludf.DUMMYFUNCTION("""COMPUTED_VALUE"""),-0.586452100592491)</f>
        <v>-0.5864521006</v>
      </c>
      <c r="H284" s="16">
        <f t="shared" si="1"/>
        <v>0</v>
      </c>
    </row>
    <row r="285">
      <c r="B285" s="16">
        <f>IFERROR(__xludf.DUMMYFUNCTION("""COMPUTED_VALUE"""),28.3)</f>
        <v>28.3</v>
      </c>
      <c r="D285" s="16">
        <f>IFERROR(__xludf.DUMMYFUNCTION("""COMPUTED_VALUE"""),0.466773496114185)</f>
        <v>0.4667734961</v>
      </c>
      <c r="E285" s="16">
        <f>IFERROR(__xludf.DUMMYFUNCTION("""COMPUTED_VALUE"""),0.0464111488842605)</f>
        <v>0.04641114888</v>
      </c>
      <c r="F285" s="16">
        <f>IFERROR(__xludf.DUMMYFUNCTION("""COMPUTED_VALUE"""),0.659007752103431)</f>
        <v>0.6590077521</v>
      </c>
      <c r="G285" s="16">
        <f>IFERROR(__xludf.DUMMYFUNCTION("""COMPUTED_VALUE"""),-0.587943272137846)</f>
        <v>-0.5879432721</v>
      </c>
      <c r="H285" s="16">
        <f t="shared" si="1"/>
        <v>0</v>
      </c>
    </row>
    <row r="286">
      <c r="B286" s="16">
        <f>IFERROR(__xludf.DUMMYFUNCTION("""COMPUTED_VALUE"""),28.4)</f>
        <v>28.4</v>
      </c>
      <c r="D286" s="16">
        <f>IFERROR(__xludf.DUMMYFUNCTION("""COMPUTED_VALUE"""),0.464181986339777)</f>
        <v>0.4641819863</v>
      </c>
      <c r="E286" s="16">
        <f>IFERROR(__xludf.DUMMYFUNCTION("""COMPUTED_VALUE"""),0.0487196328532126)</f>
        <v>0.04871963285</v>
      </c>
      <c r="F286" s="16">
        <f>IFERROR(__xludf.DUMMYFUNCTION("""COMPUTED_VALUE"""),0.660835681213367)</f>
        <v>0.6608356812</v>
      </c>
      <c r="G286" s="16">
        <f>IFERROR(__xludf.DUMMYFUNCTION("""COMPUTED_VALUE"""),-0.587756483050219)</f>
        <v>-0.5877564831</v>
      </c>
      <c r="H286" s="16">
        <f t="shared" si="1"/>
        <v>0</v>
      </c>
    </row>
    <row r="287">
      <c r="B287" s="16">
        <f>IFERROR(__xludf.DUMMYFUNCTION("""COMPUTED_VALUE"""),28.5)</f>
        <v>28.5</v>
      </c>
      <c r="D287" s="16">
        <f>IFERROR(__xludf.DUMMYFUNCTION("""COMPUTED_VALUE"""),0.461583318305346)</f>
        <v>0.4615833183</v>
      </c>
      <c r="E287" s="16">
        <f>IFERROR(__xludf.DUMMYFUNCTION("""COMPUTED_VALUE"""),0.0510273655052019)</f>
        <v>0.05102736551</v>
      </c>
      <c r="F287" s="16">
        <f>IFERROR(__xludf.DUMMYFUNCTION("""COMPUTED_VALUE"""),0.662653419420214)</f>
        <v>0.6626534194</v>
      </c>
      <c r="G287" s="16">
        <f>IFERROR(__xludf.DUMMYFUNCTION("""COMPUTED_VALUE"""),-0.587560630031074)</f>
        <v>-0.58756063</v>
      </c>
      <c r="H287" s="16">
        <f t="shared" si="1"/>
        <v>0</v>
      </c>
    </row>
    <row r="288">
      <c r="B288" s="16">
        <f>IFERROR(__xludf.DUMMYFUNCTION("""COMPUTED_VALUE"""),28.6)</f>
        <v>28.6</v>
      </c>
      <c r="D288" s="16">
        <f>IFERROR(__xludf.DUMMYFUNCTION("""COMPUTED_VALUE"""),0.458977532085566)</f>
        <v>0.4589775321</v>
      </c>
      <c r="E288" s="16">
        <f>IFERROR(__xludf.DUMMYFUNCTION("""COMPUTED_VALUE"""),0.0533343112521382)</f>
        <v>0.05333431125</v>
      </c>
      <c r="F288" s="16">
        <f>IFERROR(__xludf.DUMMYFUNCTION("""COMPUTED_VALUE"""),0.6644609386922)</f>
        <v>0.6644609387</v>
      </c>
      <c r="G288" s="16">
        <f>IFERROR(__xludf.DUMMYFUNCTION("""COMPUTED_VALUE"""),-0.587355716100707)</f>
        <v>-0.5873557161</v>
      </c>
      <c r="H288" s="16">
        <f t="shared" si="1"/>
        <v>0</v>
      </c>
    </row>
    <row r="289">
      <c r="B289" s="16">
        <f>IFERROR(__xludf.DUMMYFUNCTION("""COMPUTED_VALUE"""),28.7)</f>
        <v>28.7</v>
      </c>
      <c r="D289" s="16">
        <f>IFERROR(__xludf.DUMMYFUNCTION("""COMPUTED_VALUE"""),0.458977532085566)</f>
        <v>0.4589775321</v>
      </c>
      <c r="E289" s="16">
        <f>IFERROR(__xludf.DUMMYFUNCTION("""COMPUTED_VALUE"""),0.0533343112521382)</f>
        <v>0.05333431125</v>
      </c>
      <c r="F289" s="16">
        <f>IFERROR(__xludf.DUMMYFUNCTION("""COMPUTED_VALUE"""),0.6644609386922)</f>
        <v>0.6644609387</v>
      </c>
      <c r="G289" s="16">
        <f>IFERROR(__xludf.DUMMYFUNCTION("""COMPUTED_VALUE"""),-0.587355716100707)</f>
        <v>-0.5873557161</v>
      </c>
      <c r="H289" s="16">
        <f t="shared" si="1"/>
        <v>0</v>
      </c>
    </row>
    <row r="290">
      <c r="B290" s="16">
        <f>IFERROR(__xludf.DUMMYFUNCTION("""COMPUTED_VALUE"""),28.8)</f>
        <v>28.8</v>
      </c>
      <c r="D290" s="16">
        <f>IFERROR(__xludf.DUMMYFUNCTION("""COMPUTED_VALUE"""),0.458977532085566)</f>
        <v>0.4589775321</v>
      </c>
      <c r="E290" s="16">
        <f>IFERROR(__xludf.DUMMYFUNCTION("""COMPUTED_VALUE"""),0.0533343112521382)</f>
        <v>0.05333431125</v>
      </c>
      <c r="F290" s="16">
        <f>IFERROR(__xludf.DUMMYFUNCTION("""COMPUTED_VALUE"""),0.6644609386922)</f>
        <v>0.6644609387</v>
      </c>
      <c r="G290" s="16">
        <f>IFERROR(__xludf.DUMMYFUNCTION("""COMPUTED_VALUE"""),-0.587355716100707)</f>
        <v>-0.5873557161</v>
      </c>
      <c r="H290" s="16">
        <f t="shared" si="1"/>
        <v>0</v>
      </c>
    </row>
    <row r="291">
      <c r="B291" s="16">
        <f>IFERROR(__xludf.DUMMYFUNCTION("""COMPUTED_VALUE"""),28.9)</f>
        <v>28.9</v>
      </c>
      <c r="D291" s="16">
        <f>IFERROR(__xludf.DUMMYFUNCTION("""COMPUTED_VALUE"""),0.458977532085566)</f>
        <v>0.4589775321</v>
      </c>
      <c r="E291" s="16">
        <f>IFERROR(__xludf.DUMMYFUNCTION("""COMPUTED_VALUE"""),0.0533343112521382)</f>
        <v>0.05333431125</v>
      </c>
      <c r="F291" s="16">
        <f>IFERROR(__xludf.DUMMYFUNCTION("""COMPUTED_VALUE"""),0.6644609386922)</f>
        <v>0.6644609387</v>
      </c>
      <c r="G291" s="16">
        <f>IFERROR(__xludf.DUMMYFUNCTION("""COMPUTED_VALUE"""),-0.587355716100707)</f>
        <v>-0.5873557161</v>
      </c>
      <c r="H291" s="16">
        <f t="shared" si="1"/>
        <v>0</v>
      </c>
    </row>
    <row r="292">
      <c r="B292" s="16">
        <f>IFERROR(__xludf.DUMMYFUNCTION("""COMPUTED_VALUE"""),29.0)</f>
        <v>29</v>
      </c>
      <c r="D292" s="16">
        <f>IFERROR(__xludf.DUMMYFUNCTION("""COMPUTED_VALUE"""),0.458977532085566)</f>
        <v>0.4589775321</v>
      </c>
      <c r="E292" s="16">
        <f>IFERROR(__xludf.DUMMYFUNCTION("""COMPUTED_VALUE"""),0.0533343112521382)</f>
        <v>0.05333431125</v>
      </c>
      <c r="F292" s="16">
        <f>IFERROR(__xludf.DUMMYFUNCTION("""COMPUTED_VALUE"""),0.6644609386922)</f>
        <v>0.6644609387</v>
      </c>
      <c r="G292" s="16">
        <f>IFERROR(__xludf.DUMMYFUNCTION("""COMPUTED_VALUE"""),-0.587355716100707)</f>
        <v>-0.5873557161</v>
      </c>
      <c r="H292" s="16">
        <f t="shared" si="1"/>
        <v>0</v>
      </c>
    </row>
    <row r="293">
      <c r="B293" s="16">
        <f>IFERROR(__xludf.DUMMYFUNCTION("""COMPUTED_VALUE"""),29.1)</f>
        <v>29.1</v>
      </c>
      <c r="D293" s="16">
        <f>IFERROR(__xludf.DUMMYFUNCTION("""COMPUTED_VALUE"""),0.458977532085566)</f>
        <v>0.4589775321</v>
      </c>
      <c r="E293" s="16">
        <f>IFERROR(__xludf.DUMMYFUNCTION("""COMPUTED_VALUE"""),0.0533343112521382)</f>
        <v>0.05333431125</v>
      </c>
      <c r="F293" s="16">
        <f>IFERROR(__xludf.DUMMYFUNCTION("""COMPUTED_VALUE"""),0.6644609386922)</f>
        <v>0.6644609387</v>
      </c>
      <c r="G293" s="16">
        <f>IFERROR(__xludf.DUMMYFUNCTION("""COMPUTED_VALUE"""),-0.587355716100707)</f>
        <v>-0.5873557161</v>
      </c>
      <c r="H293" s="16">
        <f t="shared" si="1"/>
        <v>0</v>
      </c>
    </row>
    <row r="294">
      <c r="B294" s="16">
        <f>IFERROR(__xludf.DUMMYFUNCTION("""COMPUTED_VALUE"""),29.2)</f>
        <v>29.2</v>
      </c>
      <c r="D294" s="16">
        <f>IFERROR(__xludf.DUMMYFUNCTION("""COMPUTED_VALUE"""),0.458977532085566)</f>
        <v>0.4589775321</v>
      </c>
      <c r="E294" s="16">
        <f>IFERROR(__xludf.DUMMYFUNCTION("""COMPUTED_VALUE"""),0.0533343112521382)</f>
        <v>0.05333431125</v>
      </c>
      <c r="F294" s="16">
        <f>IFERROR(__xludf.DUMMYFUNCTION("""COMPUTED_VALUE"""),0.6644609386922)</f>
        <v>0.6644609387</v>
      </c>
      <c r="G294" s="16">
        <f>IFERROR(__xludf.DUMMYFUNCTION("""COMPUTED_VALUE"""),-0.587355716100707)</f>
        <v>-0.5873557161</v>
      </c>
      <c r="H294" s="16">
        <f t="shared" si="1"/>
        <v>0</v>
      </c>
    </row>
    <row r="295">
      <c r="B295" s="16">
        <f>IFERROR(__xludf.DUMMYFUNCTION("""COMPUTED_VALUE"""),29.3)</f>
        <v>29.3</v>
      </c>
      <c r="D295" s="16">
        <f>IFERROR(__xludf.DUMMYFUNCTION("""COMPUTED_VALUE"""),0.45636466786488)</f>
        <v>0.4563646679</v>
      </c>
      <c r="E295" s="16">
        <f>IFERROR(__xludf.DUMMYFUNCTION("""COMPUTED_VALUE"""),0.0556404345180663)</f>
        <v>0.05564043452</v>
      </c>
      <c r="F295" s="16">
        <f>IFERROR(__xludf.DUMMYFUNCTION("""COMPUTED_VALUE"""),0.666258211155146)</f>
        <v>0.6662582112</v>
      </c>
      <c r="G295" s="16">
        <f>IFERROR(__xludf.DUMMYFUNCTION("""COMPUTED_VALUE"""),-0.587141744419143)</f>
        <v>-0.5871417444</v>
      </c>
      <c r="H295" s="16">
        <f t="shared" si="1"/>
        <v>0</v>
      </c>
    </row>
    <row r="296">
      <c r="B296" s="16">
        <f>IFERROR(__xludf.DUMMYFUNCTION("""COMPUTED_VALUE"""),29.4)</f>
        <v>29.4</v>
      </c>
      <c r="D296" s="16">
        <f>IFERROR(__xludf.DUMMYFUNCTION("""COMPUTED_VALUE"""),0.453744765936884)</f>
        <v>0.4537447659</v>
      </c>
      <c r="E296" s="16">
        <f>IFERROR(__xludf.DUMMYFUNCTION("""COMPUTED_VALUE"""),0.0579456997397147)</f>
        <v>0.05794569974</v>
      </c>
      <c r="F296" s="16">
        <f>IFERROR(__xludf.DUMMYFUNCTION("""COMPUTED_VALUE"""),0.668045209092886)</f>
        <v>0.6680452091</v>
      </c>
      <c r="G296" s="16">
        <f>IFERROR(__xludf.DUMMYFUNCTION("""COMPUTED_VALUE"""),-0.586918718286092)</f>
        <v>-0.5869187183</v>
      </c>
      <c r="H296" s="16">
        <f t="shared" si="1"/>
        <v>0</v>
      </c>
    </row>
    <row r="297">
      <c r="B297" s="16">
        <f>IFERROR(__xludf.DUMMYFUNCTION("""COMPUTED_VALUE"""),29.5)</f>
        <v>29.5</v>
      </c>
      <c r="D297" s="16">
        <f>IFERROR(__xludf.DUMMYFUNCTION("""COMPUTED_VALUE"""),0.453744765936884)</f>
        <v>0.4537447659</v>
      </c>
      <c r="E297" s="16">
        <f>IFERROR(__xludf.DUMMYFUNCTION("""COMPUTED_VALUE"""),0.0579456997397147)</f>
        <v>0.05794569974</v>
      </c>
      <c r="F297" s="16">
        <f>IFERROR(__xludf.DUMMYFUNCTION("""COMPUTED_VALUE"""),0.668045209092886)</f>
        <v>0.6680452091</v>
      </c>
      <c r="G297" s="16">
        <f>IFERROR(__xludf.DUMMYFUNCTION("""COMPUTED_VALUE"""),-0.586918718286092)</f>
        <v>-0.5869187183</v>
      </c>
      <c r="H297" s="16">
        <f t="shared" si="1"/>
        <v>0</v>
      </c>
    </row>
    <row r="298">
      <c r="B298" s="16">
        <f>IFERROR(__xludf.DUMMYFUNCTION("""COMPUTED_VALUE"""),29.6)</f>
        <v>29.6</v>
      </c>
      <c r="D298" s="16">
        <f>IFERROR(__xludf.DUMMYFUNCTION("""COMPUTED_VALUE"""),0.453744765936884)</f>
        <v>0.4537447659</v>
      </c>
      <c r="E298" s="16">
        <f>IFERROR(__xludf.DUMMYFUNCTION("""COMPUTED_VALUE"""),0.0579456997397147)</f>
        <v>0.05794569974</v>
      </c>
      <c r="F298" s="16">
        <f>IFERROR(__xludf.DUMMYFUNCTION("""COMPUTED_VALUE"""),0.668045209092886)</f>
        <v>0.6680452091</v>
      </c>
      <c r="G298" s="16">
        <f>IFERROR(__xludf.DUMMYFUNCTION("""COMPUTED_VALUE"""),-0.586918718286092)</f>
        <v>-0.5869187183</v>
      </c>
      <c r="H298" s="16">
        <f t="shared" si="1"/>
        <v>0</v>
      </c>
    </row>
    <row r="299">
      <c r="B299" s="16">
        <f>IFERROR(__xludf.DUMMYFUNCTION("""COMPUTED_VALUE"""),29.7)</f>
        <v>29.7</v>
      </c>
      <c r="D299" s="16">
        <f>IFERROR(__xludf.DUMMYFUNCTION("""COMPUTED_VALUE"""),0.453744765936884)</f>
        <v>0.4537447659</v>
      </c>
      <c r="E299" s="16">
        <f>IFERROR(__xludf.DUMMYFUNCTION("""COMPUTED_VALUE"""),0.0579456997397147)</f>
        <v>0.05794569974</v>
      </c>
      <c r="F299" s="16">
        <f>IFERROR(__xludf.DUMMYFUNCTION("""COMPUTED_VALUE"""),0.668045209092886)</f>
        <v>0.6680452091</v>
      </c>
      <c r="G299" s="16">
        <f>IFERROR(__xludf.DUMMYFUNCTION("""COMPUTED_VALUE"""),-0.586918718286092)</f>
        <v>-0.5869187183</v>
      </c>
      <c r="H299" s="16">
        <f t="shared" si="1"/>
        <v>0</v>
      </c>
    </row>
    <row r="300">
      <c r="B300" s="16">
        <f>IFERROR(__xludf.DUMMYFUNCTION("""COMPUTED_VALUE"""),29.8)</f>
        <v>29.8</v>
      </c>
      <c r="D300" s="16">
        <f>IFERROR(__xludf.DUMMYFUNCTION("""COMPUTED_VALUE"""),0.453744765936884)</f>
        <v>0.4537447659</v>
      </c>
      <c r="E300" s="16">
        <f>IFERROR(__xludf.DUMMYFUNCTION("""COMPUTED_VALUE"""),0.0579456997397147)</f>
        <v>0.05794569974</v>
      </c>
      <c r="F300" s="16">
        <f>IFERROR(__xludf.DUMMYFUNCTION("""COMPUTED_VALUE"""),0.668045209092886)</f>
        <v>0.6680452091</v>
      </c>
      <c r="G300" s="16">
        <f>IFERROR(__xludf.DUMMYFUNCTION("""COMPUTED_VALUE"""),-0.586918718286092)</f>
        <v>-0.5869187183</v>
      </c>
      <c r="H300" s="16">
        <f t="shared" si="1"/>
        <v>0</v>
      </c>
    </row>
    <row r="301">
      <c r="B301" s="16">
        <f>IFERROR(__xludf.DUMMYFUNCTION("""COMPUTED_VALUE"""),29.9)</f>
        <v>29.9</v>
      </c>
      <c r="D301" s="16">
        <f>IFERROR(__xludf.DUMMYFUNCTION("""COMPUTED_VALUE"""),0.453744765936884)</f>
        <v>0.4537447659</v>
      </c>
      <c r="E301" s="16">
        <f>IFERROR(__xludf.DUMMYFUNCTION("""COMPUTED_VALUE"""),0.0579456997397147)</f>
        <v>0.05794569974</v>
      </c>
      <c r="F301" s="16">
        <f>IFERROR(__xludf.DUMMYFUNCTION("""COMPUTED_VALUE"""),0.668045209092886)</f>
        <v>0.6680452091</v>
      </c>
      <c r="G301" s="16">
        <f>IFERROR(__xludf.DUMMYFUNCTION("""COMPUTED_VALUE"""),-0.586918718286092)</f>
        <v>-0.5869187183</v>
      </c>
      <c r="H301" s="16">
        <f t="shared" si="1"/>
        <v>0</v>
      </c>
    </row>
    <row r="302">
      <c r="B302" s="16">
        <f>IFERROR(__xludf.DUMMYFUNCTION("""COMPUTED_VALUE"""),30.0)</f>
        <v>30</v>
      </c>
      <c r="D302" s="16">
        <f>IFERROR(__xludf.DUMMYFUNCTION("""COMPUTED_VALUE"""),0.456046085708782)</f>
        <v>0.4560460857</v>
      </c>
      <c r="E302" s="16">
        <f>IFERROR(__xludf.DUMMYFUNCTION("""COMPUTED_VALUE"""),0.0605686535231417)</f>
        <v>0.06056865352</v>
      </c>
      <c r="F302" s="16">
        <f>IFERROR(__xludf.DUMMYFUNCTION("""COMPUTED_VALUE"""),0.667812506412299)</f>
        <v>0.6678125064</v>
      </c>
      <c r="G302" s="16">
        <f>IFERROR(__xludf.DUMMYFUNCTION("""COMPUTED_VALUE"""),-0.585132345883737)</f>
        <v>-0.5851323459</v>
      </c>
      <c r="H302" s="16">
        <f t="shared" si="1"/>
        <v>0</v>
      </c>
    </row>
    <row r="303">
      <c r="B303" s="16">
        <f>IFERROR(__xludf.DUMMYFUNCTION("""COMPUTED_VALUE"""),30.1)</f>
        <v>30.1</v>
      </c>
      <c r="D303" s="16">
        <f>IFERROR(__xludf.DUMMYFUNCTION("""COMPUTED_VALUE"""),0.456046085708782)</f>
        <v>0.4560460857</v>
      </c>
      <c r="E303" s="16">
        <f>IFERROR(__xludf.DUMMYFUNCTION("""COMPUTED_VALUE"""),0.0605686535231417)</f>
        <v>0.06056865352</v>
      </c>
      <c r="F303" s="16">
        <f>IFERROR(__xludf.DUMMYFUNCTION("""COMPUTED_VALUE"""),0.667812506412299)</f>
        <v>0.6678125064</v>
      </c>
      <c r="G303" s="16">
        <f>IFERROR(__xludf.DUMMYFUNCTION("""COMPUTED_VALUE"""),-0.585132345883737)</f>
        <v>-0.5851323459</v>
      </c>
      <c r="H303" s="16">
        <f t="shared" si="1"/>
        <v>0</v>
      </c>
    </row>
    <row r="304">
      <c r="B304" s="16">
        <f>IFERROR(__xludf.DUMMYFUNCTION("""COMPUTED_VALUE"""),30.2)</f>
        <v>30.2</v>
      </c>
      <c r="D304" s="16">
        <f>IFERROR(__xludf.DUMMYFUNCTION("""COMPUTED_VALUE"""),0.456046085708782)</f>
        <v>0.4560460857</v>
      </c>
      <c r="E304" s="16">
        <f>IFERROR(__xludf.DUMMYFUNCTION("""COMPUTED_VALUE"""),0.0605686535231417)</f>
        <v>0.06056865352</v>
      </c>
      <c r="F304" s="16">
        <f>IFERROR(__xludf.DUMMYFUNCTION("""COMPUTED_VALUE"""),0.667812506412299)</f>
        <v>0.6678125064</v>
      </c>
      <c r="G304" s="16">
        <f>IFERROR(__xludf.DUMMYFUNCTION("""COMPUTED_VALUE"""),-0.585132345883737)</f>
        <v>-0.5851323459</v>
      </c>
      <c r="H304" s="16">
        <f t="shared" si="1"/>
        <v>0</v>
      </c>
    </row>
    <row r="305">
      <c r="B305" s="16">
        <f>IFERROR(__xludf.DUMMYFUNCTION("""COMPUTED_VALUE"""),30.3)</f>
        <v>30.3</v>
      </c>
      <c r="D305" s="16">
        <f>IFERROR(__xludf.DUMMYFUNCTION("""COMPUTED_VALUE"""),0.456046085708782)</f>
        <v>0.4560460857</v>
      </c>
      <c r="E305" s="16">
        <f>IFERROR(__xludf.DUMMYFUNCTION("""COMPUTED_VALUE"""),0.0605686535231417)</f>
        <v>0.06056865352</v>
      </c>
      <c r="F305" s="16">
        <f>IFERROR(__xludf.DUMMYFUNCTION("""COMPUTED_VALUE"""),0.667812506412299)</f>
        <v>0.6678125064</v>
      </c>
      <c r="G305" s="16">
        <f>IFERROR(__xludf.DUMMYFUNCTION("""COMPUTED_VALUE"""),-0.585132345883737)</f>
        <v>-0.5851323459</v>
      </c>
      <c r="H305" s="16">
        <f t="shared" si="1"/>
        <v>0</v>
      </c>
    </row>
    <row r="306">
      <c r="B306" s="16">
        <f>IFERROR(__xludf.DUMMYFUNCTION("""COMPUTED_VALUE"""),30.4)</f>
        <v>30.4</v>
      </c>
      <c r="D306" s="16">
        <f>IFERROR(__xludf.DUMMYFUNCTION("""COMPUTED_VALUE"""),0.456046085708782)</f>
        <v>0.4560460857</v>
      </c>
      <c r="E306" s="16">
        <f>IFERROR(__xludf.DUMMYFUNCTION("""COMPUTED_VALUE"""),0.0605686535231417)</f>
        <v>0.06056865352</v>
      </c>
      <c r="F306" s="16">
        <f>IFERROR(__xludf.DUMMYFUNCTION("""COMPUTED_VALUE"""),0.667812506412299)</f>
        <v>0.6678125064</v>
      </c>
      <c r="G306" s="16">
        <f>IFERROR(__xludf.DUMMYFUNCTION("""COMPUTED_VALUE"""),-0.585132345883737)</f>
        <v>-0.5851323459</v>
      </c>
      <c r="H306" s="16">
        <f t="shared" si="1"/>
        <v>0</v>
      </c>
    </row>
    <row r="307">
      <c r="B307" s="16">
        <f>IFERROR(__xludf.DUMMYFUNCTION("""COMPUTED_VALUE"""),30.5)</f>
        <v>30.5</v>
      </c>
      <c r="D307" s="16">
        <f>IFERROR(__xludf.DUMMYFUNCTION("""COMPUTED_VALUE"""),0.43981567161968)</f>
        <v>0.4398156716</v>
      </c>
      <c r="E307" s="16">
        <f>IFERROR(__xludf.DUMMYFUNCTION("""COMPUTED_VALUE"""),0.0792290230731008)</f>
        <v>0.07922902307</v>
      </c>
      <c r="F307" s="16">
        <f>IFERROR(__xludf.DUMMYFUNCTION("""COMPUTED_VALUE"""),0.679878861566058)</f>
        <v>0.6798788616</v>
      </c>
      <c r="G307" s="16">
        <f>IFERROR(__xludf.DUMMYFUNCTION("""COMPUTED_VALUE"""),-0.58142039050608)</f>
        <v>-0.5814203905</v>
      </c>
      <c r="H307" s="16">
        <f t="shared" si="1"/>
        <v>0</v>
      </c>
    </row>
    <row r="308">
      <c r="B308" s="16">
        <f>IFERROR(__xludf.DUMMYFUNCTION("""COMPUTED_VALUE"""),30.6)</f>
        <v>30.6</v>
      </c>
      <c r="D308" s="16">
        <f>IFERROR(__xludf.DUMMYFUNCTION("""COMPUTED_VALUE"""),0.41824313866148)</f>
        <v>0.4182431387</v>
      </c>
      <c r="E308" s="16">
        <f>IFERROR(__xludf.DUMMYFUNCTION("""COMPUTED_VALUE"""),0.0974527836006774)</f>
        <v>0.0974527836</v>
      </c>
      <c r="F308" s="16">
        <f>IFERROR(__xludf.DUMMYFUNCTION("""COMPUTED_VALUE"""),0.693358326097859)</f>
        <v>0.6933583261</v>
      </c>
      <c r="G308" s="16">
        <f>IFERROR(__xludf.DUMMYFUNCTION("""COMPUTED_VALUE"""),-0.578644850976693)</f>
        <v>-0.578644851</v>
      </c>
      <c r="H308" s="16">
        <f t="shared" si="1"/>
        <v>0</v>
      </c>
    </row>
    <row r="309">
      <c r="B309" s="16">
        <f>IFERROR(__xludf.DUMMYFUNCTION("""COMPUTED_VALUE"""),30.7)</f>
        <v>30.7</v>
      </c>
      <c r="D309" s="16">
        <f>IFERROR(__xludf.DUMMYFUNCTION("""COMPUTED_VALUE"""),0.37140157977705)</f>
        <v>0.3714015798</v>
      </c>
      <c r="E309" s="16">
        <f>IFERROR(__xludf.DUMMYFUNCTION("""COMPUTED_VALUE"""),0.108141847436141)</f>
        <v>0.1081418474</v>
      </c>
      <c r="F309" s="16">
        <f>IFERROR(__xludf.DUMMYFUNCTION("""COMPUTED_VALUE"""),0.714534060350601)</f>
        <v>0.7145340604</v>
      </c>
      <c r="G309" s="16">
        <f>IFERROR(__xludf.DUMMYFUNCTION("""COMPUTED_VALUE"""),-0.582929913429636)</f>
        <v>-0.5829299134</v>
      </c>
      <c r="H309" s="16">
        <f t="shared" si="1"/>
        <v>0</v>
      </c>
    </row>
    <row r="310">
      <c r="B310" s="16">
        <f>IFERROR(__xludf.DUMMYFUNCTION("""COMPUTED_VALUE"""),30.8)</f>
        <v>30.8</v>
      </c>
      <c r="D310" s="16">
        <f>IFERROR(__xludf.DUMMYFUNCTION("""COMPUTED_VALUE"""),0.37140157977705)</f>
        <v>0.3714015798</v>
      </c>
      <c r="E310" s="16">
        <f>IFERROR(__xludf.DUMMYFUNCTION("""COMPUTED_VALUE"""),0.108141847436141)</f>
        <v>0.1081418474</v>
      </c>
      <c r="F310" s="16">
        <f>IFERROR(__xludf.DUMMYFUNCTION("""COMPUTED_VALUE"""),0.714534060350601)</f>
        <v>0.7145340604</v>
      </c>
      <c r="G310" s="16">
        <f>IFERROR(__xludf.DUMMYFUNCTION("""COMPUTED_VALUE"""),-0.582929913429636)</f>
        <v>-0.5829299134</v>
      </c>
      <c r="H310" s="16">
        <f t="shared" si="1"/>
        <v>0</v>
      </c>
    </row>
    <row r="311">
      <c r="B311" s="16">
        <f>IFERROR(__xludf.DUMMYFUNCTION("""COMPUTED_VALUE"""),30.9)</f>
        <v>30.9</v>
      </c>
      <c r="D311" s="16">
        <f>IFERROR(__xludf.DUMMYFUNCTION("""COMPUTED_VALUE"""),0.37140157977705)</f>
        <v>0.3714015798</v>
      </c>
      <c r="E311" s="16">
        <f>IFERROR(__xludf.DUMMYFUNCTION("""COMPUTED_VALUE"""),0.108141847436141)</f>
        <v>0.1081418474</v>
      </c>
      <c r="F311" s="16">
        <f>IFERROR(__xludf.DUMMYFUNCTION("""COMPUTED_VALUE"""),0.714534060350601)</f>
        <v>0.7145340604</v>
      </c>
      <c r="G311" s="16">
        <f>IFERROR(__xludf.DUMMYFUNCTION("""COMPUTED_VALUE"""),-0.582929913429636)</f>
        <v>-0.5829299134</v>
      </c>
      <c r="H311" s="16">
        <f t="shared" si="1"/>
        <v>0</v>
      </c>
    </row>
    <row r="312">
      <c r="B312" s="16">
        <f>IFERROR(__xludf.DUMMYFUNCTION("""COMPUTED_VALUE"""),31.0)</f>
        <v>31</v>
      </c>
      <c r="D312" s="16">
        <f>IFERROR(__xludf.DUMMYFUNCTION("""COMPUTED_VALUE"""),0.432500565452897)</f>
        <v>0.4325005655</v>
      </c>
      <c r="E312" s="16">
        <f>IFERROR(__xludf.DUMMYFUNCTION("""COMPUTED_VALUE"""),0.0469496041084583)</f>
        <v>0.04694960411</v>
      </c>
      <c r="F312" s="16">
        <f>IFERROR(__xludf.DUMMYFUNCTION("""COMPUTED_VALUE"""),0.677648834334797)</f>
        <v>0.6776488343</v>
      </c>
      <c r="G312" s="16">
        <f>IFERROR(__xludf.DUMMYFUNCTION("""COMPUTED_VALUE"""),-0.592900542149917)</f>
        <v>-0.5929005421</v>
      </c>
      <c r="H312" s="16">
        <f t="shared" si="1"/>
        <v>0</v>
      </c>
    </row>
    <row r="313">
      <c r="B313" s="16">
        <f>IFERROR(__xludf.DUMMYFUNCTION("""COMPUTED_VALUE"""),31.1)</f>
        <v>31.1</v>
      </c>
      <c r="D313" s="16">
        <f>IFERROR(__xludf.DUMMYFUNCTION("""COMPUTED_VALUE"""),0.456175570890525)</f>
        <v>0.4561755709</v>
      </c>
      <c r="E313" s="16">
        <f>IFERROR(__xludf.DUMMYFUNCTION("""COMPUTED_VALUE"""),0.0259698122904921)</f>
        <v>0.02596981229</v>
      </c>
      <c r="F313" s="16">
        <f>IFERROR(__xludf.DUMMYFUNCTION("""COMPUTED_VALUE"""),0.661942996273159)</f>
        <v>0.6619429963</v>
      </c>
      <c r="G313" s="16">
        <f>IFERROR(__xludf.DUMMYFUNCTION("""COMPUTED_VALUE"""),-0.594189268715956)</f>
        <v>-0.5941892687</v>
      </c>
      <c r="H313" s="16">
        <f t="shared" si="1"/>
        <v>0</v>
      </c>
    </row>
    <row r="314">
      <c r="B314" s="16">
        <f>IFERROR(__xludf.DUMMYFUNCTION("""COMPUTED_VALUE"""),31.2)</f>
        <v>31.2</v>
      </c>
      <c r="D314" s="16">
        <f>IFERROR(__xludf.DUMMYFUNCTION("""COMPUTED_VALUE"""),0.48467722527295)</f>
        <v>0.4846772253</v>
      </c>
      <c r="E314" s="16">
        <f>IFERROR(__xludf.DUMMYFUNCTION("""COMPUTED_VALUE"""),-0.00954736061472587)</f>
        <v>-0.009547360615</v>
      </c>
      <c r="F314" s="16">
        <f>IFERROR(__xludf.DUMMYFUNCTION("""COMPUTED_VALUE"""),0.637940645881737)</f>
        <v>0.6379406459</v>
      </c>
      <c r="G314" s="16">
        <f>IFERROR(__xludf.DUMMYFUNCTION("""COMPUTED_VALUE"""),-0.598354884277707)</f>
        <v>-0.5983548843</v>
      </c>
      <c r="H314" s="16">
        <f t="shared" si="1"/>
        <v>0</v>
      </c>
    </row>
    <row r="315">
      <c r="B315" s="16">
        <f>IFERROR(__xludf.DUMMYFUNCTION("""COMPUTED_VALUE"""),31.3)</f>
        <v>31.3</v>
      </c>
      <c r="D315" s="16">
        <f>IFERROR(__xludf.DUMMYFUNCTION("""COMPUTED_VALUE"""),0.48467722527295)</f>
        <v>0.4846772253</v>
      </c>
      <c r="E315" s="16">
        <f>IFERROR(__xludf.DUMMYFUNCTION("""COMPUTED_VALUE"""),-0.00954736061472587)</f>
        <v>-0.009547360615</v>
      </c>
      <c r="F315" s="16">
        <f>IFERROR(__xludf.DUMMYFUNCTION("""COMPUTED_VALUE"""),0.637940645881737)</f>
        <v>0.6379406459</v>
      </c>
      <c r="G315" s="16">
        <f>IFERROR(__xludf.DUMMYFUNCTION("""COMPUTED_VALUE"""),-0.598354884277707)</f>
        <v>-0.5983548843</v>
      </c>
      <c r="H315" s="16">
        <f t="shared" si="1"/>
        <v>0</v>
      </c>
    </row>
    <row r="316">
      <c r="B316" s="16">
        <f>IFERROR(__xludf.DUMMYFUNCTION("""COMPUTED_VALUE"""),31.4)</f>
        <v>31.4</v>
      </c>
      <c r="D316" s="16">
        <f>IFERROR(__xludf.DUMMYFUNCTION("""COMPUTED_VALUE"""),0.48467722527295)</f>
        <v>0.4846772253</v>
      </c>
      <c r="E316" s="16">
        <f>IFERROR(__xludf.DUMMYFUNCTION("""COMPUTED_VALUE"""),-0.00954736061472587)</f>
        <v>-0.009547360615</v>
      </c>
      <c r="F316" s="16">
        <f>IFERROR(__xludf.DUMMYFUNCTION("""COMPUTED_VALUE"""),0.637940645881737)</f>
        <v>0.6379406459</v>
      </c>
      <c r="G316" s="16">
        <f>IFERROR(__xludf.DUMMYFUNCTION("""COMPUTED_VALUE"""),-0.598354884277707)</f>
        <v>-0.5983548843</v>
      </c>
      <c r="H316" s="16">
        <f t="shared" si="1"/>
        <v>0</v>
      </c>
    </row>
    <row r="317">
      <c r="B317" s="16">
        <f>IFERROR(__xludf.DUMMYFUNCTION("""COMPUTED_VALUE"""),31.5)</f>
        <v>31.5</v>
      </c>
      <c r="D317" s="16">
        <f>IFERROR(__xludf.DUMMYFUNCTION("""COMPUTED_VALUE"""),0.48467722527295)</f>
        <v>0.4846772253</v>
      </c>
      <c r="E317" s="16">
        <f>IFERROR(__xludf.DUMMYFUNCTION("""COMPUTED_VALUE"""),-0.00954736061472587)</f>
        <v>-0.009547360615</v>
      </c>
      <c r="F317" s="16">
        <f>IFERROR(__xludf.DUMMYFUNCTION("""COMPUTED_VALUE"""),0.637940645881737)</f>
        <v>0.6379406459</v>
      </c>
      <c r="G317" s="16">
        <f>IFERROR(__xludf.DUMMYFUNCTION("""COMPUTED_VALUE"""),-0.598354884277707)</f>
        <v>-0.5983548843</v>
      </c>
      <c r="H317" s="16">
        <f t="shared" si="1"/>
        <v>0</v>
      </c>
    </row>
    <row r="318">
      <c r="B318" s="16">
        <f>IFERROR(__xludf.DUMMYFUNCTION("""COMPUTED_VALUE"""),31.6)</f>
        <v>31.6</v>
      </c>
      <c r="D318" s="16">
        <f>IFERROR(__xludf.DUMMYFUNCTION("""COMPUTED_VALUE"""),0.48467722527295)</f>
        <v>0.4846772253</v>
      </c>
      <c r="E318" s="16">
        <f>IFERROR(__xludf.DUMMYFUNCTION("""COMPUTED_VALUE"""),-0.00954736061472587)</f>
        <v>-0.009547360615</v>
      </c>
      <c r="F318" s="16">
        <f>IFERROR(__xludf.DUMMYFUNCTION("""COMPUTED_VALUE"""),0.637940645881737)</f>
        <v>0.6379406459</v>
      </c>
      <c r="G318" s="16">
        <f>IFERROR(__xludf.DUMMYFUNCTION("""COMPUTED_VALUE"""),-0.598354884277707)</f>
        <v>-0.5983548843</v>
      </c>
      <c r="H318" s="16">
        <f t="shared" si="1"/>
        <v>0</v>
      </c>
    </row>
    <row r="319">
      <c r="B319" s="16">
        <f>IFERROR(__xludf.DUMMYFUNCTION("""COMPUTED_VALUE"""),31.7)</f>
        <v>31.7</v>
      </c>
      <c r="D319" s="16">
        <f>IFERROR(__xludf.DUMMYFUNCTION("""COMPUTED_VALUE"""),0.48467722527295)</f>
        <v>0.4846772253</v>
      </c>
      <c r="E319" s="16">
        <f>IFERROR(__xludf.DUMMYFUNCTION("""COMPUTED_VALUE"""),-0.00954736061472587)</f>
        <v>-0.009547360615</v>
      </c>
      <c r="F319" s="16">
        <f>IFERROR(__xludf.DUMMYFUNCTION("""COMPUTED_VALUE"""),0.637940645881737)</f>
        <v>0.6379406459</v>
      </c>
      <c r="G319" s="16">
        <f>IFERROR(__xludf.DUMMYFUNCTION("""COMPUTED_VALUE"""),-0.598354884277707)</f>
        <v>-0.5983548843</v>
      </c>
      <c r="H319" s="16">
        <f t="shared" si="1"/>
        <v>0</v>
      </c>
    </row>
    <row r="320">
      <c r="B320" s="16">
        <f>IFERROR(__xludf.DUMMYFUNCTION("""COMPUTED_VALUE"""),31.8)</f>
        <v>31.8</v>
      </c>
      <c r="D320" s="16">
        <f>IFERROR(__xludf.DUMMYFUNCTION("""COMPUTED_VALUE"""),0.48467722527295)</f>
        <v>0.4846772253</v>
      </c>
      <c r="E320" s="16">
        <f>IFERROR(__xludf.DUMMYFUNCTION("""COMPUTED_VALUE"""),-0.00954736061472587)</f>
        <v>-0.009547360615</v>
      </c>
      <c r="F320" s="16">
        <f>IFERROR(__xludf.DUMMYFUNCTION("""COMPUTED_VALUE"""),0.637940645881737)</f>
        <v>0.6379406459</v>
      </c>
      <c r="G320" s="16">
        <f>IFERROR(__xludf.DUMMYFUNCTION("""COMPUTED_VALUE"""),-0.598354884277707)</f>
        <v>-0.5983548843</v>
      </c>
      <c r="H320" s="16">
        <f t="shared" si="1"/>
        <v>0</v>
      </c>
    </row>
    <row r="321">
      <c r="B321" s="16">
        <f>IFERROR(__xludf.DUMMYFUNCTION("""COMPUTED_VALUE"""),31.9)</f>
        <v>31.9</v>
      </c>
      <c r="D321" s="16">
        <f>IFERROR(__xludf.DUMMYFUNCTION("""COMPUTED_VALUE"""),0.48467722527295)</f>
        <v>0.4846772253</v>
      </c>
      <c r="E321" s="16">
        <f>IFERROR(__xludf.DUMMYFUNCTION("""COMPUTED_VALUE"""),-0.00954736061472587)</f>
        <v>-0.009547360615</v>
      </c>
      <c r="F321" s="16">
        <f>IFERROR(__xludf.DUMMYFUNCTION("""COMPUTED_VALUE"""),0.637940645881737)</f>
        <v>0.6379406459</v>
      </c>
      <c r="G321" s="16">
        <f>IFERROR(__xludf.DUMMYFUNCTION("""COMPUTED_VALUE"""),-0.598354884277707)</f>
        <v>-0.5983548843</v>
      </c>
      <c r="H321" s="16">
        <f t="shared" si="1"/>
        <v>0</v>
      </c>
    </row>
    <row r="322">
      <c r="B322" s="16">
        <f>IFERROR(__xludf.DUMMYFUNCTION("""COMPUTED_VALUE"""),32.0)</f>
        <v>32</v>
      </c>
      <c r="D322" s="16">
        <f>IFERROR(__xludf.DUMMYFUNCTION("""COMPUTED_VALUE"""),0.511224831436468)</f>
        <v>0.5112248314</v>
      </c>
      <c r="E322" s="16">
        <f>IFERROR(__xludf.DUMMYFUNCTION("""COMPUTED_VALUE"""),-0.0111154443096517)</f>
        <v>-0.01111544431</v>
      </c>
      <c r="F322" s="16">
        <f>IFERROR(__xludf.DUMMYFUNCTION("""COMPUTED_VALUE"""),0.626409780239844)</f>
        <v>0.6264097802</v>
      </c>
      <c r="G322" s="16">
        <f>IFERROR(__xludf.DUMMYFUNCTION("""COMPUTED_VALUE"""),-0.588333583811441)</f>
        <v>-0.5883335838</v>
      </c>
      <c r="H322" s="16">
        <f t="shared" si="1"/>
        <v>0</v>
      </c>
    </row>
    <row r="323">
      <c r="B323" s="16">
        <f>IFERROR(__xludf.DUMMYFUNCTION("""COMPUTED_VALUE"""),32.1)</f>
        <v>32.1</v>
      </c>
      <c r="D323" s="16">
        <f>IFERROR(__xludf.DUMMYFUNCTION("""COMPUTED_VALUE"""),0.574547927060042)</f>
        <v>0.5745479271</v>
      </c>
      <c r="E323" s="16">
        <f>IFERROR(__xludf.DUMMYFUNCTION("""COMPUTED_VALUE"""),-0.0257650065713813)</f>
        <v>-0.02576500657</v>
      </c>
      <c r="F323" s="16">
        <f>IFERROR(__xludf.DUMMYFUNCTION("""COMPUTED_VALUE"""),0.590890103442622)</f>
        <v>0.5908901034</v>
      </c>
      <c r="G323" s="16">
        <f>IFERROR(__xludf.DUMMYFUNCTION("""COMPUTED_VALUE"""),-0.565755892237051)</f>
        <v>-0.5657558922</v>
      </c>
      <c r="H323" s="16">
        <f t="shared" si="1"/>
        <v>0</v>
      </c>
    </row>
    <row r="324">
      <c r="B324" s="16">
        <f>IFERROR(__xludf.DUMMYFUNCTION("""COMPUTED_VALUE"""),32.2)</f>
        <v>32.2</v>
      </c>
      <c r="D324" s="16">
        <f>IFERROR(__xludf.DUMMYFUNCTION("""COMPUTED_VALUE"""),0.599305264445091)</f>
        <v>0.5993052644</v>
      </c>
      <c r="E324" s="16">
        <f>IFERROR(__xludf.DUMMYFUNCTION("""COMPUTED_VALUE"""),-0.0274722131180161)</f>
        <v>-0.02747221312</v>
      </c>
      <c r="F324" s="16">
        <f>IFERROR(__xludf.DUMMYFUNCTION("""COMPUTED_VALUE"""),0.577573837870415)</f>
        <v>0.5775738379</v>
      </c>
      <c r="G324" s="16">
        <f>IFERROR(__xludf.DUMMYFUNCTION("""COMPUTED_VALUE"""),-0.553612625689142)</f>
        <v>-0.5536126257</v>
      </c>
      <c r="H324" s="16">
        <f t="shared" si="1"/>
        <v>0</v>
      </c>
    </row>
    <row r="325">
      <c r="B325" s="16">
        <f>IFERROR(__xludf.DUMMYFUNCTION("""COMPUTED_VALUE"""),32.3)</f>
        <v>32.3</v>
      </c>
      <c r="D325" s="16">
        <f>IFERROR(__xludf.DUMMYFUNCTION("""COMPUTED_VALUE"""),0.616819864588471)</f>
        <v>0.6168198646</v>
      </c>
      <c r="E325" s="16">
        <f>IFERROR(__xludf.DUMMYFUNCTION("""COMPUTED_VALUE"""),-0.0226748898285939)</f>
        <v>-0.02267488983</v>
      </c>
      <c r="F325" s="16">
        <f>IFERROR(__xludf.DUMMYFUNCTION("""COMPUTED_VALUE"""),0.570927484166047)</f>
        <v>0.5709274842</v>
      </c>
      <c r="G325" s="16">
        <f>IFERROR(__xludf.DUMMYFUNCTION("""COMPUTED_VALUE"""),-0.541351006135706)</f>
        <v>-0.5413510061</v>
      </c>
      <c r="H325" s="16">
        <f t="shared" si="1"/>
        <v>0</v>
      </c>
    </row>
    <row r="326">
      <c r="B326" s="16">
        <f>IFERROR(__xludf.DUMMYFUNCTION("""COMPUTED_VALUE"""),32.4)</f>
        <v>32.4</v>
      </c>
      <c r="D326" s="16">
        <f>IFERROR(__xludf.DUMMYFUNCTION("""COMPUTED_VALUE"""),0.650524404175931)</f>
        <v>0.6505244042</v>
      </c>
      <c r="E326" s="16">
        <f>IFERROR(__xludf.DUMMYFUNCTION("""COMPUTED_VALUE"""),-0.00425546057715535)</f>
        <v>-0.004255460577</v>
      </c>
      <c r="F326" s="16">
        <f>IFERROR(__xludf.DUMMYFUNCTION("""COMPUTED_VALUE"""),0.561604904216165)</f>
        <v>0.5616049042</v>
      </c>
      <c r="G326" s="16">
        <f>IFERROR(__xludf.DUMMYFUNCTION("""COMPUTED_VALUE"""),-0.511272747354258)</f>
        <v>-0.5112727474</v>
      </c>
      <c r="H326" s="16">
        <f t="shared" si="1"/>
        <v>0</v>
      </c>
    </row>
    <row r="327">
      <c r="B327" s="16">
        <f>IFERROR(__xludf.DUMMYFUNCTION("""COMPUTED_VALUE"""),32.5)</f>
        <v>32.5</v>
      </c>
      <c r="D327" s="16">
        <f>IFERROR(__xludf.DUMMYFUNCTION("""COMPUTED_VALUE"""),0.654519825837578)</f>
        <v>0.6545198258</v>
      </c>
      <c r="E327" s="16">
        <f>IFERROR(__xludf.DUMMYFUNCTION("""COMPUTED_VALUE"""),1.55459796194356E-4)</f>
        <v>0.0001554597962</v>
      </c>
      <c r="F327" s="16">
        <f>IFERROR(__xludf.DUMMYFUNCTION("""COMPUTED_VALUE"""),0.561621004963866)</f>
        <v>0.561621005</v>
      </c>
      <c r="G327" s="16">
        <f>IFERROR(__xludf.DUMMYFUNCTION("""COMPUTED_VALUE"""),-0.50614782445563)</f>
        <v>-0.5061478245</v>
      </c>
      <c r="H327" s="16">
        <f t="shared" si="1"/>
        <v>0</v>
      </c>
    </row>
    <row r="328">
      <c r="B328" s="16">
        <f>IFERROR(__xludf.DUMMYFUNCTION("""COMPUTED_VALUE"""),32.6)</f>
        <v>32.6</v>
      </c>
      <c r="D328" s="16">
        <f>IFERROR(__xludf.DUMMYFUNCTION("""COMPUTED_VALUE"""),0.649840623757229)</f>
        <v>0.6498406238</v>
      </c>
      <c r="E328" s="16">
        <f>IFERROR(__xludf.DUMMYFUNCTION("""COMPUTED_VALUE"""),0.00829321926997755)</f>
        <v>0.00829321927</v>
      </c>
      <c r="F328" s="16">
        <f>IFERROR(__xludf.DUMMYFUNCTION("""COMPUTED_VALUE"""),0.569311148459621)</f>
        <v>0.5693111485</v>
      </c>
      <c r="G328" s="16">
        <f>IFERROR(__xludf.DUMMYFUNCTION("""COMPUTED_VALUE"""),-0.503510876216726)</f>
        <v>-0.5035108762</v>
      </c>
      <c r="H328" s="16">
        <f t="shared" si="1"/>
        <v>0</v>
      </c>
    </row>
    <row r="329">
      <c r="B329" s="16">
        <f>IFERROR(__xludf.DUMMYFUNCTION("""COMPUTED_VALUE"""),32.7)</f>
        <v>32.7</v>
      </c>
      <c r="D329" s="16">
        <f>IFERROR(__xludf.DUMMYFUNCTION("""COMPUTED_VALUE"""),0.643367151102994)</f>
        <v>0.6433671511</v>
      </c>
      <c r="E329" s="16">
        <f>IFERROR(__xludf.DUMMYFUNCTION("""COMPUTED_VALUE"""),0.0100017314791029)</f>
        <v>0.01000173148</v>
      </c>
      <c r="F329" s="16">
        <f>IFERROR(__xludf.DUMMYFUNCTION("""COMPUTED_VALUE"""),0.574433289042263)</f>
        <v>0.574433289</v>
      </c>
      <c r="G329" s="16">
        <f>IFERROR(__xludf.DUMMYFUNCTION("""COMPUTED_VALUE"""),-0.505969436516789)</f>
        <v>-0.5059694365</v>
      </c>
      <c r="H329" s="16">
        <f t="shared" si="1"/>
        <v>0</v>
      </c>
    </row>
    <row r="330">
      <c r="B330" s="16">
        <f>IFERROR(__xludf.DUMMYFUNCTION("""COMPUTED_VALUE"""),32.8)</f>
        <v>32.8</v>
      </c>
      <c r="D330" s="16">
        <f>IFERROR(__xludf.DUMMYFUNCTION("""COMPUTED_VALUE"""),0.639373474457232)</f>
        <v>0.6393734745</v>
      </c>
      <c r="E330" s="16">
        <f>IFERROR(__xludf.DUMMYFUNCTION("""COMPUTED_VALUE"""),0.00548988101725055)</f>
        <v>0.005489881017</v>
      </c>
      <c r="F330" s="16">
        <f>IFERROR(__xludf.DUMMYFUNCTION("""COMPUTED_VALUE"""),0.574494124773186)</f>
        <v>0.5744941248</v>
      </c>
      <c r="G330" s="16">
        <f>IFERROR(__xludf.DUMMYFUNCTION("""COMPUTED_VALUE"""),-0.511006772917921)</f>
        <v>-0.5110067729</v>
      </c>
      <c r="H330" s="16">
        <f t="shared" si="1"/>
        <v>0</v>
      </c>
    </row>
    <row r="331">
      <c r="B331" s="16">
        <f>IFERROR(__xludf.DUMMYFUNCTION("""COMPUTED_VALUE"""),32.9)</f>
        <v>32.9</v>
      </c>
      <c r="D331" s="16">
        <f>IFERROR(__xludf.DUMMYFUNCTION("""COMPUTED_VALUE"""),0.63711251720585)</f>
        <v>0.6371125172</v>
      </c>
      <c r="E331" s="16">
        <f>IFERROR(__xludf.DUMMYFUNCTION("""COMPUTED_VALUE"""),0.00749655237407696)</f>
        <v>0.007496552374</v>
      </c>
      <c r="F331" s="16">
        <f>IFERROR(__xludf.DUMMYFUNCTION("""COMPUTED_VALUE"""),0.577000502303115)</f>
        <v>0.5770005023</v>
      </c>
      <c r="G331" s="16">
        <f>IFERROR(__xludf.DUMMYFUNCTION("""COMPUTED_VALUE"""),-0.510981274083575)</f>
        <v>-0.5109812741</v>
      </c>
      <c r="H331" s="16">
        <f t="shared" si="1"/>
        <v>0</v>
      </c>
    </row>
    <row r="332">
      <c r="B332" s="16">
        <f>IFERROR(__xludf.DUMMYFUNCTION("""COMPUTED_VALUE"""),33.0)</f>
        <v>33</v>
      </c>
      <c r="D332" s="16">
        <f>IFERROR(__xludf.DUMMYFUNCTION("""COMPUTED_VALUE"""),0.63711251720585)</f>
        <v>0.6371125172</v>
      </c>
      <c r="E332" s="16">
        <f>IFERROR(__xludf.DUMMYFUNCTION("""COMPUTED_VALUE"""),0.00749655237407696)</f>
        <v>0.007496552374</v>
      </c>
      <c r="F332" s="16">
        <f>IFERROR(__xludf.DUMMYFUNCTION("""COMPUTED_VALUE"""),0.577000502303115)</f>
        <v>0.5770005023</v>
      </c>
      <c r="G332" s="16">
        <f>IFERROR(__xludf.DUMMYFUNCTION("""COMPUTED_VALUE"""),-0.510981274083575)</f>
        <v>-0.5109812741</v>
      </c>
      <c r="H332" s="16">
        <f t="shared" si="1"/>
        <v>0</v>
      </c>
    </row>
    <row r="333">
      <c r="B333" s="16">
        <f>IFERROR(__xludf.DUMMYFUNCTION("""COMPUTED_VALUE"""),33.1)</f>
        <v>33.1</v>
      </c>
      <c r="D333" s="16">
        <f>IFERROR(__xludf.DUMMYFUNCTION("""COMPUTED_VALUE"""),0.63711251720585)</f>
        <v>0.6371125172</v>
      </c>
      <c r="E333" s="16">
        <f>IFERROR(__xludf.DUMMYFUNCTION("""COMPUTED_VALUE"""),0.00749655237407696)</f>
        <v>0.007496552374</v>
      </c>
      <c r="F333" s="16">
        <f>IFERROR(__xludf.DUMMYFUNCTION("""COMPUTED_VALUE"""),0.577000502303115)</f>
        <v>0.5770005023</v>
      </c>
      <c r="G333" s="16">
        <f>IFERROR(__xludf.DUMMYFUNCTION("""COMPUTED_VALUE"""),-0.510981274083575)</f>
        <v>-0.5109812741</v>
      </c>
      <c r="H333" s="16">
        <f t="shared" si="1"/>
        <v>0</v>
      </c>
    </row>
    <row r="334">
      <c r="B334" s="16">
        <f>IFERROR(__xludf.DUMMYFUNCTION("""COMPUTED_VALUE"""),33.2)</f>
        <v>33.2</v>
      </c>
      <c r="D334" s="16">
        <f>IFERROR(__xludf.DUMMYFUNCTION("""COMPUTED_VALUE"""),0.63711251720585)</f>
        <v>0.6371125172</v>
      </c>
      <c r="E334" s="16">
        <f>IFERROR(__xludf.DUMMYFUNCTION("""COMPUTED_VALUE"""),0.00749655237407696)</f>
        <v>0.007496552374</v>
      </c>
      <c r="F334" s="16">
        <f>IFERROR(__xludf.DUMMYFUNCTION("""COMPUTED_VALUE"""),0.577000502303115)</f>
        <v>0.5770005023</v>
      </c>
      <c r="G334" s="16">
        <f>IFERROR(__xludf.DUMMYFUNCTION("""COMPUTED_VALUE"""),-0.510981274083575)</f>
        <v>-0.5109812741</v>
      </c>
      <c r="H334" s="16">
        <f t="shared" si="1"/>
        <v>0</v>
      </c>
    </row>
    <row r="335">
      <c r="B335" s="16">
        <f>IFERROR(__xludf.DUMMYFUNCTION("""COMPUTED_VALUE"""),33.3)</f>
        <v>33.3</v>
      </c>
      <c r="D335" s="16">
        <f>IFERROR(__xludf.DUMMYFUNCTION("""COMPUTED_VALUE"""),0.63711251720585)</f>
        <v>0.6371125172</v>
      </c>
      <c r="E335" s="16">
        <f>IFERROR(__xludf.DUMMYFUNCTION("""COMPUTED_VALUE"""),0.00749655237407696)</f>
        <v>0.007496552374</v>
      </c>
      <c r="F335" s="16">
        <f>IFERROR(__xludf.DUMMYFUNCTION("""COMPUTED_VALUE"""),0.577000502303115)</f>
        <v>0.5770005023</v>
      </c>
      <c r="G335" s="16">
        <f>IFERROR(__xludf.DUMMYFUNCTION("""COMPUTED_VALUE"""),-0.510981274083575)</f>
        <v>-0.5109812741</v>
      </c>
      <c r="H335" s="16">
        <f t="shared" si="1"/>
        <v>0</v>
      </c>
    </row>
    <row r="336">
      <c r="B336" s="16">
        <f>IFERROR(__xludf.DUMMYFUNCTION("""COMPUTED_VALUE"""),33.4)</f>
        <v>33.4</v>
      </c>
      <c r="D336" s="16">
        <f>IFERROR(__xludf.DUMMYFUNCTION("""COMPUTED_VALUE"""),0.63711251720585)</f>
        <v>0.6371125172</v>
      </c>
      <c r="E336" s="16">
        <f>IFERROR(__xludf.DUMMYFUNCTION("""COMPUTED_VALUE"""),0.00749655237407696)</f>
        <v>0.007496552374</v>
      </c>
      <c r="F336" s="16">
        <f>IFERROR(__xludf.DUMMYFUNCTION("""COMPUTED_VALUE"""),0.577000502303115)</f>
        <v>0.5770005023</v>
      </c>
      <c r="G336" s="16">
        <f>IFERROR(__xludf.DUMMYFUNCTION("""COMPUTED_VALUE"""),-0.510981274083575)</f>
        <v>-0.5109812741</v>
      </c>
      <c r="H336" s="16">
        <f t="shared" si="1"/>
        <v>0</v>
      </c>
    </row>
    <row r="337">
      <c r="B337" s="16">
        <f>IFERROR(__xludf.DUMMYFUNCTION("""COMPUTED_VALUE"""),33.5)</f>
        <v>33.5</v>
      </c>
      <c r="D337" s="16">
        <f>IFERROR(__xludf.DUMMYFUNCTION("""COMPUTED_VALUE"""),0.63711251720585)</f>
        <v>0.6371125172</v>
      </c>
      <c r="E337" s="16">
        <f>IFERROR(__xludf.DUMMYFUNCTION("""COMPUTED_VALUE"""),0.00749655237407696)</f>
        <v>0.007496552374</v>
      </c>
      <c r="F337" s="16">
        <f>IFERROR(__xludf.DUMMYFUNCTION("""COMPUTED_VALUE"""),0.577000502303115)</f>
        <v>0.5770005023</v>
      </c>
      <c r="G337" s="16">
        <f>IFERROR(__xludf.DUMMYFUNCTION("""COMPUTED_VALUE"""),-0.510981274083575)</f>
        <v>-0.5109812741</v>
      </c>
      <c r="H337" s="16">
        <f t="shared" si="1"/>
        <v>0</v>
      </c>
    </row>
    <row r="338">
      <c r="B338" s="16">
        <f>IFERROR(__xludf.DUMMYFUNCTION("""COMPUTED_VALUE"""),33.6)</f>
        <v>33.6</v>
      </c>
      <c r="D338" s="16">
        <f>IFERROR(__xludf.DUMMYFUNCTION("""COMPUTED_VALUE"""),0.624687569571758)</f>
        <v>0.6246875696</v>
      </c>
      <c r="E338" s="16">
        <f>IFERROR(__xludf.DUMMYFUNCTION("""COMPUTED_VALUE"""),-0.00187640850639602)</f>
        <v>-0.001876408506</v>
      </c>
      <c r="F338" s="16">
        <f>IFERROR(__xludf.DUMMYFUNCTION("""COMPUTED_VALUE"""),0.579572859123874)</f>
        <v>0.5795728591</v>
      </c>
      <c r="G338" s="16">
        <f>IFERROR(__xludf.DUMMYFUNCTION("""COMPUTED_VALUE"""),-0.52331369223499)</f>
        <v>-0.5233136922</v>
      </c>
      <c r="H338" s="16">
        <f t="shared" si="1"/>
        <v>0</v>
      </c>
    </row>
    <row r="339">
      <c r="B339" s="16">
        <f>IFERROR(__xludf.DUMMYFUNCTION("""COMPUTED_VALUE"""),33.7)</f>
        <v>33.7</v>
      </c>
      <c r="D339" s="16">
        <f>IFERROR(__xludf.DUMMYFUNCTION("""COMPUTED_VALUE"""),0.599342638386027)</f>
        <v>0.5993426384</v>
      </c>
      <c r="E339" s="16">
        <f>IFERROR(__xludf.DUMMYFUNCTION("""COMPUTED_VALUE"""),-0.0291759449666909)</f>
        <v>-0.02917594497</v>
      </c>
      <c r="F339" s="16">
        <f>IFERROR(__xludf.DUMMYFUNCTION("""COMPUTED_VALUE"""),0.57884106987774)</f>
        <v>0.5788410699</v>
      </c>
      <c r="G339" s="16">
        <f>IFERROR(__xludf.DUMMYFUNCTION("""COMPUTED_VALUE"""),-0.552159561966065)</f>
        <v>-0.552159562</v>
      </c>
      <c r="H339" s="16">
        <f t="shared" si="1"/>
        <v>0</v>
      </c>
    </row>
    <row r="340">
      <c r="B340" s="16">
        <f>IFERROR(__xludf.DUMMYFUNCTION("""COMPUTED_VALUE"""),33.8)</f>
        <v>33.8</v>
      </c>
      <c r="D340" s="16">
        <f>IFERROR(__xludf.DUMMYFUNCTION("""COMPUTED_VALUE"""),0.581703148534268)</f>
        <v>0.5817031485</v>
      </c>
      <c r="E340" s="16">
        <f>IFERROR(__xludf.DUMMYFUNCTION("""COMPUTED_VALUE"""),-0.0473433852489215)</f>
        <v>-0.04734338525</v>
      </c>
      <c r="F340" s="16">
        <f>IFERROR(__xludf.DUMMYFUNCTION("""COMPUTED_VALUE"""),0.577639008218003)</f>
        <v>0.5776390082</v>
      </c>
      <c r="G340" s="16">
        <f>IFERROR(__xludf.DUMMYFUNCTION("""COMPUTED_VALUE"""),-0.570712911228929)</f>
        <v>-0.5707129112</v>
      </c>
      <c r="H340" s="16">
        <f t="shared" si="1"/>
        <v>0</v>
      </c>
    </row>
    <row r="341">
      <c r="B341" s="16">
        <f>IFERROR(__xludf.DUMMYFUNCTION("""COMPUTED_VALUE"""),33.9)</f>
        <v>33.9</v>
      </c>
      <c r="D341" s="16">
        <f>IFERROR(__xludf.DUMMYFUNCTION("""COMPUTED_VALUE"""),0.581721002287517)</f>
        <v>0.5817210023</v>
      </c>
      <c r="E341" s="16">
        <f>IFERROR(__xludf.DUMMYFUNCTION("""COMPUTED_VALUE"""),-0.0563683608879447)</f>
        <v>-0.05636836089</v>
      </c>
      <c r="F341" s="16">
        <f>IFERROR(__xludf.DUMMYFUNCTION("""COMPUTED_VALUE"""),0.572671740098185)</f>
        <v>0.5726717401</v>
      </c>
      <c r="G341" s="16">
        <f>IFERROR(__xludf.DUMMYFUNCTION("""COMPUTED_VALUE"""),-0.574865515995974)</f>
        <v>-0.574865516</v>
      </c>
      <c r="H341" s="16">
        <f t="shared" si="1"/>
        <v>0</v>
      </c>
    </row>
    <row r="342">
      <c r="B342" s="16">
        <f>IFERROR(__xludf.DUMMYFUNCTION("""COMPUTED_VALUE"""),34.0)</f>
        <v>34</v>
      </c>
      <c r="D342" s="16">
        <f>IFERROR(__xludf.DUMMYFUNCTION("""COMPUTED_VALUE"""),0.581452123410261)</f>
        <v>0.5814521234</v>
      </c>
      <c r="E342" s="16">
        <f>IFERROR(__xludf.DUMMYFUNCTION("""COMPUTED_VALUE"""),-0.078893470804467)</f>
        <v>-0.0788934708</v>
      </c>
      <c r="F342" s="16">
        <f>IFERROR(__xludf.DUMMYFUNCTION("""COMPUTED_VALUE"""),0.559941397520585)</f>
        <v>0.5599413975</v>
      </c>
      <c r="G342" s="16">
        <f>IFERROR(__xludf.DUMMYFUNCTION("""COMPUTED_VALUE"""),-0.584940065125312)</f>
        <v>-0.5849400651</v>
      </c>
      <c r="H342" s="16">
        <f t="shared" si="1"/>
        <v>0</v>
      </c>
    </row>
    <row r="343">
      <c r="B343" s="16">
        <f>IFERROR(__xludf.DUMMYFUNCTION("""COMPUTED_VALUE"""),34.1)</f>
        <v>34.1</v>
      </c>
      <c r="D343" s="16">
        <f>IFERROR(__xludf.DUMMYFUNCTION("""COMPUTED_VALUE"""),0.629587649619453)</f>
        <v>0.6295876496</v>
      </c>
      <c r="E343" s="16">
        <f>IFERROR(__xludf.DUMMYFUNCTION("""COMPUTED_VALUE"""),-0.131332332105328)</f>
        <v>-0.1313323321</v>
      </c>
      <c r="F343" s="16">
        <f>IFERROR(__xludf.DUMMYFUNCTION("""COMPUTED_VALUE"""),0.505213154937854)</f>
        <v>0.5052131549</v>
      </c>
      <c r="G343" s="16">
        <f>IFERROR(__xludf.DUMMYFUNCTION("""COMPUTED_VALUE"""),-0.575439725834218)</f>
        <v>-0.5754397258</v>
      </c>
      <c r="H343" s="16">
        <f t="shared" si="1"/>
        <v>0</v>
      </c>
    </row>
    <row r="344">
      <c r="B344" s="16">
        <f>IFERROR(__xludf.DUMMYFUNCTION("""COMPUTED_VALUE"""),34.2)</f>
        <v>34.2</v>
      </c>
      <c r="D344" s="16">
        <f>IFERROR(__xludf.DUMMYFUNCTION("""COMPUTED_VALUE"""),0.652726370655229)</f>
        <v>0.6527263707</v>
      </c>
      <c r="E344" s="16">
        <f>IFERROR(__xludf.DUMMYFUNCTION("""COMPUTED_VALUE"""),-0.130849281598984)</f>
        <v>-0.1308492816</v>
      </c>
      <c r="F344" s="16">
        <f>IFERROR(__xludf.DUMMYFUNCTION("""COMPUTED_VALUE"""),0.49587921745933)</f>
        <v>0.4958792175</v>
      </c>
      <c r="G344" s="16">
        <f>IFERROR(__xludf.DUMMYFUNCTION("""COMPUTED_VALUE"""),-0.557611470692808)</f>
        <v>-0.5576114707</v>
      </c>
      <c r="H344" s="16">
        <f t="shared" si="1"/>
        <v>0</v>
      </c>
    </row>
    <row r="345">
      <c r="B345" s="16">
        <f>IFERROR(__xludf.DUMMYFUNCTION("""COMPUTED_VALUE"""),34.3)</f>
        <v>34.3</v>
      </c>
      <c r="D345" s="16">
        <f>IFERROR(__xludf.DUMMYFUNCTION("""COMPUTED_VALUE"""),0.665500428210192)</f>
        <v>0.6655004282</v>
      </c>
      <c r="E345" s="16">
        <f>IFERROR(__xludf.DUMMYFUNCTION("""COMPUTED_VALUE"""),-0.123226167130022)</f>
        <v>-0.1232261671</v>
      </c>
      <c r="F345" s="16">
        <f>IFERROR(__xludf.DUMMYFUNCTION("""COMPUTED_VALUE"""),0.495743101713504)</f>
        <v>0.4957431017</v>
      </c>
      <c r="G345" s="16">
        <f>IFERROR(__xludf.DUMMYFUNCTION("""COMPUTED_VALUE"""),-0.544208846758264)</f>
        <v>-0.5442088468</v>
      </c>
      <c r="H345" s="16">
        <f t="shared" si="1"/>
        <v>0</v>
      </c>
    </row>
    <row r="346">
      <c r="B346" s="16">
        <f>IFERROR(__xludf.DUMMYFUNCTION("""COMPUTED_VALUE"""),34.4)</f>
        <v>34.4</v>
      </c>
      <c r="D346" s="16">
        <f>IFERROR(__xludf.DUMMYFUNCTION("""COMPUTED_VALUE"""),0.667632394377844)</f>
        <v>0.6676323944</v>
      </c>
      <c r="E346" s="16">
        <f>IFERROR(__xludf.DUMMYFUNCTION("""COMPUTED_VALUE"""),-0.121278443433718)</f>
        <v>-0.1212784434</v>
      </c>
      <c r="F346" s="16">
        <f>IFERROR(__xludf.DUMMYFUNCTION("""COMPUTED_VALUE"""),0.496223185996359)</f>
        <v>0.496223186</v>
      </c>
      <c r="G346" s="16">
        <f>IFERROR(__xludf.DUMMYFUNCTION("""COMPUTED_VALUE"""),-0.541591243296285)</f>
        <v>-0.5415912433</v>
      </c>
      <c r="H346" s="16">
        <f t="shared" si="1"/>
        <v>0</v>
      </c>
    </row>
    <row r="347">
      <c r="B347" s="16">
        <f>IFERROR(__xludf.DUMMYFUNCTION("""COMPUTED_VALUE"""),34.5)</f>
        <v>34.5</v>
      </c>
      <c r="D347" s="16">
        <f>IFERROR(__xludf.DUMMYFUNCTION("""COMPUTED_VALUE"""),0.669754064828688)</f>
        <v>0.6697540648</v>
      </c>
      <c r="E347" s="16">
        <f>IFERROR(__xludf.DUMMYFUNCTION("""COMPUTED_VALUE"""),-0.119328849473899)</f>
        <v>-0.1193288495</v>
      </c>
      <c r="F347" s="16">
        <f>IFERROR(__xludf.DUMMYFUNCTION("""COMPUTED_VALUE"""),0.496695617904283)</f>
        <v>0.4966956179</v>
      </c>
      <c r="G347" s="16">
        <f>IFERROR(__xludf.DUMMYFUNCTION("""COMPUTED_VALUE"""),-0.538965287827851)</f>
        <v>-0.5389652878</v>
      </c>
      <c r="H347" s="16">
        <f t="shared" si="1"/>
        <v>0</v>
      </c>
    </row>
    <row r="348">
      <c r="B348" s="16">
        <f>IFERROR(__xludf.DUMMYFUNCTION("""COMPUTED_VALUE"""),34.6)</f>
        <v>34.6</v>
      </c>
      <c r="D348" s="16">
        <f>IFERROR(__xludf.DUMMYFUNCTION("""COMPUTED_VALUE"""),0.669754064828688)</f>
        <v>0.6697540648</v>
      </c>
      <c r="E348" s="16">
        <f>IFERROR(__xludf.DUMMYFUNCTION("""COMPUTED_VALUE"""),-0.119328849473899)</f>
        <v>-0.1193288495</v>
      </c>
      <c r="F348" s="16">
        <f>IFERROR(__xludf.DUMMYFUNCTION("""COMPUTED_VALUE"""),0.496695617904283)</f>
        <v>0.4966956179</v>
      </c>
      <c r="G348" s="16">
        <f>IFERROR(__xludf.DUMMYFUNCTION("""COMPUTED_VALUE"""),-0.538965287827851)</f>
        <v>-0.5389652878</v>
      </c>
      <c r="H348" s="16">
        <f t="shared" si="1"/>
        <v>0</v>
      </c>
    </row>
    <row r="349">
      <c r="B349" s="16">
        <f>IFERROR(__xludf.DUMMYFUNCTION("""COMPUTED_VALUE"""),34.7)</f>
        <v>34.7</v>
      </c>
      <c r="D349" s="16">
        <f>IFERROR(__xludf.DUMMYFUNCTION("""COMPUTED_VALUE"""),0.669754064828688)</f>
        <v>0.6697540648</v>
      </c>
      <c r="E349" s="16">
        <f>IFERROR(__xludf.DUMMYFUNCTION("""COMPUTED_VALUE"""),-0.119328849473899)</f>
        <v>-0.1193288495</v>
      </c>
      <c r="F349" s="16">
        <f>IFERROR(__xludf.DUMMYFUNCTION("""COMPUTED_VALUE"""),0.496695617904283)</f>
        <v>0.4966956179</v>
      </c>
      <c r="G349" s="16">
        <f>IFERROR(__xludf.DUMMYFUNCTION("""COMPUTED_VALUE"""),-0.538965287827851)</f>
        <v>-0.5389652878</v>
      </c>
      <c r="H349" s="16">
        <f t="shared" si="1"/>
        <v>0</v>
      </c>
    </row>
    <row r="350">
      <c r="B350" s="16">
        <f>IFERROR(__xludf.DUMMYFUNCTION("""COMPUTED_VALUE"""),34.8)</f>
        <v>34.8</v>
      </c>
      <c r="D350" s="16">
        <f>IFERROR(__xludf.DUMMYFUNCTION("""COMPUTED_VALUE"""),0.669754064828688)</f>
        <v>0.6697540648</v>
      </c>
      <c r="E350" s="16">
        <f>IFERROR(__xludf.DUMMYFUNCTION("""COMPUTED_VALUE"""),-0.119328849473899)</f>
        <v>-0.1193288495</v>
      </c>
      <c r="F350" s="16">
        <f>IFERROR(__xludf.DUMMYFUNCTION("""COMPUTED_VALUE"""),0.496695617904283)</f>
        <v>0.4966956179</v>
      </c>
      <c r="G350" s="16">
        <f>IFERROR(__xludf.DUMMYFUNCTION("""COMPUTED_VALUE"""),-0.538965287827851)</f>
        <v>-0.5389652878</v>
      </c>
      <c r="H350" s="16">
        <f t="shared" si="1"/>
        <v>0</v>
      </c>
    </row>
    <row r="351">
      <c r="B351" s="16">
        <f>IFERROR(__xludf.DUMMYFUNCTION("""COMPUTED_VALUE"""),34.9)</f>
        <v>34.9</v>
      </c>
      <c r="D351" s="16">
        <f>IFERROR(__xludf.DUMMYFUNCTION("""COMPUTED_VALUE"""),0.669754064828688)</f>
        <v>0.6697540648</v>
      </c>
      <c r="E351" s="16">
        <f>IFERROR(__xludf.DUMMYFUNCTION("""COMPUTED_VALUE"""),-0.119328849473899)</f>
        <v>-0.1193288495</v>
      </c>
      <c r="F351" s="16">
        <f>IFERROR(__xludf.DUMMYFUNCTION("""COMPUTED_VALUE"""),0.496695617904283)</f>
        <v>0.4966956179</v>
      </c>
      <c r="G351" s="16">
        <f>IFERROR(__xludf.DUMMYFUNCTION("""COMPUTED_VALUE"""),-0.538965287827851)</f>
        <v>-0.5389652878</v>
      </c>
      <c r="H351" s="16">
        <f t="shared" si="1"/>
        <v>0</v>
      </c>
    </row>
    <row r="352">
      <c r="B352" s="16">
        <f>IFERROR(__xludf.DUMMYFUNCTION("""COMPUTED_VALUE"""),35.0)</f>
        <v>35</v>
      </c>
      <c r="D352" s="16">
        <f>IFERROR(__xludf.DUMMYFUNCTION("""COMPUTED_VALUE"""),0.669754064828688)</f>
        <v>0.6697540648</v>
      </c>
      <c r="E352" s="16">
        <f>IFERROR(__xludf.DUMMYFUNCTION("""COMPUTED_VALUE"""),-0.119328849473899)</f>
        <v>-0.1193288495</v>
      </c>
      <c r="F352" s="16">
        <f>IFERROR(__xludf.DUMMYFUNCTION("""COMPUTED_VALUE"""),0.496695617904283)</f>
        <v>0.4966956179</v>
      </c>
      <c r="G352" s="16">
        <f>IFERROR(__xludf.DUMMYFUNCTION("""COMPUTED_VALUE"""),-0.538965287827851)</f>
        <v>-0.5389652878</v>
      </c>
      <c r="H352" s="16">
        <f t="shared" si="1"/>
        <v>0</v>
      </c>
    </row>
    <row r="353">
      <c r="B353" s="16">
        <f>IFERROR(__xludf.DUMMYFUNCTION("""COMPUTED_VALUE"""),35.1)</f>
        <v>35.1</v>
      </c>
      <c r="D353" s="16">
        <f>IFERROR(__xludf.DUMMYFUNCTION("""COMPUTED_VALUE"""),0.669754064828688)</f>
        <v>0.6697540648</v>
      </c>
      <c r="E353" s="16">
        <f>IFERROR(__xludf.DUMMYFUNCTION("""COMPUTED_VALUE"""),-0.119328849473899)</f>
        <v>-0.1193288495</v>
      </c>
      <c r="F353" s="16">
        <f>IFERROR(__xludf.DUMMYFUNCTION("""COMPUTED_VALUE"""),0.496695617904283)</f>
        <v>0.4966956179</v>
      </c>
      <c r="G353" s="16">
        <f>IFERROR(__xludf.DUMMYFUNCTION("""COMPUTED_VALUE"""),-0.538965287827851)</f>
        <v>-0.5389652878</v>
      </c>
      <c r="H353" s="16">
        <f t="shared" si="1"/>
        <v>0</v>
      </c>
    </row>
    <row r="354">
      <c r="B354" s="16">
        <f>IFERROR(__xludf.DUMMYFUNCTION("""COMPUTED_VALUE"""),35.2)</f>
        <v>35.2</v>
      </c>
      <c r="D354" s="16">
        <f>IFERROR(__xludf.DUMMYFUNCTION("""COMPUTED_VALUE"""),0.669754064828688)</f>
        <v>0.6697540648</v>
      </c>
      <c r="E354" s="16">
        <f>IFERROR(__xludf.DUMMYFUNCTION("""COMPUTED_VALUE"""),-0.119328849473899)</f>
        <v>-0.1193288495</v>
      </c>
      <c r="F354" s="16">
        <f>IFERROR(__xludf.DUMMYFUNCTION("""COMPUTED_VALUE"""),0.496695617904283)</f>
        <v>0.4966956179</v>
      </c>
      <c r="G354" s="16">
        <f>IFERROR(__xludf.DUMMYFUNCTION("""COMPUTED_VALUE"""),-0.538965287827851)</f>
        <v>-0.5389652878</v>
      </c>
      <c r="H354" s="16">
        <f t="shared" si="1"/>
        <v>0</v>
      </c>
    </row>
    <row r="355">
      <c r="B355" s="16">
        <f>IFERROR(__xludf.DUMMYFUNCTION("""COMPUTED_VALUE"""),35.3)</f>
        <v>35.3</v>
      </c>
      <c r="D355" s="16">
        <f>IFERROR(__xludf.DUMMYFUNCTION("""COMPUTED_VALUE"""),0.669754064828688)</f>
        <v>0.6697540648</v>
      </c>
      <c r="E355" s="16">
        <f>IFERROR(__xludf.DUMMYFUNCTION("""COMPUTED_VALUE"""),-0.119328849473899)</f>
        <v>-0.1193288495</v>
      </c>
      <c r="F355" s="16">
        <f>IFERROR(__xludf.DUMMYFUNCTION("""COMPUTED_VALUE"""),0.496695617904283)</f>
        <v>0.4966956179</v>
      </c>
      <c r="G355" s="16">
        <f>IFERROR(__xludf.DUMMYFUNCTION("""COMPUTED_VALUE"""),-0.538965287827851)</f>
        <v>-0.5389652878</v>
      </c>
      <c r="H355" s="16">
        <f t="shared" si="1"/>
        <v>0</v>
      </c>
    </row>
    <row r="356">
      <c r="B356" s="16">
        <f>IFERROR(__xludf.DUMMYFUNCTION("""COMPUTED_VALUE"""),35.4)</f>
        <v>35.4</v>
      </c>
      <c r="D356" s="16">
        <f>IFERROR(__xludf.DUMMYFUNCTION("""COMPUTED_VALUE"""),0.637226799076286)</f>
        <v>0.6372267991</v>
      </c>
      <c r="E356" s="16">
        <f>IFERROR(__xludf.DUMMYFUNCTION("""COMPUTED_VALUE"""),-0.0893547315853924)</f>
        <v>-0.08935473159</v>
      </c>
      <c r="F356" s="16">
        <f>IFERROR(__xludf.DUMMYFUNCTION("""COMPUTED_VALUE"""),0.5347978125788)</f>
        <v>0.5347978126</v>
      </c>
      <c r="G356" s="16">
        <f>IFERROR(__xludf.DUMMYFUNCTION("""COMPUTED_VALUE"""),-0.547676033931753)</f>
        <v>-0.5476760339</v>
      </c>
      <c r="H356" s="16">
        <f t="shared" si="1"/>
        <v>0</v>
      </c>
    </row>
    <row r="357">
      <c r="B357" s="16">
        <f>IFERROR(__xludf.DUMMYFUNCTION("""COMPUTED_VALUE"""),35.5)</f>
        <v>35.5</v>
      </c>
      <c r="D357" s="16">
        <f>IFERROR(__xludf.DUMMYFUNCTION("""COMPUTED_VALUE"""),0.598233514149759)</f>
        <v>0.5982335141</v>
      </c>
      <c r="E357" s="16">
        <f>IFERROR(__xludf.DUMMYFUNCTION("""COMPUTED_VALUE"""),-0.0672933042313275)</f>
        <v>-0.06729330423</v>
      </c>
      <c r="F357" s="16">
        <f>IFERROR(__xludf.DUMMYFUNCTION("""COMPUTED_VALUE"""),0.567349757289926)</f>
        <v>0.5673497573</v>
      </c>
      <c r="G357" s="16">
        <f>IFERROR(__xludf.DUMMYFUNCTION("""COMPUTED_VALUE"""),-0.56187411993854)</f>
        <v>-0.5618741199</v>
      </c>
      <c r="H357" s="16">
        <f t="shared" si="1"/>
        <v>0</v>
      </c>
    </row>
    <row r="358">
      <c r="B358" s="16">
        <f>IFERROR(__xludf.DUMMYFUNCTION("""COMPUTED_VALUE"""),35.6)</f>
        <v>35.6</v>
      </c>
      <c r="D358" s="16">
        <f>IFERROR(__xludf.DUMMYFUNCTION("""COMPUTED_VALUE"""),0.566604916218456)</f>
        <v>0.5666049162</v>
      </c>
      <c r="E358" s="16">
        <f>IFERROR(__xludf.DUMMYFUNCTION("""COMPUTED_VALUE"""),-0.0540574565686206)</f>
        <v>-0.05405745657</v>
      </c>
      <c r="F358" s="16">
        <f>IFERROR(__xludf.DUMMYFUNCTION("""COMPUTED_VALUE"""),0.589244851394901)</f>
        <v>0.5892448514</v>
      </c>
      <c r="G358" s="16">
        <f>IFERROR(__xludf.DUMMYFUNCTION("""COMPUTED_VALUE"""),-0.573434534546879)</f>
        <v>-0.5734345345</v>
      </c>
      <c r="H358" s="16">
        <f t="shared" si="1"/>
        <v>0</v>
      </c>
    </row>
    <row r="359">
      <c r="B359" s="16">
        <f>IFERROR(__xludf.DUMMYFUNCTION("""COMPUTED_VALUE"""),35.7)</f>
        <v>35.7</v>
      </c>
      <c r="D359" s="16">
        <f>IFERROR(__xludf.DUMMYFUNCTION("""COMPUTED_VALUE"""),0.566604916218456)</f>
        <v>0.5666049162</v>
      </c>
      <c r="E359" s="16">
        <f>IFERROR(__xludf.DUMMYFUNCTION("""COMPUTED_VALUE"""),-0.0540574565686206)</f>
        <v>-0.05405745657</v>
      </c>
      <c r="F359" s="16">
        <f>IFERROR(__xludf.DUMMYFUNCTION("""COMPUTED_VALUE"""),0.589244851394901)</f>
        <v>0.5892448514</v>
      </c>
      <c r="G359" s="16">
        <f>IFERROR(__xludf.DUMMYFUNCTION("""COMPUTED_VALUE"""),-0.573434534546879)</f>
        <v>-0.5734345345</v>
      </c>
      <c r="H359" s="16">
        <f t="shared" si="1"/>
        <v>0</v>
      </c>
    </row>
    <row r="360">
      <c r="B360" s="16">
        <f>IFERROR(__xludf.DUMMYFUNCTION("""COMPUTED_VALUE"""),35.8)</f>
        <v>35.8</v>
      </c>
      <c r="D360" s="16">
        <f>IFERROR(__xludf.DUMMYFUNCTION("""COMPUTED_VALUE"""),0.566604916218456)</f>
        <v>0.5666049162</v>
      </c>
      <c r="E360" s="16">
        <f>IFERROR(__xludf.DUMMYFUNCTION("""COMPUTED_VALUE"""),-0.0540574565686206)</f>
        <v>-0.05405745657</v>
      </c>
      <c r="F360" s="16">
        <f>IFERROR(__xludf.DUMMYFUNCTION("""COMPUTED_VALUE"""),0.589244851394901)</f>
        <v>0.5892448514</v>
      </c>
      <c r="G360" s="16">
        <f>IFERROR(__xludf.DUMMYFUNCTION("""COMPUTED_VALUE"""),-0.573434534546879)</f>
        <v>-0.5734345345</v>
      </c>
      <c r="H360" s="16">
        <f t="shared" si="1"/>
        <v>0</v>
      </c>
    </row>
    <row r="361">
      <c r="B361" s="16">
        <f>IFERROR(__xludf.DUMMYFUNCTION("""COMPUTED_VALUE"""),35.9)</f>
        <v>35.9</v>
      </c>
      <c r="D361" s="16">
        <f>IFERROR(__xludf.DUMMYFUNCTION("""COMPUTED_VALUE"""),0.557438491029781)</f>
        <v>0.557438491</v>
      </c>
      <c r="E361" s="16">
        <f>IFERROR(__xludf.DUMMYFUNCTION("""COMPUTED_VALUE"""),-0.0541782934486497)</f>
        <v>-0.05417829345</v>
      </c>
      <c r="F361" s="16">
        <f>IFERROR(__xludf.DUMMYFUNCTION("""COMPUTED_VALUE"""),0.593233959629292)</f>
        <v>0.5932339596</v>
      </c>
      <c r="G361" s="16">
        <f>IFERROR(__xludf.DUMMYFUNCTION("""COMPUTED_VALUE"""),-0.57827373308838)</f>
        <v>-0.5782737331</v>
      </c>
      <c r="H361" s="16">
        <f t="shared" si="1"/>
        <v>0</v>
      </c>
    </row>
    <row r="362">
      <c r="B362" s="16">
        <f>IFERROR(__xludf.DUMMYFUNCTION("""COMPUTED_VALUE"""),36.0)</f>
        <v>36</v>
      </c>
      <c r="D362" s="16">
        <f>IFERROR(__xludf.DUMMYFUNCTION("""COMPUTED_VALUE"""),0.557438491029781)</f>
        <v>0.557438491</v>
      </c>
      <c r="E362" s="16">
        <f>IFERROR(__xludf.DUMMYFUNCTION("""COMPUTED_VALUE"""),-0.0541782934486497)</f>
        <v>-0.05417829345</v>
      </c>
      <c r="F362" s="16">
        <f>IFERROR(__xludf.DUMMYFUNCTION("""COMPUTED_VALUE"""),0.593233959629292)</f>
        <v>0.5932339596</v>
      </c>
      <c r="G362" s="16">
        <f>IFERROR(__xludf.DUMMYFUNCTION("""COMPUTED_VALUE"""),-0.57827373308838)</f>
        <v>-0.5782737331</v>
      </c>
      <c r="H362" s="16">
        <f t="shared" si="1"/>
        <v>0</v>
      </c>
    </row>
    <row r="363">
      <c r="B363" s="16">
        <f>IFERROR(__xludf.DUMMYFUNCTION("""COMPUTED_VALUE"""),36.1)</f>
        <v>36.1</v>
      </c>
      <c r="D363" s="16">
        <f>IFERROR(__xludf.DUMMYFUNCTION("""COMPUTED_VALUE"""),0.552829418484402)</f>
        <v>0.5528294185</v>
      </c>
      <c r="E363" s="16">
        <f>IFERROR(__xludf.DUMMYFUNCTION("""COMPUTED_VALUE"""),-0.0542362063219703)</f>
        <v>-0.05423620632</v>
      </c>
      <c r="F363" s="16">
        <f>IFERROR(__xludf.DUMMYFUNCTION("""COMPUTED_VALUE"""),0.595201099196669)</f>
        <v>0.5952010992</v>
      </c>
      <c r="G363" s="16">
        <f>IFERROR(__xludf.DUMMYFUNCTION("""COMPUTED_VALUE"""),-0.580666616482352)</f>
        <v>-0.5806666165</v>
      </c>
      <c r="H363" s="16">
        <f t="shared" si="1"/>
        <v>0</v>
      </c>
    </row>
    <row r="364">
      <c r="B364" s="16">
        <f>IFERROR(__xludf.DUMMYFUNCTION("""COMPUTED_VALUE"""),36.2)</f>
        <v>36.2</v>
      </c>
      <c r="D364" s="16">
        <f>IFERROR(__xludf.DUMMYFUNCTION("""COMPUTED_VALUE"""),0.552829418484402)</f>
        <v>0.5528294185</v>
      </c>
      <c r="E364" s="16">
        <f>IFERROR(__xludf.DUMMYFUNCTION("""COMPUTED_VALUE"""),-0.0542362063219703)</f>
        <v>-0.05423620632</v>
      </c>
      <c r="F364" s="16">
        <f>IFERROR(__xludf.DUMMYFUNCTION("""COMPUTED_VALUE"""),0.595201099196669)</f>
        <v>0.5952010992</v>
      </c>
      <c r="G364" s="16">
        <f>IFERROR(__xludf.DUMMYFUNCTION("""COMPUTED_VALUE"""),-0.580666616482352)</f>
        <v>-0.5806666165</v>
      </c>
      <c r="H364" s="16">
        <f t="shared" si="1"/>
        <v>0</v>
      </c>
    </row>
    <row r="365">
      <c r="B365" s="16">
        <f>IFERROR(__xludf.DUMMYFUNCTION("""COMPUTED_VALUE"""),36.3)</f>
        <v>36.3</v>
      </c>
      <c r="D365" s="16">
        <f>IFERROR(__xludf.DUMMYFUNCTION("""COMPUTED_VALUE"""),0.552829418484402)</f>
        <v>0.5528294185</v>
      </c>
      <c r="E365" s="16">
        <f>IFERROR(__xludf.DUMMYFUNCTION("""COMPUTED_VALUE"""),-0.0542362063219703)</f>
        <v>-0.05423620632</v>
      </c>
      <c r="F365" s="16">
        <f>IFERROR(__xludf.DUMMYFUNCTION("""COMPUTED_VALUE"""),0.595201099196669)</f>
        <v>0.5952010992</v>
      </c>
      <c r="G365" s="16">
        <f>IFERROR(__xludf.DUMMYFUNCTION("""COMPUTED_VALUE"""),-0.580666616482352)</f>
        <v>-0.5806666165</v>
      </c>
      <c r="H365" s="16">
        <f t="shared" si="1"/>
        <v>0</v>
      </c>
    </row>
    <row r="366">
      <c r="B366" s="16">
        <f>IFERROR(__xludf.DUMMYFUNCTION("""COMPUTED_VALUE"""),36.4)</f>
        <v>36.4</v>
      </c>
      <c r="D366" s="16">
        <f>IFERROR(__xludf.DUMMYFUNCTION("""COMPUTED_VALUE"""),0.552829418484402)</f>
        <v>0.5528294185</v>
      </c>
      <c r="E366" s="16">
        <f>IFERROR(__xludf.DUMMYFUNCTION("""COMPUTED_VALUE"""),-0.0542362063219703)</f>
        <v>-0.05423620632</v>
      </c>
      <c r="F366" s="16">
        <f>IFERROR(__xludf.DUMMYFUNCTION("""COMPUTED_VALUE"""),0.595201099196669)</f>
        <v>0.5952010992</v>
      </c>
      <c r="G366" s="16">
        <f>IFERROR(__xludf.DUMMYFUNCTION("""COMPUTED_VALUE"""),-0.580666616482352)</f>
        <v>-0.5806666165</v>
      </c>
      <c r="H366" s="16">
        <f t="shared" si="1"/>
        <v>0</v>
      </c>
    </row>
    <row r="367">
      <c r="B367" s="16">
        <f>IFERROR(__xludf.DUMMYFUNCTION("""COMPUTED_VALUE"""),36.5)</f>
        <v>36.5</v>
      </c>
      <c r="D367" s="16">
        <f>IFERROR(__xludf.DUMMYFUNCTION("""COMPUTED_VALUE"""),0.552829418484402)</f>
        <v>0.5528294185</v>
      </c>
      <c r="E367" s="16">
        <f>IFERROR(__xludf.DUMMYFUNCTION("""COMPUTED_VALUE"""),-0.0542362063219703)</f>
        <v>-0.05423620632</v>
      </c>
      <c r="F367" s="16">
        <f>IFERROR(__xludf.DUMMYFUNCTION("""COMPUTED_VALUE"""),0.595201099196669)</f>
        <v>0.5952010992</v>
      </c>
      <c r="G367" s="16">
        <f>IFERROR(__xludf.DUMMYFUNCTION("""COMPUTED_VALUE"""),-0.580666616482352)</f>
        <v>-0.5806666165</v>
      </c>
      <c r="H367" s="16">
        <f t="shared" si="1"/>
        <v>0</v>
      </c>
    </row>
    <row r="368">
      <c r="B368" s="16">
        <f>IFERROR(__xludf.DUMMYFUNCTION("""COMPUTED_VALUE"""),36.6)</f>
        <v>36.6</v>
      </c>
      <c r="D368" s="16">
        <f>IFERROR(__xludf.DUMMYFUNCTION("""COMPUTED_VALUE"""),0.552829418484402)</f>
        <v>0.5528294185</v>
      </c>
      <c r="E368" s="16">
        <f>IFERROR(__xludf.DUMMYFUNCTION("""COMPUTED_VALUE"""),-0.0542362063219703)</f>
        <v>-0.05423620632</v>
      </c>
      <c r="F368" s="16">
        <f>IFERROR(__xludf.DUMMYFUNCTION("""COMPUTED_VALUE"""),0.595201099196669)</f>
        <v>0.5952010992</v>
      </c>
      <c r="G368" s="16">
        <f>IFERROR(__xludf.DUMMYFUNCTION("""COMPUTED_VALUE"""),-0.580666616482352)</f>
        <v>-0.5806666165</v>
      </c>
      <c r="H368" s="16">
        <f t="shared" si="1"/>
        <v>0</v>
      </c>
    </row>
    <row r="369">
      <c r="B369" s="16">
        <f>IFERROR(__xludf.DUMMYFUNCTION("""COMPUTED_VALUE"""),36.7)</f>
        <v>36.7</v>
      </c>
      <c r="D369" s="16">
        <f>IFERROR(__xludf.DUMMYFUNCTION("""COMPUTED_VALUE"""),0.557372865843501)</f>
        <v>0.5573728658</v>
      </c>
      <c r="E369" s="16">
        <f>IFERROR(__xludf.DUMMYFUNCTION("""COMPUTED_VALUE"""),-0.0495598832470443)</f>
        <v>-0.04955988325</v>
      </c>
      <c r="F369" s="16">
        <f>IFERROR(__xludf.DUMMYFUNCTION("""COMPUTED_VALUE"""),0.595608707570382)</f>
        <v>0.5956087076</v>
      </c>
      <c r="G369" s="16">
        <f>IFERROR(__xludf.DUMMYFUNCTION("""COMPUTED_VALUE"""),-0.576306840025578)</f>
        <v>-0.57630684</v>
      </c>
      <c r="H369" s="16">
        <f t="shared" si="1"/>
        <v>0</v>
      </c>
    </row>
    <row r="370">
      <c r="B370" s="16">
        <f>IFERROR(__xludf.DUMMYFUNCTION("""COMPUTED_VALUE"""),36.8)</f>
        <v>36.8</v>
      </c>
      <c r="D370" s="16">
        <f>IFERROR(__xludf.DUMMYFUNCTION("""COMPUTED_VALUE"""),0.588717605913944)</f>
        <v>0.5887176059</v>
      </c>
      <c r="E370" s="16">
        <f>IFERROR(__xludf.DUMMYFUNCTION("""COMPUTED_VALUE"""),-0.0305624000734528)</f>
        <v>-0.03056240007</v>
      </c>
      <c r="F370" s="16">
        <f>IFERROR(__xludf.DUMMYFUNCTION("""COMPUTED_VALUE"""),0.590568464489491)</f>
        <v>0.5905684645</v>
      </c>
      <c r="G370" s="16">
        <f>IFERROR(__xludf.DUMMYFUNCTION("""COMPUTED_VALUE"""),-0.55109564409385)</f>
        <v>-0.5510956441</v>
      </c>
      <c r="H370" s="16">
        <f t="shared" si="1"/>
        <v>0</v>
      </c>
    </row>
    <row r="371">
      <c r="B371" s="16">
        <f>IFERROR(__xludf.DUMMYFUNCTION("""COMPUTED_VALUE"""),36.9)</f>
        <v>36.9</v>
      </c>
      <c r="D371" s="16">
        <f>IFERROR(__xludf.DUMMYFUNCTION("""COMPUTED_VALUE"""),0.641285735430617)</f>
        <v>0.6412857354</v>
      </c>
      <c r="E371" s="16">
        <f>IFERROR(__xludf.DUMMYFUNCTION("""COMPUTED_VALUE"""),0.00924558580182432)</f>
        <v>0.009245585802</v>
      </c>
      <c r="F371" s="16">
        <f>IFERROR(__xludf.DUMMYFUNCTION("""COMPUTED_VALUE"""),0.582051395779318)</f>
        <v>0.5820513958</v>
      </c>
      <c r="G371" s="16">
        <f>IFERROR(__xludf.DUMMYFUNCTION("""COMPUTED_VALUE"""),-0.499883283725043)</f>
        <v>-0.4998832837</v>
      </c>
      <c r="H371" s="16">
        <f t="shared" si="1"/>
        <v>0</v>
      </c>
    </row>
    <row r="372">
      <c r="B372" s="16">
        <f>IFERROR(__xludf.DUMMYFUNCTION("""COMPUTED_VALUE"""),37.0)</f>
        <v>37</v>
      </c>
      <c r="D372" s="16">
        <f>IFERROR(__xludf.DUMMYFUNCTION("""COMPUTED_VALUE"""),0.697869687259599)</f>
        <v>0.6978696873</v>
      </c>
      <c r="E372" s="16">
        <f>IFERROR(__xludf.DUMMYFUNCTION("""COMPUTED_VALUE"""),0.0754118844682003)</f>
        <v>0.07541188447</v>
      </c>
      <c r="F372" s="16">
        <f>IFERROR(__xludf.DUMMYFUNCTION("""COMPUTED_VALUE"""),0.574595024888584)</f>
        <v>0.5745950249</v>
      </c>
      <c r="G372" s="16">
        <f>IFERROR(__xludf.DUMMYFUNCTION("""COMPUTED_VALUE"""),-0.420869937936202)</f>
        <v>-0.4208699379</v>
      </c>
      <c r="H372" s="16">
        <f t="shared" si="1"/>
        <v>0</v>
      </c>
    </row>
    <row r="373">
      <c r="B373" s="16">
        <f>IFERROR(__xludf.DUMMYFUNCTION("""COMPUTED_VALUE"""),37.1)</f>
        <v>37.1</v>
      </c>
      <c r="D373" s="16">
        <f>IFERROR(__xludf.DUMMYFUNCTION("""COMPUTED_VALUE"""),0.730166477222335)</f>
        <v>0.7301664772</v>
      </c>
      <c r="E373" s="16">
        <f>IFERROR(__xludf.DUMMYFUNCTION("""COMPUTED_VALUE"""),0.122486925004739)</f>
        <v>0.122486925</v>
      </c>
      <c r="F373" s="16">
        <f>IFERROR(__xludf.DUMMYFUNCTION("""COMPUTED_VALUE"""),0.566430355956177)</f>
        <v>0.566430356</v>
      </c>
      <c r="G373" s="16">
        <f>IFERROR(__xludf.DUMMYFUNCTION("""COMPUTED_VALUE"""),-0.361953754773948)</f>
        <v>-0.3619537548</v>
      </c>
      <c r="H373" s="16">
        <f t="shared" si="1"/>
        <v>0</v>
      </c>
    </row>
    <row r="374">
      <c r="B374" s="16">
        <f>IFERROR(__xludf.DUMMYFUNCTION("""COMPUTED_VALUE"""),37.2)</f>
        <v>37.2</v>
      </c>
      <c r="D374" s="16">
        <f>IFERROR(__xludf.DUMMYFUNCTION("""COMPUTED_VALUE"""),0.738036809369484)</f>
        <v>0.7380368094</v>
      </c>
      <c r="E374" s="16">
        <f>IFERROR(__xludf.DUMMYFUNCTION("""COMPUTED_VALUE"""),0.145229387745841)</f>
        <v>0.1452293877</v>
      </c>
      <c r="F374" s="16">
        <f>IFERROR(__xludf.DUMMYFUNCTION("""COMPUTED_VALUE"""),0.567479771275237)</f>
        <v>0.5674797713</v>
      </c>
      <c r="G374" s="16">
        <f>IFERROR(__xludf.DUMMYFUNCTION("""COMPUTED_VALUE"""),-0.334928055176146)</f>
        <v>-0.3349280552</v>
      </c>
      <c r="H374" s="16">
        <f t="shared" si="1"/>
        <v>0</v>
      </c>
    </row>
    <row r="375">
      <c r="B375" s="16">
        <f>IFERROR(__xludf.DUMMYFUNCTION("""COMPUTED_VALUE"""),37.3)</f>
        <v>37.3</v>
      </c>
      <c r="D375" s="16">
        <f>IFERROR(__xludf.DUMMYFUNCTION("""COMPUTED_VALUE"""),0.74264800309255)</f>
        <v>0.7426480031</v>
      </c>
      <c r="E375" s="16">
        <f>IFERROR(__xludf.DUMMYFUNCTION("""COMPUTED_VALUE"""),0.169261449410305)</f>
        <v>0.1692614494</v>
      </c>
      <c r="F375" s="16">
        <f>IFERROR(__xludf.DUMMYFUNCTION("""COMPUTED_VALUE"""),0.57058560050334)</f>
        <v>0.5705856005</v>
      </c>
      <c r="G375" s="16">
        <f>IFERROR(__xludf.DUMMYFUNCTION("""COMPUTED_VALUE"""),-0.307012341355204)</f>
        <v>-0.3070123414</v>
      </c>
      <c r="H375" s="16">
        <f t="shared" si="1"/>
        <v>0</v>
      </c>
    </row>
    <row r="376">
      <c r="B376" s="16">
        <f>IFERROR(__xludf.DUMMYFUNCTION("""COMPUTED_VALUE"""),37.4)</f>
        <v>37.4</v>
      </c>
      <c r="D376" s="16">
        <f>IFERROR(__xludf.DUMMYFUNCTION("""COMPUTED_VALUE"""),0.748526281484108)</f>
        <v>0.7485262815</v>
      </c>
      <c r="E376" s="16">
        <f>IFERROR(__xludf.DUMMYFUNCTION("""COMPUTED_VALUE"""),0.191734559561787)</f>
        <v>0.1917345596</v>
      </c>
      <c r="F376" s="16">
        <f>IFERROR(__xludf.DUMMYFUNCTION("""COMPUTED_VALUE"""),0.57005799036572)</f>
        <v>0.5700579904</v>
      </c>
      <c r="G376" s="16">
        <f>IFERROR(__xludf.DUMMYFUNCTION("""COMPUTED_VALUE"""),-0.279249265383829)</f>
        <v>-0.2792492654</v>
      </c>
      <c r="H376" s="16">
        <f t="shared" si="1"/>
        <v>0</v>
      </c>
    </row>
    <row r="377">
      <c r="B377" s="16">
        <f>IFERROR(__xludf.DUMMYFUNCTION("""COMPUTED_VALUE"""),37.5)</f>
        <v>37.5</v>
      </c>
      <c r="D377" s="16">
        <f>IFERROR(__xludf.DUMMYFUNCTION("""COMPUTED_VALUE"""),0.751764089320737)</f>
        <v>0.7517640893</v>
      </c>
      <c r="E377" s="16">
        <f>IFERROR(__xludf.DUMMYFUNCTION("""COMPUTED_VALUE"""),0.198436936101933)</f>
        <v>0.1984369361</v>
      </c>
      <c r="F377" s="16">
        <f>IFERROR(__xludf.DUMMYFUNCTION("""COMPUTED_VALUE"""),0.567759664031035)</f>
        <v>0.567759664</v>
      </c>
      <c r="G377" s="16">
        <f>IFERROR(__xludf.DUMMYFUNCTION("""COMPUTED_VALUE"""),-0.270411723668923)</f>
        <v>-0.2704117237</v>
      </c>
      <c r="H377" s="16">
        <f t="shared" si="1"/>
        <v>0</v>
      </c>
    </row>
    <row r="378">
      <c r="B378" s="16">
        <f>IFERROR(__xludf.DUMMYFUNCTION("""COMPUTED_VALUE"""),37.6)</f>
        <v>37.6</v>
      </c>
      <c r="D378" s="16">
        <f>IFERROR(__xludf.DUMMYFUNCTION("""COMPUTED_VALUE"""),0.751764089320737)</f>
        <v>0.7517640893</v>
      </c>
      <c r="E378" s="16">
        <f>IFERROR(__xludf.DUMMYFUNCTION("""COMPUTED_VALUE"""),0.198436936101933)</f>
        <v>0.1984369361</v>
      </c>
      <c r="F378" s="16">
        <f>IFERROR(__xludf.DUMMYFUNCTION("""COMPUTED_VALUE"""),0.567759664031035)</f>
        <v>0.567759664</v>
      </c>
      <c r="G378" s="16">
        <f>IFERROR(__xludf.DUMMYFUNCTION("""COMPUTED_VALUE"""),-0.270411723668923)</f>
        <v>-0.2704117237</v>
      </c>
      <c r="H378" s="16">
        <f t="shared" si="1"/>
        <v>0</v>
      </c>
    </row>
    <row r="379">
      <c r="B379" s="16">
        <f>IFERROR(__xludf.DUMMYFUNCTION("""COMPUTED_VALUE"""),37.7)</f>
        <v>37.7</v>
      </c>
      <c r="D379" s="16">
        <f>IFERROR(__xludf.DUMMYFUNCTION("""COMPUTED_VALUE"""),0.745045455414975)</f>
        <v>0.7450454554</v>
      </c>
      <c r="E379" s="16">
        <f>IFERROR(__xludf.DUMMYFUNCTION("""COMPUTED_VALUE"""),0.173703028629652)</f>
        <v>0.1737030286</v>
      </c>
      <c r="F379" s="16">
        <f>IFERROR(__xludf.DUMMYFUNCTION("""COMPUTED_VALUE"""),0.569251303484607)</f>
        <v>0.5692513035</v>
      </c>
      <c r="G379" s="16">
        <f>IFERROR(__xludf.DUMMYFUNCTION("""COMPUTED_VALUE"""),-0.301143621369349)</f>
        <v>-0.3011436214</v>
      </c>
      <c r="H379" s="16">
        <f t="shared" si="1"/>
        <v>0</v>
      </c>
    </row>
    <row r="380">
      <c r="B380" s="16">
        <f>IFERROR(__xludf.DUMMYFUNCTION("""COMPUTED_VALUE"""),37.8)</f>
        <v>37.8</v>
      </c>
      <c r="D380" s="16">
        <f>IFERROR(__xludf.DUMMYFUNCTION("""COMPUTED_VALUE"""),0.7788242195453)</f>
        <v>0.7788242195</v>
      </c>
      <c r="E380" s="16">
        <f>IFERROR(__xludf.DUMMYFUNCTION("""COMPUTED_VALUE"""),0.0680428312443065)</f>
        <v>0.06804283124</v>
      </c>
      <c r="F380" s="16">
        <f>IFERROR(__xludf.DUMMYFUNCTION("""COMPUTED_VALUE"""),0.481604798720475)</f>
        <v>0.4816047987</v>
      </c>
      <c r="G380" s="16">
        <f>IFERROR(__xludf.DUMMYFUNCTION("""COMPUTED_VALUE"""),-0.396055332012227)</f>
        <v>-0.396055332</v>
      </c>
      <c r="H380" s="16">
        <f t="shared" si="1"/>
        <v>0</v>
      </c>
    </row>
    <row r="381">
      <c r="B381" s="16">
        <f>IFERROR(__xludf.DUMMYFUNCTION("""COMPUTED_VALUE"""),37.9)</f>
        <v>37.9</v>
      </c>
      <c r="D381" s="16">
        <f>IFERROR(__xludf.DUMMYFUNCTION("""COMPUTED_VALUE"""),0.7788242195453)</f>
        <v>0.7788242195</v>
      </c>
      <c r="E381" s="16">
        <f>IFERROR(__xludf.DUMMYFUNCTION("""COMPUTED_VALUE"""),0.0680428312443065)</f>
        <v>0.06804283124</v>
      </c>
      <c r="F381" s="16">
        <f>IFERROR(__xludf.DUMMYFUNCTION("""COMPUTED_VALUE"""),0.481604798720475)</f>
        <v>0.4816047987</v>
      </c>
      <c r="G381" s="16">
        <f>IFERROR(__xludf.DUMMYFUNCTION("""COMPUTED_VALUE"""),-0.396055332012227)</f>
        <v>-0.396055332</v>
      </c>
      <c r="H381" s="16">
        <f t="shared" si="1"/>
        <v>0</v>
      </c>
    </row>
    <row r="382">
      <c r="B382" s="16">
        <f>IFERROR(__xludf.DUMMYFUNCTION("""COMPUTED_VALUE"""),38.0)</f>
        <v>38</v>
      </c>
      <c r="D382" s="16">
        <f>IFERROR(__xludf.DUMMYFUNCTION("""COMPUTED_VALUE"""),0.7788242195453)</f>
        <v>0.7788242195</v>
      </c>
      <c r="E382" s="16">
        <f>IFERROR(__xludf.DUMMYFUNCTION("""COMPUTED_VALUE"""),0.0680428312443065)</f>
        <v>0.06804283124</v>
      </c>
      <c r="F382" s="16">
        <f>IFERROR(__xludf.DUMMYFUNCTION("""COMPUTED_VALUE"""),0.481604798720475)</f>
        <v>0.4816047987</v>
      </c>
      <c r="G382" s="16">
        <f>IFERROR(__xludf.DUMMYFUNCTION("""COMPUTED_VALUE"""),-0.396055332012227)</f>
        <v>-0.396055332</v>
      </c>
      <c r="H382" s="16">
        <f t="shared" si="1"/>
        <v>0</v>
      </c>
    </row>
    <row r="383">
      <c r="B383" s="16">
        <f>IFERROR(__xludf.DUMMYFUNCTION("""COMPUTED_VALUE"""),38.1)</f>
        <v>38.1</v>
      </c>
      <c r="D383" s="16">
        <f>IFERROR(__xludf.DUMMYFUNCTION("""COMPUTED_VALUE"""),0.7788242195453)</f>
        <v>0.7788242195</v>
      </c>
      <c r="E383" s="16">
        <f>IFERROR(__xludf.DUMMYFUNCTION("""COMPUTED_VALUE"""),0.0680428312443065)</f>
        <v>0.06804283124</v>
      </c>
      <c r="F383" s="16">
        <f>IFERROR(__xludf.DUMMYFUNCTION("""COMPUTED_VALUE"""),0.481604798720475)</f>
        <v>0.4816047987</v>
      </c>
      <c r="G383" s="16">
        <f>IFERROR(__xludf.DUMMYFUNCTION("""COMPUTED_VALUE"""),-0.396055332012227)</f>
        <v>-0.396055332</v>
      </c>
      <c r="H383" s="16">
        <f t="shared" si="1"/>
        <v>0</v>
      </c>
    </row>
    <row r="384">
      <c r="B384" s="16">
        <f>IFERROR(__xludf.DUMMYFUNCTION("""COMPUTED_VALUE"""),38.2)</f>
        <v>38.2</v>
      </c>
      <c r="D384" s="16">
        <f>IFERROR(__xludf.DUMMYFUNCTION("""COMPUTED_VALUE"""),0.7788242195453)</f>
        <v>0.7788242195</v>
      </c>
      <c r="E384" s="16">
        <f>IFERROR(__xludf.DUMMYFUNCTION("""COMPUTED_VALUE"""),0.0680428312443065)</f>
        <v>0.06804283124</v>
      </c>
      <c r="F384" s="16">
        <f>IFERROR(__xludf.DUMMYFUNCTION("""COMPUTED_VALUE"""),0.481604798720475)</f>
        <v>0.4816047987</v>
      </c>
      <c r="G384" s="16">
        <f>IFERROR(__xludf.DUMMYFUNCTION("""COMPUTED_VALUE"""),-0.396055332012227)</f>
        <v>-0.396055332</v>
      </c>
      <c r="H384" s="16">
        <f t="shared" si="1"/>
        <v>0</v>
      </c>
    </row>
    <row r="385">
      <c r="B385" s="16">
        <f>IFERROR(__xludf.DUMMYFUNCTION("""COMPUTED_VALUE"""),38.3)</f>
        <v>38.3</v>
      </c>
      <c r="D385" s="16">
        <f>IFERROR(__xludf.DUMMYFUNCTION("""COMPUTED_VALUE"""),0.7788242195453)</f>
        <v>0.7788242195</v>
      </c>
      <c r="E385" s="16">
        <f>IFERROR(__xludf.DUMMYFUNCTION("""COMPUTED_VALUE"""),0.0680428312443065)</f>
        <v>0.06804283124</v>
      </c>
      <c r="F385" s="16">
        <f>IFERROR(__xludf.DUMMYFUNCTION("""COMPUTED_VALUE"""),0.481604798720475)</f>
        <v>0.4816047987</v>
      </c>
      <c r="G385" s="16">
        <f>IFERROR(__xludf.DUMMYFUNCTION("""COMPUTED_VALUE"""),-0.396055332012227)</f>
        <v>-0.396055332</v>
      </c>
      <c r="H385" s="16">
        <f t="shared" si="1"/>
        <v>0</v>
      </c>
    </row>
    <row r="386">
      <c r="B386" s="16">
        <f>IFERROR(__xludf.DUMMYFUNCTION("""COMPUTED_VALUE"""),38.4)</f>
        <v>38.4</v>
      </c>
      <c r="D386" s="16">
        <f>IFERROR(__xludf.DUMMYFUNCTION("""COMPUTED_VALUE"""),0.7788242195453)</f>
        <v>0.7788242195</v>
      </c>
      <c r="E386" s="16">
        <f>IFERROR(__xludf.DUMMYFUNCTION("""COMPUTED_VALUE"""),0.0680428312443065)</f>
        <v>0.06804283124</v>
      </c>
      <c r="F386" s="16">
        <f>IFERROR(__xludf.DUMMYFUNCTION("""COMPUTED_VALUE"""),0.481604798720475)</f>
        <v>0.4816047987</v>
      </c>
      <c r="G386" s="16">
        <f>IFERROR(__xludf.DUMMYFUNCTION("""COMPUTED_VALUE"""),-0.396055332012227)</f>
        <v>-0.396055332</v>
      </c>
      <c r="H386" s="16">
        <f t="shared" si="1"/>
        <v>0</v>
      </c>
    </row>
    <row r="387">
      <c r="B387" s="16">
        <f>IFERROR(__xludf.DUMMYFUNCTION("""COMPUTED_VALUE"""),38.5)</f>
        <v>38.5</v>
      </c>
      <c r="D387" s="16">
        <f>IFERROR(__xludf.DUMMYFUNCTION("""COMPUTED_VALUE"""),0.7788242195453)</f>
        <v>0.7788242195</v>
      </c>
      <c r="E387" s="16">
        <f>IFERROR(__xludf.DUMMYFUNCTION("""COMPUTED_VALUE"""),0.0680428312443065)</f>
        <v>0.06804283124</v>
      </c>
      <c r="F387" s="16">
        <f>IFERROR(__xludf.DUMMYFUNCTION("""COMPUTED_VALUE"""),0.481604798720475)</f>
        <v>0.4816047987</v>
      </c>
      <c r="G387" s="16">
        <f>IFERROR(__xludf.DUMMYFUNCTION("""COMPUTED_VALUE"""),-0.396055332012227)</f>
        <v>-0.396055332</v>
      </c>
      <c r="H387" s="16">
        <f t="shared" si="1"/>
        <v>0</v>
      </c>
    </row>
    <row r="388">
      <c r="B388" s="16">
        <f>IFERROR(__xludf.DUMMYFUNCTION("""COMPUTED_VALUE"""),38.6)</f>
        <v>38.6</v>
      </c>
      <c r="D388" s="16">
        <f>IFERROR(__xludf.DUMMYFUNCTION("""COMPUTED_VALUE"""),0.7788242195453)</f>
        <v>0.7788242195</v>
      </c>
      <c r="E388" s="16">
        <f>IFERROR(__xludf.DUMMYFUNCTION("""COMPUTED_VALUE"""),0.0680428312443065)</f>
        <v>0.06804283124</v>
      </c>
      <c r="F388" s="16">
        <f>IFERROR(__xludf.DUMMYFUNCTION("""COMPUTED_VALUE"""),0.481604798720475)</f>
        <v>0.4816047987</v>
      </c>
      <c r="G388" s="16">
        <f>IFERROR(__xludf.DUMMYFUNCTION("""COMPUTED_VALUE"""),-0.396055332012227)</f>
        <v>-0.396055332</v>
      </c>
      <c r="H388" s="16">
        <f t="shared" si="1"/>
        <v>0</v>
      </c>
    </row>
    <row r="389">
      <c r="B389" s="16">
        <f>IFERROR(__xludf.DUMMYFUNCTION("""COMPUTED_VALUE"""),38.7)</f>
        <v>38.7</v>
      </c>
      <c r="D389" s="16">
        <f>IFERROR(__xludf.DUMMYFUNCTION("""COMPUTED_VALUE"""),0.7788242195453)</f>
        <v>0.7788242195</v>
      </c>
      <c r="E389" s="16">
        <f>IFERROR(__xludf.DUMMYFUNCTION("""COMPUTED_VALUE"""),0.0680428312443065)</f>
        <v>0.06804283124</v>
      </c>
      <c r="F389" s="16">
        <f>IFERROR(__xludf.DUMMYFUNCTION("""COMPUTED_VALUE"""),0.481604798720475)</f>
        <v>0.4816047987</v>
      </c>
      <c r="G389" s="16">
        <f>IFERROR(__xludf.DUMMYFUNCTION("""COMPUTED_VALUE"""),-0.396055332012227)</f>
        <v>-0.396055332</v>
      </c>
      <c r="H389" s="16">
        <f t="shared" si="1"/>
        <v>0</v>
      </c>
    </row>
    <row r="390">
      <c r="B390" s="16">
        <f>IFERROR(__xludf.DUMMYFUNCTION("""COMPUTED_VALUE"""),38.8)</f>
        <v>38.8</v>
      </c>
      <c r="D390" s="16">
        <f>IFERROR(__xludf.DUMMYFUNCTION("""COMPUTED_VALUE"""),0.7788242195453)</f>
        <v>0.7788242195</v>
      </c>
      <c r="E390" s="16">
        <f>IFERROR(__xludf.DUMMYFUNCTION("""COMPUTED_VALUE"""),0.0680428312443065)</f>
        <v>0.06804283124</v>
      </c>
      <c r="F390" s="16">
        <f>IFERROR(__xludf.DUMMYFUNCTION("""COMPUTED_VALUE"""),0.481604798720475)</f>
        <v>0.4816047987</v>
      </c>
      <c r="G390" s="16">
        <f>IFERROR(__xludf.DUMMYFUNCTION("""COMPUTED_VALUE"""),-0.396055332012227)</f>
        <v>-0.396055332</v>
      </c>
      <c r="H390" s="16">
        <f t="shared" si="1"/>
        <v>0</v>
      </c>
    </row>
    <row r="391">
      <c r="B391" s="16">
        <f>IFERROR(__xludf.DUMMYFUNCTION("""COMPUTED_VALUE"""),38.9)</f>
        <v>38.9</v>
      </c>
      <c r="D391" s="16">
        <f>IFERROR(__xludf.DUMMYFUNCTION("""COMPUTED_VALUE"""),0.7788242195453)</f>
        <v>0.7788242195</v>
      </c>
      <c r="E391" s="16">
        <f>IFERROR(__xludf.DUMMYFUNCTION("""COMPUTED_VALUE"""),0.0680428312443065)</f>
        <v>0.06804283124</v>
      </c>
      <c r="F391" s="16">
        <f>IFERROR(__xludf.DUMMYFUNCTION("""COMPUTED_VALUE"""),0.481604798720475)</f>
        <v>0.4816047987</v>
      </c>
      <c r="G391" s="16">
        <f>IFERROR(__xludf.DUMMYFUNCTION("""COMPUTED_VALUE"""),-0.396055332012227)</f>
        <v>-0.396055332</v>
      </c>
      <c r="H391" s="16">
        <f t="shared" si="1"/>
        <v>0</v>
      </c>
    </row>
    <row r="392">
      <c r="B392" s="16">
        <f>IFERROR(__xludf.DUMMYFUNCTION("""COMPUTED_VALUE"""),39.0)</f>
        <v>39</v>
      </c>
      <c r="D392" s="16">
        <f>IFERROR(__xludf.DUMMYFUNCTION("""COMPUTED_VALUE"""),0.767261546026708)</f>
        <v>0.767261546</v>
      </c>
      <c r="E392" s="16">
        <f>IFERROR(__xludf.DUMMYFUNCTION("""COMPUTED_VALUE"""),0.0773549148169788)</f>
        <v>0.07735491482</v>
      </c>
      <c r="F392" s="16">
        <f>IFERROR(__xludf.DUMMYFUNCTION("""COMPUTED_VALUE"""),0.499820034702132)</f>
        <v>0.4998200347</v>
      </c>
      <c r="G392" s="16">
        <f>IFERROR(__xludf.DUMMYFUNCTION("""COMPUTED_VALUE"""),-0.394342325971629)</f>
        <v>-0.394342326</v>
      </c>
      <c r="H392" s="16">
        <f t="shared" si="1"/>
        <v>0</v>
      </c>
    </row>
    <row r="393">
      <c r="B393" s="16">
        <f>IFERROR(__xludf.DUMMYFUNCTION("""COMPUTED_VALUE"""),39.1)</f>
        <v>39.1</v>
      </c>
      <c r="D393" s="16">
        <f>IFERROR(__xludf.DUMMYFUNCTION("""COMPUTED_VALUE"""),0.670289994135863)</f>
        <v>0.6702899941</v>
      </c>
      <c r="E393" s="16">
        <f>IFERROR(__xludf.DUMMYFUNCTION("""COMPUTED_VALUE"""),0.081406656921934)</f>
        <v>0.08140665692</v>
      </c>
      <c r="F393" s="16">
        <f>IFERROR(__xludf.DUMMYFUNCTION("""COMPUTED_VALUE"""),0.592156867510068)</f>
        <v>0.5921568675</v>
      </c>
      <c r="G393" s="16">
        <f>IFERROR(__xludf.DUMMYFUNCTION("""COMPUTED_VALUE"""),-0.439811919154988)</f>
        <v>-0.4398119192</v>
      </c>
      <c r="H393" s="16">
        <f t="shared" si="1"/>
        <v>0</v>
      </c>
    </row>
    <row r="394">
      <c r="B394" s="16">
        <f>IFERROR(__xludf.DUMMYFUNCTION("""COMPUTED_VALUE"""),39.2)</f>
        <v>39.2</v>
      </c>
      <c r="D394" s="16">
        <f>IFERROR(__xludf.DUMMYFUNCTION("""COMPUTED_VALUE"""),0.62344800500003)</f>
        <v>0.623448005</v>
      </c>
      <c r="E394" s="16">
        <f>IFERROR(__xludf.DUMMYFUNCTION("""COMPUTED_VALUE"""),0.0495981826334795)</f>
        <v>0.04959818263</v>
      </c>
      <c r="F394" s="16">
        <f>IFERROR(__xludf.DUMMYFUNCTION("""COMPUTED_VALUE"""),0.612111901886545)</f>
        <v>0.6121119019</v>
      </c>
      <c r="G394" s="16">
        <f>IFERROR(__xludf.DUMMYFUNCTION("""COMPUTED_VALUE"""),-0.483912827800386)</f>
        <v>-0.4839128278</v>
      </c>
      <c r="H394" s="16">
        <f t="shared" si="1"/>
        <v>0</v>
      </c>
    </row>
    <row r="395">
      <c r="B395" s="16">
        <f>IFERROR(__xludf.DUMMYFUNCTION("""COMPUTED_VALUE"""),39.3)</f>
        <v>39.3</v>
      </c>
      <c r="D395" s="16">
        <f>IFERROR(__xludf.DUMMYFUNCTION("""COMPUTED_VALUE"""),0.603554291219786)</f>
        <v>0.6035542912</v>
      </c>
      <c r="E395" s="16">
        <f>IFERROR(__xludf.DUMMYFUNCTION("""COMPUTED_VALUE"""),0.0297992231632747)</f>
        <v>0.02979922316</v>
      </c>
      <c r="F395" s="16">
        <f>IFERROR(__xludf.DUMMYFUNCTION("""COMPUTED_VALUE"""),0.615955249366024)</f>
        <v>0.6159552494</v>
      </c>
      <c r="G395" s="16">
        <f>IFERROR(__xludf.DUMMYFUNCTION("""COMPUTED_VALUE"""),-0.505404149792493)</f>
        <v>-0.5054041498</v>
      </c>
      <c r="H395" s="16">
        <f t="shared" si="1"/>
        <v>0</v>
      </c>
    </row>
    <row r="396">
      <c r="B396" s="16">
        <f>IFERROR(__xludf.DUMMYFUNCTION("""COMPUTED_VALUE"""),39.4)</f>
        <v>39.4</v>
      </c>
      <c r="D396" s="16">
        <f>IFERROR(__xludf.DUMMYFUNCTION("""COMPUTED_VALUE"""),0.576190447303404)</f>
        <v>0.5761904473</v>
      </c>
      <c r="E396" s="16">
        <f>IFERROR(__xludf.DUMMYFUNCTION("""COMPUTED_VALUE"""),-0.0265313927157046)</f>
        <v>-0.02653139272</v>
      </c>
      <c r="F396" s="16">
        <f>IFERROR(__xludf.DUMMYFUNCTION("""COMPUTED_VALUE"""),0.604856417078926)</f>
        <v>0.6048564171</v>
      </c>
      <c r="G396" s="16">
        <f>IFERROR(__xludf.DUMMYFUNCTION("""COMPUTED_VALUE"""),-0.549044049558229)</f>
        <v>-0.5490440496</v>
      </c>
      <c r="H396" s="16">
        <f t="shared" si="1"/>
        <v>0</v>
      </c>
    </row>
    <row r="397">
      <c r="B397" s="16">
        <f>IFERROR(__xludf.DUMMYFUNCTION("""COMPUTED_VALUE"""),39.5)</f>
        <v>39.5</v>
      </c>
      <c r="D397" s="16">
        <f>IFERROR(__xludf.DUMMYFUNCTION("""COMPUTED_VALUE"""),0.55845235251762)</f>
        <v>0.5584523525</v>
      </c>
      <c r="E397" s="16">
        <f>IFERROR(__xludf.DUMMYFUNCTION("""COMPUTED_VALUE"""),-0.127119093472606)</f>
        <v>-0.1271190935</v>
      </c>
      <c r="F397" s="16">
        <f>IFERROR(__xludf.DUMMYFUNCTION("""COMPUTED_VALUE"""),0.557344066134716)</f>
        <v>0.5573440661</v>
      </c>
      <c r="G397" s="16">
        <f>IFERROR(__xludf.DUMMYFUNCTION("""COMPUTED_VALUE"""),-0.601115045550055)</f>
        <v>-0.6011150456</v>
      </c>
      <c r="H397" s="16">
        <f t="shared" si="1"/>
        <v>0</v>
      </c>
    </row>
    <row r="398">
      <c r="B398" s="16">
        <f>IFERROR(__xludf.DUMMYFUNCTION("""COMPUTED_VALUE"""),39.6)</f>
        <v>39.6</v>
      </c>
      <c r="D398" s="16">
        <f>IFERROR(__xludf.DUMMYFUNCTION("""COMPUTED_VALUE"""),-0.567396441262613)</f>
        <v>-0.5673964413</v>
      </c>
      <c r="E398" s="16">
        <f>IFERROR(__xludf.DUMMYFUNCTION("""COMPUTED_VALUE"""),0.216481783472879)</f>
        <v>0.2164817835</v>
      </c>
      <c r="F398" s="16">
        <f>IFERROR(__xludf.DUMMYFUNCTION("""COMPUTED_VALUE"""),-0.496764473650754)</f>
        <v>-0.4967644737</v>
      </c>
      <c r="G398" s="16">
        <f>IFERROR(__xludf.DUMMYFUNCTION("""COMPUTED_VALUE"""),0.620017720380151)</f>
        <v>0.6200177204</v>
      </c>
      <c r="H398" s="16">
        <f t="shared" si="1"/>
        <v>0</v>
      </c>
    </row>
    <row r="399">
      <c r="B399" s="16">
        <f>IFERROR(__xludf.DUMMYFUNCTION("""COMPUTED_VALUE"""),39.7)</f>
        <v>39.7</v>
      </c>
      <c r="D399" s="16">
        <f>IFERROR(__xludf.DUMMYFUNCTION("""COMPUTED_VALUE"""),0.62461660068764)</f>
        <v>0.6246166007</v>
      </c>
      <c r="E399" s="16">
        <f>IFERROR(__xludf.DUMMYFUNCTION("""COMPUTED_VALUE"""),-0.35995132341663)</f>
        <v>-0.3599513234</v>
      </c>
      <c r="F399" s="16">
        <f>IFERROR(__xludf.DUMMYFUNCTION("""COMPUTED_VALUE"""),0.364968524309113)</f>
        <v>0.3649685243</v>
      </c>
      <c r="G399" s="16">
        <f>IFERROR(__xludf.DUMMYFUNCTION("""COMPUTED_VALUE"""),-0.58914100449693)</f>
        <v>-0.5891410045</v>
      </c>
      <c r="H399" s="16">
        <f t="shared" si="1"/>
        <v>0</v>
      </c>
    </row>
    <row r="400">
      <c r="B400" s="16">
        <f>IFERROR(__xludf.DUMMYFUNCTION("""COMPUTED_VALUE"""),39.8)</f>
        <v>39.8</v>
      </c>
      <c r="D400" s="16">
        <f>IFERROR(__xludf.DUMMYFUNCTION("""COMPUTED_VALUE"""),0.654889306049045)</f>
        <v>0.654889306</v>
      </c>
      <c r="E400" s="16">
        <f>IFERROR(__xludf.DUMMYFUNCTION("""COMPUTED_VALUE"""),-0.42348982638953)</f>
        <v>-0.4234898264</v>
      </c>
      <c r="F400" s="16">
        <f>IFERROR(__xludf.DUMMYFUNCTION("""COMPUTED_VALUE"""),0.294332232876553)</f>
        <v>0.2943322329</v>
      </c>
      <c r="G400" s="16">
        <f>IFERROR(__xludf.DUMMYFUNCTION("""COMPUTED_VALUE"""),-0.55239922199172)</f>
        <v>-0.552399222</v>
      </c>
      <c r="H400" s="16">
        <f t="shared" si="1"/>
        <v>0</v>
      </c>
    </row>
    <row r="401">
      <c r="B401" s="16">
        <f>IFERROR(__xludf.DUMMYFUNCTION("""COMPUTED_VALUE"""),39.9)</f>
        <v>39.9</v>
      </c>
      <c r="D401" s="16">
        <f>IFERROR(__xludf.DUMMYFUNCTION("""COMPUTED_VALUE"""),0.696432942717821)</f>
        <v>0.6964329427</v>
      </c>
      <c r="E401" s="16">
        <f>IFERROR(__xludf.DUMMYFUNCTION("""COMPUTED_VALUE"""),-0.514004362207555)</f>
        <v>-0.5140043622</v>
      </c>
      <c r="F401" s="16">
        <f>IFERROR(__xludf.DUMMYFUNCTION("""COMPUTED_VALUE"""),0.174621369783007)</f>
        <v>0.1746213698</v>
      </c>
      <c r="G401" s="16">
        <f>IFERROR(__xludf.DUMMYFUNCTION("""COMPUTED_VALUE"""),-0.469348536957447)</f>
        <v>-0.469348537</v>
      </c>
      <c r="H401" s="16">
        <f t="shared" si="1"/>
        <v>0</v>
      </c>
    </row>
    <row r="402">
      <c r="B402" s="16">
        <f>IFERROR(__xludf.DUMMYFUNCTION("""COMPUTED_VALUE"""),40.0)</f>
        <v>40</v>
      </c>
      <c r="D402" s="16">
        <f>IFERROR(__xludf.DUMMYFUNCTION("""COMPUTED_VALUE"""),0.707014613597996)</f>
        <v>0.7070146136</v>
      </c>
      <c r="E402" s="16">
        <f>IFERROR(__xludf.DUMMYFUNCTION("""COMPUTED_VALUE"""),-0.526454047577593)</f>
        <v>-0.5264540476</v>
      </c>
      <c r="F402" s="16">
        <f>IFERROR(__xludf.DUMMYFUNCTION("""COMPUTED_VALUE"""),0.158738884315394)</f>
        <v>0.1587388843</v>
      </c>
      <c r="G402" s="16">
        <f>IFERROR(__xludf.DUMMYFUNCTION("""COMPUTED_VALUE"""),-0.444722878379715)</f>
        <v>-0.4447228784</v>
      </c>
      <c r="H402" s="16">
        <f t="shared" si="1"/>
        <v>0</v>
      </c>
    </row>
    <row r="403">
      <c r="B403" s="16">
        <f>IFERROR(__xludf.DUMMYFUNCTION("""COMPUTED_VALUE"""),40.1)</f>
        <v>40.1</v>
      </c>
      <c r="D403" s="16">
        <f>IFERROR(__xludf.DUMMYFUNCTION("""COMPUTED_VALUE"""),0.709988587870871)</f>
        <v>0.7099885879</v>
      </c>
      <c r="E403" s="16">
        <f>IFERROR(__xludf.DUMMYFUNCTION("""COMPUTED_VALUE"""),-0.529292281542644)</f>
        <v>-0.5292922815</v>
      </c>
      <c r="F403" s="16">
        <f>IFERROR(__xludf.DUMMYFUNCTION("""COMPUTED_VALUE"""),0.155240465934339)</f>
        <v>0.1552404659</v>
      </c>
      <c r="G403" s="16">
        <f>IFERROR(__xludf.DUMMYFUNCTION("""COMPUTED_VALUE"""),-0.437797080311172)</f>
        <v>-0.4377970803</v>
      </c>
      <c r="H403" s="16">
        <f t="shared" si="1"/>
        <v>0</v>
      </c>
    </row>
    <row r="404">
      <c r="B404" s="16">
        <f>IFERROR(__xludf.DUMMYFUNCTION("""COMPUTED_VALUE"""),40.2)</f>
        <v>40.2</v>
      </c>
      <c r="D404" s="16">
        <f>IFERROR(__xludf.DUMMYFUNCTION("""COMPUTED_VALUE"""),0.712899658789837)</f>
        <v>0.7128996588</v>
      </c>
      <c r="E404" s="16">
        <f>IFERROR(__xludf.DUMMYFUNCTION("""COMPUTED_VALUE"""),-0.53210066170095)</f>
        <v>-0.5321006617</v>
      </c>
      <c r="F404" s="16">
        <f>IFERROR(__xludf.DUMMYFUNCTION("""COMPUTED_VALUE"""),0.151736814618323)</f>
        <v>0.1517368146</v>
      </c>
      <c r="G404" s="16">
        <f>IFERROR(__xludf.DUMMYFUNCTION("""COMPUTED_VALUE"""),-0.43083512090383)</f>
        <v>-0.4308351209</v>
      </c>
      <c r="H404" s="16">
        <f t="shared" si="1"/>
        <v>0</v>
      </c>
    </row>
    <row r="405">
      <c r="B405" s="16">
        <f>IFERROR(__xludf.DUMMYFUNCTION("""COMPUTED_VALUE"""),40.3)</f>
        <v>40.3</v>
      </c>
      <c r="D405" s="16">
        <f>IFERROR(__xludf.DUMMYFUNCTION("""COMPUTED_VALUE"""),0.70454053711084)</f>
        <v>0.7045405371</v>
      </c>
      <c r="E405" s="16">
        <f>IFERROR(__xludf.DUMMYFUNCTION("""COMPUTED_VALUE"""),-0.500978738157577)</f>
        <v>-0.5009787382</v>
      </c>
      <c r="F405" s="16">
        <f>IFERROR(__xludf.DUMMYFUNCTION("""COMPUTED_VALUE"""),0.203133254031659)</f>
        <v>0.203133254</v>
      </c>
      <c r="G405" s="16">
        <f>IFERROR(__xludf.DUMMYFUNCTION("""COMPUTED_VALUE"""),-0.459760607912541)</f>
        <v>-0.4597606079</v>
      </c>
      <c r="H405" s="16">
        <f t="shared" si="1"/>
        <v>0</v>
      </c>
    </row>
    <row r="406">
      <c r="B406" s="16">
        <f>IFERROR(__xludf.DUMMYFUNCTION("""COMPUTED_VALUE"""),40.4)</f>
        <v>40.4</v>
      </c>
      <c r="D406" s="16">
        <f>IFERROR(__xludf.DUMMYFUNCTION("""COMPUTED_VALUE"""),0.664676571397897)</f>
        <v>0.6646765714</v>
      </c>
      <c r="E406" s="16">
        <f>IFERROR(__xludf.DUMMYFUNCTION("""COMPUTED_VALUE"""),-0.411742392785365)</f>
        <v>-0.4117423928</v>
      </c>
      <c r="F406" s="16">
        <f>IFERROR(__xludf.DUMMYFUNCTION("""COMPUTED_VALUE"""),0.326861138815085)</f>
        <v>0.3268611388</v>
      </c>
      <c r="G406" s="16">
        <f>IFERROR(__xludf.DUMMYFUNCTION("""COMPUTED_VALUE"""),-0.53088139292182)</f>
        <v>-0.5308813929</v>
      </c>
      <c r="H406" s="16">
        <f t="shared" si="1"/>
        <v>0</v>
      </c>
    </row>
    <row r="407">
      <c r="B407" s="16">
        <f>IFERROR(__xludf.DUMMYFUNCTION("""COMPUTED_VALUE"""),40.5)</f>
        <v>40.5</v>
      </c>
      <c r="D407" s="16">
        <f>IFERROR(__xludf.DUMMYFUNCTION("""COMPUTED_VALUE"""),0.620429134847885)</f>
        <v>0.6204291348</v>
      </c>
      <c r="E407" s="16">
        <f>IFERROR(__xludf.DUMMYFUNCTION("""COMPUTED_VALUE"""),-0.310148629198267)</f>
        <v>-0.3101486292</v>
      </c>
      <c r="F407" s="16">
        <f>IFERROR(__xludf.DUMMYFUNCTION("""COMPUTED_VALUE"""),0.441278624605248)</f>
        <v>0.4412786246</v>
      </c>
      <c r="G407" s="16">
        <f>IFERROR(__xludf.DUMMYFUNCTION("""COMPUTED_VALUE"""),-0.569340576373079)</f>
        <v>-0.5693405764</v>
      </c>
      <c r="H407" s="16">
        <f t="shared" si="1"/>
        <v>0</v>
      </c>
    </row>
    <row r="408">
      <c r="B408" s="16">
        <f>IFERROR(__xludf.DUMMYFUNCTION("""COMPUTED_VALUE"""),40.6)</f>
        <v>40.6</v>
      </c>
      <c r="D408" s="16">
        <f>IFERROR(__xludf.DUMMYFUNCTION("""COMPUTED_VALUE"""),0.545993586489766)</f>
        <v>0.5459935865</v>
      </c>
      <c r="E408" s="16">
        <f>IFERROR(__xludf.DUMMYFUNCTION("""COMPUTED_VALUE"""),-0.165804590718377)</f>
        <v>-0.1658045907</v>
      </c>
      <c r="F408" s="16">
        <f>IFERROR(__xludf.DUMMYFUNCTION("""COMPUTED_VALUE"""),0.573248447973396)</f>
        <v>0.573248448</v>
      </c>
      <c r="G408" s="16">
        <f>IFERROR(__xludf.DUMMYFUNCTION("""COMPUTED_VALUE"""),-0.588035762607031)</f>
        <v>-0.5880357626</v>
      </c>
      <c r="H408" s="16">
        <f t="shared" si="1"/>
        <v>0</v>
      </c>
    </row>
    <row r="409">
      <c r="B409" s="16">
        <f>IFERROR(__xludf.DUMMYFUNCTION("""COMPUTED_VALUE"""),40.7)</f>
        <v>40.7</v>
      </c>
      <c r="D409" s="16">
        <f>IFERROR(__xludf.DUMMYFUNCTION("""COMPUTED_VALUE"""),0.481649414857089)</f>
        <v>0.4816494149</v>
      </c>
      <c r="E409" s="16">
        <f>IFERROR(__xludf.DUMMYFUNCTION("""COMPUTED_VALUE"""),-0.0889907985160743)</f>
        <v>-0.08899079852</v>
      </c>
      <c r="F409" s="16">
        <f>IFERROR(__xludf.DUMMYFUNCTION("""COMPUTED_VALUE"""),0.635574547478868)</f>
        <v>0.6355745475</v>
      </c>
      <c r="G409" s="16">
        <f>IFERROR(__xludf.DUMMYFUNCTION("""COMPUTED_VALUE"""),-0.596774223257268)</f>
        <v>-0.5967742233</v>
      </c>
      <c r="H409" s="16">
        <f t="shared" si="1"/>
        <v>0</v>
      </c>
    </row>
    <row r="410">
      <c r="B410" s="16">
        <f>IFERROR(__xludf.DUMMYFUNCTION("""COMPUTED_VALUE"""),40.8)</f>
        <v>40.8</v>
      </c>
      <c r="D410" s="16">
        <f>IFERROR(__xludf.DUMMYFUNCTION("""COMPUTED_VALUE"""),0.440790934967332)</f>
        <v>0.440790935</v>
      </c>
      <c r="E410" s="16">
        <f>IFERROR(__xludf.DUMMYFUNCTION("""COMPUTED_VALUE"""),-0.0513434331084854)</f>
        <v>-0.05134343311</v>
      </c>
      <c r="F410" s="16">
        <f>IFERROR(__xludf.DUMMYFUNCTION("""COMPUTED_VALUE"""),0.664563402457409)</f>
        <v>0.6645634025</v>
      </c>
      <c r="G410" s="16">
        <f>IFERROR(__xludf.DUMMYFUNCTION("""COMPUTED_VALUE"""),-0.601184404023822)</f>
        <v>-0.601184404</v>
      </c>
      <c r="H410" s="16">
        <f t="shared" si="1"/>
        <v>0</v>
      </c>
    </row>
    <row r="411">
      <c r="B411" s="16">
        <f>IFERROR(__xludf.DUMMYFUNCTION("""COMPUTED_VALUE"""),40.9)</f>
        <v>40.9</v>
      </c>
      <c r="D411" s="16">
        <f>IFERROR(__xludf.DUMMYFUNCTION("""COMPUTED_VALUE"""),0.397109432954765)</f>
        <v>0.397109433</v>
      </c>
      <c r="E411" s="16">
        <f>IFERROR(__xludf.DUMMYFUNCTION("""COMPUTED_VALUE"""),-0.0360480172960983)</f>
        <v>-0.0360480173</v>
      </c>
      <c r="F411" s="16">
        <f>IFERROR(__xludf.DUMMYFUNCTION("""COMPUTED_VALUE"""),0.683517806457165)</f>
        <v>0.6835178065</v>
      </c>
      <c r="G411" s="16">
        <f>IFERROR(__xludf.DUMMYFUNCTION("""COMPUTED_VALUE"""),-0.611398435525753)</f>
        <v>-0.6113984355</v>
      </c>
      <c r="H411" s="16">
        <f t="shared" si="1"/>
        <v>0</v>
      </c>
    </row>
    <row r="412">
      <c r="B412" s="16">
        <f>IFERROR(__xludf.DUMMYFUNCTION("""COMPUTED_VALUE"""),41.0)</f>
        <v>41</v>
      </c>
      <c r="D412" s="16">
        <f>IFERROR(__xludf.DUMMYFUNCTION("""COMPUTED_VALUE"""),-0.394705421196245)</f>
        <v>-0.3947054212</v>
      </c>
      <c r="E412" s="16">
        <f>IFERROR(__xludf.DUMMYFUNCTION("""COMPUTED_VALUE"""),0.0387319005139784)</f>
        <v>0.03873190051</v>
      </c>
      <c r="F412" s="16">
        <f>IFERROR(__xludf.DUMMYFUNCTION("""COMPUTED_VALUE"""),-0.683370976247574)</f>
        <v>-0.6833709762</v>
      </c>
      <c r="G412" s="16">
        <f>IFERROR(__xludf.DUMMYFUNCTION("""COMPUTED_VALUE"""),0.612953162307931)</f>
        <v>0.6129531623</v>
      </c>
      <c r="H412" s="16">
        <f t="shared" si="1"/>
        <v>0</v>
      </c>
    </row>
    <row r="413">
      <c r="B413" s="16">
        <f>IFERROR(__xludf.DUMMYFUNCTION("""COMPUTED_VALUE"""),41.1)</f>
        <v>41.1</v>
      </c>
      <c r="D413" s="16">
        <f>IFERROR(__xludf.DUMMYFUNCTION("""COMPUTED_VALUE"""),-0.3799066668392)</f>
        <v>-0.3799066668</v>
      </c>
      <c r="E413" s="16">
        <f>IFERROR(__xludf.DUMMYFUNCTION("""COMPUTED_VALUE"""),0.049752551778134)</f>
        <v>0.04975255178</v>
      </c>
      <c r="F413" s="16">
        <f>IFERROR(__xludf.DUMMYFUNCTION("""COMPUTED_VALUE"""),-0.684051769005454)</f>
        <v>-0.684051769</v>
      </c>
      <c r="G413" s="16">
        <f>IFERROR(__xludf.DUMMYFUNCTION("""COMPUTED_VALUE"""),0.620700237959668)</f>
        <v>0.620700238</v>
      </c>
      <c r="H413" s="16">
        <f t="shared" si="1"/>
        <v>0</v>
      </c>
    </row>
    <row r="414">
      <c r="B414" s="16">
        <f>IFERROR(__xludf.DUMMYFUNCTION("""COMPUTED_VALUE"""),41.2)</f>
        <v>41.2</v>
      </c>
      <c r="D414" s="16">
        <f>IFERROR(__xludf.DUMMYFUNCTION("""COMPUTED_VALUE"""),-0.346952470023652)</f>
        <v>-0.34695247</v>
      </c>
      <c r="E414" s="16">
        <f>IFERROR(__xludf.DUMMYFUNCTION("""COMPUTED_VALUE"""),0.0641091674607982)</f>
        <v>0.06410916746</v>
      </c>
      <c r="F414" s="16">
        <f>IFERROR(__xludf.DUMMYFUNCTION("""COMPUTED_VALUE"""),-0.687700294324947)</f>
        <v>-0.6877002943</v>
      </c>
      <c r="G414" s="16">
        <f>IFERROR(__xludf.DUMMYFUNCTION("""COMPUTED_VALUE"""),0.634493737855101)</f>
        <v>0.6344937379</v>
      </c>
      <c r="H414" s="16">
        <f t="shared" si="1"/>
        <v>0</v>
      </c>
    </row>
    <row r="415">
      <c r="B415" s="16">
        <f>IFERROR(__xludf.DUMMYFUNCTION("""COMPUTED_VALUE"""),41.3)</f>
        <v>41.3</v>
      </c>
      <c r="D415" s="16">
        <f>IFERROR(__xludf.DUMMYFUNCTION("""COMPUTED_VALUE"""),-0.328821526947019)</f>
        <v>-0.3288215269</v>
      </c>
      <c r="E415" s="16">
        <f>IFERROR(__xludf.DUMMYFUNCTION("""COMPUTED_VALUE"""),0.0674083699267179)</f>
        <v>0.06740836993</v>
      </c>
      <c r="F415" s="16">
        <f>IFERROR(__xludf.DUMMYFUNCTION("""COMPUTED_VALUE"""),-0.690618431218087)</f>
        <v>-0.6906184312</v>
      </c>
      <c r="G415" s="16">
        <f>IFERROR(__xludf.DUMMYFUNCTION("""COMPUTED_VALUE"""),0.640608068589452)</f>
        <v>0.6406080686</v>
      </c>
      <c r="H415" s="16">
        <f t="shared" si="1"/>
        <v>0</v>
      </c>
    </row>
    <row r="416">
      <c r="B416" s="16">
        <f>IFERROR(__xludf.DUMMYFUNCTION("""COMPUTED_VALUE"""),41.4)</f>
        <v>41.4</v>
      </c>
      <c r="D416" s="16">
        <f>IFERROR(__xludf.DUMMYFUNCTION("""COMPUTED_VALUE"""),-0.321067734119654)</f>
        <v>-0.3210677341</v>
      </c>
      <c r="E416" s="16">
        <f>IFERROR(__xludf.DUMMYFUNCTION("""COMPUTED_VALUE"""),0.0703040584514223)</f>
        <v>0.07030405845</v>
      </c>
      <c r="F416" s="16">
        <f>IFERROR(__xludf.DUMMYFUNCTION("""COMPUTED_VALUE"""),-0.691333869656474)</f>
        <v>-0.6913338697</v>
      </c>
      <c r="G416" s="16">
        <f>IFERROR(__xludf.DUMMYFUNCTION("""COMPUTED_VALUE"""),0.643451886420672)</f>
        <v>0.6434518864</v>
      </c>
      <c r="H416" s="16">
        <f t="shared" si="1"/>
        <v>0</v>
      </c>
    </row>
    <row r="417">
      <c r="B417" s="16">
        <f>IFERROR(__xludf.DUMMYFUNCTION("""COMPUTED_VALUE"""),41.5)</f>
        <v>41.5</v>
      </c>
      <c r="D417" s="16">
        <f>IFERROR(__xludf.DUMMYFUNCTION("""COMPUTED_VALUE"""),-0.267155382019511)</f>
        <v>-0.267155382</v>
      </c>
      <c r="E417" s="16">
        <f>IFERROR(__xludf.DUMMYFUNCTION("""COMPUTED_VALUE"""),-0.00418618064545664)</f>
        <v>-0.004186180645</v>
      </c>
      <c r="F417" s="16">
        <f>IFERROR(__xludf.DUMMYFUNCTION("""COMPUTED_VALUE"""),-0.719605121736214)</f>
        <v>-0.7196051217</v>
      </c>
      <c r="G417" s="16">
        <f>IFERROR(__xludf.DUMMYFUNCTION("""COMPUTED_VALUE"""),0.640920390158252)</f>
        <v>0.6409203902</v>
      </c>
      <c r="H417" s="16">
        <f t="shared" si="1"/>
        <v>0</v>
      </c>
    </row>
    <row r="418">
      <c r="B418" s="16">
        <f>IFERROR(__xludf.DUMMYFUNCTION("""COMPUTED_VALUE"""),41.6)</f>
        <v>41.6</v>
      </c>
      <c r="D418" s="16">
        <f>IFERROR(__xludf.DUMMYFUNCTION("""COMPUTED_VALUE"""),-0.213678583694164)</f>
        <v>-0.2136785837</v>
      </c>
      <c r="E418" s="16">
        <f>IFERROR(__xludf.DUMMYFUNCTION("""COMPUTED_VALUE"""),-0.0760877128960196)</f>
        <v>-0.0760877129</v>
      </c>
      <c r="F418" s="16">
        <f>IFERROR(__xludf.DUMMYFUNCTION("""COMPUTED_VALUE"""),-0.740536772661941)</f>
        <v>-0.7405367727</v>
      </c>
      <c r="G418" s="16">
        <f>IFERROR(__xludf.DUMMYFUNCTION("""COMPUTED_VALUE"""),0.632579964235456)</f>
        <v>0.6325799642</v>
      </c>
      <c r="H418" s="16">
        <f t="shared" si="1"/>
        <v>0</v>
      </c>
    </row>
    <row r="419">
      <c r="B419" s="16">
        <f>IFERROR(__xludf.DUMMYFUNCTION("""COMPUTED_VALUE"""),41.7)</f>
        <v>41.7</v>
      </c>
      <c r="D419" s="16">
        <f>IFERROR(__xludf.DUMMYFUNCTION("""COMPUTED_VALUE"""),-0.223142152744636)</f>
        <v>-0.2231421527</v>
      </c>
      <c r="E419" s="16">
        <f>IFERROR(__xludf.DUMMYFUNCTION("""COMPUTED_VALUE"""),-0.0931119436766266)</f>
        <v>-0.09311194368</v>
      </c>
      <c r="F419" s="16">
        <f>IFERROR(__xludf.DUMMYFUNCTION("""COMPUTED_VALUE"""),-0.739684624350995)</f>
        <v>-0.7396846244</v>
      </c>
      <c r="G419" s="16">
        <f>IFERROR(__xludf.DUMMYFUNCTION("""COMPUTED_VALUE"""),0.628016243509643)</f>
        <v>0.6280162435</v>
      </c>
      <c r="H419" s="16">
        <f t="shared" si="1"/>
        <v>0</v>
      </c>
    </row>
    <row r="420">
      <c r="B420" s="16">
        <f>IFERROR(__xludf.DUMMYFUNCTION("""COMPUTED_VALUE"""),41.8)</f>
        <v>41.8</v>
      </c>
      <c r="D420" s="16">
        <f>IFERROR(__xludf.DUMMYFUNCTION("""COMPUTED_VALUE"""),-0.235429417391473)</f>
        <v>-0.2354294174</v>
      </c>
      <c r="E420" s="16">
        <f>IFERROR(__xludf.DUMMYFUNCTION("""COMPUTED_VALUE"""),-0.107616735464096)</f>
        <v>-0.1076167355</v>
      </c>
      <c r="F420" s="16">
        <f>IFERROR(__xludf.DUMMYFUNCTION("""COMPUTED_VALUE"""),-0.737713911895771)</f>
        <v>-0.7377139119</v>
      </c>
      <c r="G420" s="16">
        <f>IFERROR(__xludf.DUMMYFUNCTION("""COMPUTED_VALUE"""),0.62351408313701)</f>
        <v>0.6235140831</v>
      </c>
      <c r="H420" s="16">
        <f t="shared" si="1"/>
        <v>0</v>
      </c>
    </row>
    <row r="421">
      <c r="B421" s="16">
        <f>IFERROR(__xludf.DUMMYFUNCTION("""COMPUTED_VALUE"""),41.9)</f>
        <v>41.9</v>
      </c>
      <c r="D421" s="16">
        <f>IFERROR(__xludf.DUMMYFUNCTION("""COMPUTED_VALUE"""),0.273074072251124)</f>
        <v>0.2730740723</v>
      </c>
      <c r="E421" s="16">
        <f>IFERROR(__xludf.DUMMYFUNCTION("""COMPUTED_VALUE"""),0.164354611121137)</f>
        <v>0.1643546111</v>
      </c>
      <c r="F421" s="16">
        <f>IFERROR(__xludf.DUMMYFUNCTION("""COMPUTED_VALUE"""),0.730057721904087)</f>
        <v>0.7300577219</v>
      </c>
      <c r="G421" s="16">
        <f>IFERROR(__xludf.DUMMYFUNCTION("""COMPUTED_VALUE"""),-0.604511236914262)</f>
        <v>-0.6045112369</v>
      </c>
      <c r="H421" s="16">
        <f t="shared" si="1"/>
        <v>0</v>
      </c>
    </row>
    <row r="422">
      <c r="B422" s="16">
        <f>IFERROR(__xludf.DUMMYFUNCTION("""COMPUTED_VALUE"""),42.0)</f>
        <v>42</v>
      </c>
      <c r="D422" s="16">
        <f>IFERROR(__xludf.DUMMYFUNCTION("""COMPUTED_VALUE"""),0.286947383433098)</f>
        <v>0.2869473834</v>
      </c>
      <c r="E422" s="16">
        <f>IFERROR(__xludf.DUMMYFUNCTION("""COMPUTED_VALUE"""),0.233725877799418)</f>
        <v>0.2337258778</v>
      </c>
      <c r="F422" s="16">
        <f>IFERROR(__xludf.DUMMYFUNCTION("""COMPUTED_VALUE"""),0.727086294683604)</f>
        <v>0.7270862947</v>
      </c>
      <c r="G422" s="16">
        <f>IFERROR(__xludf.DUMMYFUNCTION("""COMPUTED_VALUE"""),-0.578255076303741)</f>
        <v>-0.5782550763</v>
      </c>
      <c r="H422" s="16">
        <f t="shared" si="1"/>
        <v>0</v>
      </c>
    </row>
    <row r="423">
      <c r="B423" s="16">
        <f>IFERROR(__xludf.DUMMYFUNCTION("""COMPUTED_VALUE"""),42.1)</f>
        <v>42.1</v>
      </c>
      <c r="D423" s="16">
        <f>IFERROR(__xludf.DUMMYFUNCTION("""COMPUTED_VALUE"""),0.276930018210821)</f>
        <v>0.2769300182</v>
      </c>
      <c r="E423" s="16">
        <f>IFERROR(__xludf.DUMMYFUNCTION("""COMPUTED_VALUE"""),0.273817023245294)</f>
        <v>0.2738170232</v>
      </c>
      <c r="F423" s="16">
        <f>IFERROR(__xludf.DUMMYFUNCTION("""COMPUTED_VALUE"""),0.730242366020459)</f>
        <v>0.730242366</v>
      </c>
      <c r="G423" s="16">
        <f>IFERROR(__xludf.DUMMYFUNCTION("""COMPUTED_VALUE"""),-0.561319953024717)</f>
        <v>-0.561319953</v>
      </c>
      <c r="H423" s="16">
        <f t="shared" si="1"/>
        <v>0</v>
      </c>
    </row>
    <row r="424">
      <c r="B424" s="16">
        <f>IFERROR(__xludf.DUMMYFUNCTION("""COMPUTED_VALUE"""),42.2)</f>
        <v>42.2</v>
      </c>
      <c r="D424" s="16">
        <f>IFERROR(__xludf.DUMMYFUNCTION("""COMPUTED_VALUE"""),0.276930018210821)</f>
        <v>0.2769300182</v>
      </c>
      <c r="E424" s="16">
        <f>IFERROR(__xludf.DUMMYFUNCTION("""COMPUTED_VALUE"""),0.273817023245294)</f>
        <v>0.2738170232</v>
      </c>
      <c r="F424" s="16">
        <f>IFERROR(__xludf.DUMMYFUNCTION("""COMPUTED_VALUE"""),0.730242366020459)</f>
        <v>0.730242366</v>
      </c>
      <c r="G424" s="16">
        <f>IFERROR(__xludf.DUMMYFUNCTION("""COMPUTED_VALUE"""),-0.561319953024717)</f>
        <v>-0.561319953</v>
      </c>
      <c r="H424" s="16">
        <f t="shared" si="1"/>
        <v>0</v>
      </c>
    </row>
    <row r="425">
      <c r="B425" s="16">
        <f>IFERROR(__xludf.DUMMYFUNCTION("""COMPUTED_VALUE"""),42.3)</f>
        <v>42.3</v>
      </c>
      <c r="D425" s="16">
        <f>IFERROR(__xludf.DUMMYFUNCTION("""COMPUTED_VALUE"""),0.276930018210821)</f>
        <v>0.2769300182</v>
      </c>
      <c r="E425" s="16">
        <f>IFERROR(__xludf.DUMMYFUNCTION("""COMPUTED_VALUE"""),0.273817023245294)</f>
        <v>0.2738170232</v>
      </c>
      <c r="F425" s="16">
        <f>IFERROR(__xludf.DUMMYFUNCTION("""COMPUTED_VALUE"""),0.730242366020459)</f>
        <v>0.730242366</v>
      </c>
      <c r="G425" s="16">
        <f>IFERROR(__xludf.DUMMYFUNCTION("""COMPUTED_VALUE"""),-0.561319953024717)</f>
        <v>-0.561319953</v>
      </c>
      <c r="H425" s="16">
        <f t="shared" si="1"/>
        <v>0</v>
      </c>
    </row>
    <row r="426">
      <c r="B426" s="16">
        <f>IFERROR(__xludf.DUMMYFUNCTION("""COMPUTED_VALUE"""),42.4)</f>
        <v>42.4</v>
      </c>
      <c r="D426" s="16">
        <f>IFERROR(__xludf.DUMMYFUNCTION("""COMPUTED_VALUE"""),0.276930018210821)</f>
        <v>0.2769300182</v>
      </c>
      <c r="E426" s="16">
        <f>IFERROR(__xludf.DUMMYFUNCTION("""COMPUTED_VALUE"""),0.273817023245294)</f>
        <v>0.2738170232</v>
      </c>
      <c r="F426" s="16">
        <f>IFERROR(__xludf.DUMMYFUNCTION("""COMPUTED_VALUE"""),0.730242366020459)</f>
        <v>0.730242366</v>
      </c>
      <c r="G426" s="16">
        <f>IFERROR(__xludf.DUMMYFUNCTION("""COMPUTED_VALUE"""),-0.561319953024717)</f>
        <v>-0.561319953</v>
      </c>
      <c r="H426" s="16">
        <f t="shared" si="1"/>
        <v>0</v>
      </c>
    </row>
    <row r="427">
      <c r="B427" s="16">
        <f>IFERROR(__xludf.DUMMYFUNCTION("""COMPUTED_VALUE"""),42.5)</f>
        <v>42.5</v>
      </c>
      <c r="D427" s="16">
        <f>IFERROR(__xludf.DUMMYFUNCTION("""COMPUTED_VALUE"""),0.276930018210821)</f>
        <v>0.2769300182</v>
      </c>
      <c r="E427" s="16">
        <f>IFERROR(__xludf.DUMMYFUNCTION("""COMPUTED_VALUE"""),0.273817023245294)</f>
        <v>0.2738170232</v>
      </c>
      <c r="F427" s="16">
        <f>IFERROR(__xludf.DUMMYFUNCTION("""COMPUTED_VALUE"""),0.730242366020459)</f>
        <v>0.730242366</v>
      </c>
      <c r="G427" s="16">
        <f>IFERROR(__xludf.DUMMYFUNCTION("""COMPUTED_VALUE"""),-0.561319953024717)</f>
        <v>-0.561319953</v>
      </c>
      <c r="H427" s="16">
        <f t="shared" si="1"/>
        <v>0</v>
      </c>
    </row>
    <row r="428">
      <c r="B428" s="16">
        <f>IFERROR(__xludf.DUMMYFUNCTION("""COMPUTED_VALUE"""),42.6)</f>
        <v>42.6</v>
      </c>
      <c r="D428" s="16">
        <f>IFERROR(__xludf.DUMMYFUNCTION("""COMPUTED_VALUE"""),0.276930018210821)</f>
        <v>0.2769300182</v>
      </c>
      <c r="E428" s="16">
        <f>IFERROR(__xludf.DUMMYFUNCTION("""COMPUTED_VALUE"""),0.273817023245294)</f>
        <v>0.2738170232</v>
      </c>
      <c r="F428" s="16">
        <f>IFERROR(__xludf.DUMMYFUNCTION("""COMPUTED_VALUE"""),0.730242366020459)</f>
        <v>0.730242366</v>
      </c>
      <c r="G428" s="16">
        <f>IFERROR(__xludf.DUMMYFUNCTION("""COMPUTED_VALUE"""),-0.561319953024717)</f>
        <v>-0.561319953</v>
      </c>
      <c r="H428" s="16">
        <f t="shared" si="1"/>
        <v>0</v>
      </c>
    </row>
    <row r="429">
      <c r="B429" s="16">
        <f>IFERROR(__xludf.DUMMYFUNCTION("""COMPUTED_VALUE"""),42.7)</f>
        <v>42.7</v>
      </c>
      <c r="D429" s="16">
        <f>IFERROR(__xludf.DUMMYFUNCTION("""COMPUTED_VALUE"""),0.276930018210821)</f>
        <v>0.2769300182</v>
      </c>
      <c r="E429" s="16">
        <f>IFERROR(__xludf.DUMMYFUNCTION("""COMPUTED_VALUE"""),0.273817023245294)</f>
        <v>0.2738170232</v>
      </c>
      <c r="F429" s="16">
        <f>IFERROR(__xludf.DUMMYFUNCTION("""COMPUTED_VALUE"""),0.730242366020459)</f>
        <v>0.730242366</v>
      </c>
      <c r="G429" s="16">
        <f>IFERROR(__xludf.DUMMYFUNCTION("""COMPUTED_VALUE"""),-0.561319953024717)</f>
        <v>-0.561319953</v>
      </c>
      <c r="H429" s="16">
        <f t="shared" si="1"/>
        <v>0</v>
      </c>
    </row>
    <row r="430">
      <c r="B430" s="16">
        <f>IFERROR(__xludf.DUMMYFUNCTION("""COMPUTED_VALUE"""),42.8)</f>
        <v>42.8</v>
      </c>
      <c r="D430" s="16">
        <f>IFERROR(__xludf.DUMMYFUNCTION("""COMPUTED_VALUE"""),0.276930018210821)</f>
        <v>0.2769300182</v>
      </c>
      <c r="E430" s="16">
        <f>IFERROR(__xludf.DUMMYFUNCTION("""COMPUTED_VALUE"""),0.273817023245294)</f>
        <v>0.2738170232</v>
      </c>
      <c r="F430" s="16">
        <f>IFERROR(__xludf.DUMMYFUNCTION("""COMPUTED_VALUE"""),0.730242366020459)</f>
        <v>0.730242366</v>
      </c>
      <c r="G430" s="16">
        <f>IFERROR(__xludf.DUMMYFUNCTION("""COMPUTED_VALUE"""),-0.561319953024717)</f>
        <v>-0.561319953</v>
      </c>
      <c r="H430" s="16">
        <f t="shared" si="1"/>
        <v>0</v>
      </c>
    </row>
    <row r="431">
      <c r="B431" s="16">
        <f>IFERROR(__xludf.DUMMYFUNCTION("""COMPUTED_VALUE"""),42.9)</f>
        <v>42.9</v>
      </c>
      <c r="D431" s="16">
        <f>IFERROR(__xludf.DUMMYFUNCTION("""COMPUTED_VALUE"""),0.276930018210821)</f>
        <v>0.2769300182</v>
      </c>
      <c r="E431" s="16">
        <f>IFERROR(__xludf.DUMMYFUNCTION("""COMPUTED_VALUE"""),0.273817023245294)</f>
        <v>0.2738170232</v>
      </c>
      <c r="F431" s="16">
        <f>IFERROR(__xludf.DUMMYFUNCTION("""COMPUTED_VALUE"""),0.730242366020459)</f>
        <v>0.730242366</v>
      </c>
      <c r="G431" s="16">
        <f>IFERROR(__xludf.DUMMYFUNCTION("""COMPUTED_VALUE"""),-0.561319953024717)</f>
        <v>-0.561319953</v>
      </c>
      <c r="H431" s="16">
        <f t="shared" si="1"/>
        <v>0</v>
      </c>
    </row>
    <row r="432">
      <c r="B432" s="16">
        <f>IFERROR(__xludf.DUMMYFUNCTION("""COMPUTED_VALUE"""),43.0)</f>
        <v>43</v>
      </c>
      <c r="D432" s="16">
        <f>IFERROR(__xludf.DUMMYFUNCTION("""COMPUTED_VALUE"""),0.276930018210821)</f>
        <v>0.2769300182</v>
      </c>
      <c r="E432" s="16">
        <f>IFERROR(__xludf.DUMMYFUNCTION("""COMPUTED_VALUE"""),0.273817023245294)</f>
        <v>0.2738170232</v>
      </c>
      <c r="F432" s="16">
        <f>IFERROR(__xludf.DUMMYFUNCTION("""COMPUTED_VALUE"""),0.730242366020459)</f>
        <v>0.730242366</v>
      </c>
      <c r="G432" s="16">
        <f>IFERROR(__xludf.DUMMYFUNCTION("""COMPUTED_VALUE"""),-0.561319953024717)</f>
        <v>-0.561319953</v>
      </c>
      <c r="H432" s="16">
        <f t="shared" si="1"/>
        <v>0</v>
      </c>
    </row>
    <row r="433">
      <c r="B433" s="16">
        <f>IFERROR(__xludf.DUMMYFUNCTION("""COMPUTED_VALUE"""),43.1)</f>
        <v>43.1</v>
      </c>
      <c r="D433" s="16">
        <f>IFERROR(__xludf.DUMMYFUNCTION("""COMPUTED_VALUE"""),0.276930018210821)</f>
        <v>0.2769300182</v>
      </c>
      <c r="E433" s="16">
        <f>IFERROR(__xludf.DUMMYFUNCTION("""COMPUTED_VALUE"""),0.273817023245294)</f>
        <v>0.2738170232</v>
      </c>
      <c r="F433" s="16">
        <f>IFERROR(__xludf.DUMMYFUNCTION("""COMPUTED_VALUE"""),0.730242366020459)</f>
        <v>0.730242366</v>
      </c>
      <c r="G433" s="16">
        <f>IFERROR(__xludf.DUMMYFUNCTION("""COMPUTED_VALUE"""),-0.561319953024717)</f>
        <v>-0.561319953</v>
      </c>
      <c r="H433" s="16">
        <f t="shared" si="1"/>
        <v>0</v>
      </c>
    </row>
    <row r="434">
      <c r="B434" s="16">
        <f>IFERROR(__xludf.DUMMYFUNCTION("""COMPUTED_VALUE"""),43.2)</f>
        <v>43.2</v>
      </c>
      <c r="D434" s="16">
        <f>IFERROR(__xludf.DUMMYFUNCTION("""COMPUTED_VALUE"""),0.281547089373198)</f>
        <v>0.2815470894</v>
      </c>
      <c r="E434" s="16">
        <f>IFERROR(__xludf.DUMMYFUNCTION("""COMPUTED_VALUE"""),0.195532144599586)</f>
        <v>0.1955321446</v>
      </c>
      <c r="F434" s="16">
        <f>IFERROR(__xludf.DUMMYFUNCTION("""COMPUTED_VALUE"""),0.731147833406166)</f>
        <v>0.7311478334</v>
      </c>
      <c r="G434" s="16">
        <f>IFERROR(__xludf.DUMMYFUNCTION("""COMPUTED_VALUE"""),-0.589848508177502)</f>
        <v>-0.5898485082</v>
      </c>
      <c r="H434" s="16">
        <f t="shared" si="1"/>
        <v>0</v>
      </c>
    </row>
    <row r="435">
      <c r="B435" s="16">
        <f>IFERROR(__xludf.DUMMYFUNCTION("""COMPUTED_VALUE"""),43.3)</f>
        <v>43.3</v>
      </c>
      <c r="D435" s="16">
        <f>IFERROR(__xludf.DUMMYFUNCTION("""COMPUTED_VALUE"""),0.295571787990576)</f>
        <v>0.295571788</v>
      </c>
      <c r="E435" s="16">
        <f>IFERROR(__xludf.DUMMYFUNCTION("""COMPUTED_VALUE"""),0.160178809495994)</f>
        <v>0.1601788095</v>
      </c>
      <c r="F435" s="16">
        <f>IFERROR(__xludf.DUMMYFUNCTION("""COMPUTED_VALUE"""),0.72444076992491)</f>
        <v>0.7244407699</v>
      </c>
      <c r="G435" s="16">
        <f>IFERROR(__xludf.DUMMYFUNCTION("""COMPUTED_VALUE"""),-0.601801992355536)</f>
        <v>-0.6018019924</v>
      </c>
      <c r="H435" s="16">
        <f t="shared" si="1"/>
        <v>0</v>
      </c>
    </row>
    <row r="436">
      <c r="B436" s="16">
        <f>IFERROR(__xludf.DUMMYFUNCTION("""COMPUTED_VALUE"""),43.4)</f>
        <v>43.4</v>
      </c>
      <c r="D436" s="16">
        <f>IFERROR(__xludf.DUMMYFUNCTION("""COMPUTED_VALUE"""),-0.331403446867443)</f>
        <v>-0.3314034469</v>
      </c>
      <c r="E436" s="16">
        <f>IFERROR(__xludf.DUMMYFUNCTION("""COMPUTED_VALUE"""),-0.105380987293681)</f>
        <v>-0.1053809873</v>
      </c>
      <c r="F436" s="16">
        <f>IFERROR(__xludf.DUMMYFUNCTION("""COMPUTED_VALUE"""),-0.706225177511529)</f>
        <v>-0.7062251775</v>
      </c>
      <c r="G436" s="16">
        <f>IFERROR(__xludf.DUMMYFUNCTION("""COMPUTED_VALUE"""),0.616694901527637)</f>
        <v>0.6166949015</v>
      </c>
      <c r="H436" s="16">
        <f t="shared" si="1"/>
        <v>0</v>
      </c>
    </row>
    <row r="437">
      <c r="B437" s="16">
        <f>IFERROR(__xludf.DUMMYFUNCTION("""COMPUTED_VALUE"""),43.5)</f>
        <v>43.5</v>
      </c>
      <c r="D437" s="16">
        <f>IFERROR(__xludf.DUMMYFUNCTION("""COMPUTED_VALUE"""),-0.337277551385723)</f>
        <v>-0.3372775514</v>
      </c>
      <c r="E437" s="16">
        <f>IFERROR(__xludf.DUMMYFUNCTION("""COMPUTED_VALUE"""),-0.0953293987240594)</f>
        <v>-0.09532939872</v>
      </c>
      <c r="F437" s="16">
        <f>IFERROR(__xludf.DUMMYFUNCTION("""COMPUTED_VALUE"""),-0.702689925784976)</f>
        <v>-0.7026899258</v>
      </c>
      <c r="G437" s="16">
        <f>IFERROR(__xludf.DUMMYFUNCTION("""COMPUTED_VALUE"""),0.619179317540929)</f>
        <v>0.6191793175</v>
      </c>
      <c r="H437" s="16">
        <f t="shared" si="1"/>
        <v>0</v>
      </c>
    </row>
    <row r="438">
      <c r="B438" s="16">
        <f>IFERROR(__xludf.DUMMYFUNCTION("""COMPUTED_VALUE"""),43.6)</f>
        <v>43.6</v>
      </c>
      <c r="D438" s="16">
        <f>IFERROR(__xludf.DUMMYFUNCTION("""COMPUTED_VALUE"""),-0.355103952303435)</f>
        <v>-0.3551039523</v>
      </c>
      <c r="E438" s="16">
        <f>IFERROR(__xludf.DUMMYFUNCTION("""COMPUTED_VALUE"""),-0.0546366492698786)</f>
        <v>-0.05463664927</v>
      </c>
      <c r="F438" s="16">
        <f>IFERROR(__xludf.DUMMYFUNCTION("""COMPUTED_VALUE"""),-0.689311232824384)</f>
        <v>-0.6893112328</v>
      </c>
      <c r="G438" s="16">
        <f>IFERROR(__xludf.DUMMYFUNCTION("""COMPUTED_VALUE"""),0.629099391127629)</f>
        <v>0.6290993911</v>
      </c>
      <c r="H438" s="16">
        <f t="shared" si="1"/>
        <v>0</v>
      </c>
    </row>
    <row r="439">
      <c r="B439" s="16">
        <f>IFERROR(__xludf.DUMMYFUNCTION("""COMPUTED_VALUE"""),43.7)</f>
        <v>43.7</v>
      </c>
      <c r="D439" s="16">
        <f>IFERROR(__xludf.DUMMYFUNCTION("""COMPUTED_VALUE"""),-0.357808126075848)</f>
        <v>-0.3578081261</v>
      </c>
      <c r="E439" s="16">
        <f>IFERROR(__xludf.DUMMYFUNCTION("""COMPUTED_VALUE"""),-0.0521657668788232)</f>
        <v>-0.05216576688</v>
      </c>
      <c r="F439" s="16">
        <f>IFERROR(__xludf.DUMMYFUNCTION("""COMPUTED_VALUE"""),-0.687911431474636)</f>
        <v>-0.6879114315</v>
      </c>
      <c r="G439" s="16">
        <f>IFERROR(__xludf.DUMMYFUNCTION("""COMPUTED_VALUE"""),0.629309097444601)</f>
        <v>0.6293090974</v>
      </c>
      <c r="H439" s="16">
        <f t="shared" si="1"/>
        <v>0</v>
      </c>
    </row>
    <row r="440">
      <c r="B440" s="16">
        <f>IFERROR(__xludf.DUMMYFUNCTION("""COMPUTED_VALUE"""),43.8)</f>
        <v>43.8</v>
      </c>
      <c r="D440" s="16">
        <f>IFERROR(__xludf.DUMMYFUNCTION("""COMPUTED_VALUE"""),-0.357808126075848)</f>
        <v>-0.3578081261</v>
      </c>
      <c r="E440" s="16">
        <f>IFERROR(__xludf.DUMMYFUNCTION("""COMPUTED_VALUE"""),-0.0521657668788232)</f>
        <v>-0.05216576688</v>
      </c>
      <c r="F440" s="16">
        <f>IFERROR(__xludf.DUMMYFUNCTION("""COMPUTED_VALUE"""),-0.687911431474636)</f>
        <v>-0.6879114315</v>
      </c>
      <c r="G440" s="16">
        <f>IFERROR(__xludf.DUMMYFUNCTION("""COMPUTED_VALUE"""),0.629309097444601)</f>
        <v>0.6293090974</v>
      </c>
      <c r="H440" s="16">
        <f t="shared" si="1"/>
        <v>0</v>
      </c>
    </row>
    <row r="441">
      <c r="B441" s="16">
        <f>IFERROR(__xludf.DUMMYFUNCTION("""COMPUTED_VALUE"""),43.9)</f>
        <v>43.9</v>
      </c>
      <c r="D441" s="16">
        <f>IFERROR(__xludf.DUMMYFUNCTION("""COMPUTED_VALUE"""),-0.357808126075848)</f>
        <v>-0.3578081261</v>
      </c>
      <c r="E441" s="16">
        <f>IFERROR(__xludf.DUMMYFUNCTION("""COMPUTED_VALUE"""),-0.0521657668788232)</f>
        <v>-0.05216576688</v>
      </c>
      <c r="F441" s="16">
        <f>IFERROR(__xludf.DUMMYFUNCTION("""COMPUTED_VALUE"""),-0.687911431474636)</f>
        <v>-0.6879114315</v>
      </c>
      <c r="G441" s="16">
        <f>IFERROR(__xludf.DUMMYFUNCTION("""COMPUTED_VALUE"""),0.629309097444601)</f>
        <v>0.6293090974</v>
      </c>
      <c r="H441" s="16">
        <f t="shared" si="1"/>
        <v>0</v>
      </c>
    </row>
    <row r="442">
      <c r="B442" s="16">
        <f>IFERROR(__xludf.DUMMYFUNCTION("""COMPUTED_VALUE"""),44.0)</f>
        <v>44</v>
      </c>
      <c r="D442" s="16">
        <f>IFERROR(__xludf.DUMMYFUNCTION("""COMPUTED_VALUE"""),-0.357808126075848)</f>
        <v>-0.3578081261</v>
      </c>
      <c r="E442" s="16">
        <f>IFERROR(__xludf.DUMMYFUNCTION("""COMPUTED_VALUE"""),-0.0521657668788232)</f>
        <v>-0.05216576688</v>
      </c>
      <c r="F442" s="16">
        <f>IFERROR(__xludf.DUMMYFUNCTION("""COMPUTED_VALUE"""),-0.687911431474636)</f>
        <v>-0.6879114315</v>
      </c>
      <c r="G442" s="16">
        <f>IFERROR(__xludf.DUMMYFUNCTION("""COMPUTED_VALUE"""),0.629309097444601)</f>
        <v>0.6293090974</v>
      </c>
      <c r="H442" s="16">
        <f t="shared" si="1"/>
        <v>0</v>
      </c>
    </row>
    <row r="443">
      <c r="B443" s="16">
        <f>IFERROR(__xludf.DUMMYFUNCTION("""COMPUTED_VALUE"""),44.1)</f>
        <v>44.1</v>
      </c>
      <c r="D443" s="16">
        <f>IFERROR(__xludf.DUMMYFUNCTION("""COMPUTED_VALUE"""),-0.357808126075848)</f>
        <v>-0.3578081261</v>
      </c>
      <c r="E443" s="16">
        <f>IFERROR(__xludf.DUMMYFUNCTION("""COMPUTED_VALUE"""),-0.0521657668788232)</f>
        <v>-0.05216576688</v>
      </c>
      <c r="F443" s="16">
        <f>IFERROR(__xludf.DUMMYFUNCTION("""COMPUTED_VALUE"""),-0.687911431474636)</f>
        <v>-0.6879114315</v>
      </c>
      <c r="G443" s="16">
        <f>IFERROR(__xludf.DUMMYFUNCTION("""COMPUTED_VALUE"""),0.629309097444601)</f>
        <v>0.6293090974</v>
      </c>
      <c r="H443" s="16">
        <f t="shared" si="1"/>
        <v>0</v>
      </c>
    </row>
    <row r="444">
      <c r="B444" s="16">
        <f>IFERROR(__xludf.DUMMYFUNCTION("""COMPUTED_VALUE"""),44.2)</f>
        <v>44.2</v>
      </c>
      <c r="D444" s="16">
        <f>IFERROR(__xludf.DUMMYFUNCTION("""COMPUTED_VALUE"""),-0.357808126075848)</f>
        <v>-0.3578081261</v>
      </c>
      <c r="E444" s="16">
        <f>IFERROR(__xludf.DUMMYFUNCTION("""COMPUTED_VALUE"""),-0.0521657668788232)</f>
        <v>-0.05216576688</v>
      </c>
      <c r="F444" s="16">
        <f>IFERROR(__xludf.DUMMYFUNCTION("""COMPUTED_VALUE"""),-0.687911431474636)</f>
        <v>-0.6879114315</v>
      </c>
      <c r="G444" s="16">
        <f>IFERROR(__xludf.DUMMYFUNCTION("""COMPUTED_VALUE"""),0.629309097444601)</f>
        <v>0.6293090974</v>
      </c>
      <c r="H444" s="16">
        <f t="shared" si="1"/>
        <v>0</v>
      </c>
    </row>
    <row r="445">
      <c r="B445" s="16">
        <f>IFERROR(__xludf.DUMMYFUNCTION("""COMPUTED_VALUE"""),44.3)</f>
        <v>44.3</v>
      </c>
      <c r="D445" s="16">
        <f>IFERROR(__xludf.DUMMYFUNCTION("""COMPUTED_VALUE"""),-0.357808126075848)</f>
        <v>-0.3578081261</v>
      </c>
      <c r="E445" s="16">
        <f>IFERROR(__xludf.DUMMYFUNCTION("""COMPUTED_VALUE"""),-0.0521657668788232)</f>
        <v>-0.05216576688</v>
      </c>
      <c r="F445" s="16">
        <f>IFERROR(__xludf.DUMMYFUNCTION("""COMPUTED_VALUE"""),-0.687911431474636)</f>
        <v>-0.6879114315</v>
      </c>
      <c r="G445" s="16">
        <f>IFERROR(__xludf.DUMMYFUNCTION("""COMPUTED_VALUE"""),0.629309097444601)</f>
        <v>0.6293090974</v>
      </c>
      <c r="H445" s="16">
        <f t="shared" si="1"/>
        <v>0</v>
      </c>
    </row>
    <row r="446">
      <c r="B446" s="16">
        <f>IFERROR(__xludf.DUMMYFUNCTION("""COMPUTED_VALUE"""),44.4)</f>
        <v>44.4</v>
      </c>
      <c r="D446" s="16">
        <f>IFERROR(__xludf.DUMMYFUNCTION("""COMPUTED_VALUE"""),-0.357808126075848)</f>
        <v>-0.3578081261</v>
      </c>
      <c r="E446" s="16">
        <f>IFERROR(__xludf.DUMMYFUNCTION("""COMPUTED_VALUE"""),-0.0521657668788232)</f>
        <v>-0.05216576688</v>
      </c>
      <c r="F446" s="16">
        <f>IFERROR(__xludf.DUMMYFUNCTION("""COMPUTED_VALUE"""),-0.687911431474636)</f>
        <v>-0.6879114315</v>
      </c>
      <c r="G446" s="16">
        <f>IFERROR(__xludf.DUMMYFUNCTION("""COMPUTED_VALUE"""),0.629309097444601)</f>
        <v>0.6293090974</v>
      </c>
      <c r="H446" s="16">
        <f t="shared" si="1"/>
        <v>0</v>
      </c>
    </row>
    <row r="447">
      <c r="B447" s="16">
        <f>IFERROR(__xludf.DUMMYFUNCTION("""COMPUTED_VALUE"""),44.5)</f>
        <v>44.5</v>
      </c>
      <c r="D447" s="16">
        <f>IFERROR(__xludf.DUMMYFUNCTION("""COMPUTED_VALUE"""),-0.357808126075848)</f>
        <v>-0.3578081261</v>
      </c>
      <c r="E447" s="16">
        <f>IFERROR(__xludf.DUMMYFUNCTION("""COMPUTED_VALUE"""),-0.0521657668788232)</f>
        <v>-0.05216576688</v>
      </c>
      <c r="F447" s="16">
        <f>IFERROR(__xludf.DUMMYFUNCTION("""COMPUTED_VALUE"""),-0.687911431474636)</f>
        <v>-0.6879114315</v>
      </c>
      <c r="G447" s="16">
        <f>IFERROR(__xludf.DUMMYFUNCTION("""COMPUTED_VALUE"""),0.629309097444601)</f>
        <v>0.6293090974</v>
      </c>
      <c r="H447" s="16">
        <f t="shared" si="1"/>
        <v>0</v>
      </c>
    </row>
    <row r="448">
      <c r="B448" s="16">
        <f>IFERROR(__xludf.DUMMYFUNCTION("""COMPUTED_VALUE"""),44.6)</f>
        <v>44.6</v>
      </c>
      <c r="D448" s="16">
        <f>IFERROR(__xludf.DUMMYFUNCTION("""COMPUTED_VALUE"""),-0.357808126075848)</f>
        <v>-0.3578081261</v>
      </c>
      <c r="E448" s="16">
        <f>IFERROR(__xludf.DUMMYFUNCTION("""COMPUTED_VALUE"""),-0.0521657668788232)</f>
        <v>-0.05216576688</v>
      </c>
      <c r="F448" s="16">
        <f>IFERROR(__xludf.DUMMYFUNCTION("""COMPUTED_VALUE"""),-0.687911431474636)</f>
        <v>-0.6879114315</v>
      </c>
      <c r="G448" s="16">
        <f>IFERROR(__xludf.DUMMYFUNCTION("""COMPUTED_VALUE"""),0.629309097444601)</f>
        <v>0.6293090974</v>
      </c>
      <c r="H448" s="16">
        <f t="shared" si="1"/>
        <v>0</v>
      </c>
    </row>
    <row r="449">
      <c r="B449" s="16">
        <f>IFERROR(__xludf.DUMMYFUNCTION("""COMPUTED_VALUE"""),44.7)</f>
        <v>44.7</v>
      </c>
      <c r="D449" s="16">
        <f>IFERROR(__xludf.DUMMYFUNCTION("""COMPUTED_VALUE"""),-0.357808126075848)</f>
        <v>-0.3578081261</v>
      </c>
      <c r="E449" s="16">
        <f>IFERROR(__xludf.DUMMYFUNCTION("""COMPUTED_VALUE"""),-0.0521657668788232)</f>
        <v>-0.05216576688</v>
      </c>
      <c r="F449" s="16">
        <f>IFERROR(__xludf.DUMMYFUNCTION("""COMPUTED_VALUE"""),-0.687911431474636)</f>
        <v>-0.6879114315</v>
      </c>
      <c r="G449" s="16">
        <f>IFERROR(__xludf.DUMMYFUNCTION("""COMPUTED_VALUE"""),0.629309097444601)</f>
        <v>0.6293090974</v>
      </c>
      <c r="H449" s="16">
        <f t="shared" si="1"/>
        <v>0</v>
      </c>
    </row>
    <row r="450">
      <c r="B450" s="16">
        <f>IFERROR(__xludf.DUMMYFUNCTION("""COMPUTED_VALUE"""),44.8)</f>
        <v>44.8</v>
      </c>
      <c r="D450" s="16">
        <f>IFERROR(__xludf.DUMMYFUNCTION("""COMPUTED_VALUE"""),-0.357808126075848)</f>
        <v>-0.3578081261</v>
      </c>
      <c r="E450" s="16">
        <f>IFERROR(__xludf.DUMMYFUNCTION("""COMPUTED_VALUE"""),-0.0521657668788232)</f>
        <v>-0.05216576688</v>
      </c>
      <c r="F450" s="16">
        <f>IFERROR(__xludf.DUMMYFUNCTION("""COMPUTED_VALUE"""),-0.687911431474636)</f>
        <v>-0.6879114315</v>
      </c>
      <c r="G450" s="16">
        <f>IFERROR(__xludf.DUMMYFUNCTION("""COMPUTED_VALUE"""),0.629309097444601)</f>
        <v>0.6293090974</v>
      </c>
      <c r="H450" s="16">
        <f t="shared" si="1"/>
        <v>0</v>
      </c>
    </row>
    <row r="451">
      <c r="B451" s="16">
        <f>IFERROR(__xludf.DUMMYFUNCTION("""COMPUTED_VALUE"""),44.9)</f>
        <v>44.9</v>
      </c>
      <c r="D451" s="16">
        <f>IFERROR(__xludf.DUMMYFUNCTION("""COMPUTED_VALUE"""),-0.360506782004656)</f>
        <v>-0.360506782</v>
      </c>
      <c r="E451" s="16">
        <f>IFERROR(__xludf.DUMMYFUNCTION("""COMPUTED_VALUE"""),-0.0496940800271584)</f>
        <v>-0.04969408003</v>
      </c>
      <c r="F451" s="16">
        <f>IFERROR(__xludf.DUMMYFUNCTION("""COMPUTED_VALUE"""),-0.686501021680259)</f>
        <v>-0.6865010217</v>
      </c>
      <c r="G451" s="16">
        <f>IFERROR(__xludf.DUMMYFUNCTION("""COMPUTED_VALUE"""),0.629509099037375)</f>
        <v>0.629509099</v>
      </c>
      <c r="H451" s="16">
        <f t="shared" si="1"/>
        <v>0</v>
      </c>
    </row>
    <row r="452">
      <c r="B452" s="16">
        <f>IFERROR(__xludf.DUMMYFUNCTION("""COMPUTED_VALUE"""),45.0)</f>
        <v>45</v>
      </c>
      <c r="D452" s="16">
        <f>IFERROR(__xludf.DUMMYFUNCTION("""COMPUTED_VALUE"""),-0.360506782004656)</f>
        <v>-0.360506782</v>
      </c>
      <c r="E452" s="16">
        <f>IFERROR(__xludf.DUMMYFUNCTION("""COMPUTED_VALUE"""),-0.0496940800271584)</f>
        <v>-0.04969408003</v>
      </c>
      <c r="F452" s="16">
        <f>IFERROR(__xludf.DUMMYFUNCTION("""COMPUTED_VALUE"""),-0.686501021680259)</f>
        <v>-0.6865010217</v>
      </c>
      <c r="G452" s="16">
        <f>IFERROR(__xludf.DUMMYFUNCTION("""COMPUTED_VALUE"""),0.629509099037375)</f>
        <v>0.629509099</v>
      </c>
      <c r="H452" s="16">
        <f t="shared" si="1"/>
        <v>0</v>
      </c>
    </row>
    <row r="453">
      <c r="B453" s="16">
        <f>IFERROR(__xludf.DUMMYFUNCTION("""COMPUTED_VALUE"""),45.1)</f>
        <v>45.1</v>
      </c>
      <c r="D453" s="16">
        <f>IFERROR(__xludf.DUMMYFUNCTION("""COMPUTED_VALUE"""),-0.360506782004656)</f>
        <v>-0.360506782</v>
      </c>
      <c r="E453" s="16">
        <f>IFERROR(__xludf.DUMMYFUNCTION("""COMPUTED_VALUE"""),-0.0496940800271584)</f>
        <v>-0.04969408003</v>
      </c>
      <c r="F453" s="16">
        <f>IFERROR(__xludf.DUMMYFUNCTION("""COMPUTED_VALUE"""),-0.686501021680259)</f>
        <v>-0.6865010217</v>
      </c>
      <c r="G453" s="16">
        <f>IFERROR(__xludf.DUMMYFUNCTION("""COMPUTED_VALUE"""),0.629509099037375)</f>
        <v>0.629509099</v>
      </c>
      <c r="H453" s="16">
        <f t="shared" si="1"/>
        <v>0</v>
      </c>
    </row>
    <row r="454">
      <c r="B454" s="16">
        <f>IFERROR(__xludf.DUMMYFUNCTION("""COMPUTED_VALUE"""),45.2)</f>
        <v>45.2</v>
      </c>
      <c r="D454" s="16">
        <f>IFERROR(__xludf.DUMMYFUNCTION("""COMPUTED_VALUE"""),-0.360506782004656)</f>
        <v>-0.360506782</v>
      </c>
      <c r="E454" s="16">
        <f>IFERROR(__xludf.DUMMYFUNCTION("""COMPUTED_VALUE"""),-0.0496940800271584)</f>
        <v>-0.04969408003</v>
      </c>
      <c r="F454" s="16">
        <f>IFERROR(__xludf.DUMMYFUNCTION("""COMPUTED_VALUE"""),-0.686501021680259)</f>
        <v>-0.6865010217</v>
      </c>
      <c r="G454" s="16">
        <f>IFERROR(__xludf.DUMMYFUNCTION("""COMPUTED_VALUE"""),0.629509099037375)</f>
        <v>0.629509099</v>
      </c>
      <c r="H454" s="16">
        <f t="shared" si="1"/>
        <v>0</v>
      </c>
    </row>
    <row r="455">
      <c r="B455" s="16">
        <f>IFERROR(__xludf.DUMMYFUNCTION("""COMPUTED_VALUE"""),45.3)</f>
        <v>45.3</v>
      </c>
      <c r="D455" s="16">
        <f>IFERROR(__xludf.DUMMYFUNCTION("""COMPUTED_VALUE"""),-0.360506782004656)</f>
        <v>-0.360506782</v>
      </c>
      <c r="E455" s="16">
        <f>IFERROR(__xludf.DUMMYFUNCTION("""COMPUTED_VALUE"""),-0.0496940800271584)</f>
        <v>-0.04969408003</v>
      </c>
      <c r="F455" s="16">
        <f>IFERROR(__xludf.DUMMYFUNCTION("""COMPUTED_VALUE"""),-0.686501021680259)</f>
        <v>-0.6865010217</v>
      </c>
      <c r="G455" s="16">
        <f>IFERROR(__xludf.DUMMYFUNCTION("""COMPUTED_VALUE"""),0.629509099037375)</f>
        <v>0.629509099</v>
      </c>
      <c r="H455" s="16">
        <f t="shared" si="1"/>
        <v>0</v>
      </c>
    </row>
    <row r="456">
      <c r="B456" s="16">
        <f>IFERROR(__xludf.DUMMYFUNCTION("""COMPUTED_VALUE"""),45.4)</f>
        <v>45.4</v>
      </c>
      <c r="D456" s="16">
        <f>IFERROR(__xludf.DUMMYFUNCTION("""COMPUTED_VALUE"""),-0.360506782004656)</f>
        <v>-0.360506782</v>
      </c>
      <c r="E456" s="16">
        <f>IFERROR(__xludf.DUMMYFUNCTION("""COMPUTED_VALUE"""),-0.0496940800271584)</f>
        <v>-0.04969408003</v>
      </c>
      <c r="F456" s="16">
        <f>IFERROR(__xludf.DUMMYFUNCTION("""COMPUTED_VALUE"""),-0.686501021680259)</f>
        <v>-0.6865010217</v>
      </c>
      <c r="G456" s="16">
        <f>IFERROR(__xludf.DUMMYFUNCTION("""COMPUTED_VALUE"""),0.629509099037375)</f>
        <v>0.629509099</v>
      </c>
      <c r="H456" s="16">
        <f t="shared" si="1"/>
        <v>0</v>
      </c>
    </row>
    <row r="457">
      <c r="B457" s="16">
        <f>IFERROR(__xludf.DUMMYFUNCTION("""COMPUTED_VALUE"""),45.5)</f>
        <v>45.5</v>
      </c>
      <c r="D457" s="16">
        <f>IFERROR(__xludf.DUMMYFUNCTION("""COMPUTED_VALUE"""),-0.360506782004656)</f>
        <v>-0.360506782</v>
      </c>
      <c r="E457" s="16">
        <f>IFERROR(__xludf.DUMMYFUNCTION("""COMPUTED_VALUE"""),-0.0496940800271584)</f>
        <v>-0.04969408003</v>
      </c>
      <c r="F457" s="16">
        <f>IFERROR(__xludf.DUMMYFUNCTION("""COMPUTED_VALUE"""),-0.686501021680259)</f>
        <v>-0.6865010217</v>
      </c>
      <c r="G457" s="16">
        <f>IFERROR(__xludf.DUMMYFUNCTION("""COMPUTED_VALUE"""),0.629509099037375)</f>
        <v>0.629509099</v>
      </c>
      <c r="H457" s="16">
        <f t="shared" si="1"/>
        <v>0</v>
      </c>
    </row>
    <row r="458">
      <c r="B458" s="16">
        <f>IFERROR(__xludf.DUMMYFUNCTION("""COMPUTED_VALUE"""),45.6)</f>
        <v>45.6</v>
      </c>
      <c r="D458" s="16">
        <f>IFERROR(__xludf.DUMMYFUNCTION("""COMPUTED_VALUE"""),-0.360506782004656)</f>
        <v>-0.360506782</v>
      </c>
      <c r="E458" s="16">
        <f>IFERROR(__xludf.DUMMYFUNCTION("""COMPUTED_VALUE"""),-0.0496940800271584)</f>
        <v>-0.04969408003</v>
      </c>
      <c r="F458" s="16">
        <f>IFERROR(__xludf.DUMMYFUNCTION("""COMPUTED_VALUE"""),-0.686501021680259)</f>
        <v>-0.6865010217</v>
      </c>
      <c r="G458" s="16">
        <f>IFERROR(__xludf.DUMMYFUNCTION("""COMPUTED_VALUE"""),0.629509099037375)</f>
        <v>0.629509099</v>
      </c>
      <c r="H458" s="16">
        <f t="shared" si="1"/>
        <v>0</v>
      </c>
    </row>
    <row r="459">
      <c r="B459" s="16">
        <f>IFERROR(__xludf.DUMMYFUNCTION("""COMPUTED_VALUE"""),45.7)</f>
        <v>45.7</v>
      </c>
      <c r="D459" s="16">
        <f>IFERROR(__xludf.DUMMYFUNCTION("""COMPUTED_VALUE"""),-0.360506782004656)</f>
        <v>-0.360506782</v>
      </c>
      <c r="E459" s="16">
        <f>IFERROR(__xludf.DUMMYFUNCTION("""COMPUTED_VALUE"""),-0.0496940800271584)</f>
        <v>-0.04969408003</v>
      </c>
      <c r="F459" s="16">
        <f>IFERROR(__xludf.DUMMYFUNCTION("""COMPUTED_VALUE"""),-0.686501021680259)</f>
        <v>-0.6865010217</v>
      </c>
      <c r="G459" s="16">
        <f>IFERROR(__xludf.DUMMYFUNCTION("""COMPUTED_VALUE"""),0.629509099037375)</f>
        <v>0.629509099</v>
      </c>
      <c r="H459" s="16">
        <f t="shared" si="1"/>
        <v>0</v>
      </c>
    </row>
    <row r="460">
      <c r="B460" s="16">
        <f>IFERROR(__xludf.DUMMYFUNCTION("""COMPUTED_VALUE"""),45.8)</f>
        <v>45.8</v>
      </c>
      <c r="D460" s="16">
        <f>IFERROR(__xludf.DUMMYFUNCTION("""COMPUTED_VALUE"""),-0.360506782004656)</f>
        <v>-0.360506782</v>
      </c>
      <c r="E460" s="16">
        <f>IFERROR(__xludf.DUMMYFUNCTION("""COMPUTED_VALUE"""),-0.0496940800271584)</f>
        <v>-0.04969408003</v>
      </c>
      <c r="F460" s="16">
        <f>IFERROR(__xludf.DUMMYFUNCTION("""COMPUTED_VALUE"""),-0.686501021680259)</f>
        <v>-0.6865010217</v>
      </c>
      <c r="G460" s="16">
        <f>IFERROR(__xludf.DUMMYFUNCTION("""COMPUTED_VALUE"""),0.629509099037375)</f>
        <v>0.629509099</v>
      </c>
      <c r="H460" s="16">
        <f t="shared" si="1"/>
        <v>0</v>
      </c>
    </row>
    <row r="461">
      <c r="B461" s="16">
        <f>IFERROR(__xludf.DUMMYFUNCTION("""COMPUTED_VALUE"""),45.9)</f>
        <v>45.9</v>
      </c>
      <c r="D461" s="16">
        <f>IFERROR(__xludf.DUMMYFUNCTION("""COMPUTED_VALUE"""),-0.360506782004656)</f>
        <v>-0.360506782</v>
      </c>
      <c r="E461" s="16">
        <f>IFERROR(__xludf.DUMMYFUNCTION("""COMPUTED_VALUE"""),-0.0496940800271584)</f>
        <v>-0.04969408003</v>
      </c>
      <c r="F461" s="16">
        <f>IFERROR(__xludf.DUMMYFUNCTION("""COMPUTED_VALUE"""),-0.686501021680259)</f>
        <v>-0.6865010217</v>
      </c>
      <c r="G461" s="16">
        <f>IFERROR(__xludf.DUMMYFUNCTION("""COMPUTED_VALUE"""),0.629509099037375)</f>
        <v>0.629509099</v>
      </c>
      <c r="H461" s="16">
        <f t="shared" si="1"/>
        <v>0</v>
      </c>
    </row>
    <row r="462">
      <c r="B462" s="16">
        <f>IFERROR(__xludf.DUMMYFUNCTION("""COMPUTED_VALUE"""),46.0)</f>
        <v>46</v>
      </c>
      <c r="D462" s="16">
        <f>IFERROR(__xludf.DUMMYFUNCTION("""COMPUTED_VALUE"""),-0.360506782004656)</f>
        <v>-0.360506782</v>
      </c>
      <c r="E462" s="16">
        <f>IFERROR(__xludf.DUMMYFUNCTION("""COMPUTED_VALUE"""),-0.0496940800271584)</f>
        <v>-0.04969408003</v>
      </c>
      <c r="F462" s="16">
        <f>IFERROR(__xludf.DUMMYFUNCTION("""COMPUTED_VALUE"""),-0.686501021680259)</f>
        <v>-0.6865010217</v>
      </c>
      <c r="G462" s="16">
        <f>IFERROR(__xludf.DUMMYFUNCTION("""COMPUTED_VALUE"""),0.629509099037375)</f>
        <v>0.629509099</v>
      </c>
      <c r="H462" s="16">
        <f t="shared" si="1"/>
        <v>0</v>
      </c>
    </row>
    <row r="463">
      <c r="B463" s="16">
        <f>IFERROR(__xludf.DUMMYFUNCTION("""COMPUTED_VALUE"""),46.1)</f>
        <v>46.1</v>
      </c>
      <c r="D463" s="16">
        <f>IFERROR(__xludf.DUMMYFUNCTION("""COMPUTED_VALUE"""),-0.360506782004656)</f>
        <v>-0.360506782</v>
      </c>
      <c r="E463" s="16">
        <f>IFERROR(__xludf.DUMMYFUNCTION("""COMPUTED_VALUE"""),-0.0496940800271584)</f>
        <v>-0.04969408003</v>
      </c>
      <c r="F463" s="16">
        <f>IFERROR(__xludf.DUMMYFUNCTION("""COMPUTED_VALUE"""),-0.686501021680259)</f>
        <v>-0.6865010217</v>
      </c>
      <c r="G463" s="16">
        <f>IFERROR(__xludf.DUMMYFUNCTION("""COMPUTED_VALUE"""),0.629509099037375)</f>
        <v>0.629509099</v>
      </c>
      <c r="H463" s="16">
        <f t="shared" si="1"/>
        <v>0</v>
      </c>
    </row>
    <row r="464">
      <c r="B464" s="16">
        <f>IFERROR(__xludf.DUMMYFUNCTION("""COMPUTED_VALUE"""),46.2)</f>
        <v>46.2</v>
      </c>
      <c r="D464" s="16">
        <f>IFERROR(__xludf.DUMMYFUNCTION("""COMPUTED_VALUE"""),-0.360506782004656)</f>
        <v>-0.360506782</v>
      </c>
      <c r="E464" s="16">
        <f>IFERROR(__xludf.DUMMYFUNCTION("""COMPUTED_VALUE"""),-0.0496940800271584)</f>
        <v>-0.04969408003</v>
      </c>
      <c r="F464" s="16">
        <f>IFERROR(__xludf.DUMMYFUNCTION("""COMPUTED_VALUE"""),-0.686501021680259)</f>
        <v>-0.6865010217</v>
      </c>
      <c r="G464" s="16">
        <f>IFERROR(__xludf.DUMMYFUNCTION("""COMPUTED_VALUE"""),0.629509099037375)</f>
        <v>0.629509099</v>
      </c>
      <c r="H464" s="16">
        <f t="shared" si="1"/>
        <v>0</v>
      </c>
    </row>
    <row r="465">
      <c r="B465" s="16">
        <f>IFERROR(__xludf.DUMMYFUNCTION("""COMPUTED_VALUE"""),46.3)</f>
        <v>46.3</v>
      </c>
      <c r="D465" s="16">
        <f>IFERROR(__xludf.DUMMYFUNCTION("""COMPUTED_VALUE"""),-0.360506782004656)</f>
        <v>-0.360506782</v>
      </c>
      <c r="E465" s="16">
        <f>IFERROR(__xludf.DUMMYFUNCTION("""COMPUTED_VALUE"""),-0.0496940800271584)</f>
        <v>-0.04969408003</v>
      </c>
      <c r="F465" s="16">
        <f>IFERROR(__xludf.DUMMYFUNCTION("""COMPUTED_VALUE"""),-0.686501021680259)</f>
        <v>-0.6865010217</v>
      </c>
      <c r="G465" s="16">
        <f>IFERROR(__xludf.DUMMYFUNCTION("""COMPUTED_VALUE"""),0.629509099037375)</f>
        <v>0.629509099</v>
      </c>
      <c r="H465" s="16">
        <f t="shared" si="1"/>
        <v>0</v>
      </c>
    </row>
    <row r="466">
      <c r="B466" s="16">
        <f>IFERROR(__xludf.DUMMYFUNCTION("""COMPUTED_VALUE"""),46.4)</f>
        <v>46.4</v>
      </c>
      <c r="D466" s="16">
        <f>IFERROR(__xludf.DUMMYFUNCTION("""COMPUTED_VALUE"""),-0.360506782004656)</f>
        <v>-0.360506782</v>
      </c>
      <c r="E466" s="16">
        <f>IFERROR(__xludf.DUMMYFUNCTION("""COMPUTED_VALUE"""),-0.0496940800271584)</f>
        <v>-0.04969408003</v>
      </c>
      <c r="F466" s="16">
        <f>IFERROR(__xludf.DUMMYFUNCTION("""COMPUTED_VALUE"""),-0.686501021680259)</f>
        <v>-0.6865010217</v>
      </c>
      <c r="G466" s="16">
        <f>IFERROR(__xludf.DUMMYFUNCTION("""COMPUTED_VALUE"""),0.629509099037375)</f>
        <v>0.629509099</v>
      </c>
      <c r="H466" s="16">
        <f t="shared" si="1"/>
        <v>0</v>
      </c>
    </row>
    <row r="467">
      <c r="B467" s="16">
        <f>IFERROR(__xludf.DUMMYFUNCTION("""COMPUTED_VALUE"""),46.5)</f>
        <v>46.5</v>
      </c>
      <c r="D467" s="16">
        <f>IFERROR(__xludf.DUMMYFUNCTION("""COMPUTED_VALUE"""),-0.360506782004656)</f>
        <v>-0.360506782</v>
      </c>
      <c r="E467" s="16">
        <f>IFERROR(__xludf.DUMMYFUNCTION("""COMPUTED_VALUE"""),-0.0496940800271584)</f>
        <v>-0.04969408003</v>
      </c>
      <c r="F467" s="16">
        <f>IFERROR(__xludf.DUMMYFUNCTION("""COMPUTED_VALUE"""),-0.686501021680259)</f>
        <v>-0.6865010217</v>
      </c>
      <c r="G467" s="16">
        <f>IFERROR(__xludf.DUMMYFUNCTION("""COMPUTED_VALUE"""),0.629509099037375)</f>
        <v>0.629509099</v>
      </c>
      <c r="H467" s="16">
        <f t="shared" si="1"/>
        <v>0</v>
      </c>
    </row>
    <row r="468">
      <c r="B468" s="16">
        <f>IFERROR(__xludf.DUMMYFUNCTION("""COMPUTED_VALUE"""),46.6)</f>
        <v>46.6</v>
      </c>
      <c r="D468" s="16">
        <f>IFERROR(__xludf.DUMMYFUNCTION("""COMPUTED_VALUE"""),-0.360506782004656)</f>
        <v>-0.360506782</v>
      </c>
      <c r="E468" s="16">
        <f>IFERROR(__xludf.DUMMYFUNCTION("""COMPUTED_VALUE"""),-0.0496940800271584)</f>
        <v>-0.04969408003</v>
      </c>
      <c r="F468" s="16">
        <f>IFERROR(__xludf.DUMMYFUNCTION("""COMPUTED_VALUE"""),-0.686501021680259)</f>
        <v>-0.6865010217</v>
      </c>
      <c r="G468" s="16">
        <f>IFERROR(__xludf.DUMMYFUNCTION("""COMPUTED_VALUE"""),0.629509099037375)</f>
        <v>0.629509099</v>
      </c>
      <c r="H468" s="16">
        <f t="shared" si="1"/>
        <v>0</v>
      </c>
    </row>
    <row r="469">
      <c r="B469" s="16">
        <f>IFERROR(__xludf.DUMMYFUNCTION("""COMPUTED_VALUE"""),46.7)</f>
        <v>46.7</v>
      </c>
      <c r="D469" s="16">
        <f>IFERROR(__xludf.DUMMYFUNCTION("""COMPUTED_VALUE"""),-0.360506782004656)</f>
        <v>-0.360506782</v>
      </c>
      <c r="E469" s="16">
        <f>IFERROR(__xludf.DUMMYFUNCTION("""COMPUTED_VALUE"""),-0.0496940800271584)</f>
        <v>-0.04969408003</v>
      </c>
      <c r="F469" s="16">
        <f>IFERROR(__xludf.DUMMYFUNCTION("""COMPUTED_VALUE"""),-0.686501021680259)</f>
        <v>-0.6865010217</v>
      </c>
      <c r="G469" s="16">
        <f>IFERROR(__xludf.DUMMYFUNCTION("""COMPUTED_VALUE"""),0.629509099037375)</f>
        <v>0.629509099</v>
      </c>
      <c r="H469" s="16">
        <f t="shared" si="1"/>
        <v>0</v>
      </c>
    </row>
    <row r="470">
      <c r="B470" s="16">
        <f>IFERROR(__xludf.DUMMYFUNCTION("""COMPUTED_VALUE"""),46.8)</f>
        <v>46.8</v>
      </c>
      <c r="D470" s="16">
        <f>IFERROR(__xludf.DUMMYFUNCTION("""COMPUTED_VALUE"""),-0.360506782004656)</f>
        <v>-0.360506782</v>
      </c>
      <c r="E470" s="16">
        <f>IFERROR(__xludf.DUMMYFUNCTION("""COMPUTED_VALUE"""),-0.0496940800271584)</f>
        <v>-0.04969408003</v>
      </c>
      <c r="F470" s="16">
        <f>IFERROR(__xludf.DUMMYFUNCTION("""COMPUTED_VALUE"""),-0.686501021680259)</f>
        <v>-0.6865010217</v>
      </c>
      <c r="G470" s="16">
        <f>IFERROR(__xludf.DUMMYFUNCTION("""COMPUTED_VALUE"""),0.629509099037375)</f>
        <v>0.629509099</v>
      </c>
      <c r="H470" s="16">
        <f t="shared" si="1"/>
        <v>0</v>
      </c>
    </row>
    <row r="471">
      <c r="B471" s="16">
        <f>IFERROR(__xludf.DUMMYFUNCTION("""COMPUTED_VALUE"""),46.9)</f>
        <v>46.9</v>
      </c>
      <c r="D471" s="16">
        <f>IFERROR(__xludf.DUMMYFUNCTION("""COMPUTED_VALUE"""),-0.360506782004656)</f>
        <v>-0.360506782</v>
      </c>
      <c r="E471" s="16">
        <f>IFERROR(__xludf.DUMMYFUNCTION("""COMPUTED_VALUE"""),-0.0496940800271584)</f>
        <v>-0.04969408003</v>
      </c>
      <c r="F471" s="16">
        <f>IFERROR(__xludf.DUMMYFUNCTION("""COMPUTED_VALUE"""),-0.686501021680259)</f>
        <v>-0.6865010217</v>
      </c>
      <c r="G471" s="16">
        <f>IFERROR(__xludf.DUMMYFUNCTION("""COMPUTED_VALUE"""),0.629509099037375)</f>
        <v>0.629509099</v>
      </c>
      <c r="H471" s="16">
        <f t="shared" si="1"/>
        <v>0</v>
      </c>
    </row>
    <row r="472">
      <c r="B472" s="16">
        <f>IFERROR(__xludf.DUMMYFUNCTION("""COMPUTED_VALUE"""),47.0)</f>
        <v>47</v>
      </c>
      <c r="D472" s="16">
        <f>IFERROR(__xludf.DUMMYFUNCTION("""COMPUTED_VALUE"""),-0.360506782004656)</f>
        <v>-0.360506782</v>
      </c>
      <c r="E472" s="16">
        <f>IFERROR(__xludf.DUMMYFUNCTION("""COMPUTED_VALUE"""),-0.0496940800271584)</f>
        <v>-0.04969408003</v>
      </c>
      <c r="F472" s="16">
        <f>IFERROR(__xludf.DUMMYFUNCTION("""COMPUTED_VALUE"""),-0.686501021680259)</f>
        <v>-0.6865010217</v>
      </c>
      <c r="G472" s="16">
        <f>IFERROR(__xludf.DUMMYFUNCTION("""COMPUTED_VALUE"""),0.629509099037375)</f>
        <v>0.629509099</v>
      </c>
      <c r="H472" s="16">
        <f t="shared" si="1"/>
        <v>0</v>
      </c>
    </row>
    <row r="473">
      <c r="B473" s="16">
        <f>IFERROR(__xludf.DUMMYFUNCTION("""COMPUTED_VALUE"""),47.1)</f>
        <v>47.1</v>
      </c>
      <c r="D473" s="16">
        <f>IFERROR(__xludf.DUMMYFUNCTION("""COMPUTED_VALUE"""),-0.360506782004656)</f>
        <v>-0.360506782</v>
      </c>
      <c r="E473" s="16">
        <f>IFERROR(__xludf.DUMMYFUNCTION("""COMPUTED_VALUE"""),-0.0496940800271584)</f>
        <v>-0.04969408003</v>
      </c>
      <c r="F473" s="16">
        <f>IFERROR(__xludf.DUMMYFUNCTION("""COMPUTED_VALUE"""),-0.686501021680259)</f>
        <v>-0.6865010217</v>
      </c>
      <c r="G473" s="16">
        <f>IFERROR(__xludf.DUMMYFUNCTION("""COMPUTED_VALUE"""),0.629509099037375)</f>
        <v>0.629509099</v>
      </c>
      <c r="H473" s="16">
        <f t="shared" si="1"/>
        <v>0</v>
      </c>
    </row>
    <row r="474">
      <c r="B474" s="16">
        <f>IFERROR(__xludf.DUMMYFUNCTION("""COMPUTED_VALUE"""),47.2)</f>
        <v>47.2</v>
      </c>
      <c r="D474" s="16">
        <f>IFERROR(__xludf.DUMMYFUNCTION("""COMPUTED_VALUE"""),-0.360506782004656)</f>
        <v>-0.360506782</v>
      </c>
      <c r="E474" s="16">
        <f>IFERROR(__xludf.DUMMYFUNCTION("""COMPUTED_VALUE"""),-0.0496940800271584)</f>
        <v>-0.04969408003</v>
      </c>
      <c r="F474" s="16">
        <f>IFERROR(__xludf.DUMMYFUNCTION("""COMPUTED_VALUE"""),-0.686501021680259)</f>
        <v>-0.6865010217</v>
      </c>
      <c r="G474" s="16">
        <f>IFERROR(__xludf.DUMMYFUNCTION("""COMPUTED_VALUE"""),0.629509099037375)</f>
        <v>0.629509099</v>
      </c>
      <c r="H474" s="16">
        <f t="shared" si="1"/>
        <v>0</v>
      </c>
    </row>
    <row r="475">
      <c r="B475" s="16">
        <f>IFERROR(__xludf.DUMMYFUNCTION("""COMPUTED_VALUE"""),47.3)</f>
        <v>47.3</v>
      </c>
      <c r="D475" s="16">
        <f>IFERROR(__xludf.DUMMYFUNCTION("""COMPUTED_VALUE"""),-0.360506782004656)</f>
        <v>-0.360506782</v>
      </c>
      <c r="E475" s="16">
        <f>IFERROR(__xludf.DUMMYFUNCTION("""COMPUTED_VALUE"""),-0.0496940800271584)</f>
        <v>-0.04969408003</v>
      </c>
      <c r="F475" s="16">
        <f>IFERROR(__xludf.DUMMYFUNCTION("""COMPUTED_VALUE"""),-0.686501021680259)</f>
        <v>-0.6865010217</v>
      </c>
      <c r="G475" s="16">
        <f>IFERROR(__xludf.DUMMYFUNCTION("""COMPUTED_VALUE"""),0.629509099037375)</f>
        <v>0.629509099</v>
      </c>
      <c r="H475" s="16">
        <f t="shared" si="1"/>
        <v>0</v>
      </c>
    </row>
    <row r="476">
      <c r="B476" s="16">
        <f>IFERROR(__xludf.DUMMYFUNCTION("""COMPUTED_VALUE"""),47.4)</f>
        <v>47.4</v>
      </c>
      <c r="D476" s="16">
        <f>IFERROR(__xludf.DUMMYFUNCTION("""COMPUTED_VALUE"""),-0.360506782004656)</f>
        <v>-0.360506782</v>
      </c>
      <c r="E476" s="16">
        <f>IFERROR(__xludf.DUMMYFUNCTION("""COMPUTED_VALUE"""),-0.0496940800271584)</f>
        <v>-0.04969408003</v>
      </c>
      <c r="F476" s="16">
        <f>IFERROR(__xludf.DUMMYFUNCTION("""COMPUTED_VALUE"""),-0.686501021680259)</f>
        <v>-0.6865010217</v>
      </c>
      <c r="G476" s="16">
        <f>IFERROR(__xludf.DUMMYFUNCTION("""COMPUTED_VALUE"""),0.629509099037375)</f>
        <v>0.629509099</v>
      </c>
      <c r="H476" s="16">
        <f t="shared" si="1"/>
        <v>0</v>
      </c>
    </row>
    <row r="477">
      <c r="B477" s="16">
        <f>IFERROR(__xludf.DUMMYFUNCTION("""COMPUTED_VALUE"""),47.5)</f>
        <v>47.5</v>
      </c>
      <c r="D477" s="16">
        <f>IFERROR(__xludf.DUMMYFUNCTION("""COMPUTED_VALUE"""),-0.360506782004656)</f>
        <v>-0.360506782</v>
      </c>
      <c r="E477" s="16">
        <f>IFERROR(__xludf.DUMMYFUNCTION("""COMPUTED_VALUE"""),-0.0496940800271584)</f>
        <v>-0.04969408003</v>
      </c>
      <c r="F477" s="16">
        <f>IFERROR(__xludf.DUMMYFUNCTION("""COMPUTED_VALUE"""),-0.686501021680259)</f>
        <v>-0.6865010217</v>
      </c>
      <c r="G477" s="16">
        <f>IFERROR(__xludf.DUMMYFUNCTION("""COMPUTED_VALUE"""),0.629509099037375)</f>
        <v>0.629509099</v>
      </c>
      <c r="H477" s="16">
        <f t="shared" si="1"/>
        <v>0</v>
      </c>
    </row>
    <row r="478">
      <c r="B478" s="16">
        <f>IFERROR(__xludf.DUMMYFUNCTION("""COMPUTED_VALUE"""),47.6)</f>
        <v>47.6</v>
      </c>
      <c r="D478" s="16">
        <f>IFERROR(__xludf.DUMMYFUNCTION("""COMPUTED_VALUE"""),-0.360506782004656)</f>
        <v>-0.360506782</v>
      </c>
      <c r="E478" s="16">
        <f>IFERROR(__xludf.DUMMYFUNCTION("""COMPUTED_VALUE"""),-0.0496940800271584)</f>
        <v>-0.04969408003</v>
      </c>
      <c r="F478" s="16">
        <f>IFERROR(__xludf.DUMMYFUNCTION("""COMPUTED_VALUE"""),-0.686501021680259)</f>
        <v>-0.6865010217</v>
      </c>
      <c r="G478" s="16">
        <f>IFERROR(__xludf.DUMMYFUNCTION("""COMPUTED_VALUE"""),0.629509099037375)</f>
        <v>0.629509099</v>
      </c>
      <c r="H478" s="16">
        <f t="shared" si="1"/>
        <v>0</v>
      </c>
    </row>
    <row r="479">
      <c r="B479" s="16">
        <f>IFERROR(__xludf.DUMMYFUNCTION("""COMPUTED_VALUE"""),47.7)</f>
        <v>47.7</v>
      </c>
      <c r="D479" s="16">
        <f>IFERROR(__xludf.DUMMYFUNCTION("""COMPUTED_VALUE"""),-0.360506782004656)</f>
        <v>-0.360506782</v>
      </c>
      <c r="E479" s="16">
        <f>IFERROR(__xludf.DUMMYFUNCTION("""COMPUTED_VALUE"""),-0.0496940800271584)</f>
        <v>-0.04969408003</v>
      </c>
      <c r="F479" s="16">
        <f>IFERROR(__xludf.DUMMYFUNCTION("""COMPUTED_VALUE"""),-0.686501021680259)</f>
        <v>-0.6865010217</v>
      </c>
      <c r="G479" s="16">
        <f>IFERROR(__xludf.DUMMYFUNCTION("""COMPUTED_VALUE"""),0.629509099037375)</f>
        <v>0.629509099</v>
      </c>
      <c r="H479" s="16">
        <f t="shared" si="1"/>
        <v>0</v>
      </c>
    </row>
    <row r="480">
      <c r="B480" s="16">
        <f>IFERROR(__xludf.DUMMYFUNCTION("""COMPUTED_VALUE"""),47.8)</f>
        <v>47.8</v>
      </c>
      <c r="D480" s="16">
        <f>IFERROR(__xludf.DUMMYFUNCTION("""COMPUTED_VALUE"""),-0.360506782004656)</f>
        <v>-0.360506782</v>
      </c>
      <c r="E480" s="16">
        <f>IFERROR(__xludf.DUMMYFUNCTION("""COMPUTED_VALUE"""),-0.0496940800271584)</f>
        <v>-0.04969408003</v>
      </c>
      <c r="F480" s="16">
        <f>IFERROR(__xludf.DUMMYFUNCTION("""COMPUTED_VALUE"""),-0.686501021680259)</f>
        <v>-0.6865010217</v>
      </c>
      <c r="G480" s="16">
        <f>IFERROR(__xludf.DUMMYFUNCTION("""COMPUTED_VALUE"""),0.629509099037375)</f>
        <v>0.629509099</v>
      </c>
      <c r="H480" s="16">
        <f t="shared" si="1"/>
        <v>0</v>
      </c>
    </row>
    <row r="481">
      <c r="B481" s="16">
        <f>IFERROR(__xludf.DUMMYFUNCTION("""COMPUTED_VALUE"""),47.9)</f>
        <v>47.9</v>
      </c>
      <c r="D481" s="16">
        <f>IFERROR(__xludf.DUMMYFUNCTION("""COMPUTED_VALUE"""),-0.360506782004656)</f>
        <v>-0.360506782</v>
      </c>
      <c r="E481" s="16">
        <f>IFERROR(__xludf.DUMMYFUNCTION("""COMPUTED_VALUE"""),-0.0496940800271584)</f>
        <v>-0.04969408003</v>
      </c>
      <c r="F481" s="16">
        <f>IFERROR(__xludf.DUMMYFUNCTION("""COMPUTED_VALUE"""),-0.686501021680259)</f>
        <v>-0.6865010217</v>
      </c>
      <c r="G481" s="16">
        <f>IFERROR(__xludf.DUMMYFUNCTION("""COMPUTED_VALUE"""),0.629509099037375)</f>
        <v>0.629509099</v>
      </c>
      <c r="H481" s="16">
        <f t="shared" si="1"/>
        <v>0</v>
      </c>
    </row>
    <row r="482">
      <c r="B482" s="16">
        <f>IFERROR(__xludf.DUMMYFUNCTION("""COMPUTED_VALUE"""),48.0)</f>
        <v>48</v>
      </c>
      <c r="D482" s="16">
        <f>IFERROR(__xludf.DUMMYFUNCTION("""COMPUTED_VALUE"""),-0.360506782004656)</f>
        <v>-0.360506782</v>
      </c>
      <c r="E482" s="16">
        <f>IFERROR(__xludf.DUMMYFUNCTION("""COMPUTED_VALUE"""),-0.0496940800271584)</f>
        <v>-0.04969408003</v>
      </c>
      <c r="F482" s="16">
        <f>IFERROR(__xludf.DUMMYFUNCTION("""COMPUTED_VALUE"""),-0.686501021680259)</f>
        <v>-0.6865010217</v>
      </c>
      <c r="G482" s="16">
        <f>IFERROR(__xludf.DUMMYFUNCTION("""COMPUTED_VALUE"""),0.629509099037375)</f>
        <v>0.629509099</v>
      </c>
      <c r="H482" s="16">
        <f t="shared" si="1"/>
        <v>0</v>
      </c>
    </row>
    <row r="483">
      <c r="B483" s="16">
        <f>IFERROR(__xludf.DUMMYFUNCTION("""COMPUTED_VALUE"""),48.1)</f>
        <v>48.1</v>
      </c>
      <c r="D483" s="16">
        <f>IFERROR(__xludf.DUMMYFUNCTION("""COMPUTED_VALUE"""),-0.360506782004656)</f>
        <v>-0.360506782</v>
      </c>
      <c r="E483" s="16">
        <f>IFERROR(__xludf.DUMMYFUNCTION("""COMPUTED_VALUE"""),-0.0496940800271584)</f>
        <v>-0.04969408003</v>
      </c>
      <c r="F483" s="16">
        <f>IFERROR(__xludf.DUMMYFUNCTION("""COMPUTED_VALUE"""),-0.686501021680259)</f>
        <v>-0.6865010217</v>
      </c>
      <c r="G483" s="16">
        <f>IFERROR(__xludf.DUMMYFUNCTION("""COMPUTED_VALUE"""),0.629509099037375)</f>
        <v>0.629509099</v>
      </c>
      <c r="H483" s="16">
        <f t="shared" si="1"/>
        <v>0</v>
      </c>
    </row>
    <row r="484">
      <c r="B484" s="16">
        <f>IFERROR(__xludf.DUMMYFUNCTION("""COMPUTED_VALUE"""),48.2)</f>
        <v>48.2</v>
      </c>
      <c r="D484" s="16">
        <f>IFERROR(__xludf.DUMMYFUNCTION("""COMPUTED_VALUE"""),-0.360506782004656)</f>
        <v>-0.360506782</v>
      </c>
      <c r="E484" s="16">
        <f>IFERROR(__xludf.DUMMYFUNCTION("""COMPUTED_VALUE"""),-0.0496940800271584)</f>
        <v>-0.04969408003</v>
      </c>
      <c r="F484" s="16">
        <f>IFERROR(__xludf.DUMMYFUNCTION("""COMPUTED_VALUE"""),-0.686501021680259)</f>
        <v>-0.6865010217</v>
      </c>
      <c r="G484" s="16">
        <f>IFERROR(__xludf.DUMMYFUNCTION("""COMPUTED_VALUE"""),0.629509099037375)</f>
        <v>0.629509099</v>
      </c>
      <c r="H484" s="16">
        <f t="shared" si="1"/>
        <v>0</v>
      </c>
    </row>
    <row r="485">
      <c r="B485" s="16">
        <f>IFERROR(__xludf.DUMMYFUNCTION("""COMPUTED_VALUE"""),48.3)</f>
        <v>48.3</v>
      </c>
      <c r="D485" s="16">
        <f>IFERROR(__xludf.DUMMYFUNCTION("""COMPUTED_VALUE"""),-0.360506782004656)</f>
        <v>-0.360506782</v>
      </c>
      <c r="E485" s="16">
        <f>IFERROR(__xludf.DUMMYFUNCTION("""COMPUTED_VALUE"""),-0.0496940800271584)</f>
        <v>-0.04969408003</v>
      </c>
      <c r="F485" s="16">
        <f>IFERROR(__xludf.DUMMYFUNCTION("""COMPUTED_VALUE"""),-0.686501021680259)</f>
        <v>-0.6865010217</v>
      </c>
      <c r="G485" s="16">
        <f>IFERROR(__xludf.DUMMYFUNCTION("""COMPUTED_VALUE"""),0.629509099037375)</f>
        <v>0.629509099</v>
      </c>
      <c r="H485" s="16">
        <f t="shared" si="1"/>
        <v>0</v>
      </c>
    </row>
    <row r="486">
      <c r="B486" s="16">
        <f>IFERROR(__xludf.DUMMYFUNCTION("""COMPUTED_VALUE"""),48.4)</f>
        <v>48.4</v>
      </c>
      <c r="D486" s="16">
        <f>IFERROR(__xludf.DUMMYFUNCTION("""COMPUTED_VALUE"""),-0.360506782004656)</f>
        <v>-0.360506782</v>
      </c>
      <c r="E486" s="16">
        <f>IFERROR(__xludf.DUMMYFUNCTION("""COMPUTED_VALUE"""),-0.0496940800271584)</f>
        <v>-0.04969408003</v>
      </c>
      <c r="F486" s="16">
        <f>IFERROR(__xludf.DUMMYFUNCTION("""COMPUTED_VALUE"""),-0.686501021680259)</f>
        <v>-0.6865010217</v>
      </c>
      <c r="G486" s="16">
        <f>IFERROR(__xludf.DUMMYFUNCTION("""COMPUTED_VALUE"""),0.629509099037375)</f>
        <v>0.629509099</v>
      </c>
      <c r="H486" s="16">
        <f t="shared" si="1"/>
        <v>0</v>
      </c>
    </row>
    <row r="487">
      <c r="B487" s="16">
        <f>IFERROR(__xludf.DUMMYFUNCTION("""COMPUTED_VALUE"""),48.5)</f>
        <v>48.5</v>
      </c>
      <c r="D487" s="16">
        <f>IFERROR(__xludf.DUMMYFUNCTION("""COMPUTED_VALUE"""),-0.3818924112373)</f>
        <v>-0.3818924112</v>
      </c>
      <c r="E487" s="16">
        <f>IFERROR(__xludf.DUMMYFUNCTION("""COMPUTED_VALUE"""),-0.0298962009414585)</f>
        <v>-0.02989620094</v>
      </c>
      <c r="F487" s="16">
        <f>IFERROR(__xludf.DUMMYFUNCTION("""COMPUTED_VALUE"""),-0.674838483549029)</f>
        <v>-0.6748384835</v>
      </c>
      <c r="G487" s="16">
        <f>IFERROR(__xludf.DUMMYFUNCTION("""COMPUTED_VALUE"""),0.63075940304514)</f>
        <v>0.630759403</v>
      </c>
      <c r="H487" s="16">
        <f t="shared" si="1"/>
        <v>0</v>
      </c>
    </row>
    <row r="488">
      <c r="B488" s="16">
        <f>IFERROR(__xludf.DUMMYFUNCTION("""COMPUTED_VALUE"""),48.6)</f>
        <v>48.6</v>
      </c>
      <c r="D488" s="16">
        <f>IFERROR(__xludf.DUMMYFUNCTION("""COMPUTED_VALUE"""),-0.456105089052678)</f>
        <v>-0.4561050891</v>
      </c>
      <c r="E488" s="16">
        <f>IFERROR(__xludf.DUMMYFUNCTION("""COMPUTED_VALUE"""),0.0419748898264526)</f>
        <v>0.04197488983</v>
      </c>
      <c r="F488" s="16">
        <f>IFERROR(__xludf.DUMMYFUNCTION("""COMPUTED_VALUE"""),-0.627070123973101)</f>
        <v>-0.627070124</v>
      </c>
      <c r="G488" s="16">
        <f>IFERROR(__xludf.DUMMYFUNCTION("""COMPUTED_VALUE"""),0.630070881714629)</f>
        <v>0.6300708817</v>
      </c>
      <c r="H488" s="16">
        <f t="shared" si="1"/>
        <v>0</v>
      </c>
    </row>
    <row r="489">
      <c r="B489" s="16">
        <f>IFERROR(__xludf.DUMMYFUNCTION("""COMPUTED_VALUE"""),48.7)</f>
        <v>48.7</v>
      </c>
      <c r="D489" s="16">
        <f>IFERROR(__xludf.DUMMYFUNCTION("""COMPUTED_VALUE"""),-0.487814506184173)</f>
        <v>-0.4878145062</v>
      </c>
      <c r="E489" s="16">
        <f>IFERROR(__xludf.DUMMYFUNCTION("""COMPUTED_VALUE"""),0.0543724364818953)</f>
        <v>0.05437243648</v>
      </c>
      <c r="F489" s="16">
        <f>IFERROR(__xludf.DUMMYFUNCTION("""COMPUTED_VALUE"""),-0.611163894578593)</f>
        <v>-0.6111638946</v>
      </c>
      <c r="G489" s="16">
        <f>IFERROR(__xludf.DUMMYFUNCTION("""COMPUTED_VALUE"""),0.620934247461699)</f>
        <v>0.6209342475</v>
      </c>
      <c r="H489" s="16">
        <f t="shared" si="1"/>
        <v>0</v>
      </c>
    </row>
    <row r="490">
      <c r="B490" s="16">
        <f>IFERROR(__xludf.DUMMYFUNCTION("""COMPUTED_VALUE"""),48.8)</f>
        <v>48.8</v>
      </c>
      <c r="D490" s="16">
        <f>IFERROR(__xludf.DUMMYFUNCTION("""COMPUTED_VALUE"""),0.514210625067911)</f>
        <v>0.5142106251</v>
      </c>
      <c r="E490" s="16">
        <f>IFERROR(__xludf.DUMMYFUNCTION("""COMPUTED_VALUE"""),-0.0521463762325198)</f>
        <v>-0.05214637623</v>
      </c>
      <c r="F490" s="16">
        <f>IFERROR(__xludf.DUMMYFUNCTION("""COMPUTED_VALUE"""),0.602590322454055)</f>
        <v>0.6025903225</v>
      </c>
      <c r="G490" s="16">
        <f>IFERROR(__xludf.DUMMYFUNCTION("""COMPUTED_VALUE"""),-0.608073261867177)</f>
        <v>-0.6080732619</v>
      </c>
      <c r="H490" s="16">
        <f t="shared" si="1"/>
        <v>0</v>
      </c>
    </row>
    <row r="491">
      <c r="B491" s="16">
        <f>IFERROR(__xludf.DUMMYFUNCTION("""COMPUTED_VALUE"""),48.9)</f>
        <v>48.9</v>
      </c>
      <c r="D491" s="16">
        <f>IFERROR(__xludf.DUMMYFUNCTION("""COMPUTED_VALUE"""),0.507076005936985)</f>
        <v>0.5070760059</v>
      </c>
      <c r="E491" s="16">
        <f>IFERROR(__xludf.DUMMYFUNCTION("""COMPUTED_VALUE"""),-0.0449792291183835)</f>
        <v>-0.04497922912</v>
      </c>
      <c r="F491" s="16">
        <f>IFERROR(__xludf.DUMMYFUNCTION("""COMPUTED_VALUE"""),0.608606266687264)</f>
        <v>0.6086062667</v>
      </c>
      <c r="G491" s="16">
        <f>IFERROR(__xludf.DUMMYFUNCTION("""COMPUTED_VALUE"""),-0.608645385507758)</f>
        <v>-0.6086453855</v>
      </c>
      <c r="H491" s="16">
        <f t="shared" si="1"/>
        <v>0</v>
      </c>
    </row>
    <row r="492">
      <c r="B492" s="16">
        <f>IFERROR(__xludf.DUMMYFUNCTION("""COMPUTED_VALUE"""),49.0)</f>
        <v>49</v>
      </c>
      <c r="D492" s="16">
        <f>IFERROR(__xludf.DUMMYFUNCTION("""COMPUTED_VALUE"""),-0.44327505348107)</f>
        <v>-0.4432750535</v>
      </c>
      <c r="E492" s="16">
        <f>IFERROR(__xludf.DUMMYFUNCTION("""COMPUTED_VALUE"""),0.011703894367703)</f>
        <v>0.01170389437</v>
      </c>
      <c r="F492" s="16">
        <f>IFERROR(__xludf.DUMMYFUNCTION("""COMPUTED_VALUE"""),-0.645638207308439)</f>
        <v>-0.6456382073</v>
      </c>
      <c r="G492" s="16">
        <f>IFERROR(__xludf.DUMMYFUNCTION("""COMPUTED_VALUE"""),0.621708574077529)</f>
        <v>0.6217085741</v>
      </c>
      <c r="H492" s="16">
        <f t="shared" si="1"/>
        <v>0</v>
      </c>
    </row>
    <row r="493">
      <c r="B493" s="16">
        <f>IFERROR(__xludf.DUMMYFUNCTION("""COMPUTED_VALUE"""),49.1)</f>
        <v>49.1</v>
      </c>
      <c r="D493" s="16">
        <f>IFERROR(__xludf.DUMMYFUNCTION("""COMPUTED_VALUE"""),-0.415287828476203)</f>
        <v>-0.4152878285</v>
      </c>
      <c r="E493" s="16">
        <f>IFERROR(__xludf.DUMMYFUNCTION("""COMPUTED_VALUE"""),-0.00517382147685595)</f>
        <v>-0.005173821477</v>
      </c>
      <c r="F493" s="16">
        <f>IFERROR(__xludf.DUMMYFUNCTION("""COMPUTED_VALUE"""),-0.660824531883796)</f>
        <v>-0.6608245319</v>
      </c>
      <c r="G493" s="16">
        <f>IFERROR(__xludf.DUMMYFUNCTION("""COMPUTED_VALUE"""),0.625156131819399)</f>
        <v>0.6251561318</v>
      </c>
      <c r="H493" s="16">
        <f t="shared" si="1"/>
        <v>0</v>
      </c>
    </row>
    <row r="494">
      <c r="B494" s="16">
        <f>IFERROR(__xludf.DUMMYFUNCTION("""COMPUTED_VALUE"""),49.2)</f>
        <v>49.2</v>
      </c>
      <c r="D494" s="16">
        <f>IFERROR(__xludf.DUMMYFUNCTION("""COMPUTED_VALUE"""),-0.415287828476203)</f>
        <v>-0.4152878285</v>
      </c>
      <c r="E494" s="16">
        <f>IFERROR(__xludf.DUMMYFUNCTION("""COMPUTED_VALUE"""),-0.00517382147685595)</f>
        <v>-0.005173821477</v>
      </c>
      <c r="F494" s="16">
        <f>IFERROR(__xludf.DUMMYFUNCTION("""COMPUTED_VALUE"""),-0.660824531883796)</f>
        <v>-0.6608245319</v>
      </c>
      <c r="G494" s="16">
        <f>IFERROR(__xludf.DUMMYFUNCTION("""COMPUTED_VALUE"""),0.625156131819399)</f>
        <v>0.6251561318</v>
      </c>
      <c r="H494" s="16">
        <f t="shared" si="1"/>
        <v>0</v>
      </c>
    </row>
    <row r="495">
      <c r="B495" s="16">
        <f>IFERROR(__xludf.DUMMYFUNCTION("""COMPUTED_VALUE"""),49.3)</f>
        <v>49.3</v>
      </c>
      <c r="D495" s="16">
        <f>IFERROR(__xludf.DUMMYFUNCTION("""COMPUTED_VALUE"""),-0.415287828476203)</f>
        <v>-0.4152878285</v>
      </c>
      <c r="E495" s="16">
        <f>IFERROR(__xludf.DUMMYFUNCTION("""COMPUTED_VALUE"""),-0.00517382147685595)</f>
        <v>-0.005173821477</v>
      </c>
      <c r="F495" s="16">
        <f>IFERROR(__xludf.DUMMYFUNCTION("""COMPUTED_VALUE"""),-0.660824531883796)</f>
        <v>-0.6608245319</v>
      </c>
      <c r="G495" s="16">
        <f>IFERROR(__xludf.DUMMYFUNCTION("""COMPUTED_VALUE"""),0.625156131819399)</f>
        <v>0.6251561318</v>
      </c>
      <c r="H495" s="16">
        <f t="shared" si="1"/>
        <v>0</v>
      </c>
    </row>
    <row r="496">
      <c r="B496" s="16">
        <f>IFERROR(__xludf.DUMMYFUNCTION("""COMPUTED_VALUE"""),49.4)</f>
        <v>49.4</v>
      </c>
      <c r="D496" s="16">
        <f>IFERROR(__xludf.DUMMYFUNCTION("""COMPUTED_VALUE"""),-0.410084969798613)</f>
        <v>-0.4100849698</v>
      </c>
      <c r="E496" s="16">
        <f>IFERROR(__xludf.DUMMYFUNCTION("""COMPUTED_VALUE"""),-0.0100835760570392)</f>
        <v>-0.01008357606</v>
      </c>
      <c r="F496" s="16">
        <f>IFERROR(__xludf.DUMMYFUNCTION("""COMPUTED_VALUE"""),-0.664065779848042)</f>
        <v>-0.6640657798</v>
      </c>
      <c r="G496" s="16">
        <f>IFERROR(__xludf.DUMMYFUNCTION("""COMPUTED_VALUE"""),0.625096215853183)</f>
        <v>0.6250962159</v>
      </c>
      <c r="H496" s="16">
        <f t="shared" si="1"/>
        <v>0</v>
      </c>
    </row>
    <row r="497">
      <c r="B497" s="16">
        <f>IFERROR(__xludf.DUMMYFUNCTION("""COMPUTED_VALUE"""),49.5)</f>
        <v>49.5</v>
      </c>
      <c r="D497" s="16">
        <f>IFERROR(__xludf.DUMMYFUNCTION("""COMPUTED_VALUE"""),-0.410084969798613)</f>
        <v>-0.4100849698</v>
      </c>
      <c r="E497" s="16">
        <f>IFERROR(__xludf.DUMMYFUNCTION("""COMPUTED_VALUE"""),-0.0100835760570392)</f>
        <v>-0.01008357606</v>
      </c>
      <c r="F497" s="16">
        <f>IFERROR(__xludf.DUMMYFUNCTION("""COMPUTED_VALUE"""),-0.664065779848042)</f>
        <v>-0.6640657798</v>
      </c>
      <c r="G497" s="16">
        <f>IFERROR(__xludf.DUMMYFUNCTION("""COMPUTED_VALUE"""),0.625096215853183)</f>
        <v>0.6250962159</v>
      </c>
      <c r="H497" s="16">
        <f t="shared" si="1"/>
        <v>0</v>
      </c>
    </row>
    <row r="498">
      <c r="B498" s="16">
        <f>IFERROR(__xludf.DUMMYFUNCTION("""COMPUTED_VALUE"""),49.6)</f>
        <v>49.6</v>
      </c>
      <c r="D498" s="16">
        <f>IFERROR(__xludf.DUMMYFUNCTION("""COMPUTED_VALUE"""),-0.410084969798613)</f>
        <v>-0.4100849698</v>
      </c>
      <c r="E498" s="16">
        <f>IFERROR(__xludf.DUMMYFUNCTION("""COMPUTED_VALUE"""),-0.0100835760570392)</f>
        <v>-0.01008357606</v>
      </c>
      <c r="F498" s="16">
        <f>IFERROR(__xludf.DUMMYFUNCTION("""COMPUTED_VALUE"""),-0.664065779848042)</f>
        <v>-0.6640657798</v>
      </c>
      <c r="G498" s="16">
        <f>IFERROR(__xludf.DUMMYFUNCTION("""COMPUTED_VALUE"""),0.625096215853183)</f>
        <v>0.6250962159</v>
      </c>
      <c r="H498" s="16">
        <f t="shared" si="1"/>
        <v>0</v>
      </c>
    </row>
    <row r="499">
      <c r="B499" s="16">
        <f>IFERROR(__xludf.DUMMYFUNCTION("""COMPUTED_VALUE"""),49.7)</f>
        <v>49.7</v>
      </c>
      <c r="D499" s="16">
        <f>IFERROR(__xludf.DUMMYFUNCTION("""COMPUTED_VALUE"""),-0.410084969798613)</f>
        <v>-0.4100849698</v>
      </c>
      <c r="E499" s="16">
        <f>IFERROR(__xludf.DUMMYFUNCTION("""COMPUTED_VALUE"""),-0.0100835760570392)</f>
        <v>-0.01008357606</v>
      </c>
      <c r="F499" s="16">
        <f>IFERROR(__xludf.DUMMYFUNCTION("""COMPUTED_VALUE"""),-0.664065779848042)</f>
        <v>-0.6640657798</v>
      </c>
      <c r="G499" s="16">
        <f>IFERROR(__xludf.DUMMYFUNCTION("""COMPUTED_VALUE"""),0.625096215853183)</f>
        <v>0.6250962159</v>
      </c>
      <c r="H499" s="16">
        <f t="shared" si="1"/>
        <v>0</v>
      </c>
    </row>
    <row r="500">
      <c r="B500" s="16">
        <f>IFERROR(__xludf.DUMMYFUNCTION("""COMPUTED_VALUE"""),49.8)</f>
        <v>49.8</v>
      </c>
      <c r="D500" s="16">
        <f>IFERROR(__xludf.DUMMYFUNCTION("""COMPUTED_VALUE"""),-0.410084969798613)</f>
        <v>-0.4100849698</v>
      </c>
      <c r="E500" s="16">
        <f>IFERROR(__xludf.DUMMYFUNCTION("""COMPUTED_VALUE"""),-0.0100835760570392)</f>
        <v>-0.01008357606</v>
      </c>
      <c r="F500" s="16">
        <f>IFERROR(__xludf.DUMMYFUNCTION("""COMPUTED_VALUE"""),-0.664065779848042)</f>
        <v>-0.6640657798</v>
      </c>
      <c r="G500" s="16">
        <f>IFERROR(__xludf.DUMMYFUNCTION("""COMPUTED_VALUE"""),0.625096215853183)</f>
        <v>0.6250962159</v>
      </c>
      <c r="H500" s="16">
        <f t="shared" si="1"/>
        <v>0</v>
      </c>
    </row>
    <row r="501">
      <c r="B501" s="16">
        <f>IFERROR(__xludf.DUMMYFUNCTION("""COMPUTED_VALUE"""),49.9)</f>
        <v>49.9</v>
      </c>
      <c r="D501" s="16">
        <f>IFERROR(__xludf.DUMMYFUNCTION("""COMPUTED_VALUE"""),-0.410084969798613)</f>
        <v>-0.4100849698</v>
      </c>
      <c r="E501" s="16">
        <f>IFERROR(__xludf.DUMMYFUNCTION("""COMPUTED_VALUE"""),-0.0100835760570392)</f>
        <v>-0.01008357606</v>
      </c>
      <c r="F501" s="16">
        <f>IFERROR(__xludf.DUMMYFUNCTION("""COMPUTED_VALUE"""),-0.664065779848042)</f>
        <v>-0.6640657798</v>
      </c>
      <c r="G501" s="16">
        <f>IFERROR(__xludf.DUMMYFUNCTION("""COMPUTED_VALUE"""),0.625096215853183)</f>
        <v>0.6250962159</v>
      </c>
      <c r="H501" s="16">
        <f t="shared" si="1"/>
        <v>0</v>
      </c>
    </row>
    <row r="502">
      <c r="B502" s="16">
        <f>IFERROR(__xludf.DUMMYFUNCTION("""COMPUTED_VALUE"""),50.0)</f>
        <v>50</v>
      </c>
      <c r="D502" s="16">
        <f>IFERROR(__xludf.DUMMYFUNCTION("""COMPUTED_VALUE"""),-0.410084969798613)</f>
        <v>-0.4100849698</v>
      </c>
      <c r="E502" s="16">
        <f>IFERROR(__xludf.DUMMYFUNCTION("""COMPUTED_VALUE"""),-0.0100835760570392)</f>
        <v>-0.01008357606</v>
      </c>
      <c r="F502" s="16">
        <f>IFERROR(__xludf.DUMMYFUNCTION("""COMPUTED_VALUE"""),-0.664065779848042)</f>
        <v>-0.6640657798</v>
      </c>
      <c r="G502" s="16">
        <f>IFERROR(__xludf.DUMMYFUNCTION("""COMPUTED_VALUE"""),0.625096215853183)</f>
        <v>0.6250962159</v>
      </c>
      <c r="H502" s="16">
        <f t="shared" si="1"/>
        <v>0</v>
      </c>
    </row>
    <row r="503">
      <c r="B503" s="16">
        <f>IFERROR(__xludf.DUMMYFUNCTION("""COMPUTED_VALUE"""),50.1)</f>
        <v>50.1</v>
      </c>
      <c r="D503" s="16">
        <f>IFERROR(__xludf.DUMMYFUNCTION("""COMPUTED_VALUE"""),-0.410084969798613)</f>
        <v>-0.4100849698</v>
      </c>
      <c r="E503" s="16">
        <f>IFERROR(__xludf.DUMMYFUNCTION("""COMPUTED_VALUE"""),-0.0100835760570392)</f>
        <v>-0.01008357606</v>
      </c>
      <c r="F503" s="16">
        <f>IFERROR(__xludf.DUMMYFUNCTION("""COMPUTED_VALUE"""),-0.664065779848042)</f>
        <v>-0.6640657798</v>
      </c>
      <c r="G503" s="16">
        <f>IFERROR(__xludf.DUMMYFUNCTION("""COMPUTED_VALUE"""),0.625096215853183)</f>
        <v>0.6250962159</v>
      </c>
      <c r="H503" s="16">
        <f t="shared" si="1"/>
        <v>0</v>
      </c>
    </row>
    <row r="504">
      <c r="B504" s="16">
        <f>IFERROR(__xludf.DUMMYFUNCTION("""COMPUTED_VALUE"""),50.2)</f>
        <v>50.2</v>
      </c>
      <c r="D504" s="16">
        <f>IFERROR(__xludf.DUMMYFUNCTION("""COMPUTED_VALUE"""),-0.410084969798613)</f>
        <v>-0.4100849698</v>
      </c>
      <c r="E504" s="16">
        <f>IFERROR(__xludf.DUMMYFUNCTION("""COMPUTED_VALUE"""),-0.0100835760570392)</f>
        <v>-0.01008357606</v>
      </c>
      <c r="F504" s="16">
        <f>IFERROR(__xludf.DUMMYFUNCTION("""COMPUTED_VALUE"""),-0.664065779848042)</f>
        <v>-0.6640657798</v>
      </c>
      <c r="G504" s="16">
        <f>IFERROR(__xludf.DUMMYFUNCTION("""COMPUTED_VALUE"""),0.625096215853183)</f>
        <v>0.6250962159</v>
      </c>
      <c r="H504" s="16">
        <f t="shared" si="1"/>
        <v>0</v>
      </c>
    </row>
    <row r="505">
      <c r="B505" s="16">
        <f>IFERROR(__xludf.DUMMYFUNCTION("""COMPUTED_VALUE"""),50.3)</f>
        <v>50.3</v>
      </c>
      <c r="D505" s="16">
        <f>IFERROR(__xludf.DUMMYFUNCTION("""COMPUTED_VALUE"""),-0.410084969798613)</f>
        <v>-0.4100849698</v>
      </c>
      <c r="E505" s="16">
        <f>IFERROR(__xludf.DUMMYFUNCTION("""COMPUTED_VALUE"""),-0.0100835760570392)</f>
        <v>-0.01008357606</v>
      </c>
      <c r="F505" s="16">
        <f>IFERROR(__xludf.DUMMYFUNCTION("""COMPUTED_VALUE"""),-0.664065779848042)</f>
        <v>-0.6640657798</v>
      </c>
      <c r="G505" s="16">
        <f>IFERROR(__xludf.DUMMYFUNCTION("""COMPUTED_VALUE"""),0.625096215853183)</f>
        <v>0.6250962159</v>
      </c>
      <c r="H505" s="16">
        <f t="shared" si="1"/>
        <v>0</v>
      </c>
    </row>
    <row r="506">
      <c r="B506" s="16">
        <f>IFERROR(__xludf.DUMMYFUNCTION("""COMPUTED_VALUE"""),50.4)</f>
        <v>50.4</v>
      </c>
      <c r="D506" s="16">
        <f>IFERROR(__xludf.DUMMYFUNCTION("""COMPUTED_VALUE"""),-0.410084969798613)</f>
        <v>-0.4100849698</v>
      </c>
      <c r="E506" s="16">
        <f>IFERROR(__xludf.DUMMYFUNCTION("""COMPUTED_VALUE"""),-0.0100835760570392)</f>
        <v>-0.01008357606</v>
      </c>
      <c r="F506" s="16">
        <f>IFERROR(__xludf.DUMMYFUNCTION("""COMPUTED_VALUE"""),-0.664065779848042)</f>
        <v>-0.6640657798</v>
      </c>
      <c r="G506" s="16">
        <f>IFERROR(__xludf.DUMMYFUNCTION("""COMPUTED_VALUE"""),0.625096215853183)</f>
        <v>0.6250962159</v>
      </c>
      <c r="H506" s="16">
        <f t="shared" si="1"/>
        <v>0</v>
      </c>
    </row>
    <row r="507">
      <c r="B507" s="16">
        <f>IFERROR(__xludf.DUMMYFUNCTION("""COMPUTED_VALUE"""),50.5)</f>
        <v>50.5</v>
      </c>
      <c r="D507" s="16">
        <f>IFERROR(__xludf.DUMMYFUNCTION("""COMPUTED_VALUE"""),-0.410084969798613)</f>
        <v>-0.4100849698</v>
      </c>
      <c r="E507" s="16">
        <f>IFERROR(__xludf.DUMMYFUNCTION("""COMPUTED_VALUE"""),-0.0100835760570392)</f>
        <v>-0.01008357606</v>
      </c>
      <c r="F507" s="16">
        <f>IFERROR(__xludf.DUMMYFUNCTION("""COMPUTED_VALUE"""),-0.664065779848042)</f>
        <v>-0.6640657798</v>
      </c>
      <c r="G507" s="16">
        <f>IFERROR(__xludf.DUMMYFUNCTION("""COMPUTED_VALUE"""),0.625096215853183)</f>
        <v>0.6250962159</v>
      </c>
      <c r="H507" s="16">
        <f t="shared" si="1"/>
        <v>0</v>
      </c>
    </row>
    <row r="508">
      <c r="B508" s="16">
        <f>IFERROR(__xludf.DUMMYFUNCTION("""COMPUTED_VALUE"""),50.6)</f>
        <v>50.6</v>
      </c>
      <c r="D508" s="16">
        <f>IFERROR(__xludf.DUMMYFUNCTION("""COMPUTED_VALUE"""),-0.410084969798613)</f>
        <v>-0.4100849698</v>
      </c>
      <c r="E508" s="16">
        <f>IFERROR(__xludf.DUMMYFUNCTION("""COMPUTED_VALUE"""),-0.0100835760570392)</f>
        <v>-0.01008357606</v>
      </c>
      <c r="F508" s="16">
        <f>IFERROR(__xludf.DUMMYFUNCTION("""COMPUTED_VALUE"""),-0.664065779848042)</f>
        <v>-0.6640657798</v>
      </c>
      <c r="G508" s="16">
        <f>IFERROR(__xludf.DUMMYFUNCTION("""COMPUTED_VALUE"""),0.625096215853183)</f>
        <v>0.6250962159</v>
      </c>
      <c r="H508" s="16">
        <f t="shared" si="1"/>
        <v>0</v>
      </c>
    </row>
    <row r="509">
      <c r="B509" s="16">
        <f>IFERROR(__xludf.DUMMYFUNCTION("""COMPUTED_VALUE"""),50.7)</f>
        <v>50.7</v>
      </c>
      <c r="D509" s="16">
        <f>IFERROR(__xludf.DUMMYFUNCTION("""COMPUTED_VALUE"""),-0.410084969798613)</f>
        <v>-0.4100849698</v>
      </c>
      <c r="E509" s="16">
        <f>IFERROR(__xludf.DUMMYFUNCTION("""COMPUTED_VALUE"""),-0.0100835760570392)</f>
        <v>-0.01008357606</v>
      </c>
      <c r="F509" s="16">
        <f>IFERROR(__xludf.DUMMYFUNCTION("""COMPUTED_VALUE"""),-0.664065779848042)</f>
        <v>-0.6640657798</v>
      </c>
      <c r="G509" s="16">
        <f>IFERROR(__xludf.DUMMYFUNCTION("""COMPUTED_VALUE"""),0.625096215853183)</f>
        <v>0.6250962159</v>
      </c>
      <c r="H509" s="16">
        <f t="shared" si="1"/>
        <v>0</v>
      </c>
    </row>
    <row r="510">
      <c r="B510" s="16">
        <f>IFERROR(__xludf.DUMMYFUNCTION("""COMPUTED_VALUE"""),50.8)</f>
        <v>50.8</v>
      </c>
      <c r="D510" s="16">
        <f>IFERROR(__xludf.DUMMYFUNCTION("""COMPUTED_VALUE"""),-0.394988584728914)</f>
        <v>-0.3949885847</v>
      </c>
      <c r="E510" s="16">
        <f>IFERROR(__xludf.DUMMYFUNCTION("""COMPUTED_VALUE"""),-0.00454150384084109)</f>
        <v>-0.004541503841</v>
      </c>
      <c r="F510" s="16">
        <f>IFERROR(__xludf.DUMMYFUNCTION("""COMPUTED_VALUE"""),-0.667371196336213)</f>
        <v>-0.6673711963</v>
      </c>
      <c r="G510" s="16">
        <f>IFERROR(__xludf.DUMMYFUNCTION("""COMPUTED_VALUE"""),0.631331195948268)</f>
        <v>0.6313311959</v>
      </c>
      <c r="H510" s="16">
        <f t="shared" si="1"/>
        <v>0</v>
      </c>
    </row>
    <row r="511">
      <c r="B511" s="16">
        <f>IFERROR(__xludf.DUMMYFUNCTION("""COMPUTED_VALUE"""),50.9)</f>
        <v>50.9</v>
      </c>
      <c r="D511" s="16">
        <f>IFERROR(__xludf.DUMMYFUNCTION("""COMPUTED_VALUE"""),-0.36190549208448)</f>
        <v>-0.3619054921</v>
      </c>
      <c r="E511" s="16">
        <f>IFERROR(__xludf.DUMMYFUNCTION("""COMPUTED_VALUE"""),0.00915247655623351)</f>
        <v>0.009152476556</v>
      </c>
      <c r="F511" s="16">
        <f>IFERROR(__xludf.DUMMYFUNCTION("""COMPUTED_VALUE"""),-0.673274535243995)</f>
        <v>-0.6732745352</v>
      </c>
      <c r="G511" s="16">
        <f>IFERROR(__xludf.DUMMYFUNCTION("""COMPUTED_VALUE"""),0.644703068989086)</f>
        <v>0.644703069</v>
      </c>
      <c r="H511" s="16">
        <f t="shared" si="1"/>
        <v>0</v>
      </c>
    </row>
    <row r="512">
      <c r="B512" s="16">
        <f>IFERROR(__xludf.DUMMYFUNCTION("""COMPUTED_VALUE"""),51.0)</f>
        <v>51</v>
      </c>
      <c r="D512" s="16">
        <f>IFERROR(__xludf.DUMMYFUNCTION("""COMPUTED_VALUE"""),-0.307375018535006)</f>
        <v>-0.3073750185</v>
      </c>
      <c r="E512" s="16">
        <f>IFERROR(__xludf.DUMMYFUNCTION("""COMPUTED_VALUE"""),0.0335712219190258)</f>
        <v>0.03357122192</v>
      </c>
      <c r="F512" s="16">
        <f>IFERROR(__xludf.DUMMYFUNCTION("""COMPUTED_VALUE"""),-0.67987226728696)</f>
        <v>-0.6798722673</v>
      </c>
      <c r="G512" s="16">
        <f>IFERROR(__xludf.DUMMYFUNCTION("""COMPUTED_VALUE"""),0.664956593480765)</f>
        <v>0.6649565935</v>
      </c>
      <c r="H512" s="16">
        <f t="shared" si="1"/>
        <v>0</v>
      </c>
    </row>
    <row r="513">
      <c r="B513" s="16">
        <f>IFERROR(__xludf.DUMMYFUNCTION("""COMPUTED_VALUE"""),51.1)</f>
        <v>51.1</v>
      </c>
      <c r="D513" s="16">
        <f>IFERROR(__xludf.DUMMYFUNCTION("""COMPUTED_VALUE"""),-0.256981820062974)</f>
        <v>-0.2569818201</v>
      </c>
      <c r="E513" s="16">
        <f>IFERROR(__xludf.DUMMYFUNCTION("""COMPUTED_VALUE"""),0.0684468081527762)</f>
        <v>0.06844680815</v>
      </c>
      <c r="F513" s="16">
        <f>IFERROR(__xludf.DUMMYFUNCTION("""COMPUTED_VALUE"""),-0.680179135431262)</f>
        <v>-0.6801791354</v>
      </c>
      <c r="G513" s="16">
        <f>IFERROR(__xludf.DUMMYFUNCTION("""COMPUTED_VALUE"""),0.683104473953132)</f>
        <v>0.683104474</v>
      </c>
      <c r="H513" s="16">
        <f t="shared" si="1"/>
        <v>0</v>
      </c>
    </row>
    <row r="514">
      <c r="B514" s="16">
        <f>IFERROR(__xludf.DUMMYFUNCTION("""COMPUTED_VALUE"""),51.2)</f>
        <v>51.2</v>
      </c>
      <c r="D514" s="16">
        <f>IFERROR(__xludf.DUMMYFUNCTION("""COMPUTED_VALUE"""),-0.219107206069075)</f>
        <v>-0.2191072061</v>
      </c>
      <c r="E514" s="16">
        <f>IFERROR(__xludf.DUMMYFUNCTION("""COMPUTED_VALUE"""),0.100429099932753)</f>
        <v>0.1004290999</v>
      </c>
      <c r="F514" s="16">
        <f>IFERROR(__xludf.DUMMYFUNCTION("""COMPUTED_VALUE"""),-0.676919073052572)</f>
        <v>-0.6769190731</v>
      </c>
      <c r="G514" s="16">
        <f>IFERROR(__xludf.DUMMYFUNCTION("""COMPUTED_VALUE"""),0.695475805958003)</f>
        <v>0.695475806</v>
      </c>
      <c r="H514" s="16">
        <f t="shared" si="1"/>
        <v>0</v>
      </c>
    </row>
    <row r="515">
      <c r="B515" s="16">
        <f>IFERROR(__xludf.DUMMYFUNCTION("""COMPUTED_VALUE"""),51.3)</f>
        <v>51.3</v>
      </c>
      <c r="D515" s="16">
        <f>IFERROR(__xludf.DUMMYFUNCTION("""COMPUTED_VALUE"""),-0.177921524220168)</f>
        <v>-0.1779215242</v>
      </c>
      <c r="E515" s="16">
        <f>IFERROR(__xludf.DUMMYFUNCTION("""COMPUTED_VALUE"""),0.134704560732871)</f>
        <v>0.1347045607</v>
      </c>
      <c r="F515" s="16">
        <f>IFERROR(__xludf.DUMMYFUNCTION("""COMPUTED_VALUE"""),-0.671103356629441)</f>
        <v>-0.6711033566</v>
      </c>
      <c r="G515" s="16">
        <f>IFERROR(__xludf.DUMMYFUNCTION("""COMPUTED_VALUE"""),0.706978710611303)</f>
        <v>0.7069787106</v>
      </c>
      <c r="H515" s="16">
        <f t="shared" si="1"/>
        <v>0</v>
      </c>
    </row>
    <row r="516">
      <c r="B516" s="16">
        <f>IFERROR(__xludf.DUMMYFUNCTION("""COMPUTED_VALUE"""),51.4)</f>
        <v>51.4</v>
      </c>
      <c r="D516" s="16">
        <f>IFERROR(__xludf.DUMMYFUNCTION("""COMPUTED_VALUE"""),-0.175143860649244)</f>
        <v>-0.1751438606</v>
      </c>
      <c r="E516" s="16">
        <f>IFERROR(__xludf.DUMMYFUNCTION("""COMPUTED_VALUE"""),0.137338931944106)</f>
        <v>0.1373389319</v>
      </c>
      <c r="F516" s="16">
        <f>IFERROR(__xludf.DUMMYFUNCTION("""COMPUTED_VALUE"""),-0.670569199810124)</f>
        <v>-0.6705691998</v>
      </c>
      <c r="G516" s="16">
        <f>IFERROR(__xludf.DUMMYFUNCTION("""COMPUTED_VALUE"""),0.70767195374363)</f>
        <v>0.7076719537</v>
      </c>
      <c r="H516" s="16">
        <f t="shared" si="1"/>
        <v>0</v>
      </c>
    </row>
    <row r="517">
      <c r="B517" s="16">
        <f>IFERROR(__xludf.DUMMYFUNCTION("""COMPUTED_VALUE"""),51.5)</f>
        <v>51.5</v>
      </c>
      <c r="D517" s="16">
        <f>IFERROR(__xludf.DUMMYFUNCTION("""COMPUTED_VALUE"""),-0.218046011799691)</f>
        <v>-0.2180460118</v>
      </c>
      <c r="E517" s="16">
        <f>IFERROR(__xludf.DUMMYFUNCTION("""COMPUTED_VALUE"""),0.143848349817453)</f>
        <v>0.1438483498</v>
      </c>
      <c r="F517" s="16">
        <f>IFERROR(__xludf.DUMMYFUNCTION("""COMPUTED_VALUE"""),-0.667789651896261)</f>
        <v>-0.6677896519</v>
      </c>
      <c r="G517" s="16">
        <f>IFERROR(__xludf.DUMMYFUNCTION("""COMPUTED_VALUE"""),0.697008299673183)</f>
        <v>0.6970082997</v>
      </c>
      <c r="H517" s="16">
        <f t="shared" si="1"/>
        <v>0</v>
      </c>
    </row>
    <row r="518">
      <c r="B518" s="16">
        <f>IFERROR(__xludf.DUMMYFUNCTION("""COMPUTED_VALUE"""),51.6)</f>
        <v>51.6</v>
      </c>
      <c r="D518" s="16">
        <f>IFERROR(__xludf.DUMMYFUNCTION("""COMPUTED_VALUE"""),-0.305714683760378)</f>
        <v>-0.3057146838</v>
      </c>
      <c r="E518" s="16">
        <f>IFERROR(__xludf.DUMMYFUNCTION("""COMPUTED_VALUE"""),0.126509440704759)</f>
        <v>0.1265094407</v>
      </c>
      <c r="F518" s="16">
        <f>IFERROR(__xludf.DUMMYFUNCTION("""COMPUTED_VALUE"""),-0.665411649377672)</f>
        <v>-0.6654116494</v>
      </c>
      <c r="G518" s="16">
        <f>IFERROR(__xludf.DUMMYFUNCTION("""COMPUTED_VALUE"""),0.6691496323083)</f>
        <v>0.6691496323</v>
      </c>
      <c r="H518" s="16">
        <f t="shared" si="1"/>
        <v>0</v>
      </c>
    </row>
    <row r="519">
      <c r="B519" s="16">
        <f>IFERROR(__xludf.DUMMYFUNCTION("""COMPUTED_VALUE"""),51.7)</f>
        <v>51.7</v>
      </c>
      <c r="D519" s="16">
        <f>IFERROR(__xludf.DUMMYFUNCTION("""COMPUTED_VALUE"""),-0.403377516595939)</f>
        <v>-0.4033775166</v>
      </c>
      <c r="E519" s="16">
        <f>IFERROR(__xludf.DUMMYFUNCTION("""COMPUTED_VALUE"""),0.1051324152735)</f>
        <v>0.1051324153</v>
      </c>
      <c r="F519" s="16">
        <f>IFERROR(__xludf.DUMMYFUNCTION("""COMPUTED_VALUE"""),-0.654989122224118)</f>
        <v>-0.6549891222</v>
      </c>
      <c r="G519" s="16">
        <f>IFERROR(__xludf.DUMMYFUNCTION("""COMPUTED_VALUE"""),0.630256300350673)</f>
        <v>0.6302563004</v>
      </c>
      <c r="H519" s="16">
        <f t="shared" si="1"/>
        <v>0</v>
      </c>
    </row>
    <row r="520">
      <c r="B520" s="16">
        <f>IFERROR(__xludf.DUMMYFUNCTION("""COMPUTED_VALUE"""),51.8)</f>
        <v>51.8</v>
      </c>
      <c r="D520" s="16">
        <f>IFERROR(__xludf.DUMMYFUNCTION("""COMPUTED_VALUE"""),-0.428238126517452)</f>
        <v>-0.4282381265</v>
      </c>
      <c r="E520" s="16">
        <f>IFERROR(__xludf.DUMMYFUNCTION("""COMPUTED_VALUE"""),0.094494669171668)</f>
        <v>0.09449466917</v>
      </c>
      <c r="F520" s="16">
        <f>IFERROR(__xludf.DUMMYFUNCTION("""COMPUTED_VALUE"""),-0.65281484099109)</f>
        <v>-0.652814841</v>
      </c>
      <c r="G520" s="16">
        <f>IFERROR(__xludf.DUMMYFUNCTION("""COMPUTED_VALUE"""),0.617669529665114)</f>
        <v>0.6176695297</v>
      </c>
      <c r="H520" s="16">
        <f t="shared" si="1"/>
        <v>0</v>
      </c>
    </row>
    <row r="521">
      <c r="B521" s="16">
        <f>IFERROR(__xludf.DUMMYFUNCTION("""COMPUTED_VALUE"""),51.9)</f>
        <v>51.9</v>
      </c>
      <c r="D521" s="16">
        <f>IFERROR(__xludf.DUMMYFUNCTION("""COMPUTED_VALUE"""),-0.428238126517452)</f>
        <v>-0.4282381265</v>
      </c>
      <c r="E521" s="16">
        <f>IFERROR(__xludf.DUMMYFUNCTION("""COMPUTED_VALUE"""),0.094494669171668)</f>
        <v>0.09449466917</v>
      </c>
      <c r="F521" s="16">
        <f>IFERROR(__xludf.DUMMYFUNCTION("""COMPUTED_VALUE"""),-0.65281484099109)</f>
        <v>-0.652814841</v>
      </c>
      <c r="G521" s="16">
        <f>IFERROR(__xludf.DUMMYFUNCTION("""COMPUTED_VALUE"""),0.617669529665114)</f>
        <v>0.6176695297</v>
      </c>
      <c r="H521" s="16">
        <f t="shared" si="1"/>
        <v>0</v>
      </c>
    </row>
    <row r="522">
      <c r="B522" s="16">
        <f>IFERROR(__xludf.DUMMYFUNCTION("""COMPUTED_VALUE"""),52.0)</f>
        <v>52</v>
      </c>
      <c r="D522" s="16">
        <f>IFERROR(__xludf.DUMMYFUNCTION("""COMPUTED_VALUE"""),-0.428238126517452)</f>
        <v>-0.4282381265</v>
      </c>
      <c r="E522" s="16">
        <f>IFERROR(__xludf.DUMMYFUNCTION("""COMPUTED_VALUE"""),0.094494669171668)</f>
        <v>0.09449466917</v>
      </c>
      <c r="F522" s="16">
        <f>IFERROR(__xludf.DUMMYFUNCTION("""COMPUTED_VALUE"""),-0.65281484099109)</f>
        <v>-0.652814841</v>
      </c>
      <c r="G522" s="16">
        <f>IFERROR(__xludf.DUMMYFUNCTION("""COMPUTED_VALUE"""),0.617669529665114)</f>
        <v>0.6176695297</v>
      </c>
      <c r="H522" s="16">
        <f t="shared" si="1"/>
        <v>0</v>
      </c>
    </row>
    <row r="523">
      <c r="B523" s="16">
        <f>IFERROR(__xludf.DUMMYFUNCTION("""COMPUTED_VALUE"""),52.1)</f>
        <v>52.1</v>
      </c>
      <c r="D523" s="16">
        <f>IFERROR(__xludf.DUMMYFUNCTION("""COMPUTED_VALUE"""),-0.428238126517452)</f>
        <v>-0.4282381265</v>
      </c>
      <c r="E523" s="16">
        <f>IFERROR(__xludf.DUMMYFUNCTION("""COMPUTED_VALUE"""),0.094494669171668)</f>
        <v>0.09449466917</v>
      </c>
      <c r="F523" s="16">
        <f>IFERROR(__xludf.DUMMYFUNCTION("""COMPUTED_VALUE"""),-0.65281484099109)</f>
        <v>-0.652814841</v>
      </c>
      <c r="G523" s="16">
        <f>IFERROR(__xludf.DUMMYFUNCTION("""COMPUTED_VALUE"""),0.617669529665114)</f>
        <v>0.6176695297</v>
      </c>
      <c r="H523" s="16">
        <f t="shared" si="1"/>
        <v>0</v>
      </c>
    </row>
    <row r="524">
      <c r="B524" s="16">
        <f>IFERROR(__xludf.DUMMYFUNCTION("""COMPUTED_VALUE"""),52.2)</f>
        <v>52.2</v>
      </c>
      <c r="D524" s="16">
        <f>IFERROR(__xludf.DUMMYFUNCTION("""COMPUTED_VALUE"""),0.43804223385058)</f>
        <v>0.4380422339</v>
      </c>
      <c r="E524" s="16">
        <f>IFERROR(__xludf.DUMMYFUNCTION("""COMPUTED_VALUE"""),-0.0892355166988394)</f>
        <v>-0.0892355167</v>
      </c>
      <c r="F524" s="16">
        <f>IFERROR(__xludf.DUMMYFUNCTION("""COMPUTED_VALUE"""),0.652215135808814)</f>
        <v>0.6522151358</v>
      </c>
      <c r="G524" s="16">
        <f>IFERROR(__xludf.DUMMYFUNCTION("""COMPUTED_VALUE"""),-0.612185789237681)</f>
        <v>-0.6121857892</v>
      </c>
      <c r="H524" s="16">
        <f t="shared" si="1"/>
        <v>0</v>
      </c>
    </row>
    <row r="525">
      <c r="B525" s="16">
        <f>IFERROR(__xludf.DUMMYFUNCTION("""COMPUTED_VALUE"""),52.3)</f>
        <v>52.3</v>
      </c>
      <c r="D525" s="16">
        <f>IFERROR(__xludf.DUMMYFUNCTION("""COMPUTED_VALUE"""),0.447603989829389)</f>
        <v>0.4476039898</v>
      </c>
      <c r="E525" s="16">
        <f>IFERROR(__xludf.DUMMYFUNCTION("""COMPUTED_VALUE"""),-0.078979958146697)</f>
        <v>-0.07897995815</v>
      </c>
      <c r="F525" s="16">
        <f>IFERROR(__xludf.DUMMYFUNCTION("""COMPUTED_VALUE"""),0.6535363241854)</f>
        <v>0.6535363242</v>
      </c>
      <c r="G525" s="16">
        <f>IFERROR(__xludf.DUMMYFUNCTION("""COMPUTED_VALUE"""),-0.605229797242486)</f>
        <v>-0.6052297972</v>
      </c>
      <c r="H525" s="16">
        <f t="shared" si="1"/>
        <v>0</v>
      </c>
    </row>
    <row r="526">
      <c r="B526" s="16">
        <f>IFERROR(__xludf.DUMMYFUNCTION("""COMPUTED_VALUE"""),52.4)</f>
        <v>52.4</v>
      </c>
      <c r="D526" s="16">
        <f>IFERROR(__xludf.DUMMYFUNCTION("""COMPUTED_VALUE"""),0.468173056972889)</f>
        <v>0.468173057</v>
      </c>
      <c r="E526" s="16">
        <f>IFERROR(__xludf.DUMMYFUNCTION("""COMPUTED_VALUE"""),-0.0459507893636647)</f>
        <v>-0.04595078936</v>
      </c>
      <c r="F526" s="16">
        <f>IFERROR(__xludf.DUMMYFUNCTION("""COMPUTED_VALUE"""),0.659859636936083)</f>
        <v>0.6598596369</v>
      </c>
      <c r="G526" s="16">
        <f>IFERROR(__xludf.DUMMYFUNCTION("""COMPUTED_VALUE"""),-0.585907649057497)</f>
        <v>-0.5859076491</v>
      </c>
      <c r="H526" s="16">
        <f t="shared" si="1"/>
        <v>0</v>
      </c>
    </row>
    <row r="527">
      <c r="B527" s="16">
        <f>IFERROR(__xludf.DUMMYFUNCTION("""COMPUTED_VALUE"""),52.5)</f>
        <v>52.5</v>
      </c>
      <c r="D527" s="16">
        <f>IFERROR(__xludf.DUMMYFUNCTION("""COMPUTED_VALUE"""),0.467875429899076)</f>
        <v>0.4678754299</v>
      </c>
      <c r="E527" s="16">
        <f>IFERROR(__xludf.DUMMYFUNCTION("""COMPUTED_VALUE"""),-0.0410579893476291)</f>
        <v>-0.04105798935</v>
      </c>
      <c r="F527" s="16">
        <f>IFERROR(__xludf.DUMMYFUNCTION("""COMPUTED_VALUE"""),0.66186841028281)</f>
        <v>0.6618684103</v>
      </c>
      <c r="G527" s="16">
        <f>IFERROR(__xludf.DUMMYFUNCTION("""COMPUTED_VALUE"""),-0.584240559253786)</f>
        <v>-0.5842405593</v>
      </c>
      <c r="H527" s="16">
        <f t="shared" si="1"/>
        <v>0</v>
      </c>
    </row>
    <row r="528">
      <c r="B528" s="16">
        <f>IFERROR(__xludf.DUMMYFUNCTION("""COMPUTED_VALUE"""),52.6)</f>
        <v>52.6</v>
      </c>
      <c r="D528" s="16">
        <f>IFERROR(__xludf.DUMMYFUNCTION("""COMPUTED_VALUE"""),0.472449566830584)</f>
        <v>0.4724495668</v>
      </c>
      <c r="E528" s="16">
        <f>IFERROR(__xludf.DUMMYFUNCTION("""COMPUTED_VALUE"""),-0.0358584742817383)</f>
        <v>-0.03585847428</v>
      </c>
      <c r="F528" s="16">
        <f>IFERROR(__xludf.DUMMYFUNCTION("""COMPUTED_VALUE"""),0.662170462072833)</f>
        <v>0.6621704621</v>
      </c>
      <c r="G528" s="16">
        <f>IFERROR(__xludf.DUMMYFUNCTION("""COMPUTED_VALUE"""),-0.58054789275478)</f>
        <v>-0.5805478928</v>
      </c>
      <c r="H528" s="16">
        <f t="shared" si="1"/>
        <v>0</v>
      </c>
    </row>
    <row r="529">
      <c r="B529" s="16">
        <f>IFERROR(__xludf.DUMMYFUNCTION("""COMPUTED_VALUE"""),52.7)</f>
        <v>52.7</v>
      </c>
      <c r="D529" s="16">
        <f>IFERROR(__xludf.DUMMYFUNCTION("""COMPUTED_VALUE"""),0.469845593389448)</f>
        <v>0.4698455934</v>
      </c>
      <c r="E529" s="16">
        <f>IFERROR(__xludf.DUMMYFUNCTION("""COMPUTED_VALUE"""),-0.0335783974745605)</f>
        <v>-0.03357839747</v>
      </c>
      <c r="F529" s="16">
        <f>IFERROR(__xludf.DUMMYFUNCTION("""COMPUTED_VALUE"""),0.664020656615947)</f>
        <v>0.6640206566</v>
      </c>
      <c r="G529" s="16">
        <f>IFERROR(__xludf.DUMMYFUNCTION("""COMPUTED_VALUE"""),-0.580684231904803)</f>
        <v>-0.5806842319</v>
      </c>
      <c r="H529" s="16">
        <f t="shared" si="1"/>
        <v>0</v>
      </c>
    </row>
    <row r="530">
      <c r="B530" s="16">
        <f>IFERROR(__xludf.DUMMYFUNCTION("""COMPUTED_VALUE"""),52.8)</f>
        <v>52.8</v>
      </c>
      <c r="D530" s="16">
        <f>IFERROR(__xludf.DUMMYFUNCTION("""COMPUTED_VALUE"""),0.469845593389448)</f>
        <v>0.4698455934</v>
      </c>
      <c r="E530" s="16">
        <f>IFERROR(__xludf.DUMMYFUNCTION("""COMPUTED_VALUE"""),-0.0335783974745605)</f>
        <v>-0.03357839747</v>
      </c>
      <c r="F530" s="16">
        <f>IFERROR(__xludf.DUMMYFUNCTION("""COMPUTED_VALUE"""),0.664020656615947)</f>
        <v>0.6640206566</v>
      </c>
      <c r="G530" s="16">
        <f>IFERROR(__xludf.DUMMYFUNCTION("""COMPUTED_VALUE"""),-0.580684231904803)</f>
        <v>-0.5806842319</v>
      </c>
      <c r="H530" s="16">
        <f t="shared" si="1"/>
        <v>0</v>
      </c>
    </row>
    <row r="531">
      <c r="B531" s="16">
        <f>IFERROR(__xludf.DUMMYFUNCTION("""COMPUTED_VALUE"""),52.9)</f>
        <v>52.9</v>
      </c>
      <c r="D531" s="16">
        <f>IFERROR(__xludf.DUMMYFUNCTION("""COMPUTED_VALUE"""),0.469845593389448)</f>
        <v>0.4698455934</v>
      </c>
      <c r="E531" s="16">
        <f>IFERROR(__xludf.DUMMYFUNCTION("""COMPUTED_VALUE"""),-0.0335783974745605)</f>
        <v>-0.03357839747</v>
      </c>
      <c r="F531" s="16">
        <f>IFERROR(__xludf.DUMMYFUNCTION("""COMPUTED_VALUE"""),0.664020656615947)</f>
        <v>0.6640206566</v>
      </c>
      <c r="G531" s="16">
        <f>IFERROR(__xludf.DUMMYFUNCTION("""COMPUTED_VALUE"""),-0.580684231904803)</f>
        <v>-0.5806842319</v>
      </c>
      <c r="H531" s="16">
        <f t="shared" si="1"/>
        <v>0</v>
      </c>
    </row>
    <row r="532">
      <c r="B532" s="16">
        <f>IFERROR(__xludf.DUMMYFUNCTION("""COMPUTED_VALUE"""),53.0)</f>
        <v>53</v>
      </c>
      <c r="D532" s="16">
        <f>IFERROR(__xludf.DUMMYFUNCTION("""COMPUTED_VALUE"""),0.469845593389448)</f>
        <v>0.4698455934</v>
      </c>
      <c r="E532" s="16">
        <f>IFERROR(__xludf.DUMMYFUNCTION("""COMPUTED_VALUE"""),-0.0335783974745605)</f>
        <v>-0.03357839747</v>
      </c>
      <c r="F532" s="16">
        <f>IFERROR(__xludf.DUMMYFUNCTION("""COMPUTED_VALUE"""),0.664020656615947)</f>
        <v>0.6640206566</v>
      </c>
      <c r="G532" s="16">
        <f>IFERROR(__xludf.DUMMYFUNCTION("""COMPUTED_VALUE"""),-0.580684231904803)</f>
        <v>-0.5806842319</v>
      </c>
      <c r="H532" s="16">
        <f t="shared" si="1"/>
        <v>0</v>
      </c>
    </row>
    <row r="533">
      <c r="B533" s="16">
        <f>IFERROR(__xludf.DUMMYFUNCTION("""COMPUTED_VALUE"""),53.1)</f>
        <v>53.1</v>
      </c>
      <c r="D533" s="16">
        <f>IFERROR(__xludf.DUMMYFUNCTION("""COMPUTED_VALUE"""),0.469845593389448)</f>
        <v>0.4698455934</v>
      </c>
      <c r="E533" s="16">
        <f>IFERROR(__xludf.DUMMYFUNCTION("""COMPUTED_VALUE"""),-0.0335783974745605)</f>
        <v>-0.03357839747</v>
      </c>
      <c r="F533" s="16">
        <f>IFERROR(__xludf.DUMMYFUNCTION("""COMPUTED_VALUE"""),0.664020656615947)</f>
        <v>0.6640206566</v>
      </c>
      <c r="G533" s="16">
        <f>IFERROR(__xludf.DUMMYFUNCTION("""COMPUTED_VALUE"""),-0.580684231904803)</f>
        <v>-0.5806842319</v>
      </c>
      <c r="H533" s="16">
        <f t="shared" si="1"/>
        <v>0</v>
      </c>
    </row>
    <row r="534">
      <c r="B534" s="16">
        <f>IFERROR(__xludf.DUMMYFUNCTION("""COMPUTED_VALUE"""),53.2)</f>
        <v>53.2</v>
      </c>
      <c r="D534" s="16">
        <f>IFERROR(__xludf.DUMMYFUNCTION("""COMPUTED_VALUE"""),0.461990360650987)</f>
        <v>0.4619903607</v>
      </c>
      <c r="E534" s="16">
        <f>IFERROR(__xludf.DUMMYFUNCTION("""COMPUTED_VALUE"""),-0.0267352008164433)</f>
        <v>-0.02673520082</v>
      </c>
      <c r="F534" s="16">
        <f>IFERROR(__xludf.DUMMYFUNCTION("""COMPUTED_VALUE"""),0.669509686790062)</f>
        <v>0.6695096868</v>
      </c>
      <c r="G534" s="16">
        <f>IFERROR(__xludf.DUMMYFUNCTION("""COMPUTED_VALUE"""),-0.581039512423324)</f>
        <v>-0.5810395124</v>
      </c>
      <c r="H534" s="16">
        <f t="shared" si="1"/>
        <v>0</v>
      </c>
    </row>
    <row r="535">
      <c r="B535" s="16">
        <f>IFERROR(__xludf.DUMMYFUNCTION("""COMPUTED_VALUE"""),53.3)</f>
        <v>53.3</v>
      </c>
      <c r="D535" s="16">
        <f>IFERROR(__xludf.DUMMYFUNCTION("""COMPUTED_VALUE"""),0.413795965845991)</f>
        <v>0.4137959658</v>
      </c>
      <c r="E535" s="16">
        <f>IFERROR(__xludf.DUMMYFUNCTION("""COMPUTED_VALUE"""),-0.017888494854822)</f>
        <v>-0.01788849485</v>
      </c>
      <c r="F535" s="16">
        <f>IFERROR(__xludf.DUMMYFUNCTION("""COMPUTED_VALUE"""),0.689744147127278)</f>
        <v>0.6897441471</v>
      </c>
      <c r="G535" s="16">
        <f>IFERROR(__xludf.DUMMYFUNCTION("""COMPUTED_VALUE"""),-0.593890488141596)</f>
        <v>-0.5938904881</v>
      </c>
      <c r="H535" s="16">
        <f t="shared" si="1"/>
        <v>0</v>
      </c>
    </row>
    <row r="536">
      <c r="B536" s="16">
        <f>IFERROR(__xludf.DUMMYFUNCTION("""COMPUTED_VALUE"""),53.4)</f>
        <v>53.4</v>
      </c>
      <c r="D536" s="16">
        <f>IFERROR(__xludf.DUMMYFUNCTION("""COMPUTED_VALUE"""),-0.281346662292034)</f>
        <v>-0.2813466623</v>
      </c>
      <c r="E536" s="16">
        <f>IFERROR(__xludf.DUMMYFUNCTION("""COMPUTED_VALUE"""),0.0249819208450124)</f>
        <v>0.02498192085</v>
      </c>
      <c r="F536" s="16">
        <f>IFERROR(__xludf.DUMMYFUNCTION("""COMPUTED_VALUE"""),-0.723470254919853)</f>
        <v>-0.7234702549</v>
      </c>
      <c r="G536" s="16">
        <f>IFERROR(__xludf.DUMMYFUNCTION("""COMPUTED_VALUE"""),0.629929162282723)</f>
        <v>0.6299291623</v>
      </c>
      <c r="H536" s="16">
        <f t="shared" si="1"/>
        <v>0</v>
      </c>
    </row>
    <row r="537">
      <c r="B537" s="16">
        <f>IFERROR(__xludf.DUMMYFUNCTION("""COMPUTED_VALUE"""),53.5)</f>
        <v>53.5</v>
      </c>
      <c r="D537" s="16">
        <f>IFERROR(__xludf.DUMMYFUNCTION("""COMPUTED_VALUE"""),-0.186487230431172)</f>
        <v>-0.1864872304</v>
      </c>
      <c r="E537" s="16">
        <f>IFERROR(__xludf.DUMMYFUNCTION("""COMPUTED_VALUE"""),0.0634032896582913)</f>
        <v>0.06340328966</v>
      </c>
      <c r="F537" s="16">
        <f>IFERROR(__xludf.DUMMYFUNCTION("""COMPUTED_VALUE"""),-0.73063184362216)</f>
        <v>-0.7306318436</v>
      </c>
      <c r="G537" s="16">
        <f>IFERROR(__xludf.DUMMYFUNCTION("""COMPUTED_VALUE"""),0.65374279715488)</f>
        <v>0.6537427972</v>
      </c>
      <c r="H537" s="16">
        <f t="shared" si="1"/>
        <v>0</v>
      </c>
    </row>
    <row r="538">
      <c r="B538" s="16">
        <f>IFERROR(__xludf.DUMMYFUNCTION("""COMPUTED_VALUE"""),53.6)</f>
        <v>53.6</v>
      </c>
      <c r="D538" s="16">
        <f>IFERROR(__xludf.DUMMYFUNCTION("""COMPUTED_VALUE"""),-0.0973232147378322)</f>
        <v>-0.09732321474</v>
      </c>
      <c r="E538" s="16">
        <f>IFERROR(__xludf.DUMMYFUNCTION("""COMPUTED_VALUE"""),0.149416855521022)</f>
        <v>0.1494168555</v>
      </c>
      <c r="F538" s="16">
        <f>IFERROR(__xludf.DUMMYFUNCTION("""COMPUTED_VALUE"""),-0.718616106145862)</f>
        <v>-0.7186161061</v>
      </c>
      <c r="G538" s="16">
        <f>IFERROR(__xludf.DUMMYFUNCTION("""COMPUTED_VALUE"""),0.672155999115569)</f>
        <v>0.6721559991</v>
      </c>
      <c r="H538" s="16">
        <f t="shared" si="1"/>
        <v>0</v>
      </c>
    </row>
    <row r="539">
      <c r="B539" s="16">
        <f>IFERROR(__xludf.DUMMYFUNCTION("""COMPUTED_VALUE"""),53.7)</f>
        <v>53.7</v>
      </c>
      <c r="D539" s="16">
        <f>IFERROR(__xludf.DUMMYFUNCTION("""COMPUTED_VALUE"""),-0.0416247152394442)</f>
        <v>-0.04162471524</v>
      </c>
      <c r="E539" s="16">
        <f>IFERROR(__xludf.DUMMYFUNCTION("""COMPUTED_VALUE"""),0.208103893976532)</f>
        <v>0.208103894</v>
      </c>
      <c r="F539" s="16">
        <f>IFERROR(__xludf.DUMMYFUNCTION("""COMPUTED_VALUE"""),-0.703865948912032)</f>
        <v>-0.7038659489</v>
      </c>
      <c r="G539" s="16">
        <f>IFERROR(__xludf.DUMMYFUNCTION("""COMPUTED_VALUE"""),0.677888544198226)</f>
        <v>0.6778885442</v>
      </c>
      <c r="H539" s="16">
        <f t="shared" si="1"/>
        <v>0</v>
      </c>
    </row>
    <row r="540">
      <c r="B540" s="16">
        <f>IFERROR(__xludf.DUMMYFUNCTION("""COMPUTED_VALUE"""),53.8)</f>
        <v>53.8</v>
      </c>
      <c r="D540" s="16">
        <f>IFERROR(__xludf.DUMMYFUNCTION("""COMPUTED_VALUE"""),0.0027426237283416)</f>
        <v>0.002742623728</v>
      </c>
      <c r="E540" s="16">
        <f>IFERROR(__xludf.DUMMYFUNCTION("""COMPUTED_VALUE"""),0.313093649090597)</f>
        <v>0.3130936491</v>
      </c>
      <c r="F540" s="16">
        <f>IFERROR(__xludf.DUMMYFUNCTION("""COMPUTED_VALUE"""),-0.674504589134098)</f>
        <v>-0.6745045891</v>
      </c>
      <c r="G540" s="16">
        <f>IFERROR(__xludf.DUMMYFUNCTION("""COMPUTED_VALUE"""),0.668586871058089)</f>
        <v>0.6685868711</v>
      </c>
      <c r="H540" s="16">
        <f t="shared" si="1"/>
        <v>0</v>
      </c>
    </row>
    <row r="541">
      <c r="B541" s="16">
        <f>IFERROR(__xludf.DUMMYFUNCTION("""COMPUTED_VALUE"""),53.9)</f>
        <v>53.9</v>
      </c>
      <c r="D541" s="16">
        <f>IFERROR(__xludf.DUMMYFUNCTION("""COMPUTED_VALUE"""),0.0339923867079209)</f>
        <v>0.03399238671</v>
      </c>
      <c r="E541" s="16">
        <f>IFERROR(__xludf.DUMMYFUNCTION("""COMPUTED_VALUE"""),0.385863406655011)</f>
        <v>0.3858634067</v>
      </c>
      <c r="F541" s="16">
        <f>IFERROR(__xludf.DUMMYFUNCTION("""COMPUTED_VALUE"""),-0.647555435250498)</f>
        <v>-0.6475554353</v>
      </c>
      <c r="G541" s="16">
        <f>IFERROR(__xludf.DUMMYFUNCTION("""COMPUTED_VALUE"""),0.656220928748857)</f>
        <v>0.6562209287</v>
      </c>
      <c r="H541" s="16">
        <f t="shared" si="1"/>
        <v>0</v>
      </c>
    </row>
    <row r="542">
      <c r="B542" s="16">
        <f>IFERROR(__xludf.DUMMYFUNCTION("""COMPUTED_VALUE"""),54.0)</f>
        <v>54</v>
      </c>
      <c r="D542" s="16">
        <f>IFERROR(__xludf.DUMMYFUNCTION("""COMPUTED_VALUE"""),0.0700441745004338)</f>
        <v>0.0700441745</v>
      </c>
      <c r="E542" s="16">
        <f>IFERROR(__xludf.DUMMYFUNCTION("""COMPUTED_VALUE"""),0.460696366881213)</f>
        <v>0.4606963669</v>
      </c>
      <c r="F542" s="16">
        <f>IFERROR(__xludf.DUMMYFUNCTION("""COMPUTED_VALUE"""),-0.612426979758364)</f>
        <v>-0.6124269798</v>
      </c>
      <c r="G542" s="16">
        <f>IFERROR(__xludf.DUMMYFUNCTION("""COMPUTED_VALUE"""),0.638581134723723)</f>
        <v>0.6385811347</v>
      </c>
      <c r="H542" s="16">
        <f t="shared" si="1"/>
        <v>0</v>
      </c>
    </row>
    <row r="543">
      <c r="B543" s="16">
        <f>IFERROR(__xludf.DUMMYFUNCTION("""COMPUTED_VALUE"""),54.1)</f>
        <v>54.1</v>
      </c>
      <c r="D543" s="16">
        <f>IFERROR(__xludf.DUMMYFUNCTION("""COMPUTED_VALUE"""),0.105504521308643)</f>
        <v>0.1055045213</v>
      </c>
      <c r="E543" s="16">
        <f>IFERROR(__xludf.DUMMYFUNCTION("""COMPUTED_VALUE"""),0.531638541461385)</f>
        <v>0.5316385415</v>
      </c>
      <c r="F543" s="16">
        <f>IFERROR(__xludf.DUMMYFUNCTION("""COMPUTED_VALUE"""),-0.572126634788976)</f>
        <v>-0.5721266348</v>
      </c>
      <c r="G543" s="16">
        <f>IFERROR(__xludf.DUMMYFUNCTION("""COMPUTED_VALUE"""),0.615548837202436)</f>
        <v>0.6155488372</v>
      </c>
      <c r="H543" s="16">
        <f t="shared" si="1"/>
        <v>0</v>
      </c>
    </row>
    <row r="544">
      <c r="B544" s="16">
        <f>IFERROR(__xludf.DUMMYFUNCTION("""COMPUTED_VALUE"""),54.2)</f>
        <v>54.2</v>
      </c>
      <c r="D544" s="16">
        <f>IFERROR(__xludf.DUMMYFUNCTION("""COMPUTED_VALUE"""),0.134473459953186)</f>
        <v>0.13447346</v>
      </c>
      <c r="E544" s="16">
        <f>IFERROR(__xludf.DUMMYFUNCTION("""COMPUTED_VALUE"""),0.562564199151576)</f>
        <v>0.5625641992</v>
      </c>
      <c r="F544" s="16">
        <f>IFERROR(__xludf.DUMMYFUNCTION("""COMPUTED_VALUE"""),-0.544595929034726)</f>
        <v>-0.544595929</v>
      </c>
      <c r="G544" s="16">
        <f>IFERROR(__xludf.DUMMYFUNCTION("""COMPUTED_VALUE"""),0.607333256523921)</f>
        <v>0.6073332565</v>
      </c>
      <c r="H544" s="16">
        <f t="shared" si="1"/>
        <v>0</v>
      </c>
    </row>
    <row r="545">
      <c r="B545" s="16">
        <f>IFERROR(__xludf.DUMMYFUNCTION("""COMPUTED_VALUE"""),54.3)</f>
        <v>54.3</v>
      </c>
      <c r="D545" s="16">
        <f>IFERROR(__xludf.DUMMYFUNCTION("""COMPUTED_VALUE"""),0.162933490868349)</f>
        <v>0.1629334909</v>
      </c>
      <c r="E545" s="16">
        <f>IFERROR(__xludf.DUMMYFUNCTION("""COMPUTED_VALUE"""),0.587593663109867)</f>
        <v>0.5875936631</v>
      </c>
      <c r="F545" s="16">
        <f>IFERROR(__xludf.DUMMYFUNCTION("""COMPUTED_VALUE"""),-0.517490957564844)</f>
        <v>-0.5174909576</v>
      </c>
      <c r="G545" s="16">
        <f>IFERROR(__xludf.DUMMYFUNCTION("""COMPUTED_VALUE"""),0.600324473485119)</f>
        <v>0.6003244735</v>
      </c>
      <c r="H545" s="16">
        <f t="shared" si="1"/>
        <v>0</v>
      </c>
    </row>
    <row r="546">
      <c r="B546" s="16">
        <f>IFERROR(__xludf.DUMMYFUNCTION("""COMPUTED_VALUE"""),54.4)</f>
        <v>54.4</v>
      </c>
      <c r="D546" s="16">
        <f>IFERROR(__xludf.DUMMYFUNCTION("""COMPUTED_VALUE"""),0.20247916288145)</f>
        <v>0.2024791629</v>
      </c>
      <c r="E546" s="16">
        <f>IFERROR(__xludf.DUMMYFUNCTION("""COMPUTED_VALUE"""),0.588331866198936)</f>
        <v>0.5883318662</v>
      </c>
      <c r="F546" s="16">
        <f>IFERROR(__xludf.DUMMYFUNCTION("""COMPUTED_VALUE"""),-0.488589875904486)</f>
        <v>-0.4885898759</v>
      </c>
      <c r="G546" s="16">
        <f>IFERROR(__xludf.DUMMYFUNCTION("""COMPUTED_VALUE"""),0.611676170025714)</f>
        <v>0.61167617</v>
      </c>
      <c r="H546" s="16">
        <f t="shared" si="1"/>
        <v>0</v>
      </c>
    </row>
    <row r="547">
      <c r="B547" s="16">
        <f>IFERROR(__xludf.DUMMYFUNCTION("""COMPUTED_VALUE"""),54.5)</f>
        <v>54.5</v>
      </c>
      <c r="D547" s="16">
        <f>IFERROR(__xludf.DUMMYFUNCTION("""COMPUTED_VALUE"""),0.247143730514904)</f>
        <v>0.2471437305</v>
      </c>
      <c r="E547" s="16">
        <f>IFERROR(__xludf.DUMMYFUNCTION("""COMPUTED_VALUE"""),0.580129112248739)</f>
        <v>0.5801291122</v>
      </c>
      <c r="F547" s="16">
        <f>IFERROR(__xludf.DUMMYFUNCTION("""COMPUTED_VALUE"""),-0.455831347408379)</f>
        <v>-0.4558313474</v>
      </c>
      <c r="G547" s="16">
        <f>IFERROR(__xludf.DUMMYFUNCTION("""COMPUTED_VALUE"""),0.628162377342446)</f>
        <v>0.6281623773</v>
      </c>
      <c r="H547" s="16">
        <f t="shared" si="1"/>
        <v>0</v>
      </c>
    </row>
    <row r="548">
      <c r="B548" s="16">
        <f>IFERROR(__xludf.DUMMYFUNCTION("""COMPUTED_VALUE"""),54.6)</f>
        <v>54.6</v>
      </c>
      <c r="D548" s="16">
        <f>IFERROR(__xludf.DUMMYFUNCTION("""COMPUTED_VALUE"""),0.277777184341392)</f>
        <v>0.2777771843</v>
      </c>
      <c r="E548" s="16">
        <f>IFERROR(__xludf.DUMMYFUNCTION("""COMPUTED_VALUE"""),0.568166213370204)</f>
        <v>0.5681662134</v>
      </c>
      <c r="F548" s="16">
        <f>IFERROR(__xludf.DUMMYFUNCTION("""COMPUTED_VALUE"""),-0.432975561164065)</f>
        <v>-0.4329755612</v>
      </c>
      <c r="G548" s="16">
        <f>IFERROR(__xludf.DUMMYFUNCTION("""COMPUTED_VALUE"""),0.642307678047352)</f>
        <v>0.642307678</v>
      </c>
      <c r="H548" s="16">
        <f t="shared" si="1"/>
        <v>0</v>
      </c>
    </row>
    <row r="549">
      <c r="B549" s="16">
        <f>IFERROR(__xludf.DUMMYFUNCTION("""COMPUTED_VALUE"""),54.7)</f>
        <v>54.7</v>
      </c>
      <c r="D549" s="16">
        <f>IFERROR(__xludf.DUMMYFUNCTION("""COMPUTED_VALUE"""),0.306891472174864)</f>
        <v>0.3068914722</v>
      </c>
      <c r="E549" s="16">
        <f>IFERROR(__xludf.DUMMYFUNCTION("""COMPUTED_VALUE"""),0.52843146951434)</f>
        <v>0.5284314695</v>
      </c>
      <c r="F549" s="16">
        <f>IFERROR(__xludf.DUMMYFUNCTION("""COMPUTED_VALUE"""),-0.412395976408325)</f>
        <v>-0.4123959764</v>
      </c>
      <c r="G549" s="16">
        <f>IFERROR(__xludf.DUMMYFUNCTION("""COMPUTED_VALUE"""),0.675653287548777)</f>
        <v>0.6756532875</v>
      </c>
      <c r="H549" s="16">
        <f t="shared" si="1"/>
        <v>0</v>
      </c>
    </row>
    <row r="550">
      <c r="B550" s="16">
        <f>IFERROR(__xludf.DUMMYFUNCTION("""COMPUTED_VALUE"""),54.8)</f>
        <v>54.8</v>
      </c>
      <c r="D550" s="16">
        <f>IFERROR(__xludf.DUMMYFUNCTION("""COMPUTED_VALUE"""),0.325139164180338)</f>
        <v>0.3251391642</v>
      </c>
      <c r="E550" s="16">
        <f>IFERROR(__xludf.DUMMYFUNCTION("""COMPUTED_VALUE"""),0.484596804488758)</f>
        <v>0.4845968045</v>
      </c>
      <c r="F550" s="16">
        <f>IFERROR(__xludf.DUMMYFUNCTION("""COMPUTED_VALUE"""),-0.397507681506589)</f>
        <v>-0.3975076815</v>
      </c>
      <c r="G550" s="16">
        <f>IFERROR(__xludf.DUMMYFUNCTION("""COMPUTED_VALUE"""),0.708122944225534)</f>
        <v>0.7081229442</v>
      </c>
      <c r="H550" s="16">
        <f t="shared" si="1"/>
        <v>0</v>
      </c>
    </row>
    <row r="551">
      <c r="B551" s="16">
        <f>IFERROR(__xludf.DUMMYFUNCTION("""COMPUTED_VALUE"""),54.9)</f>
        <v>54.9</v>
      </c>
      <c r="D551" s="16">
        <f>IFERROR(__xludf.DUMMYFUNCTION("""COMPUTED_VALUE"""),0.343126930309001)</f>
        <v>0.3431269303</v>
      </c>
      <c r="E551" s="16">
        <f>IFERROR(__xludf.DUMMYFUNCTION("""COMPUTED_VALUE"""),0.394171284434681)</f>
        <v>0.3941712844</v>
      </c>
      <c r="F551" s="16">
        <f>IFERROR(__xludf.DUMMYFUNCTION("""COMPUTED_VALUE"""),-0.376031453533951)</f>
        <v>-0.3760314535</v>
      </c>
      <c r="G551" s="16">
        <f>IFERROR(__xludf.DUMMYFUNCTION("""COMPUTED_VALUE"""),0.765175309440241)</f>
        <v>0.7651753094</v>
      </c>
      <c r="H551" s="16">
        <f t="shared" si="1"/>
        <v>0</v>
      </c>
    </row>
    <row r="552">
      <c r="B552" s="16">
        <f>IFERROR(__xludf.DUMMYFUNCTION("""COMPUTED_VALUE"""),55.0)</f>
        <v>55</v>
      </c>
      <c r="D552" s="16">
        <f>IFERROR(__xludf.DUMMYFUNCTION("""COMPUTED_VALUE"""),0.354752817826666)</f>
        <v>0.3547528178</v>
      </c>
      <c r="E552" s="16">
        <f>IFERROR(__xludf.DUMMYFUNCTION("""COMPUTED_VALUE"""),0.320918218213065)</f>
        <v>0.3209182182</v>
      </c>
      <c r="F552" s="16">
        <f>IFERROR(__xludf.DUMMYFUNCTION("""COMPUTED_VALUE"""),-0.355509651292606)</f>
        <v>-0.3555096513</v>
      </c>
      <c r="G552" s="16">
        <f>IFERROR(__xludf.DUMMYFUNCTION("""COMPUTED_VALUE"""),0.802978719083383)</f>
        <v>0.8029787191</v>
      </c>
      <c r="H552" s="16">
        <f t="shared" si="1"/>
        <v>0</v>
      </c>
    </row>
    <row r="553">
      <c r="B553" s="16">
        <f>IFERROR(__xludf.DUMMYFUNCTION("""COMPUTED_VALUE"""),55.1)</f>
        <v>55.1</v>
      </c>
      <c r="D553" s="16">
        <f>IFERROR(__xludf.DUMMYFUNCTION("""COMPUTED_VALUE"""),0.352990149271735)</f>
        <v>0.3529901493</v>
      </c>
      <c r="E553" s="16">
        <f>IFERROR(__xludf.DUMMYFUNCTION("""COMPUTED_VALUE"""),0.316363919592921)</f>
        <v>0.3163639196</v>
      </c>
      <c r="F553" s="16">
        <f>IFERROR(__xludf.DUMMYFUNCTION("""COMPUTED_VALUE"""),-0.355371301426344)</f>
        <v>-0.3553713014</v>
      </c>
      <c r="G553" s="16">
        <f>IFERROR(__xludf.DUMMYFUNCTION("""COMPUTED_VALUE"""),0.805619676410312)</f>
        <v>0.8056196764</v>
      </c>
      <c r="H553" s="16">
        <f t="shared" si="1"/>
        <v>0</v>
      </c>
    </row>
    <row r="554">
      <c r="B554" s="16">
        <f>IFERROR(__xludf.DUMMYFUNCTION("""COMPUTED_VALUE"""),55.2)</f>
        <v>55.2</v>
      </c>
      <c r="D554" s="16">
        <f>IFERROR(__xludf.DUMMYFUNCTION("""COMPUTED_VALUE"""),0.352990149271735)</f>
        <v>0.3529901493</v>
      </c>
      <c r="E554" s="16">
        <f>IFERROR(__xludf.DUMMYFUNCTION("""COMPUTED_VALUE"""),0.316363919592921)</f>
        <v>0.3163639196</v>
      </c>
      <c r="F554" s="16">
        <f>IFERROR(__xludf.DUMMYFUNCTION("""COMPUTED_VALUE"""),-0.355371301426344)</f>
        <v>-0.3553713014</v>
      </c>
      <c r="G554" s="16">
        <f>IFERROR(__xludf.DUMMYFUNCTION("""COMPUTED_VALUE"""),0.805619676410312)</f>
        <v>0.8056196764</v>
      </c>
      <c r="H554" s="16">
        <f t="shared" si="1"/>
        <v>0</v>
      </c>
    </row>
    <row r="555">
      <c r="B555" s="16">
        <f>IFERROR(__xludf.DUMMYFUNCTION("""COMPUTED_VALUE"""),55.3)</f>
        <v>55.3</v>
      </c>
      <c r="D555" s="16">
        <f>IFERROR(__xludf.DUMMYFUNCTION("""COMPUTED_VALUE"""),0.352990149271735)</f>
        <v>0.3529901493</v>
      </c>
      <c r="E555" s="16">
        <f>IFERROR(__xludf.DUMMYFUNCTION("""COMPUTED_VALUE"""),0.316363919592921)</f>
        <v>0.3163639196</v>
      </c>
      <c r="F555" s="16">
        <f>IFERROR(__xludf.DUMMYFUNCTION("""COMPUTED_VALUE"""),-0.355371301426344)</f>
        <v>-0.3553713014</v>
      </c>
      <c r="G555" s="16">
        <f>IFERROR(__xludf.DUMMYFUNCTION("""COMPUTED_VALUE"""),0.805619676410312)</f>
        <v>0.8056196764</v>
      </c>
      <c r="H555" s="16">
        <f t="shared" si="1"/>
        <v>0</v>
      </c>
    </row>
    <row r="556">
      <c r="B556" s="16">
        <f>IFERROR(__xludf.DUMMYFUNCTION("""COMPUTED_VALUE"""),55.4)</f>
        <v>55.4</v>
      </c>
      <c r="D556" s="16">
        <f>IFERROR(__xludf.DUMMYFUNCTION("""COMPUTED_VALUE"""),0.352990149271735)</f>
        <v>0.3529901493</v>
      </c>
      <c r="E556" s="16">
        <f>IFERROR(__xludf.DUMMYFUNCTION("""COMPUTED_VALUE"""),0.316363919592921)</f>
        <v>0.3163639196</v>
      </c>
      <c r="F556" s="16">
        <f>IFERROR(__xludf.DUMMYFUNCTION("""COMPUTED_VALUE"""),-0.355371301426344)</f>
        <v>-0.3553713014</v>
      </c>
      <c r="G556" s="16">
        <f>IFERROR(__xludf.DUMMYFUNCTION("""COMPUTED_VALUE"""),0.805619676410312)</f>
        <v>0.8056196764</v>
      </c>
      <c r="H556" s="16">
        <f t="shared" si="1"/>
        <v>0</v>
      </c>
    </row>
    <row r="557">
      <c r="B557" s="16">
        <f>IFERROR(__xludf.DUMMYFUNCTION("""COMPUTED_VALUE"""),55.5)</f>
        <v>55.5</v>
      </c>
      <c r="D557" s="16">
        <f>IFERROR(__xludf.DUMMYFUNCTION("""COMPUTED_VALUE"""),0.352990149271735)</f>
        <v>0.3529901493</v>
      </c>
      <c r="E557" s="16">
        <f>IFERROR(__xludf.DUMMYFUNCTION("""COMPUTED_VALUE"""),0.316363919592921)</f>
        <v>0.3163639196</v>
      </c>
      <c r="F557" s="16">
        <f>IFERROR(__xludf.DUMMYFUNCTION("""COMPUTED_VALUE"""),-0.355371301426344)</f>
        <v>-0.3553713014</v>
      </c>
      <c r="G557" s="16">
        <f>IFERROR(__xludf.DUMMYFUNCTION("""COMPUTED_VALUE"""),0.805619676410312)</f>
        <v>0.8056196764</v>
      </c>
      <c r="H557" s="16">
        <f t="shared" si="1"/>
        <v>0</v>
      </c>
    </row>
    <row r="558">
      <c r="B558" s="16">
        <f>IFERROR(__xludf.DUMMYFUNCTION("""COMPUTED_VALUE"""),55.6)</f>
        <v>55.6</v>
      </c>
      <c r="D558" s="16">
        <f>IFERROR(__xludf.DUMMYFUNCTION("""COMPUTED_VALUE"""),0.352990149271735)</f>
        <v>0.3529901493</v>
      </c>
      <c r="E558" s="16">
        <f>IFERROR(__xludf.DUMMYFUNCTION("""COMPUTED_VALUE"""),0.316363919592921)</f>
        <v>0.3163639196</v>
      </c>
      <c r="F558" s="16">
        <f>IFERROR(__xludf.DUMMYFUNCTION("""COMPUTED_VALUE"""),-0.355371301426344)</f>
        <v>-0.3553713014</v>
      </c>
      <c r="G558" s="16">
        <f>IFERROR(__xludf.DUMMYFUNCTION("""COMPUTED_VALUE"""),0.805619676410312)</f>
        <v>0.8056196764</v>
      </c>
      <c r="H558" s="16">
        <f t="shared" si="1"/>
        <v>0</v>
      </c>
    </row>
    <row r="559">
      <c r="B559" s="16">
        <f>IFERROR(__xludf.DUMMYFUNCTION("""COMPUTED_VALUE"""),55.7)</f>
        <v>55.7</v>
      </c>
      <c r="D559" s="16">
        <f>IFERROR(__xludf.DUMMYFUNCTION("""COMPUTED_VALUE"""),0.352990149271735)</f>
        <v>0.3529901493</v>
      </c>
      <c r="E559" s="16">
        <f>IFERROR(__xludf.DUMMYFUNCTION("""COMPUTED_VALUE"""),0.316363919592921)</f>
        <v>0.3163639196</v>
      </c>
      <c r="F559" s="16">
        <f>IFERROR(__xludf.DUMMYFUNCTION("""COMPUTED_VALUE"""),-0.355371301426344)</f>
        <v>-0.3553713014</v>
      </c>
      <c r="G559" s="16">
        <f>IFERROR(__xludf.DUMMYFUNCTION("""COMPUTED_VALUE"""),0.805619676410312)</f>
        <v>0.8056196764</v>
      </c>
      <c r="H559" s="16">
        <f t="shared" si="1"/>
        <v>0</v>
      </c>
    </row>
    <row r="560">
      <c r="B560" s="16">
        <f>IFERROR(__xludf.DUMMYFUNCTION("""COMPUTED_VALUE"""),55.8)</f>
        <v>55.8</v>
      </c>
      <c r="D560" s="16">
        <f>IFERROR(__xludf.DUMMYFUNCTION("""COMPUTED_VALUE"""),0.352990149271735)</f>
        <v>0.3529901493</v>
      </c>
      <c r="E560" s="16">
        <f>IFERROR(__xludf.DUMMYFUNCTION("""COMPUTED_VALUE"""),0.316363919592921)</f>
        <v>0.3163639196</v>
      </c>
      <c r="F560" s="16">
        <f>IFERROR(__xludf.DUMMYFUNCTION("""COMPUTED_VALUE"""),-0.355371301426344)</f>
        <v>-0.3553713014</v>
      </c>
      <c r="G560" s="16">
        <f>IFERROR(__xludf.DUMMYFUNCTION("""COMPUTED_VALUE"""),0.805619676410312)</f>
        <v>0.8056196764</v>
      </c>
      <c r="H560" s="16">
        <f t="shared" si="1"/>
        <v>0</v>
      </c>
    </row>
    <row r="561">
      <c r="B561" s="16">
        <f>IFERROR(__xludf.DUMMYFUNCTION("""COMPUTED_VALUE"""),55.9)</f>
        <v>55.9</v>
      </c>
      <c r="D561" s="16">
        <f>IFERROR(__xludf.DUMMYFUNCTION("""COMPUTED_VALUE"""),0.352990149271735)</f>
        <v>0.3529901493</v>
      </c>
      <c r="E561" s="16">
        <f>IFERROR(__xludf.DUMMYFUNCTION("""COMPUTED_VALUE"""),0.316363919592921)</f>
        <v>0.3163639196</v>
      </c>
      <c r="F561" s="16">
        <f>IFERROR(__xludf.DUMMYFUNCTION("""COMPUTED_VALUE"""),-0.355371301426344)</f>
        <v>-0.3553713014</v>
      </c>
      <c r="G561" s="16">
        <f>IFERROR(__xludf.DUMMYFUNCTION("""COMPUTED_VALUE"""),0.805619676410312)</f>
        <v>0.8056196764</v>
      </c>
      <c r="H561" s="16">
        <f t="shared" si="1"/>
        <v>0</v>
      </c>
    </row>
    <row r="562">
      <c r="B562" s="16">
        <f>IFERROR(__xludf.DUMMYFUNCTION("""COMPUTED_VALUE"""),56.0)</f>
        <v>56</v>
      </c>
      <c r="D562" s="16">
        <f>IFERROR(__xludf.DUMMYFUNCTION("""COMPUTED_VALUE"""),0.352990149271735)</f>
        <v>0.3529901493</v>
      </c>
      <c r="E562" s="16">
        <f>IFERROR(__xludf.DUMMYFUNCTION("""COMPUTED_VALUE"""),0.316363919592921)</f>
        <v>0.3163639196</v>
      </c>
      <c r="F562" s="16">
        <f>IFERROR(__xludf.DUMMYFUNCTION("""COMPUTED_VALUE"""),-0.355371301426344)</f>
        <v>-0.3553713014</v>
      </c>
      <c r="G562" s="16">
        <f>IFERROR(__xludf.DUMMYFUNCTION("""COMPUTED_VALUE"""),0.805619676410312)</f>
        <v>0.8056196764</v>
      </c>
      <c r="H562" s="16">
        <f t="shared" si="1"/>
        <v>0</v>
      </c>
    </row>
    <row r="563">
      <c r="B563" s="16">
        <f>IFERROR(__xludf.DUMMYFUNCTION("""COMPUTED_VALUE"""),56.1)</f>
        <v>56.1</v>
      </c>
      <c r="D563" s="16">
        <f>IFERROR(__xludf.DUMMYFUNCTION("""COMPUTED_VALUE"""),0.349823774653776)</f>
        <v>0.3498237747</v>
      </c>
      <c r="E563" s="16">
        <f>IFERROR(__xludf.DUMMYFUNCTION("""COMPUTED_VALUE"""),0.314965944022645)</f>
        <v>0.314965944</v>
      </c>
      <c r="F563" s="16">
        <f>IFERROR(__xludf.DUMMYFUNCTION("""COMPUTED_VALUE"""),-0.356610916270905)</f>
        <v>-0.3566109163</v>
      </c>
      <c r="G563" s="16">
        <f>IFERROR(__xludf.DUMMYFUNCTION("""COMPUTED_VALUE"""),0.806999650055266)</f>
        <v>0.8069996501</v>
      </c>
      <c r="H563" s="16">
        <f t="shared" si="1"/>
        <v>0</v>
      </c>
    </row>
    <row r="564">
      <c r="B564" s="16">
        <f>IFERROR(__xludf.DUMMYFUNCTION("""COMPUTED_VALUE"""),56.2)</f>
        <v>56.2</v>
      </c>
      <c r="D564" s="16">
        <f>IFERROR(__xludf.DUMMYFUNCTION("""COMPUTED_VALUE"""),0.270988308605809)</f>
        <v>0.2709883086</v>
      </c>
      <c r="E564" s="16">
        <f>IFERROR(__xludf.DUMMYFUNCTION("""COMPUTED_VALUE"""),0.283100509336847)</f>
        <v>0.2831005093</v>
      </c>
      <c r="F564" s="16">
        <f>IFERROR(__xludf.DUMMYFUNCTION("""COMPUTED_VALUE"""),-0.386199816502723)</f>
        <v>-0.3861998165</v>
      </c>
      <c r="G564" s="16">
        <f>IFERROR(__xludf.DUMMYFUNCTION("""COMPUTED_VALUE"""),0.835026430686736)</f>
        <v>0.8350264307</v>
      </c>
      <c r="H564" s="16">
        <f t="shared" si="1"/>
        <v>0</v>
      </c>
    </row>
    <row r="565">
      <c r="B565" s="16">
        <f>IFERROR(__xludf.DUMMYFUNCTION("""COMPUTED_VALUE"""),56.3)</f>
        <v>56.3</v>
      </c>
      <c r="D565" s="16">
        <f>IFERROR(__xludf.DUMMYFUNCTION("""COMPUTED_VALUE"""),0.164916535175001)</f>
        <v>0.1649165352</v>
      </c>
      <c r="E565" s="16">
        <f>IFERROR(__xludf.DUMMYFUNCTION("""COMPUTED_VALUE"""),0.212785954908693)</f>
        <v>0.2127859549</v>
      </c>
      <c r="F565" s="16">
        <f>IFERROR(__xludf.DUMMYFUNCTION("""COMPUTED_VALUE"""),-0.415015334555258)</f>
        <v>-0.4150153346</v>
      </c>
      <c r="G565" s="16">
        <f>IFERROR(__xludf.DUMMYFUNCTION("""COMPUTED_VALUE"""),0.869072462976157)</f>
        <v>0.869072463</v>
      </c>
      <c r="H565" s="16">
        <f t="shared" si="1"/>
        <v>0</v>
      </c>
    </row>
    <row r="566">
      <c r="B566" s="16">
        <f>IFERROR(__xludf.DUMMYFUNCTION("""COMPUTED_VALUE"""),56.4)</f>
        <v>56.4</v>
      </c>
      <c r="D566" s="16">
        <f>IFERROR(__xludf.DUMMYFUNCTION("""COMPUTED_VALUE"""),0.116911675600142)</f>
        <v>0.1169116756</v>
      </c>
      <c r="E566" s="16">
        <f>IFERROR(__xludf.DUMMYFUNCTION("""COMPUTED_VALUE"""),0.18965928946454)</f>
        <v>0.1896592895</v>
      </c>
      <c r="F566" s="16">
        <f>IFERROR(__xludf.DUMMYFUNCTION("""COMPUTED_VALUE"""),-0.426080913022659)</f>
        <v>-0.426080913</v>
      </c>
      <c r="G566" s="16">
        <f>IFERROR(__xludf.DUMMYFUNCTION("""COMPUTED_VALUE"""),0.876821572263102)</f>
        <v>0.8768215723</v>
      </c>
      <c r="H566" s="16">
        <f t="shared" si="1"/>
        <v>0</v>
      </c>
    </row>
    <row r="567">
      <c r="B567" s="16">
        <f>IFERROR(__xludf.DUMMYFUNCTION("""COMPUTED_VALUE"""),56.5)</f>
        <v>56.5</v>
      </c>
      <c r="D567" s="16">
        <f>IFERROR(__xludf.DUMMYFUNCTION("""COMPUTED_VALUE"""),0.0632605527189889)</f>
        <v>0.06326055272</v>
      </c>
      <c r="E567" s="16">
        <f>IFERROR(__xludf.DUMMYFUNCTION("""COMPUTED_VALUE"""),0.159112239426562)</f>
        <v>0.1591122394</v>
      </c>
      <c r="F567" s="16">
        <f>IFERROR(__xludf.DUMMYFUNCTION("""COMPUTED_VALUE"""),-0.436524812897505)</f>
        <v>-0.4365248129</v>
      </c>
      <c r="G567" s="16">
        <f>IFERROR(__xludf.DUMMYFUNCTION("""COMPUTED_VALUE"""),0.883248258112712)</f>
        <v>0.8832482581</v>
      </c>
      <c r="H567" s="16">
        <f t="shared" si="1"/>
        <v>0</v>
      </c>
    </row>
    <row r="568">
      <c r="B568" s="16">
        <f>IFERROR(__xludf.DUMMYFUNCTION("""COMPUTED_VALUE"""),56.6)</f>
        <v>56.6</v>
      </c>
      <c r="D568" s="16">
        <f>IFERROR(__xludf.DUMMYFUNCTION("""COMPUTED_VALUE"""),-0.00623331601580101)</f>
        <v>-0.006233316016</v>
      </c>
      <c r="E568" s="16">
        <f>IFERROR(__xludf.DUMMYFUNCTION("""COMPUTED_VALUE"""),0.124372408458147)</f>
        <v>0.1243724085</v>
      </c>
      <c r="F568" s="16">
        <f>IFERROR(__xludf.DUMMYFUNCTION("""COMPUTED_VALUE"""),-0.447662954715774)</f>
        <v>-0.4476629547</v>
      </c>
      <c r="G568" s="16">
        <f>IFERROR(__xludf.DUMMYFUNCTION("""COMPUTED_VALUE"""),0.885488864278314)</f>
        <v>0.8854888643</v>
      </c>
      <c r="H568" s="16">
        <f t="shared" si="1"/>
        <v>0</v>
      </c>
    </row>
    <row r="569">
      <c r="B569" s="16">
        <f>IFERROR(__xludf.DUMMYFUNCTION("""COMPUTED_VALUE"""),56.7)</f>
        <v>56.7</v>
      </c>
      <c r="D569" s="16">
        <f>IFERROR(__xludf.DUMMYFUNCTION("""COMPUTED_VALUE"""),-0.0687571578572442)</f>
        <v>-0.06875715786</v>
      </c>
      <c r="E569" s="16">
        <f>IFERROR(__xludf.DUMMYFUNCTION("""COMPUTED_VALUE"""),0.0924447409882317)</f>
        <v>0.09244474099</v>
      </c>
      <c r="F569" s="16">
        <f>IFERROR(__xludf.DUMMYFUNCTION("""COMPUTED_VALUE"""),-0.455329097328686)</f>
        <v>-0.4553290973</v>
      </c>
      <c r="G569" s="16">
        <f>IFERROR(__xludf.DUMMYFUNCTION("""COMPUTED_VALUE"""),0.88283737813532)</f>
        <v>0.8828373781</v>
      </c>
      <c r="H569" s="16">
        <f t="shared" si="1"/>
        <v>0</v>
      </c>
    </row>
    <row r="570">
      <c r="B570" s="16">
        <f>IFERROR(__xludf.DUMMYFUNCTION("""COMPUTED_VALUE"""),56.8)</f>
        <v>56.8</v>
      </c>
      <c r="D570" s="16">
        <f>IFERROR(__xludf.DUMMYFUNCTION("""COMPUTED_VALUE"""),-0.144484829508436)</f>
        <v>-0.1444848295</v>
      </c>
      <c r="E570" s="16">
        <f>IFERROR(__xludf.DUMMYFUNCTION("""COMPUTED_VALUE"""),0.0441187289369375)</f>
        <v>0.04411872894</v>
      </c>
      <c r="F570" s="16">
        <f>IFERROR(__xludf.DUMMYFUNCTION("""COMPUTED_VALUE"""),-0.462825499905573)</f>
        <v>-0.4628254999</v>
      </c>
      <c r="G570" s="16">
        <f>IFERROR(__xludf.DUMMYFUNCTION("""COMPUTED_VALUE"""),0.873481670349213)</f>
        <v>0.8734816703</v>
      </c>
      <c r="H570" s="16">
        <f t="shared" si="1"/>
        <v>0</v>
      </c>
    </row>
    <row r="571">
      <c r="B571" s="16">
        <f>IFERROR(__xludf.DUMMYFUNCTION("""COMPUTED_VALUE"""),56.9)</f>
        <v>56.9</v>
      </c>
      <c r="D571" s="16">
        <f>IFERROR(__xludf.DUMMYFUNCTION("""COMPUTED_VALUE"""),-0.170028981303968)</f>
        <v>-0.1700289813</v>
      </c>
      <c r="E571" s="16">
        <f>IFERROR(__xludf.DUMMYFUNCTION("""COMPUTED_VALUE"""),0.0261382374395855)</f>
        <v>0.02613823744</v>
      </c>
      <c r="F571" s="16">
        <f>IFERROR(__xludf.DUMMYFUNCTION("""COMPUTED_VALUE"""),-0.464600540992876)</f>
        <v>-0.464600541</v>
      </c>
      <c r="G571" s="16">
        <f>IFERROR(__xludf.DUMMYFUNCTION("""COMPUTED_VALUE"""),0.868650260674227)</f>
        <v>0.8686502607</v>
      </c>
      <c r="H571" s="16">
        <f t="shared" si="1"/>
        <v>0</v>
      </c>
    </row>
    <row r="572">
      <c r="B572" s="16">
        <f>IFERROR(__xludf.DUMMYFUNCTION("""COMPUTED_VALUE"""),57.0)</f>
        <v>57</v>
      </c>
      <c r="D572" s="16">
        <f>IFERROR(__xludf.DUMMYFUNCTION("""COMPUTED_VALUE"""),-0.200617041294442)</f>
        <v>-0.2006170413</v>
      </c>
      <c r="E572" s="16">
        <f>IFERROR(__xludf.DUMMYFUNCTION("""COMPUTED_VALUE"""),0.0097049944720504)</f>
        <v>0.009704994472</v>
      </c>
      <c r="F572" s="16">
        <f>IFERROR(__xludf.DUMMYFUNCTION("""COMPUTED_VALUE"""),-0.465234009106835)</f>
        <v>-0.4652340091</v>
      </c>
      <c r="G572" s="16">
        <f>IFERROR(__xludf.DUMMYFUNCTION("""COMPUTED_VALUE"""),0.862099723114983)</f>
        <v>0.8620997231</v>
      </c>
      <c r="H572" s="16">
        <f t="shared" si="1"/>
        <v>0</v>
      </c>
    </row>
    <row r="573">
      <c r="B573" s="16">
        <f>IFERROR(__xludf.DUMMYFUNCTION("""COMPUTED_VALUE"""),57.1)</f>
        <v>57.1</v>
      </c>
      <c r="D573" s="16">
        <f>IFERROR(__xludf.DUMMYFUNCTION("""COMPUTED_VALUE"""),-0.212304575899352)</f>
        <v>-0.2123045759</v>
      </c>
      <c r="E573" s="16">
        <f>IFERROR(__xludf.DUMMYFUNCTION("""COMPUTED_VALUE"""),-9.76455986048859E-4)</f>
        <v>-0.000976455986</v>
      </c>
      <c r="F573" s="16">
        <f>IFERROR(__xludf.DUMMYFUNCTION("""COMPUTED_VALUE"""),-0.466166364151332)</f>
        <v>-0.4661663642</v>
      </c>
      <c r="G573" s="16">
        <f>IFERROR(__xludf.DUMMYFUNCTION("""COMPUTED_VALUE"""),0.858845000288073)</f>
        <v>0.8588450003</v>
      </c>
      <c r="H573" s="16">
        <f t="shared" si="1"/>
        <v>0</v>
      </c>
    </row>
    <row r="574">
      <c r="B574" s="16">
        <f>IFERROR(__xludf.DUMMYFUNCTION("""COMPUTED_VALUE"""),57.2)</f>
        <v>57.2</v>
      </c>
      <c r="D574" s="16">
        <f>IFERROR(__xludf.DUMMYFUNCTION("""COMPUTED_VALUE"""),-0.222407637994495)</f>
        <v>-0.222407638</v>
      </c>
      <c r="E574" s="16">
        <f>IFERROR(__xludf.DUMMYFUNCTION("""COMPUTED_VALUE"""),-0.00646815411810999)</f>
        <v>-0.006468154118</v>
      </c>
      <c r="F574" s="16">
        <f>IFERROR(__xludf.DUMMYFUNCTION("""COMPUTED_VALUE"""),-0.466122511272165)</f>
        <v>-0.4661225113</v>
      </c>
      <c r="G574" s="16">
        <f>IFERROR(__xludf.DUMMYFUNCTION("""COMPUTED_VALUE"""),0.856284304439438)</f>
        <v>0.8562843044</v>
      </c>
      <c r="H574" s="16">
        <f t="shared" si="1"/>
        <v>0</v>
      </c>
    </row>
    <row r="575">
      <c r="B575" s="16">
        <f>IFERROR(__xludf.DUMMYFUNCTION("""COMPUTED_VALUE"""),57.3)</f>
        <v>57.3</v>
      </c>
      <c r="D575" s="16">
        <f>IFERROR(__xludf.DUMMYFUNCTION("""COMPUTED_VALUE"""),-0.222407637994495)</f>
        <v>-0.222407638</v>
      </c>
      <c r="E575" s="16">
        <f>IFERROR(__xludf.DUMMYFUNCTION("""COMPUTED_VALUE"""),-0.00646815411810999)</f>
        <v>-0.006468154118</v>
      </c>
      <c r="F575" s="16">
        <f>IFERROR(__xludf.DUMMYFUNCTION("""COMPUTED_VALUE"""),-0.466122511272165)</f>
        <v>-0.4661225113</v>
      </c>
      <c r="G575" s="16">
        <f>IFERROR(__xludf.DUMMYFUNCTION("""COMPUTED_VALUE"""),0.856284304439438)</f>
        <v>0.8562843044</v>
      </c>
      <c r="H575" s="16">
        <f t="shared" si="1"/>
        <v>0</v>
      </c>
    </row>
    <row r="576">
      <c r="B576" s="16">
        <f>IFERROR(__xludf.DUMMYFUNCTION("""COMPUTED_VALUE"""),57.4)</f>
        <v>57.4</v>
      </c>
      <c r="D576" s="16">
        <f>IFERROR(__xludf.DUMMYFUNCTION("""COMPUTED_VALUE"""),-0.222407637994495)</f>
        <v>-0.222407638</v>
      </c>
      <c r="E576" s="16">
        <f>IFERROR(__xludf.DUMMYFUNCTION("""COMPUTED_VALUE"""),-0.00646815411810999)</f>
        <v>-0.006468154118</v>
      </c>
      <c r="F576" s="16">
        <f>IFERROR(__xludf.DUMMYFUNCTION("""COMPUTED_VALUE"""),-0.466122511272165)</f>
        <v>-0.4661225113</v>
      </c>
      <c r="G576" s="16">
        <f>IFERROR(__xludf.DUMMYFUNCTION("""COMPUTED_VALUE"""),0.856284304439438)</f>
        <v>0.8562843044</v>
      </c>
      <c r="H576" s="16">
        <f t="shared" si="1"/>
        <v>0</v>
      </c>
    </row>
    <row r="577">
      <c r="B577" s="16">
        <f>IFERROR(__xludf.DUMMYFUNCTION("""COMPUTED_VALUE"""),57.5)</f>
        <v>57.5</v>
      </c>
      <c r="D577" s="16">
        <f>IFERROR(__xludf.DUMMYFUNCTION("""COMPUTED_VALUE"""),-0.222407637994495)</f>
        <v>-0.222407638</v>
      </c>
      <c r="E577" s="16">
        <f>IFERROR(__xludf.DUMMYFUNCTION("""COMPUTED_VALUE"""),-0.00646815411810999)</f>
        <v>-0.006468154118</v>
      </c>
      <c r="F577" s="16">
        <f>IFERROR(__xludf.DUMMYFUNCTION("""COMPUTED_VALUE"""),-0.466122511272165)</f>
        <v>-0.4661225113</v>
      </c>
      <c r="G577" s="16">
        <f>IFERROR(__xludf.DUMMYFUNCTION("""COMPUTED_VALUE"""),0.856284304439438)</f>
        <v>0.8562843044</v>
      </c>
      <c r="H577" s="16">
        <f t="shared" si="1"/>
        <v>0</v>
      </c>
    </row>
    <row r="578">
      <c r="B578" s="16">
        <f>IFERROR(__xludf.DUMMYFUNCTION("""COMPUTED_VALUE"""),57.6)</f>
        <v>57.6</v>
      </c>
      <c r="D578" s="16">
        <f>IFERROR(__xludf.DUMMYFUNCTION("""COMPUTED_VALUE"""),-0.222407637994495)</f>
        <v>-0.222407638</v>
      </c>
      <c r="E578" s="16">
        <f>IFERROR(__xludf.DUMMYFUNCTION("""COMPUTED_VALUE"""),-0.00646815411810999)</f>
        <v>-0.006468154118</v>
      </c>
      <c r="F578" s="16">
        <f>IFERROR(__xludf.DUMMYFUNCTION("""COMPUTED_VALUE"""),-0.466122511272165)</f>
        <v>-0.4661225113</v>
      </c>
      <c r="G578" s="16">
        <f>IFERROR(__xludf.DUMMYFUNCTION("""COMPUTED_VALUE"""),0.856284304439438)</f>
        <v>0.8562843044</v>
      </c>
      <c r="H578" s="16">
        <f t="shared" si="1"/>
        <v>0</v>
      </c>
    </row>
    <row r="579">
      <c r="B579" s="16">
        <f>IFERROR(__xludf.DUMMYFUNCTION("""COMPUTED_VALUE"""),57.7)</f>
        <v>57.7</v>
      </c>
      <c r="D579" s="16">
        <f>IFERROR(__xludf.DUMMYFUNCTION("""COMPUTED_VALUE"""),-0.222407637994495)</f>
        <v>-0.222407638</v>
      </c>
      <c r="E579" s="16">
        <f>IFERROR(__xludf.DUMMYFUNCTION("""COMPUTED_VALUE"""),-0.00646815411810999)</f>
        <v>-0.006468154118</v>
      </c>
      <c r="F579" s="16">
        <f>IFERROR(__xludf.DUMMYFUNCTION("""COMPUTED_VALUE"""),-0.466122511272165)</f>
        <v>-0.4661225113</v>
      </c>
      <c r="G579" s="16">
        <f>IFERROR(__xludf.DUMMYFUNCTION("""COMPUTED_VALUE"""),0.856284304439438)</f>
        <v>0.8562843044</v>
      </c>
      <c r="H579" s="16">
        <f t="shared" si="1"/>
        <v>0</v>
      </c>
    </row>
    <row r="580">
      <c r="B580" s="16">
        <f>IFERROR(__xludf.DUMMYFUNCTION("""COMPUTED_VALUE"""),57.8)</f>
        <v>57.8</v>
      </c>
      <c r="D580" s="16">
        <f>IFERROR(__xludf.DUMMYFUNCTION("""COMPUTED_VALUE"""),-0.222407637994495)</f>
        <v>-0.222407638</v>
      </c>
      <c r="E580" s="16">
        <f>IFERROR(__xludf.DUMMYFUNCTION("""COMPUTED_VALUE"""),-0.00646815411810999)</f>
        <v>-0.006468154118</v>
      </c>
      <c r="F580" s="16">
        <f>IFERROR(__xludf.DUMMYFUNCTION("""COMPUTED_VALUE"""),-0.466122511272165)</f>
        <v>-0.4661225113</v>
      </c>
      <c r="G580" s="16">
        <f>IFERROR(__xludf.DUMMYFUNCTION("""COMPUTED_VALUE"""),0.856284304439438)</f>
        <v>0.8562843044</v>
      </c>
      <c r="H580" s="16">
        <f t="shared" si="1"/>
        <v>0</v>
      </c>
    </row>
    <row r="581">
      <c r="B581" s="16">
        <f>IFERROR(__xludf.DUMMYFUNCTION("""COMPUTED_VALUE"""),57.9)</f>
        <v>57.9</v>
      </c>
      <c r="D581" s="16">
        <f>IFERROR(__xludf.DUMMYFUNCTION("""COMPUTED_VALUE"""),-0.28003531660172)</f>
        <v>-0.2800353166</v>
      </c>
      <c r="E581" s="16">
        <f>IFERROR(__xludf.DUMMYFUNCTION("""COMPUTED_VALUE"""),-0.0118764915207382)</f>
        <v>-0.01187649152</v>
      </c>
      <c r="F581" s="16">
        <f>IFERROR(__xludf.DUMMYFUNCTION("""COMPUTED_VALUE"""),-0.459801925013162)</f>
        <v>-0.459801925</v>
      </c>
      <c r="G581" s="16">
        <f>IFERROR(__xludf.DUMMYFUNCTION("""COMPUTED_VALUE"""),0.842627652144832)</f>
        <v>0.8426276521</v>
      </c>
      <c r="H581" s="16">
        <f t="shared" si="1"/>
        <v>0</v>
      </c>
    </row>
    <row r="582">
      <c r="B582" s="16">
        <f>IFERROR(__xludf.DUMMYFUNCTION("""COMPUTED_VALUE"""),58.0)</f>
        <v>58</v>
      </c>
      <c r="D582" s="16">
        <f>IFERROR(__xludf.DUMMYFUNCTION("""COMPUTED_VALUE"""),-0.341017816477346)</f>
        <v>-0.3410178165</v>
      </c>
      <c r="E582" s="16">
        <f>IFERROR(__xludf.DUMMYFUNCTION("""COMPUTED_VALUE"""),-0.0325379706073185)</f>
        <v>-0.03253797061</v>
      </c>
      <c r="F582" s="16">
        <f>IFERROR(__xludf.DUMMYFUNCTION("""COMPUTED_VALUE"""),-0.454837817721234)</f>
        <v>-0.4548378177</v>
      </c>
      <c r="G582" s="16">
        <f>IFERROR(__xludf.DUMMYFUNCTION("""COMPUTED_VALUE"""),0.822052728773741)</f>
        <v>0.8220527288</v>
      </c>
      <c r="H582" s="16">
        <f t="shared" si="1"/>
        <v>0</v>
      </c>
    </row>
    <row r="583">
      <c r="B583" s="16">
        <f>IFERROR(__xludf.DUMMYFUNCTION("""COMPUTED_VALUE"""),58.1)</f>
        <v>58.1</v>
      </c>
      <c r="D583" s="16">
        <f>IFERROR(__xludf.DUMMYFUNCTION("""COMPUTED_VALUE"""),-0.392383776138804)</f>
        <v>-0.3923837761</v>
      </c>
      <c r="E583" s="16">
        <f>IFERROR(__xludf.DUMMYFUNCTION("""COMPUTED_VALUE"""),-0.0527634390457141)</f>
        <v>-0.05276343905</v>
      </c>
      <c r="F583" s="16">
        <f>IFERROR(__xludf.DUMMYFUNCTION("""COMPUTED_VALUE"""),-0.449544476157748)</f>
        <v>-0.4495444762</v>
      </c>
      <c r="G583" s="16">
        <f>IFERROR(__xludf.DUMMYFUNCTION("""COMPUTED_VALUE"""),0.800725143653654)</f>
        <v>0.8007251437</v>
      </c>
      <c r="H583" s="16">
        <f t="shared" si="1"/>
        <v>0</v>
      </c>
    </row>
    <row r="584">
      <c r="B584" s="16">
        <f>IFERROR(__xludf.DUMMYFUNCTION("""COMPUTED_VALUE"""),58.2)</f>
        <v>58.2</v>
      </c>
      <c r="D584" s="16">
        <f>IFERROR(__xludf.DUMMYFUNCTION("""COMPUTED_VALUE"""),-0.429667499498989)</f>
        <v>-0.4296674995</v>
      </c>
      <c r="E584" s="16">
        <f>IFERROR(__xludf.DUMMYFUNCTION("""COMPUTED_VALUE"""),-0.0738813091119522)</f>
        <v>-0.07388130911</v>
      </c>
      <c r="F584" s="16">
        <f>IFERROR(__xludf.DUMMYFUNCTION("""COMPUTED_VALUE"""),-0.446559927342097)</f>
        <v>-0.4465599273</v>
      </c>
      <c r="G584" s="16">
        <f>IFERROR(__xludf.DUMMYFUNCTION("""COMPUTED_VALUE"""),0.781352432216346)</f>
        <v>0.7813524322</v>
      </c>
      <c r="H584" s="16">
        <f t="shared" si="1"/>
        <v>0</v>
      </c>
    </row>
    <row r="585">
      <c r="B585" s="16">
        <f>IFERROR(__xludf.DUMMYFUNCTION("""COMPUTED_VALUE"""),58.3)</f>
        <v>58.3</v>
      </c>
      <c r="D585" s="16">
        <f>IFERROR(__xludf.DUMMYFUNCTION("""COMPUTED_VALUE"""),-0.463008193421325)</f>
        <v>-0.4630081934</v>
      </c>
      <c r="E585" s="16">
        <f>IFERROR(__xludf.DUMMYFUNCTION("""COMPUTED_VALUE"""),-0.0930963945608108)</f>
        <v>-0.09309639456</v>
      </c>
      <c r="F585" s="16">
        <f>IFERROR(__xludf.DUMMYFUNCTION("""COMPUTED_VALUE"""),-0.442952907049556)</f>
        <v>-0.442952907</v>
      </c>
      <c r="G585" s="16">
        <f>IFERROR(__xludf.DUMMYFUNCTION("""COMPUTED_VALUE"""),0.762069023304867)</f>
        <v>0.7620690233</v>
      </c>
      <c r="H585" s="16">
        <f t="shared" si="1"/>
        <v>0</v>
      </c>
    </row>
    <row r="586">
      <c r="B586" s="16">
        <f>IFERROR(__xludf.DUMMYFUNCTION("""COMPUTED_VALUE"""),58.4)</f>
        <v>58.4</v>
      </c>
      <c r="D586" s="16">
        <f>IFERROR(__xludf.DUMMYFUNCTION("""COMPUTED_VALUE"""),-0.501292377359973)</f>
        <v>-0.5012923774</v>
      </c>
      <c r="E586" s="16">
        <f>IFERROR(__xludf.DUMMYFUNCTION("""COMPUTED_VALUE"""),-0.115578421576028)</f>
        <v>-0.1155784216</v>
      </c>
      <c r="F586" s="16">
        <f>IFERROR(__xludf.DUMMYFUNCTION("""COMPUTED_VALUE"""),-0.437625233515926)</f>
        <v>-0.4376252335</v>
      </c>
      <c r="G586" s="16">
        <f>IFERROR(__xludf.DUMMYFUNCTION("""COMPUTED_VALUE"""),0.737449480206542)</f>
        <v>0.7374494802</v>
      </c>
      <c r="H586" s="16">
        <f t="shared" si="1"/>
        <v>0</v>
      </c>
    </row>
    <row r="587">
      <c r="B587" s="16">
        <f>IFERROR(__xludf.DUMMYFUNCTION("""COMPUTED_VALUE"""),58.5)</f>
        <v>58.5</v>
      </c>
      <c r="D587" s="16">
        <f>IFERROR(__xludf.DUMMYFUNCTION("""COMPUTED_VALUE"""),-0.512813886809096)</f>
        <v>-0.5128138868</v>
      </c>
      <c r="E587" s="16">
        <f>IFERROR(__xludf.DUMMYFUNCTION("""COMPUTED_VALUE"""),-0.122438081155567)</f>
        <v>-0.1224380812</v>
      </c>
      <c r="F587" s="16">
        <f>IFERROR(__xludf.DUMMYFUNCTION("""COMPUTED_VALUE"""),-0.435755817892105)</f>
        <v>-0.4357558179</v>
      </c>
      <c r="G587" s="16">
        <f>IFERROR(__xludf.DUMMYFUNCTION("""COMPUTED_VALUE"""),0.729484544697049)</f>
        <v>0.7294845447</v>
      </c>
      <c r="H587" s="16">
        <f t="shared" si="1"/>
        <v>0</v>
      </c>
    </row>
    <row r="588">
      <c r="B588" s="16">
        <f>IFERROR(__xludf.DUMMYFUNCTION("""COMPUTED_VALUE"""),58.6)</f>
        <v>58.6</v>
      </c>
      <c r="D588" s="16">
        <f>IFERROR(__xludf.DUMMYFUNCTION("""COMPUTED_VALUE"""),-0.512813886809096)</f>
        <v>-0.5128138868</v>
      </c>
      <c r="E588" s="16">
        <f>IFERROR(__xludf.DUMMYFUNCTION("""COMPUTED_VALUE"""),-0.122438081155567)</f>
        <v>-0.1224380812</v>
      </c>
      <c r="F588" s="16">
        <f>IFERROR(__xludf.DUMMYFUNCTION("""COMPUTED_VALUE"""),-0.435755817892105)</f>
        <v>-0.4357558179</v>
      </c>
      <c r="G588" s="16">
        <f>IFERROR(__xludf.DUMMYFUNCTION("""COMPUTED_VALUE"""),0.729484544697049)</f>
        <v>0.7294845447</v>
      </c>
      <c r="H588" s="16">
        <f t="shared" si="1"/>
        <v>0</v>
      </c>
    </row>
    <row r="589">
      <c r="B589" s="16">
        <f>IFERROR(__xludf.DUMMYFUNCTION("""COMPUTED_VALUE"""),58.7)</f>
        <v>58.7</v>
      </c>
      <c r="D589" s="16">
        <f>IFERROR(__xludf.DUMMYFUNCTION("""COMPUTED_VALUE"""),-0.518527369565206)</f>
        <v>-0.5185273696</v>
      </c>
      <c r="E589" s="16">
        <f>IFERROR(__xludf.DUMMYFUNCTION("""COMPUTED_VALUE"""),-0.125856687780453)</f>
        <v>-0.1258566878</v>
      </c>
      <c r="F589" s="16">
        <f>IFERROR(__xludf.DUMMYFUNCTION("""COMPUTED_VALUE"""),-0.434780761631432)</f>
        <v>-0.4347807616</v>
      </c>
      <c r="G589" s="16">
        <f>IFERROR(__xludf.DUMMYFUNCTION("""COMPUTED_VALUE"""),0.72543445635557)</f>
        <v>0.7254344564</v>
      </c>
      <c r="H589" s="16">
        <f t="shared" si="1"/>
        <v>0</v>
      </c>
    </row>
    <row r="590">
      <c r="B590" s="16">
        <f>IFERROR(__xludf.DUMMYFUNCTION("""COMPUTED_VALUE"""),58.8)</f>
        <v>58.8</v>
      </c>
      <c r="D590" s="16">
        <f>IFERROR(__xludf.DUMMYFUNCTION("""COMPUTED_VALUE"""),-0.518527369565206)</f>
        <v>-0.5185273696</v>
      </c>
      <c r="E590" s="16">
        <f>IFERROR(__xludf.DUMMYFUNCTION("""COMPUTED_VALUE"""),-0.125856687780453)</f>
        <v>-0.1258566878</v>
      </c>
      <c r="F590" s="16">
        <f>IFERROR(__xludf.DUMMYFUNCTION("""COMPUTED_VALUE"""),-0.434780761631432)</f>
        <v>-0.4347807616</v>
      </c>
      <c r="G590" s="16">
        <f>IFERROR(__xludf.DUMMYFUNCTION("""COMPUTED_VALUE"""),0.72543445635557)</f>
        <v>0.7254344564</v>
      </c>
      <c r="H590" s="16">
        <f t="shared" si="1"/>
        <v>0</v>
      </c>
    </row>
    <row r="591">
      <c r="B591" s="16">
        <f>IFERROR(__xludf.DUMMYFUNCTION("""COMPUTED_VALUE"""),58.9)</f>
        <v>58.9</v>
      </c>
      <c r="D591" s="16">
        <f>IFERROR(__xludf.DUMMYFUNCTION("""COMPUTED_VALUE"""),-0.518527369565206)</f>
        <v>-0.5185273696</v>
      </c>
      <c r="E591" s="16">
        <f>IFERROR(__xludf.DUMMYFUNCTION("""COMPUTED_VALUE"""),-0.125856687780453)</f>
        <v>-0.1258566878</v>
      </c>
      <c r="F591" s="16">
        <f>IFERROR(__xludf.DUMMYFUNCTION("""COMPUTED_VALUE"""),-0.434780761631432)</f>
        <v>-0.4347807616</v>
      </c>
      <c r="G591" s="16">
        <f>IFERROR(__xludf.DUMMYFUNCTION("""COMPUTED_VALUE"""),0.72543445635557)</f>
        <v>0.7254344564</v>
      </c>
      <c r="H591" s="16">
        <f t="shared" si="1"/>
        <v>0</v>
      </c>
    </row>
    <row r="592">
      <c r="B592" s="16">
        <f>IFERROR(__xludf.DUMMYFUNCTION("""COMPUTED_VALUE"""),59.0)</f>
        <v>59</v>
      </c>
      <c r="D592" s="16">
        <f>IFERROR(__xludf.DUMMYFUNCTION("""COMPUTED_VALUE"""),-0.518527369565206)</f>
        <v>-0.5185273696</v>
      </c>
      <c r="E592" s="16">
        <f>IFERROR(__xludf.DUMMYFUNCTION("""COMPUTED_VALUE"""),-0.125856687780453)</f>
        <v>-0.1258566878</v>
      </c>
      <c r="F592" s="16">
        <f>IFERROR(__xludf.DUMMYFUNCTION("""COMPUTED_VALUE"""),-0.434780761631432)</f>
        <v>-0.4347807616</v>
      </c>
      <c r="G592" s="16">
        <f>IFERROR(__xludf.DUMMYFUNCTION("""COMPUTED_VALUE"""),0.72543445635557)</f>
        <v>0.7254344564</v>
      </c>
      <c r="H592" s="16">
        <f t="shared" si="1"/>
        <v>0</v>
      </c>
    </row>
    <row r="593">
      <c r="B593" s="16">
        <f>IFERROR(__xludf.DUMMYFUNCTION("""COMPUTED_VALUE"""),59.1)</f>
        <v>59.1</v>
      </c>
      <c r="D593" s="16">
        <f>IFERROR(__xludf.DUMMYFUNCTION("""COMPUTED_VALUE"""),-0.518527369565206)</f>
        <v>-0.5185273696</v>
      </c>
      <c r="E593" s="16">
        <f>IFERROR(__xludf.DUMMYFUNCTION("""COMPUTED_VALUE"""),-0.125856687780453)</f>
        <v>-0.1258566878</v>
      </c>
      <c r="F593" s="16">
        <f>IFERROR(__xludf.DUMMYFUNCTION("""COMPUTED_VALUE"""),-0.434780761631432)</f>
        <v>-0.4347807616</v>
      </c>
      <c r="G593" s="16">
        <f>IFERROR(__xludf.DUMMYFUNCTION("""COMPUTED_VALUE"""),0.72543445635557)</f>
        <v>0.7254344564</v>
      </c>
      <c r="H593" s="16">
        <f t="shared" si="1"/>
        <v>0</v>
      </c>
    </row>
    <row r="594">
      <c r="B594" s="16">
        <f>IFERROR(__xludf.DUMMYFUNCTION("""COMPUTED_VALUE"""),59.2)</f>
        <v>59.2</v>
      </c>
      <c r="D594" s="16">
        <f>IFERROR(__xludf.DUMMYFUNCTION("""COMPUTED_VALUE"""),-0.518527369565206)</f>
        <v>-0.5185273696</v>
      </c>
      <c r="E594" s="16">
        <f>IFERROR(__xludf.DUMMYFUNCTION("""COMPUTED_VALUE"""),-0.125856687780453)</f>
        <v>-0.1258566878</v>
      </c>
      <c r="F594" s="16">
        <f>IFERROR(__xludf.DUMMYFUNCTION("""COMPUTED_VALUE"""),-0.434780761631432)</f>
        <v>-0.4347807616</v>
      </c>
      <c r="G594" s="16">
        <f>IFERROR(__xludf.DUMMYFUNCTION("""COMPUTED_VALUE"""),0.72543445635557)</f>
        <v>0.7254344564</v>
      </c>
      <c r="H594" s="16">
        <f t="shared" si="1"/>
        <v>0</v>
      </c>
    </row>
    <row r="595">
      <c r="B595" s="16">
        <f>IFERROR(__xludf.DUMMYFUNCTION("""COMPUTED_VALUE"""),59.3)</f>
        <v>59.3</v>
      </c>
      <c r="D595" s="16">
        <f>IFERROR(__xludf.DUMMYFUNCTION("""COMPUTED_VALUE"""),-0.518527369565206)</f>
        <v>-0.5185273696</v>
      </c>
      <c r="E595" s="16">
        <f>IFERROR(__xludf.DUMMYFUNCTION("""COMPUTED_VALUE"""),-0.125856687780453)</f>
        <v>-0.1258566878</v>
      </c>
      <c r="F595" s="16">
        <f>IFERROR(__xludf.DUMMYFUNCTION("""COMPUTED_VALUE"""),-0.434780761631432)</f>
        <v>-0.4347807616</v>
      </c>
      <c r="G595" s="16">
        <f>IFERROR(__xludf.DUMMYFUNCTION("""COMPUTED_VALUE"""),0.72543445635557)</f>
        <v>0.7254344564</v>
      </c>
      <c r="H595" s="16">
        <f t="shared" si="1"/>
        <v>0</v>
      </c>
    </row>
    <row r="596">
      <c r="B596" s="16">
        <f>IFERROR(__xludf.DUMMYFUNCTION("""COMPUTED_VALUE"""),59.4)</f>
        <v>59.4</v>
      </c>
      <c r="D596" s="16">
        <f>IFERROR(__xludf.DUMMYFUNCTION("""COMPUTED_VALUE"""),-0.518527369565206)</f>
        <v>-0.5185273696</v>
      </c>
      <c r="E596" s="16">
        <f>IFERROR(__xludf.DUMMYFUNCTION("""COMPUTED_VALUE"""),-0.125856687780453)</f>
        <v>-0.1258566878</v>
      </c>
      <c r="F596" s="16">
        <f>IFERROR(__xludf.DUMMYFUNCTION("""COMPUTED_VALUE"""),-0.434780761631432)</f>
        <v>-0.4347807616</v>
      </c>
      <c r="G596" s="16">
        <f>IFERROR(__xludf.DUMMYFUNCTION("""COMPUTED_VALUE"""),0.72543445635557)</f>
        <v>0.7254344564</v>
      </c>
      <c r="H596" s="16">
        <f t="shared" si="1"/>
        <v>0</v>
      </c>
    </row>
    <row r="597">
      <c r="B597" s="16">
        <f>IFERROR(__xludf.DUMMYFUNCTION("""COMPUTED_VALUE"""),59.5)</f>
        <v>59.5</v>
      </c>
      <c r="D597" s="16">
        <f>IFERROR(__xludf.DUMMYFUNCTION("""COMPUTED_VALUE"""),-0.535474506729727)</f>
        <v>-0.5354745067</v>
      </c>
      <c r="E597" s="16">
        <f>IFERROR(__xludf.DUMMYFUNCTION("""COMPUTED_VALUE"""),-0.13606508596226)</f>
        <v>-0.136065086</v>
      </c>
      <c r="F597" s="16">
        <f>IFERROR(__xludf.DUMMYFUNCTION("""COMPUTED_VALUE"""),-0.431694925758871)</f>
        <v>-0.4316949258</v>
      </c>
      <c r="G597" s="16">
        <f>IFERROR(__xludf.DUMMYFUNCTION("""COMPUTED_VALUE"""),0.713016715160779)</f>
        <v>0.7130167152</v>
      </c>
      <c r="H597" s="16">
        <f t="shared" si="1"/>
        <v>0</v>
      </c>
    </row>
    <row r="598">
      <c r="B598" s="16">
        <f>IFERROR(__xludf.DUMMYFUNCTION("""COMPUTED_VALUE"""),59.6)</f>
        <v>59.6</v>
      </c>
      <c r="D598" s="16">
        <f>IFERROR(__xludf.DUMMYFUNCTION("""COMPUTED_VALUE"""),-0.546608026032681)</f>
        <v>-0.546608026</v>
      </c>
      <c r="E598" s="16">
        <f>IFERROR(__xludf.DUMMYFUNCTION("""COMPUTED_VALUE"""),-0.142829068930084)</f>
        <v>-0.1428290689</v>
      </c>
      <c r="F598" s="16">
        <f>IFERROR(__xludf.DUMMYFUNCTION("""COMPUTED_VALUE"""),-0.429504451213768)</f>
        <v>-0.4295044512</v>
      </c>
      <c r="G598" s="16">
        <f>IFERROR(__xludf.DUMMYFUNCTION("""COMPUTED_VALUE"""),0.704517884324286)</f>
        <v>0.7045178843</v>
      </c>
      <c r="H598" s="16">
        <f t="shared" si="1"/>
        <v>0</v>
      </c>
    </row>
    <row r="599">
      <c r="B599" s="16">
        <f>IFERROR(__xludf.DUMMYFUNCTION("""COMPUTED_VALUE"""),59.7)</f>
        <v>59.7</v>
      </c>
      <c r="D599" s="16">
        <f>IFERROR(__xludf.DUMMYFUNCTION("""COMPUTED_VALUE"""),-0.546608026032681)</f>
        <v>-0.546608026</v>
      </c>
      <c r="E599" s="16">
        <f>IFERROR(__xludf.DUMMYFUNCTION("""COMPUTED_VALUE"""),-0.142829068930084)</f>
        <v>-0.1428290689</v>
      </c>
      <c r="F599" s="16">
        <f>IFERROR(__xludf.DUMMYFUNCTION("""COMPUTED_VALUE"""),-0.429504451213768)</f>
        <v>-0.4295044512</v>
      </c>
      <c r="G599" s="16">
        <f>IFERROR(__xludf.DUMMYFUNCTION("""COMPUTED_VALUE"""),0.704517884324286)</f>
        <v>0.7045178843</v>
      </c>
      <c r="H599" s="16">
        <f t="shared" si="1"/>
        <v>0</v>
      </c>
    </row>
    <row r="600">
      <c r="B600" s="16">
        <f>IFERROR(__xludf.DUMMYFUNCTION("""COMPUTED_VALUE"""),59.8)</f>
        <v>59.8</v>
      </c>
      <c r="D600" s="16">
        <f>IFERROR(__xludf.DUMMYFUNCTION("""COMPUTED_VALUE"""),-0.546608026032681)</f>
        <v>-0.546608026</v>
      </c>
      <c r="E600" s="16">
        <f>IFERROR(__xludf.DUMMYFUNCTION("""COMPUTED_VALUE"""),-0.142829068930084)</f>
        <v>-0.1428290689</v>
      </c>
      <c r="F600" s="16">
        <f>IFERROR(__xludf.DUMMYFUNCTION("""COMPUTED_VALUE"""),-0.429504451213768)</f>
        <v>-0.4295044512</v>
      </c>
      <c r="G600" s="16">
        <f>IFERROR(__xludf.DUMMYFUNCTION("""COMPUTED_VALUE"""),0.704517884324286)</f>
        <v>0.7045178843</v>
      </c>
      <c r="H600" s="16">
        <f t="shared" si="1"/>
        <v>0</v>
      </c>
    </row>
    <row r="601">
      <c r="B601" s="16">
        <f>IFERROR(__xludf.DUMMYFUNCTION("""COMPUTED_VALUE"""),59.9)</f>
        <v>59.9</v>
      </c>
      <c r="D601" s="16">
        <f>IFERROR(__xludf.DUMMYFUNCTION("""COMPUTED_VALUE"""),-0.546608026032681)</f>
        <v>-0.546608026</v>
      </c>
      <c r="E601" s="16">
        <f>IFERROR(__xludf.DUMMYFUNCTION("""COMPUTED_VALUE"""),-0.142829068930084)</f>
        <v>-0.1428290689</v>
      </c>
      <c r="F601" s="16">
        <f>IFERROR(__xludf.DUMMYFUNCTION("""COMPUTED_VALUE"""),-0.429504451213768)</f>
        <v>-0.4295044512</v>
      </c>
      <c r="G601" s="16">
        <f>IFERROR(__xludf.DUMMYFUNCTION("""COMPUTED_VALUE"""),0.704517884324286)</f>
        <v>0.7045178843</v>
      </c>
      <c r="H601" s="16">
        <f t="shared" si="1"/>
        <v>0</v>
      </c>
    </row>
    <row r="602">
      <c r="B602" s="16">
        <f>IFERROR(__xludf.DUMMYFUNCTION("""COMPUTED_VALUE"""),60.0)</f>
        <v>60</v>
      </c>
      <c r="D602" s="16">
        <f>IFERROR(__xludf.DUMMYFUNCTION("""COMPUTED_VALUE"""),-0.546608026032681)</f>
        <v>-0.546608026</v>
      </c>
      <c r="E602" s="16">
        <f>IFERROR(__xludf.DUMMYFUNCTION("""COMPUTED_VALUE"""),-0.142829068930084)</f>
        <v>-0.1428290689</v>
      </c>
      <c r="F602" s="16">
        <f>IFERROR(__xludf.DUMMYFUNCTION("""COMPUTED_VALUE"""),-0.429504451213768)</f>
        <v>-0.4295044512</v>
      </c>
      <c r="G602" s="16">
        <f>IFERROR(__xludf.DUMMYFUNCTION("""COMPUTED_VALUE"""),0.704517884324286)</f>
        <v>0.7045178843</v>
      </c>
      <c r="H602" s="16">
        <f t="shared" si="1"/>
        <v>0</v>
      </c>
    </row>
    <row r="603">
      <c r="B603" s="16">
        <f>IFERROR(__xludf.DUMMYFUNCTION("""COMPUTED_VALUE"""),60.1)</f>
        <v>60.1</v>
      </c>
      <c r="D603" s="16">
        <f>IFERROR(__xludf.DUMMYFUNCTION("""COMPUTED_VALUE"""),-0.546608026032681)</f>
        <v>-0.546608026</v>
      </c>
      <c r="E603" s="16">
        <f>IFERROR(__xludf.DUMMYFUNCTION("""COMPUTED_VALUE"""),-0.142829068930084)</f>
        <v>-0.1428290689</v>
      </c>
      <c r="F603" s="16">
        <f>IFERROR(__xludf.DUMMYFUNCTION("""COMPUTED_VALUE"""),-0.429504451213768)</f>
        <v>-0.4295044512</v>
      </c>
      <c r="G603" s="16">
        <f>IFERROR(__xludf.DUMMYFUNCTION("""COMPUTED_VALUE"""),0.704517884324286)</f>
        <v>0.7045178843</v>
      </c>
      <c r="H603" s="16">
        <f t="shared" si="1"/>
        <v>0</v>
      </c>
    </row>
    <row r="604">
      <c r="B604" s="16">
        <f>IFERROR(__xludf.DUMMYFUNCTION("""COMPUTED_VALUE"""),60.2)</f>
        <v>60.2</v>
      </c>
      <c r="D604" s="16">
        <f>IFERROR(__xludf.DUMMYFUNCTION("""COMPUTED_VALUE"""),-0.549370439415858)</f>
        <v>-0.5493704394</v>
      </c>
      <c r="E604" s="16">
        <f>IFERROR(__xludf.DUMMYFUNCTION("""COMPUTED_VALUE"""),-0.144514623280143)</f>
        <v>-0.1445146233</v>
      </c>
      <c r="F604" s="16">
        <f>IFERROR(__xludf.DUMMYFUNCTION("""COMPUTED_VALUE"""),-0.428940252485207)</f>
        <v>-0.4289402525</v>
      </c>
      <c r="G604" s="16">
        <f>IFERROR(__xludf.DUMMYFUNCTION("""COMPUTED_VALUE"""),0.702365932938194)</f>
        <v>0.7023659329</v>
      </c>
      <c r="H604" s="16">
        <f t="shared" si="1"/>
        <v>0</v>
      </c>
    </row>
    <row r="605">
      <c r="B605" s="16">
        <f>IFERROR(__xludf.DUMMYFUNCTION("""COMPUTED_VALUE"""),60.3)</f>
        <v>60.3</v>
      </c>
      <c r="D605" s="16">
        <f>IFERROR(__xludf.DUMMYFUNCTION("""COMPUTED_VALUE"""),-0.549370439415858)</f>
        <v>-0.5493704394</v>
      </c>
      <c r="E605" s="16">
        <f>IFERROR(__xludf.DUMMYFUNCTION("""COMPUTED_VALUE"""),-0.144514623280143)</f>
        <v>-0.1445146233</v>
      </c>
      <c r="F605" s="16">
        <f>IFERROR(__xludf.DUMMYFUNCTION("""COMPUTED_VALUE"""),-0.428940252485207)</f>
        <v>-0.4289402525</v>
      </c>
      <c r="G605" s="16">
        <f>IFERROR(__xludf.DUMMYFUNCTION("""COMPUTED_VALUE"""),0.702365932938194)</f>
        <v>0.7023659329</v>
      </c>
      <c r="H605" s="16">
        <f t="shared" si="1"/>
        <v>0</v>
      </c>
    </row>
    <row r="606">
      <c r="B606" s="16">
        <f>IFERROR(__xludf.DUMMYFUNCTION("""COMPUTED_VALUE"""),60.4)</f>
        <v>60.4</v>
      </c>
      <c r="D606" s="16">
        <f>IFERROR(__xludf.DUMMYFUNCTION("""COMPUTED_VALUE"""),-0.549370439415858)</f>
        <v>-0.5493704394</v>
      </c>
      <c r="E606" s="16">
        <f>IFERROR(__xludf.DUMMYFUNCTION("""COMPUTED_VALUE"""),-0.144514623280143)</f>
        <v>-0.1445146233</v>
      </c>
      <c r="F606" s="16">
        <f>IFERROR(__xludf.DUMMYFUNCTION("""COMPUTED_VALUE"""),-0.428940252485207)</f>
        <v>-0.4289402525</v>
      </c>
      <c r="G606" s="16">
        <f>IFERROR(__xludf.DUMMYFUNCTION("""COMPUTED_VALUE"""),0.702365932938194)</f>
        <v>0.7023659329</v>
      </c>
      <c r="H606" s="16">
        <f t="shared" si="1"/>
        <v>0</v>
      </c>
    </row>
    <row r="607">
      <c r="B607" s="16">
        <f>IFERROR(__xludf.DUMMYFUNCTION("""COMPUTED_VALUE"""),60.5)</f>
        <v>60.5</v>
      </c>
      <c r="D607" s="16">
        <f>IFERROR(__xludf.DUMMYFUNCTION("""COMPUTED_VALUE"""),-0.549370439415858)</f>
        <v>-0.5493704394</v>
      </c>
      <c r="E607" s="16">
        <f>IFERROR(__xludf.DUMMYFUNCTION("""COMPUTED_VALUE"""),-0.144514623280143)</f>
        <v>-0.1445146233</v>
      </c>
      <c r="F607" s="16">
        <f>IFERROR(__xludf.DUMMYFUNCTION("""COMPUTED_VALUE"""),-0.428940252485207)</f>
        <v>-0.4289402525</v>
      </c>
      <c r="G607" s="16">
        <f>IFERROR(__xludf.DUMMYFUNCTION("""COMPUTED_VALUE"""),0.702365932938194)</f>
        <v>0.7023659329</v>
      </c>
      <c r="H607" s="16">
        <f t="shared" si="1"/>
        <v>0</v>
      </c>
    </row>
    <row r="608">
      <c r="B608" s="16">
        <f>IFERROR(__xludf.DUMMYFUNCTION("""COMPUTED_VALUE"""),60.6)</f>
        <v>60.6</v>
      </c>
      <c r="D608" s="16">
        <f>IFERROR(__xludf.DUMMYFUNCTION("""COMPUTED_VALUE"""),-0.549370439415858)</f>
        <v>-0.5493704394</v>
      </c>
      <c r="E608" s="16">
        <f>IFERROR(__xludf.DUMMYFUNCTION("""COMPUTED_VALUE"""),-0.144514623280143)</f>
        <v>-0.1445146233</v>
      </c>
      <c r="F608" s="16">
        <f>IFERROR(__xludf.DUMMYFUNCTION("""COMPUTED_VALUE"""),-0.428940252485207)</f>
        <v>-0.4289402525</v>
      </c>
      <c r="G608" s="16">
        <f>IFERROR(__xludf.DUMMYFUNCTION("""COMPUTED_VALUE"""),0.702365932938194)</f>
        <v>0.7023659329</v>
      </c>
      <c r="H608" s="16">
        <f t="shared" si="1"/>
        <v>0</v>
      </c>
    </row>
    <row r="609">
      <c r="B609" s="16">
        <f>IFERROR(__xludf.DUMMYFUNCTION("""COMPUTED_VALUE"""),60.7)</f>
        <v>60.7</v>
      </c>
      <c r="D609" s="16">
        <f>IFERROR(__xludf.DUMMYFUNCTION("""COMPUTED_VALUE"""),-0.549370439415858)</f>
        <v>-0.5493704394</v>
      </c>
      <c r="E609" s="16">
        <f>IFERROR(__xludf.DUMMYFUNCTION("""COMPUTED_VALUE"""),-0.144514623280143)</f>
        <v>-0.1445146233</v>
      </c>
      <c r="F609" s="16">
        <f>IFERROR(__xludf.DUMMYFUNCTION("""COMPUTED_VALUE"""),-0.428940252485207)</f>
        <v>-0.4289402525</v>
      </c>
      <c r="G609" s="16">
        <f>IFERROR(__xludf.DUMMYFUNCTION("""COMPUTED_VALUE"""),0.702365932938194)</f>
        <v>0.7023659329</v>
      </c>
      <c r="H609" s="16">
        <f t="shared" si="1"/>
        <v>0</v>
      </c>
    </row>
    <row r="610">
      <c r="B610" s="16">
        <f>IFERROR(__xludf.DUMMYFUNCTION("""COMPUTED_VALUE"""),60.8)</f>
        <v>60.8</v>
      </c>
      <c r="D610" s="16">
        <f>IFERROR(__xludf.DUMMYFUNCTION("""COMPUTED_VALUE"""),-0.565104441232336)</f>
        <v>-0.5651044412</v>
      </c>
      <c r="E610" s="16">
        <f>IFERROR(__xludf.DUMMYFUNCTION("""COMPUTED_VALUE"""),-0.161675381043583)</f>
        <v>-0.161675381</v>
      </c>
      <c r="F610" s="16">
        <f>IFERROR(__xludf.DUMMYFUNCTION("""COMPUTED_VALUE"""),-0.429215149648527)</f>
        <v>-0.4292151496</v>
      </c>
      <c r="G610" s="16">
        <f>IFERROR(__xludf.DUMMYFUNCTION("""COMPUTED_VALUE"""),0.685778679295354)</f>
        <v>0.6857786793</v>
      </c>
      <c r="H610" s="16">
        <f t="shared" si="1"/>
        <v>0</v>
      </c>
    </row>
    <row r="611">
      <c r="B611" s="16">
        <f>IFERROR(__xludf.DUMMYFUNCTION("""COMPUTED_VALUE"""),60.9)</f>
        <v>60.9</v>
      </c>
      <c r="D611" s="16">
        <f>IFERROR(__xludf.DUMMYFUNCTION("""COMPUTED_VALUE"""),-0.582980068833308)</f>
        <v>-0.5829800688</v>
      </c>
      <c r="E611" s="16">
        <f>IFERROR(__xludf.DUMMYFUNCTION("""COMPUTED_VALUE"""),-0.180449465417665)</f>
        <v>-0.1804494654</v>
      </c>
      <c r="F611" s="16">
        <f>IFERROR(__xludf.DUMMYFUNCTION("""COMPUTED_VALUE"""),-0.428360630064967)</f>
        <v>-0.4283606301</v>
      </c>
      <c r="G611" s="16">
        <f>IFERROR(__xludf.DUMMYFUNCTION("""COMPUTED_VALUE"""),0.666392827380308)</f>
        <v>0.6663928274</v>
      </c>
      <c r="H611" s="16">
        <f t="shared" si="1"/>
        <v>0</v>
      </c>
    </row>
    <row r="612">
      <c r="B612" s="16">
        <f>IFERROR(__xludf.DUMMYFUNCTION("""COMPUTED_VALUE"""),61.0)</f>
        <v>61</v>
      </c>
      <c r="D612" s="16">
        <f>IFERROR(__xludf.DUMMYFUNCTION("""COMPUTED_VALUE"""),-0.591718469037969)</f>
        <v>-0.591718469</v>
      </c>
      <c r="E612" s="16">
        <f>IFERROR(__xludf.DUMMYFUNCTION("""COMPUTED_VALUE"""),-0.20093476209307)</f>
        <v>-0.2009347621</v>
      </c>
      <c r="F612" s="16">
        <f>IFERROR(__xludf.DUMMYFUNCTION("""COMPUTED_VALUE"""),-0.433093488830146)</f>
        <v>-0.4330934888</v>
      </c>
      <c r="G612" s="16">
        <f>IFERROR(__xludf.DUMMYFUNCTION("""COMPUTED_VALUE"""),0.649557160467715)</f>
        <v>0.6495571605</v>
      </c>
      <c r="H612" s="16">
        <f t="shared" si="1"/>
        <v>0</v>
      </c>
    </row>
    <row r="613">
      <c r="B613" s="16">
        <f>IFERROR(__xludf.DUMMYFUNCTION("""COMPUTED_VALUE"""),61.1)</f>
        <v>61.1</v>
      </c>
      <c r="D613" s="16">
        <f>IFERROR(__xludf.DUMMYFUNCTION("""COMPUTED_VALUE"""),-0.594264704895026)</f>
        <v>-0.5942647049</v>
      </c>
      <c r="E613" s="16">
        <f>IFERROR(__xludf.DUMMYFUNCTION("""COMPUTED_VALUE"""),-0.202633962493439)</f>
        <v>-0.2026339625</v>
      </c>
      <c r="F613" s="16">
        <f>IFERROR(__xludf.DUMMYFUNCTION("""COMPUTED_VALUE"""),-0.43230108249769)</f>
        <v>-0.4323010825</v>
      </c>
      <c r="G613" s="16">
        <f>IFERROR(__xludf.DUMMYFUNCTION("""COMPUTED_VALUE"""),0.647228485027927)</f>
        <v>0.647228485</v>
      </c>
      <c r="H613" s="16">
        <f t="shared" si="1"/>
        <v>0</v>
      </c>
    </row>
    <row r="614">
      <c r="B614" s="16">
        <f>IFERROR(__xludf.DUMMYFUNCTION("""COMPUTED_VALUE"""),61.2)</f>
        <v>61.2</v>
      </c>
      <c r="D614" s="16">
        <f>IFERROR(__xludf.DUMMYFUNCTION("""COMPUTED_VALUE"""),-0.599329644595331)</f>
        <v>-0.5993296446</v>
      </c>
      <c r="E614" s="16">
        <f>IFERROR(__xludf.DUMMYFUNCTION("""COMPUTED_VALUE"""),-0.206022962540038)</f>
        <v>-0.2060229625</v>
      </c>
      <c r="F614" s="16">
        <f>IFERROR(__xludf.DUMMYFUNCTION("""COMPUTED_VALUE"""),-0.43069628230424)</f>
        <v>-0.4306962823</v>
      </c>
      <c r="G614" s="16">
        <f>IFERROR(__xludf.DUMMYFUNCTION("""COMPUTED_VALUE"""),0.642541227023413)</f>
        <v>0.642541227</v>
      </c>
      <c r="H614" s="16">
        <f t="shared" si="1"/>
        <v>0</v>
      </c>
    </row>
    <row r="615">
      <c r="B615" s="16">
        <f>IFERROR(__xludf.DUMMYFUNCTION("""COMPUTED_VALUE"""),61.3)</f>
        <v>61.3</v>
      </c>
      <c r="D615" s="16">
        <f>IFERROR(__xludf.DUMMYFUNCTION("""COMPUTED_VALUE"""),-0.599329644595331)</f>
        <v>-0.5993296446</v>
      </c>
      <c r="E615" s="16">
        <f>IFERROR(__xludf.DUMMYFUNCTION("""COMPUTED_VALUE"""),-0.206022962540038)</f>
        <v>-0.2060229625</v>
      </c>
      <c r="F615" s="16">
        <f>IFERROR(__xludf.DUMMYFUNCTION("""COMPUTED_VALUE"""),-0.43069628230424)</f>
        <v>-0.4306962823</v>
      </c>
      <c r="G615" s="16">
        <f>IFERROR(__xludf.DUMMYFUNCTION("""COMPUTED_VALUE"""),0.642541227023413)</f>
        <v>0.642541227</v>
      </c>
      <c r="H615" s="16">
        <f t="shared" si="1"/>
        <v>0</v>
      </c>
    </row>
    <row r="616">
      <c r="B616" s="16">
        <f>IFERROR(__xludf.DUMMYFUNCTION("""COMPUTED_VALUE"""),61.4)</f>
        <v>61.4</v>
      </c>
      <c r="D616" s="16">
        <f>IFERROR(__xludf.DUMMYFUNCTION("""COMPUTED_VALUE"""),-0.599329644595331)</f>
        <v>-0.5993296446</v>
      </c>
      <c r="E616" s="16">
        <f>IFERROR(__xludf.DUMMYFUNCTION("""COMPUTED_VALUE"""),-0.206022962540038)</f>
        <v>-0.2060229625</v>
      </c>
      <c r="F616" s="16">
        <f>IFERROR(__xludf.DUMMYFUNCTION("""COMPUTED_VALUE"""),-0.43069628230424)</f>
        <v>-0.4306962823</v>
      </c>
      <c r="G616" s="16">
        <f>IFERROR(__xludf.DUMMYFUNCTION("""COMPUTED_VALUE"""),0.642541227023413)</f>
        <v>0.642541227</v>
      </c>
      <c r="H616" s="16">
        <f t="shared" si="1"/>
        <v>0</v>
      </c>
    </row>
    <row r="617">
      <c r="B617" s="16">
        <f>IFERROR(__xludf.DUMMYFUNCTION("""COMPUTED_VALUE"""),61.5)</f>
        <v>61.5</v>
      </c>
      <c r="D617" s="16">
        <f>IFERROR(__xludf.DUMMYFUNCTION("""COMPUTED_VALUE"""),-0.599329644595331)</f>
        <v>-0.5993296446</v>
      </c>
      <c r="E617" s="16">
        <f>IFERROR(__xludf.DUMMYFUNCTION("""COMPUTED_VALUE"""),-0.206022962540038)</f>
        <v>-0.2060229625</v>
      </c>
      <c r="F617" s="16">
        <f>IFERROR(__xludf.DUMMYFUNCTION("""COMPUTED_VALUE"""),-0.43069628230424)</f>
        <v>-0.4306962823</v>
      </c>
      <c r="G617" s="16">
        <f>IFERROR(__xludf.DUMMYFUNCTION("""COMPUTED_VALUE"""),0.642541227023413)</f>
        <v>0.642541227</v>
      </c>
      <c r="H617" s="16">
        <f t="shared" si="1"/>
        <v>0</v>
      </c>
    </row>
    <row r="618">
      <c r="B618" s="16">
        <f>IFERROR(__xludf.DUMMYFUNCTION("""COMPUTED_VALUE"""),61.6)</f>
        <v>61.6</v>
      </c>
      <c r="D618" s="16">
        <f>IFERROR(__xludf.DUMMYFUNCTION("""COMPUTED_VALUE"""),-0.599329644595331)</f>
        <v>-0.5993296446</v>
      </c>
      <c r="E618" s="16">
        <f>IFERROR(__xludf.DUMMYFUNCTION("""COMPUTED_VALUE"""),-0.206022962540038)</f>
        <v>-0.2060229625</v>
      </c>
      <c r="F618" s="16">
        <f>IFERROR(__xludf.DUMMYFUNCTION("""COMPUTED_VALUE"""),-0.43069628230424)</f>
        <v>-0.4306962823</v>
      </c>
      <c r="G618" s="16">
        <f>IFERROR(__xludf.DUMMYFUNCTION("""COMPUTED_VALUE"""),0.642541227023413)</f>
        <v>0.642541227</v>
      </c>
      <c r="H618" s="16">
        <f t="shared" si="1"/>
        <v>0</v>
      </c>
    </row>
    <row r="619">
      <c r="B619" s="16">
        <f>IFERROR(__xludf.DUMMYFUNCTION("""COMPUTED_VALUE"""),61.7)</f>
        <v>61.7</v>
      </c>
      <c r="D619" s="16">
        <f>IFERROR(__xludf.DUMMYFUNCTION("""COMPUTED_VALUE"""),-0.599329644595331)</f>
        <v>-0.5993296446</v>
      </c>
      <c r="E619" s="16">
        <f>IFERROR(__xludf.DUMMYFUNCTION("""COMPUTED_VALUE"""),-0.206022962540038)</f>
        <v>-0.2060229625</v>
      </c>
      <c r="F619" s="16">
        <f>IFERROR(__xludf.DUMMYFUNCTION("""COMPUTED_VALUE"""),-0.43069628230424)</f>
        <v>-0.4306962823</v>
      </c>
      <c r="G619" s="16">
        <f>IFERROR(__xludf.DUMMYFUNCTION("""COMPUTED_VALUE"""),0.642541227023413)</f>
        <v>0.642541227</v>
      </c>
      <c r="H619" s="16">
        <f t="shared" si="1"/>
        <v>0</v>
      </c>
    </row>
    <row r="620">
      <c r="B620" s="16">
        <f>IFERROR(__xludf.DUMMYFUNCTION("""COMPUTED_VALUE"""),61.8)</f>
        <v>61.8</v>
      </c>
      <c r="D620" s="16">
        <f>IFERROR(__xludf.DUMMYFUNCTION("""COMPUTED_VALUE"""),-0.599329644595331)</f>
        <v>-0.5993296446</v>
      </c>
      <c r="E620" s="16">
        <f>IFERROR(__xludf.DUMMYFUNCTION("""COMPUTED_VALUE"""),-0.206022962540038)</f>
        <v>-0.2060229625</v>
      </c>
      <c r="F620" s="16">
        <f>IFERROR(__xludf.DUMMYFUNCTION("""COMPUTED_VALUE"""),-0.43069628230424)</f>
        <v>-0.4306962823</v>
      </c>
      <c r="G620" s="16">
        <f>IFERROR(__xludf.DUMMYFUNCTION("""COMPUTED_VALUE"""),0.642541227023413)</f>
        <v>0.642541227</v>
      </c>
      <c r="H620" s="16">
        <f t="shared" si="1"/>
        <v>0</v>
      </c>
    </row>
    <row r="621">
      <c r="B621" s="16">
        <f>IFERROR(__xludf.DUMMYFUNCTION("""COMPUTED_VALUE"""),61.9)</f>
        <v>61.9</v>
      </c>
      <c r="D621" s="16">
        <f>IFERROR(__xludf.DUMMYFUNCTION("""COMPUTED_VALUE"""),-0.599329644595331)</f>
        <v>-0.5993296446</v>
      </c>
      <c r="E621" s="16">
        <f>IFERROR(__xludf.DUMMYFUNCTION("""COMPUTED_VALUE"""),-0.206022962540038)</f>
        <v>-0.2060229625</v>
      </c>
      <c r="F621" s="16">
        <f>IFERROR(__xludf.DUMMYFUNCTION("""COMPUTED_VALUE"""),-0.43069628230424)</f>
        <v>-0.4306962823</v>
      </c>
      <c r="G621" s="16">
        <f>IFERROR(__xludf.DUMMYFUNCTION("""COMPUTED_VALUE"""),0.642541227023413)</f>
        <v>0.642541227</v>
      </c>
      <c r="H621" s="16">
        <f t="shared" si="1"/>
        <v>0</v>
      </c>
    </row>
    <row r="622">
      <c r="D622" s="16">
        <f>IFERROR(__xludf.DUMMYFUNCTION("""COMPUTED_VALUE"""),-0.599329644595331)</f>
        <v>-0.5993296446</v>
      </c>
      <c r="E622" s="16">
        <f>IFERROR(__xludf.DUMMYFUNCTION("""COMPUTED_VALUE"""),-0.206022962540038)</f>
        <v>-0.2060229625</v>
      </c>
      <c r="F622" s="16">
        <f>IFERROR(__xludf.DUMMYFUNCTION("""COMPUTED_VALUE"""),-0.43069628230424)</f>
        <v>-0.4306962823</v>
      </c>
      <c r="G622" s="16">
        <f>IFERROR(__xludf.DUMMYFUNCTION("""COMPUTED_VALUE"""),0.642541227023413)</f>
        <v>0.642541227</v>
      </c>
    </row>
    <row r="623">
      <c r="D623" s="16">
        <f>IFERROR(__xludf.DUMMYFUNCTION("""COMPUTED_VALUE"""),-0.599329644595331)</f>
        <v>-0.5993296446</v>
      </c>
      <c r="E623" s="16">
        <f>IFERROR(__xludf.DUMMYFUNCTION("""COMPUTED_VALUE"""),-0.206022962540038)</f>
        <v>-0.2060229625</v>
      </c>
      <c r="F623" s="16">
        <f>IFERROR(__xludf.DUMMYFUNCTION("""COMPUTED_VALUE"""),-0.43069628230424)</f>
        <v>-0.4306962823</v>
      </c>
      <c r="G623" s="16">
        <f>IFERROR(__xludf.DUMMYFUNCTION("""COMPUTED_VALUE"""),0.642541227023413)</f>
        <v>0.642541227</v>
      </c>
    </row>
    <row r="624">
      <c r="D624" s="16">
        <f>IFERROR(__xludf.DUMMYFUNCTION("""COMPUTED_VALUE"""),-0.599329644595331)</f>
        <v>-0.5993296446</v>
      </c>
      <c r="E624" s="16">
        <f>IFERROR(__xludf.DUMMYFUNCTION("""COMPUTED_VALUE"""),-0.206022962540038)</f>
        <v>-0.2060229625</v>
      </c>
      <c r="F624" s="16">
        <f>IFERROR(__xludf.DUMMYFUNCTION("""COMPUTED_VALUE"""),-0.43069628230424)</f>
        <v>-0.4306962823</v>
      </c>
      <c r="G624" s="16">
        <f>IFERROR(__xludf.DUMMYFUNCTION("""COMPUTED_VALUE"""),0.642541227023413)</f>
        <v>0.642541227</v>
      </c>
    </row>
    <row r="625">
      <c r="D625" s="16">
        <f>IFERROR(__xludf.DUMMYFUNCTION("""COMPUTED_VALUE"""),-0.599329644595331)</f>
        <v>-0.5993296446</v>
      </c>
      <c r="E625" s="16">
        <f>IFERROR(__xludf.DUMMYFUNCTION("""COMPUTED_VALUE"""),-0.206022962540038)</f>
        <v>-0.2060229625</v>
      </c>
      <c r="F625" s="16">
        <f>IFERROR(__xludf.DUMMYFUNCTION("""COMPUTED_VALUE"""),-0.43069628230424)</f>
        <v>-0.4306962823</v>
      </c>
      <c r="G625" s="16">
        <f>IFERROR(__xludf.DUMMYFUNCTION("""COMPUTED_VALUE"""),0.642541227023413)</f>
        <v>0.642541227</v>
      </c>
    </row>
    <row r="626">
      <c r="D626" s="16">
        <f>IFERROR(__xludf.DUMMYFUNCTION("""COMPUTED_VALUE"""),-0.599329644595331)</f>
        <v>-0.5993296446</v>
      </c>
      <c r="E626" s="16">
        <f>IFERROR(__xludf.DUMMYFUNCTION("""COMPUTED_VALUE"""),-0.206022962540038)</f>
        <v>-0.2060229625</v>
      </c>
      <c r="F626" s="16">
        <f>IFERROR(__xludf.DUMMYFUNCTION("""COMPUTED_VALUE"""),-0.43069628230424)</f>
        <v>-0.4306962823</v>
      </c>
      <c r="G626" s="16">
        <f>IFERROR(__xludf.DUMMYFUNCTION("""COMPUTED_VALUE"""),0.642541227023413)</f>
        <v>0.642541227</v>
      </c>
    </row>
    <row r="627">
      <c r="D627" s="16">
        <f>IFERROR(__xludf.DUMMYFUNCTION("""COMPUTED_VALUE"""),-0.599329644595331)</f>
        <v>-0.5993296446</v>
      </c>
      <c r="E627" s="16">
        <f>IFERROR(__xludf.DUMMYFUNCTION("""COMPUTED_VALUE"""),-0.206022962540038)</f>
        <v>-0.2060229625</v>
      </c>
      <c r="F627" s="16">
        <f>IFERROR(__xludf.DUMMYFUNCTION("""COMPUTED_VALUE"""),-0.43069628230424)</f>
        <v>-0.4306962823</v>
      </c>
      <c r="G627" s="16">
        <f>IFERROR(__xludf.DUMMYFUNCTION("""COMPUTED_VALUE"""),0.642541227023413)</f>
        <v>0.642541227</v>
      </c>
    </row>
    <row r="628">
      <c r="D628" s="16">
        <f>IFERROR(__xludf.DUMMYFUNCTION("""COMPUTED_VALUE"""),-0.599329644595331)</f>
        <v>-0.5993296446</v>
      </c>
      <c r="E628" s="16">
        <f>IFERROR(__xludf.DUMMYFUNCTION("""COMPUTED_VALUE"""),-0.206022962540038)</f>
        <v>-0.2060229625</v>
      </c>
      <c r="F628" s="16">
        <f>IFERROR(__xludf.DUMMYFUNCTION("""COMPUTED_VALUE"""),-0.43069628230424)</f>
        <v>-0.4306962823</v>
      </c>
      <c r="G628" s="16">
        <f>IFERROR(__xludf.DUMMYFUNCTION("""COMPUTED_VALUE"""),0.642541227023413)</f>
        <v>0.642541227</v>
      </c>
    </row>
    <row r="629">
      <c r="D629" s="16">
        <f>IFERROR(__xludf.DUMMYFUNCTION("""COMPUTED_VALUE"""),-0.599329644595331)</f>
        <v>-0.5993296446</v>
      </c>
      <c r="E629" s="16">
        <f>IFERROR(__xludf.DUMMYFUNCTION("""COMPUTED_VALUE"""),-0.206022962540038)</f>
        <v>-0.2060229625</v>
      </c>
      <c r="F629" s="16">
        <f>IFERROR(__xludf.DUMMYFUNCTION("""COMPUTED_VALUE"""),-0.43069628230424)</f>
        <v>-0.4306962823</v>
      </c>
      <c r="G629" s="16">
        <f>IFERROR(__xludf.DUMMYFUNCTION("""COMPUTED_VALUE"""),0.642541227023413)</f>
        <v>0.642541227</v>
      </c>
    </row>
    <row r="630">
      <c r="D630" s="16">
        <f>IFERROR(__xludf.DUMMYFUNCTION("""COMPUTED_VALUE"""),-0.599329644595331)</f>
        <v>-0.5993296446</v>
      </c>
      <c r="E630" s="16">
        <f>IFERROR(__xludf.DUMMYFUNCTION("""COMPUTED_VALUE"""),-0.206022962540038)</f>
        <v>-0.2060229625</v>
      </c>
      <c r="F630" s="16">
        <f>IFERROR(__xludf.DUMMYFUNCTION("""COMPUTED_VALUE"""),-0.43069628230424)</f>
        <v>-0.4306962823</v>
      </c>
      <c r="G630" s="16">
        <f>IFERROR(__xludf.DUMMYFUNCTION("""COMPUTED_VALUE"""),0.642541227023413)</f>
        <v>0.642541227</v>
      </c>
    </row>
    <row r="631">
      <c r="D631" s="16">
        <f>IFERROR(__xludf.DUMMYFUNCTION("""COMPUTED_VALUE"""),-0.599329644595331)</f>
        <v>-0.5993296446</v>
      </c>
      <c r="E631" s="16">
        <f>IFERROR(__xludf.DUMMYFUNCTION("""COMPUTED_VALUE"""),-0.206022962540038)</f>
        <v>-0.2060229625</v>
      </c>
      <c r="F631" s="16">
        <f>IFERROR(__xludf.DUMMYFUNCTION("""COMPUTED_VALUE"""),-0.43069628230424)</f>
        <v>-0.4306962823</v>
      </c>
      <c r="G631" s="16">
        <f>IFERROR(__xludf.DUMMYFUNCTION("""COMPUTED_VALUE"""),0.642541227023413)</f>
        <v>0.642541227</v>
      </c>
    </row>
    <row r="632">
      <c r="D632" s="16">
        <f>IFERROR(__xludf.DUMMYFUNCTION("""COMPUTED_VALUE"""),-0.599329644595331)</f>
        <v>-0.5993296446</v>
      </c>
      <c r="E632" s="16">
        <f>IFERROR(__xludf.DUMMYFUNCTION("""COMPUTED_VALUE"""),-0.206022962540038)</f>
        <v>-0.2060229625</v>
      </c>
      <c r="F632" s="16">
        <f>IFERROR(__xludf.DUMMYFUNCTION("""COMPUTED_VALUE"""),-0.43069628230424)</f>
        <v>-0.4306962823</v>
      </c>
      <c r="G632" s="16">
        <f>IFERROR(__xludf.DUMMYFUNCTION("""COMPUTED_VALUE"""),0.642541227023413)</f>
        <v>0.642541227</v>
      </c>
    </row>
    <row r="633">
      <c r="D633" s="16">
        <f>IFERROR(__xludf.DUMMYFUNCTION("""COMPUTED_VALUE"""),-0.599329644595331)</f>
        <v>-0.5993296446</v>
      </c>
      <c r="E633" s="16">
        <f>IFERROR(__xludf.DUMMYFUNCTION("""COMPUTED_VALUE"""),-0.206022962540038)</f>
        <v>-0.2060229625</v>
      </c>
      <c r="F633" s="16">
        <f>IFERROR(__xludf.DUMMYFUNCTION("""COMPUTED_VALUE"""),-0.43069628230424)</f>
        <v>-0.4306962823</v>
      </c>
      <c r="G633" s="16">
        <f>IFERROR(__xludf.DUMMYFUNCTION("""COMPUTED_VALUE"""),0.642541227023413)</f>
        <v>0.642541227</v>
      </c>
    </row>
    <row r="634">
      <c r="D634" s="16">
        <f>IFERROR(__xludf.DUMMYFUNCTION("""COMPUTED_VALUE"""),-0.599329644595331)</f>
        <v>-0.5993296446</v>
      </c>
      <c r="E634" s="16">
        <f>IFERROR(__xludf.DUMMYFUNCTION("""COMPUTED_VALUE"""),-0.206022962540038)</f>
        <v>-0.2060229625</v>
      </c>
      <c r="F634" s="16">
        <f>IFERROR(__xludf.DUMMYFUNCTION("""COMPUTED_VALUE"""),-0.43069628230424)</f>
        <v>-0.4306962823</v>
      </c>
      <c r="G634" s="16">
        <f>IFERROR(__xludf.DUMMYFUNCTION("""COMPUTED_VALUE"""),0.642541227023413)</f>
        <v>0.642541227</v>
      </c>
    </row>
    <row r="635">
      <c r="D635" s="16">
        <f>IFERROR(__xludf.DUMMYFUNCTION("""COMPUTED_VALUE"""),-0.599329644595331)</f>
        <v>-0.5993296446</v>
      </c>
      <c r="E635" s="16">
        <f>IFERROR(__xludf.DUMMYFUNCTION("""COMPUTED_VALUE"""),-0.206022962540038)</f>
        <v>-0.2060229625</v>
      </c>
      <c r="F635" s="16">
        <f>IFERROR(__xludf.DUMMYFUNCTION("""COMPUTED_VALUE"""),-0.43069628230424)</f>
        <v>-0.4306962823</v>
      </c>
      <c r="G635" s="16">
        <f>IFERROR(__xludf.DUMMYFUNCTION("""COMPUTED_VALUE"""),0.642541227023413)</f>
        <v>0.642541227</v>
      </c>
    </row>
    <row r="636">
      <c r="D636" s="16">
        <f>IFERROR(__xludf.DUMMYFUNCTION("""COMPUTED_VALUE"""),-0.599329644595331)</f>
        <v>-0.5993296446</v>
      </c>
      <c r="E636" s="16">
        <f>IFERROR(__xludf.DUMMYFUNCTION("""COMPUTED_VALUE"""),-0.206022962540038)</f>
        <v>-0.2060229625</v>
      </c>
      <c r="F636" s="16">
        <f>IFERROR(__xludf.DUMMYFUNCTION("""COMPUTED_VALUE"""),-0.43069628230424)</f>
        <v>-0.4306962823</v>
      </c>
      <c r="G636" s="16">
        <f>IFERROR(__xludf.DUMMYFUNCTION("""COMPUTED_VALUE"""),0.642541227023413)</f>
        <v>0.642541227</v>
      </c>
    </row>
    <row r="637">
      <c r="D637" s="16">
        <f>IFERROR(__xludf.DUMMYFUNCTION("""COMPUTED_VALUE"""),-0.599329644595331)</f>
        <v>-0.5993296446</v>
      </c>
      <c r="E637" s="16">
        <f>IFERROR(__xludf.DUMMYFUNCTION("""COMPUTED_VALUE"""),-0.206022962540038)</f>
        <v>-0.2060229625</v>
      </c>
      <c r="F637" s="16">
        <f>IFERROR(__xludf.DUMMYFUNCTION("""COMPUTED_VALUE"""),-0.43069628230424)</f>
        <v>-0.4306962823</v>
      </c>
      <c r="G637" s="16">
        <f>IFERROR(__xludf.DUMMYFUNCTION("""COMPUTED_VALUE"""),0.642541227023413)</f>
        <v>0.642541227</v>
      </c>
    </row>
    <row r="638">
      <c r="D638" s="16">
        <f>IFERROR(__xludf.DUMMYFUNCTION("""COMPUTED_VALUE"""),-0.599329644595331)</f>
        <v>-0.5993296446</v>
      </c>
      <c r="E638" s="16">
        <f>IFERROR(__xludf.DUMMYFUNCTION("""COMPUTED_VALUE"""),-0.206022962540038)</f>
        <v>-0.2060229625</v>
      </c>
      <c r="F638" s="16">
        <f>IFERROR(__xludf.DUMMYFUNCTION("""COMPUTED_VALUE"""),-0.43069628230424)</f>
        <v>-0.4306962823</v>
      </c>
      <c r="G638" s="16">
        <f>IFERROR(__xludf.DUMMYFUNCTION("""COMPUTED_VALUE"""),0.642541227023413)</f>
        <v>0.642541227</v>
      </c>
    </row>
    <row r="639">
      <c r="D639" s="16">
        <f>IFERROR(__xludf.DUMMYFUNCTION("""COMPUTED_VALUE"""),-0.610215256290904)</f>
        <v>-0.6102152563</v>
      </c>
      <c r="E639" s="16">
        <f>IFERROR(__xludf.DUMMYFUNCTION("""COMPUTED_VALUE"""),-0.206048248361588)</f>
        <v>-0.2060482484</v>
      </c>
      <c r="F639" s="16">
        <f>IFERROR(__xludf.DUMMYFUNCTION("""COMPUTED_VALUE"""),-0.423499249919366)</f>
        <v>-0.4234992499</v>
      </c>
      <c r="G639" s="16">
        <f>IFERROR(__xludf.DUMMYFUNCTION("""COMPUTED_VALUE"""),0.637047757750285)</f>
        <v>0.6370477578</v>
      </c>
    </row>
    <row r="640">
      <c r="D640" s="16">
        <f>IFERROR(__xludf.DUMMYFUNCTION("""COMPUTED_VALUE"""),-0.611873624495559)</f>
        <v>-0.6118736245</v>
      </c>
      <c r="E640" s="16">
        <f>IFERROR(__xludf.DUMMYFUNCTION("""COMPUTED_VALUE"""),-0.203544985411938)</f>
        <v>-0.2035449854</v>
      </c>
      <c r="F640" s="16">
        <f>IFERROR(__xludf.DUMMYFUNCTION("""COMPUTED_VALUE"""),-0.421099681000957)</f>
        <v>-0.421099681</v>
      </c>
      <c r="G640" s="16">
        <f>IFERROR(__xludf.DUMMYFUNCTION("""COMPUTED_VALUE"""),0.637851993193718)</f>
        <v>0.6378519932</v>
      </c>
    </row>
    <row r="641">
      <c r="D641" s="16">
        <f>IFERROR(__xludf.DUMMYFUNCTION("""COMPUTED_VALUE"""),-0.611873624495559)</f>
        <v>-0.6118736245</v>
      </c>
      <c r="E641" s="16">
        <f>IFERROR(__xludf.DUMMYFUNCTION("""COMPUTED_VALUE"""),-0.203544985411938)</f>
        <v>-0.2035449854</v>
      </c>
      <c r="F641" s="16">
        <f>IFERROR(__xludf.DUMMYFUNCTION("""COMPUTED_VALUE"""),-0.421099681000957)</f>
        <v>-0.421099681</v>
      </c>
      <c r="G641" s="16">
        <f>IFERROR(__xludf.DUMMYFUNCTION("""COMPUTED_VALUE"""),0.637851993193718)</f>
        <v>0.6378519932</v>
      </c>
    </row>
    <row r="642">
      <c r="D642" s="16">
        <f>IFERROR(__xludf.DUMMYFUNCTION("""COMPUTED_VALUE"""),-0.611873624495559)</f>
        <v>-0.6118736245</v>
      </c>
      <c r="E642" s="16">
        <f>IFERROR(__xludf.DUMMYFUNCTION("""COMPUTED_VALUE"""),-0.203544985411938)</f>
        <v>-0.2035449854</v>
      </c>
      <c r="F642" s="16">
        <f>IFERROR(__xludf.DUMMYFUNCTION("""COMPUTED_VALUE"""),-0.421099681000957)</f>
        <v>-0.421099681</v>
      </c>
      <c r="G642" s="16">
        <f>IFERROR(__xludf.DUMMYFUNCTION("""COMPUTED_VALUE"""),0.637851993193718)</f>
        <v>0.6378519932</v>
      </c>
    </row>
    <row r="643">
      <c r="D643" s="16">
        <f>IFERROR(__xludf.DUMMYFUNCTION("""COMPUTED_VALUE"""),-0.611873624495559)</f>
        <v>-0.6118736245</v>
      </c>
      <c r="E643" s="16">
        <f>IFERROR(__xludf.DUMMYFUNCTION("""COMPUTED_VALUE"""),-0.203544985411938)</f>
        <v>-0.2035449854</v>
      </c>
      <c r="F643" s="16">
        <f>IFERROR(__xludf.DUMMYFUNCTION("""COMPUTED_VALUE"""),-0.421099681000957)</f>
        <v>-0.421099681</v>
      </c>
      <c r="G643" s="16">
        <f>IFERROR(__xludf.DUMMYFUNCTION("""COMPUTED_VALUE"""),0.637851993193718)</f>
        <v>0.6378519932</v>
      </c>
    </row>
    <row r="644">
      <c r="D644" s="16">
        <f>IFERROR(__xludf.DUMMYFUNCTION("""COMPUTED_VALUE"""),-0.611873624495559)</f>
        <v>-0.6118736245</v>
      </c>
      <c r="E644" s="16">
        <f>IFERROR(__xludf.DUMMYFUNCTION("""COMPUTED_VALUE"""),-0.203544985411938)</f>
        <v>-0.2035449854</v>
      </c>
      <c r="F644" s="16">
        <f>IFERROR(__xludf.DUMMYFUNCTION("""COMPUTED_VALUE"""),-0.421099681000957)</f>
        <v>-0.421099681</v>
      </c>
      <c r="G644" s="16">
        <f>IFERROR(__xludf.DUMMYFUNCTION("""COMPUTED_VALUE"""),0.637851993193718)</f>
        <v>0.6378519932</v>
      </c>
    </row>
    <row r="645">
      <c r="D645" s="16">
        <f>IFERROR(__xludf.DUMMYFUNCTION("""COMPUTED_VALUE"""),-0.611873624495559)</f>
        <v>-0.6118736245</v>
      </c>
      <c r="E645" s="16">
        <f>IFERROR(__xludf.DUMMYFUNCTION("""COMPUTED_VALUE"""),-0.203544985411938)</f>
        <v>-0.2035449854</v>
      </c>
      <c r="F645" s="16">
        <f>IFERROR(__xludf.DUMMYFUNCTION("""COMPUTED_VALUE"""),-0.421099681000957)</f>
        <v>-0.421099681</v>
      </c>
      <c r="G645" s="16">
        <f>IFERROR(__xludf.DUMMYFUNCTION("""COMPUTED_VALUE"""),0.637851993193718)</f>
        <v>0.6378519932</v>
      </c>
    </row>
    <row r="646">
      <c r="D646" s="16">
        <f>IFERROR(__xludf.DUMMYFUNCTION("""COMPUTED_VALUE"""),-0.611873624495559)</f>
        <v>-0.6118736245</v>
      </c>
      <c r="E646" s="16">
        <f>IFERROR(__xludf.DUMMYFUNCTION("""COMPUTED_VALUE"""),-0.203544985411938)</f>
        <v>-0.2035449854</v>
      </c>
      <c r="F646" s="16">
        <f>IFERROR(__xludf.DUMMYFUNCTION("""COMPUTED_VALUE"""),-0.421099681000957)</f>
        <v>-0.421099681</v>
      </c>
      <c r="G646" s="16">
        <f>IFERROR(__xludf.DUMMYFUNCTION("""COMPUTED_VALUE"""),0.637851993193718)</f>
        <v>0.6378519932</v>
      </c>
    </row>
    <row r="647">
      <c r="D647" s="16">
        <f>IFERROR(__xludf.DUMMYFUNCTION("""COMPUTED_VALUE"""),-0.611873624495559)</f>
        <v>-0.6118736245</v>
      </c>
      <c r="E647" s="16">
        <f>IFERROR(__xludf.DUMMYFUNCTION("""COMPUTED_VALUE"""),-0.203544985411938)</f>
        <v>-0.2035449854</v>
      </c>
      <c r="F647" s="16">
        <f>IFERROR(__xludf.DUMMYFUNCTION("""COMPUTED_VALUE"""),-0.421099681000957)</f>
        <v>-0.421099681</v>
      </c>
      <c r="G647" s="16">
        <f>IFERROR(__xludf.DUMMYFUNCTION("""COMPUTED_VALUE"""),0.637851993193718)</f>
        <v>0.6378519932</v>
      </c>
    </row>
    <row r="648">
      <c r="D648" s="16">
        <f>IFERROR(__xludf.DUMMYFUNCTION("""COMPUTED_VALUE"""),-0.611873624495559)</f>
        <v>-0.6118736245</v>
      </c>
      <c r="E648" s="16">
        <f>IFERROR(__xludf.DUMMYFUNCTION("""COMPUTED_VALUE"""),-0.203544985411938)</f>
        <v>-0.2035449854</v>
      </c>
      <c r="F648" s="16">
        <f>IFERROR(__xludf.DUMMYFUNCTION("""COMPUTED_VALUE"""),-0.421099681000957)</f>
        <v>-0.421099681</v>
      </c>
      <c r="G648" s="16">
        <f>IFERROR(__xludf.DUMMYFUNCTION("""COMPUTED_VALUE"""),0.637851993193718)</f>
        <v>0.6378519932</v>
      </c>
    </row>
    <row r="649">
      <c r="D649" s="16">
        <f>IFERROR(__xludf.DUMMYFUNCTION("""COMPUTED_VALUE"""),-0.611873624495559)</f>
        <v>-0.6118736245</v>
      </c>
      <c r="E649" s="16">
        <f>IFERROR(__xludf.DUMMYFUNCTION("""COMPUTED_VALUE"""),-0.203544985411938)</f>
        <v>-0.2035449854</v>
      </c>
      <c r="F649" s="16">
        <f>IFERROR(__xludf.DUMMYFUNCTION("""COMPUTED_VALUE"""),-0.421099681000957)</f>
        <v>-0.421099681</v>
      </c>
      <c r="G649" s="16">
        <f>IFERROR(__xludf.DUMMYFUNCTION("""COMPUTED_VALUE"""),0.637851993193718)</f>
        <v>0.6378519932</v>
      </c>
    </row>
    <row r="650">
      <c r="D650" s="16">
        <f>IFERROR(__xludf.DUMMYFUNCTION("""COMPUTED_VALUE"""),-0.611873624495559)</f>
        <v>-0.6118736245</v>
      </c>
      <c r="E650" s="16">
        <f>IFERROR(__xludf.DUMMYFUNCTION("""COMPUTED_VALUE"""),-0.203544985411938)</f>
        <v>-0.2035449854</v>
      </c>
      <c r="F650" s="16">
        <f>IFERROR(__xludf.DUMMYFUNCTION("""COMPUTED_VALUE"""),-0.421099681000957)</f>
        <v>-0.421099681</v>
      </c>
      <c r="G650" s="16">
        <f>IFERROR(__xludf.DUMMYFUNCTION("""COMPUTED_VALUE"""),0.637851993193718)</f>
        <v>0.6378519932</v>
      </c>
    </row>
    <row r="651">
      <c r="D651" s="16">
        <f>IFERROR(__xludf.DUMMYFUNCTION("""COMPUTED_VALUE"""),-0.611873624495559)</f>
        <v>-0.6118736245</v>
      </c>
      <c r="E651" s="16">
        <f>IFERROR(__xludf.DUMMYFUNCTION("""COMPUTED_VALUE"""),-0.203544985411938)</f>
        <v>-0.2035449854</v>
      </c>
      <c r="F651" s="16">
        <f>IFERROR(__xludf.DUMMYFUNCTION("""COMPUTED_VALUE"""),-0.421099681000957)</f>
        <v>-0.421099681</v>
      </c>
      <c r="G651" s="16">
        <f>IFERROR(__xludf.DUMMYFUNCTION("""COMPUTED_VALUE"""),0.637851993193718)</f>
        <v>0.6378519932</v>
      </c>
    </row>
    <row r="652">
      <c r="D652" s="16">
        <f>IFERROR(__xludf.DUMMYFUNCTION("""COMPUTED_VALUE"""),-0.611873624495559)</f>
        <v>-0.6118736245</v>
      </c>
      <c r="E652" s="16">
        <f>IFERROR(__xludf.DUMMYFUNCTION("""COMPUTED_VALUE"""),-0.203544985411938)</f>
        <v>-0.2035449854</v>
      </c>
      <c r="F652" s="16">
        <f>IFERROR(__xludf.DUMMYFUNCTION("""COMPUTED_VALUE"""),-0.421099681000957)</f>
        <v>-0.421099681</v>
      </c>
      <c r="G652" s="16">
        <f>IFERROR(__xludf.DUMMYFUNCTION("""COMPUTED_VALUE"""),0.637851993193718)</f>
        <v>0.6378519932</v>
      </c>
    </row>
    <row r="653">
      <c r="D653" s="16">
        <f>IFERROR(__xludf.DUMMYFUNCTION("""COMPUTED_VALUE"""),-0.611873624495559)</f>
        <v>-0.6118736245</v>
      </c>
      <c r="E653" s="16">
        <f>IFERROR(__xludf.DUMMYFUNCTION("""COMPUTED_VALUE"""),-0.203544985411938)</f>
        <v>-0.2035449854</v>
      </c>
      <c r="F653" s="16">
        <f>IFERROR(__xludf.DUMMYFUNCTION("""COMPUTED_VALUE"""),-0.421099681000957)</f>
        <v>-0.421099681</v>
      </c>
      <c r="G653" s="16">
        <f>IFERROR(__xludf.DUMMYFUNCTION("""COMPUTED_VALUE"""),0.637851993193718)</f>
        <v>0.6378519932</v>
      </c>
    </row>
    <row r="654">
      <c r="D654" s="16">
        <f>IFERROR(__xludf.DUMMYFUNCTION("""COMPUTED_VALUE"""),-0.611873624495559)</f>
        <v>-0.6118736245</v>
      </c>
      <c r="E654" s="16">
        <f>IFERROR(__xludf.DUMMYFUNCTION("""COMPUTED_VALUE"""),-0.203544985411938)</f>
        <v>-0.2035449854</v>
      </c>
      <c r="F654" s="16">
        <f>IFERROR(__xludf.DUMMYFUNCTION("""COMPUTED_VALUE"""),-0.421099681000957)</f>
        <v>-0.421099681</v>
      </c>
      <c r="G654" s="16">
        <f>IFERROR(__xludf.DUMMYFUNCTION("""COMPUTED_VALUE"""),0.637851993193718)</f>
        <v>0.6378519932</v>
      </c>
    </row>
    <row r="655">
      <c r="D655" s="16">
        <f>IFERROR(__xludf.DUMMYFUNCTION("""COMPUTED_VALUE"""),-0.611873624495559)</f>
        <v>-0.6118736245</v>
      </c>
      <c r="E655" s="16">
        <f>IFERROR(__xludf.DUMMYFUNCTION("""COMPUTED_VALUE"""),-0.203544985411938)</f>
        <v>-0.2035449854</v>
      </c>
      <c r="F655" s="16">
        <f>IFERROR(__xludf.DUMMYFUNCTION("""COMPUTED_VALUE"""),-0.421099681000957)</f>
        <v>-0.421099681</v>
      </c>
      <c r="G655" s="16">
        <f>IFERROR(__xludf.DUMMYFUNCTION("""COMPUTED_VALUE"""),0.637851993193718)</f>
        <v>0.6378519932</v>
      </c>
    </row>
    <row r="656">
      <c r="D656" s="16">
        <f>IFERROR(__xludf.DUMMYFUNCTION("""COMPUTED_VALUE"""),-0.611873624495559)</f>
        <v>-0.6118736245</v>
      </c>
      <c r="E656" s="16">
        <f>IFERROR(__xludf.DUMMYFUNCTION("""COMPUTED_VALUE"""),-0.203544985411938)</f>
        <v>-0.2035449854</v>
      </c>
      <c r="F656" s="16">
        <f>IFERROR(__xludf.DUMMYFUNCTION("""COMPUTED_VALUE"""),-0.421099681000957)</f>
        <v>-0.421099681</v>
      </c>
      <c r="G656" s="16">
        <f>IFERROR(__xludf.DUMMYFUNCTION("""COMPUTED_VALUE"""),0.637851993193718)</f>
        <v>0.6378519932</v>
      </c>
    </row>
    <row r="657">
      <c r="D657" s="16">
        <f>IFERROR(__xludf.DUMMYFUNCTION("""COMPUTED_VALUE"""),-0.611873624495559)</f>
        <v>-0.6118736245</v>
      </c>
      <c r="E657" s="16">
        <f>IFERROR(__xludf.DUMMYFUNCTION("""COMPUTED_VALUE"""),-0.203544985411938)</f>
        <v>-0.2035449854</v>
      </c>
      <c r="F657" s="16">
        <f>IFERROR(__xludf.DUMMYFUNCTION("""COMPUTED_VALUE"""),-0.421099681000957)</f>
        <v>-0.421099681</v>
      </c>
      <c r="G657" s="16">
        <f>IFERROR(__xludf.DUMMYFUNCTION("""COMPUTED_VALUE"""),0.637851993193718)</f>
        <v>0.6378519932</v>
      </c>
    </row>
    <row r="658">
      <c r="D658" s="16">
        <f>IFERROR(__xludf.DUMMYFUNCTION("""COMPUTED_VALUE"""),-0.611873624495559)</f>
        <v>-0.6118736245</v>
      </c>
      <c r="E658" s="16">
        <f>IFERROR(__xludf.DUMMYFUNCTION("""COMPUTED_VALUE"""),-0.203544985411938)</f>
        <v>-0.2035449854</v>
      </c>
      <c r="F658" s="16">
        <f>IFERROR(__xludf.DUMMYFUNCTION("""COMPUTED_VALUE"""),-0.421099681000957)</f>
        <v>-0.421099681</v>
      </c>
      <c r="G658" s="16">
        <f>IFERROR(__xludf.DUMMYFUNCTION("""COMPUTED_VALUE"""),0.637851993193718)</f>
        <v>0.6378519932</v>
      </c>
    </row>
    <row r="659">
      <c r="D659" s="16">
        <f>IFERROR(__xludf.DUMMYFUNCTION("""COMPUTED_VALUE"""),-0.611873624495559)</f>
        <v>-0.6118736245</v>
      </c>
      <c r="E659" s="16">
        <f>IFERROR(__xludf.DUMMYFUNCTION("""COMPUTED_VALUE"""),-0.203544985411938)</f>
        <v>-0.2035449854</v>
      </c>
      <c r="F659" s="16">
        <f>IFERROR(__xludf.DUMMYFUNCTION("""COMPUTED_VALUE"""),-0.421099681000957)</f>
        <v>-0.421099681</v>
      </c>
      <c r="G659" s="16">
        <f>IFERROR(__xludf.DUMMYFUNCTION("""COMPUTED_VALUE"""),0.637851993193718)</f>
        <v>0.6378519932</v>
      </c>
    </row>
    <row r="660">
      <c r="D660" s="16">
        <f>IFERROR(__xludf.DUMMYFUNCTION("""COMPUTED_VALUE"""),-0.611873624495559)</f>
        <v>-0.6118736245</v>
      </c>
      <c r="E660" s="16">
        <f>IFERROR(__xludf.DUMMYFUNCTION("""COMPUTED_VALUE"""),-0.203544985411938)</f>
        <v>-0.2035449854</v>
      </c>
      <c r="F660" s="16">
        <f>IFERROR(__xludf.DUMMYFUNCTION("""COMPUTED_VALUE"""),-0.421099681000957)</f>
        <v>-0.421099681</v>
      </c>
      <c r="G660" s="16">
        <f>IFERROR(__xludf.DUMMYFUNCTION("""COMPUTED_VALUE"""),0.637851993193718)</f>
        <v>0.6378519932</v>
      </c>
    </row>
    <row r="661">
      <c r="D661" s="16">
        <f>IFERROR(__xludf.DUMMYFUNCTION("""COMPUTED_VALUE"""),-0.611873624495559)</f>
        <v>-0.6118736245</v>
      </c>
      <c r="E661" s="16">
        <f>IFERROR(__xludf.DUMMYFUNCTION("""COMPUTED_VALUE"""),-0.203544985411938)</f>
        <v>-0.2035449854</v>
      </c>
      <c r="F661" s="16">
        <f>IFERROR(__xludf.DUMMYFUNCTION("""COMPUTED_VALUE"""),-0.421099681000957)</f>
        <v>-0.421099681</v>
      </c>
      <c r="G661" s="16">
        <f>IFERROR(__xludf.DUMMYFUNCTION("""COMPUTED_VALUE"""),0.637851993193718)</f>
        <v>0.6378519932</v>
      </c>
    </row>
    <row r="662">
      <c r="D662" s="16">
        <f>IFERROR(__xludf.DUMMYFUNCTION("""COMPUTED_VALUE"""),-0.611873624495559)</f>
        <v>-0.6118736245</v>
      </c>
      <c r="E662" s="16">
        <f>IFERROR(__xludf.DUMMYFUNCTION("""COMPUTED_VALUE"""),-0.203544985411938)</f>
        <v>-0.2035449854</v>
      </c>
      <c r="F662" s="16">
        <f>IFERROR(__xludf.DUMMYFUNCTION("""COMPUTED_VALUE"""),-0.421099681000957)</f>
        <v>-0.421099681</v>
      </c>
      <c r="G662" s="16">
        <f>IFERROR(__xludf.DUMMYFUNCTION("""COMPUTED_VALUE"""),0.637851993193718)</f>
        <v>0.6378519932</v>
      </c>
    </row>
    <row r="663">
      <c r="D663" s="16">
        <f>IFERROR(__xludf.DUMMYFUNCTION("""COMPUTED_VALUE"""),-0.611873624495559)</f>
        <v>-0.6118736245</v>
      </c>
      <c r="E663" s="16">
        <f>IFERROR(__xludf.DUMMYFUNCTION("""COMPUTED_VALUE"""),-0.203544985411938)</f>
        <v>-0.2035449854</v>
      </c>
      <c r="F663" s="16">
        <f>IFERROR(__xludf.DUMMYFUNCTION("""COMPUTED_VALUE"""),-0.421099681000957)</f>
        <v>-0.421099681</v>
      </c>
      <c r="G663" s="16">
        <f>IFERROR(__xludf.DUMMYFUNCTION("""COMPUTED_VALUE"""),0.637851993193718)</f>
        <v>0.6378519932</v>
      </c>
    </row>
    <row r="664">
      <c r="D664" s="16">
        <f>IFERROR(__xludf.DUMMYFUNCTION("""COMPUTED_VALUE"""),-0.611873624495559)</f>
        <v>-0.6118736245</v>
      </c>
      <c r="E664" s="16">
        <f>IFERROR(__xludf.DUMMYFUNCTION("""COMPUTED_VALUE"""),-0.203544985411938)</f>
        <v>-0.2035449854</v>
      </c>
      <c r="F664" s="16">
        <f>IFERROR(__xludf.DUMMYFUNCTION("""COMPUTED_VALUE"""),-0.421099681000957)</f>
        <v>-0.421099681</v>
      </c>
      <c r="G664" s="16">
        <f>IFERROR(__xludf.DUMMYFUNCTION("""COMPUTED_VALUE"""),0.637851993193718)</f>
        <v>0.6378519932</v>
      </c>
    </row>
    <row r="665">
      <c r="D665" s="16">
        <f>IFERROR(__xludf.DUMMYFUNCTION("""COMPUTED_VALUE"""),-0.611873624495559)</f>
        <v>-0.6118736245</v>
      </c>
      <c r="E665" s="16">
        <f>IFERROR(__xludf.DUMMYFUNCTION("""COMPUTED_VALUE"""),-0.203544985411938)</f>
        <v>-0.2035449854</v>
      </c>
      <c r="F665" s="16">
        <f>IFERROR(__xludf.DUMMYFUNCTION("""COMPUTED_VALUE"""),-0.421099681000957)</f>
        <v>-0.421099681</v>
      </c>
      <c r="G665" s="16">
        <f>IFERROR(__xludf.DUMMYFUNCTION("""COMPUTED_VALUE"""),0.637851993193718)</f>
        <v>0.6378519932</v>
      </c>
    </row>
    <row r="666">
      <c r="D666" s="16">
        <f>IFERROR(__xludf.DUMMYFUNCTION("""COMPUTED_VALUE"""),-0.611873624495559)</f>
        <v>-0.6118736245</v>
      </c>
      <c r="E666" s="16">
        <f>IFERROR(__xludf.DUMMYFUNCTION("""COMPUTED_VALUE"""),-0.203544985411938)</f>
        <v>-0.2035449854</v>
      </c>
      <c r="F666" s="16">
        <f>IFERROR(__xludf.DUMMYFUNCTION("""COMPUTED_VALUE"""),-0.421099681000957)</f>
        <v>-0.421099681</v>
      </c>
      <c r="G666" s="16">
        <f>IFERROR(__xludf.DUMMYFUNCTION("""COMPUTED_VALUE"""),0.637851993193718)</f>
        <v>0.6378519932</v>
      </c>
    </row>
    <row r="667">
      <c r="D667" s="16">
        <f>IFERROR(__xludf.DUMMYFUNCTION("""COMPUTED_VALUE"""),-0.611873624495559)</f>
        <v>-0.6118736245</v>
      </c>
      <c r="E667" s="16">
        <f>IFERROR(__xludf.DUMMYFUNCTION("""COMPUTED_VALUE"""),-0.203544985411938)</f>
        <v>-0.2035449854</v>
      </c>
      <c r="F667" s="16">
        <f>IFERROR(__xludf.DUMMYFUNCTION("""COMPUTED_VALUE"""),-0.421099681000957)</f>
        <v>-0.421099681</v>
      </c>
      <c r="G667" s="16">
        <f>IFERROR(__xludf.DUMMYFUNCTION("""COMPUTED_VALUE"""),0.637851993193718)</f>
        <v>0.6378519932</v>
      </c>
    </row>
    <row r="668">
      <c r="D668" s="16">
        <f>IFERROR(__xludf.DUMMYFUNCTION("""COMPUTED_VALUE"""),-0.611873624495559)</f>
        <v>-0.6118736245</v>
      </c>
      <c r="E668" s="16">
        <f>IFERROR(__xludf.DUMMYFUNCTION("""COMPUTED_VALUE"""),-0.203544985411938)</f>
        <v>-0.2035449854</v>
      </c>
      <c r="F668" s="16">
        <f>IFERROR(__xludf.DUMMYFUNCTION("""COMPUTED_VALUE"""),-0.421099681000957)</f>
        <v>-0.421099681</v>
      </c>
      <c r="G668" s="16">
        <f>IFERROR(__xludf.DUMMYFUNCTION("""COMPUTED_VALUE"""),0.637851993193718)</f>
        <v>0.6378519932</v>
      </c>
    </row>
    <row r="669">
      <c r="D669" s="16">
        <f>IFERROR(__xludf.DUMMYFUNCTION("""COMPUTED_VALUE"""),-0.610215256290904)</f>
        <v>-0.6102152563</v>
      </c>
      <c r="E669" s="16">
        <f>IFERROR(__xludf.DUMMYFUNCTION("""COMPUTED_VALUE"""),-0.206048248361588)</f>
        <v>-0.2060482484</v>
      </c>
      <c r="F669" s="16">
        <f>IFERROR(__xludf.DUMMYFUNCTION("""COMPUTED_VALUE"""),-0.423499249919366)</f>
        <v>-0.4234992499</v>
      </c>
      <c r="G669" s="16">
        <f>IFERROR(__xludf.DUMMYFUNCTION("""COMPUTED_VALUE"""),0.637047757750285)</f>
        <v>0.6370477578</v>
      </c>
    </row>
    <row r="670">
      <c r="D670" s="16">
        <f>IFERROR(__xludf.DUMMYFUNCTION("""COMPUTED_VALUE"""),-0.610215256290904)</f>
        <v>-0.6102152563</v>
      </c>
      <c r="E670" s="16">
        <f>IFERROR(__xludf.DUMMYFUNCTION("""COMPUTED_VALUE"""),-0.206048248361588)</f>
        <v>-0.2060482484</v>
      </c>
      <c r="F670" s="16">
        <f>IFERROR(__xludf.DUMMYFUNCTION("""COMPUTED_VALUE"""),-0.423499249919366)</f>
        <v>-0.4234992499</v>
      </c>
      <c r="G670" s="16">
        <f>IFERROR(__xludf.DUMMYFUNCTION("""COMPUTED_VALUE"""),0.637047757750285)</f>
        <v>0.6370477578</v>
      </c>
    </row>
    <row r="671">
      <c r="D671" s="16">
        <f>IFERROR(__xludf.DUMMYFUNCTION("""COMPUTED_VALUE"""),-0.610215256290904)</f>
        <v>-0.6102152563</v>
      </c>
      <c r="E671" s="16">
        <f>IFERROR(__xludf.DUMMYFUNCTION("""COMPUTED_VALUE"""),-0.206048248361588)</f>
        <v>-0.2060482484</v>
      </c>
      <c r="F671" s="16">
        <f>IFERROR(__xludf.DUMMYFUNCTION("""COMPUTED_VALUE"""),-0.423499249919366)</f>
        <v>-0.4234992499</v>
      </c>
      <c r="G671" s="16">
        <f>IFERROR(__xludf.DUMMYFUNCTION("""COMPUTED_VALUE"""),0.637047757750285)</f>
        <v>0.6370477578</v>
      </c>
    </row>
    <row r="672">
      <c r="D672" s="16">
        <f>IFERROR(__xludf.DUMMYFUNCTION("""COMPUTED_VALUE"""),-0.60604110920197)</f>
        <v>-0.6060411092</v>
      </c>
      <c r="E672" s="16">
        <f>IFERROR(__xludf.DUMMYFUNCTION("""COMPUTED_VALUE"""),-0.206883669540465)</f>
        <v>-0.2068836695</v>
      </c>
      <c r="F672" s="16">
        <f>IFERROR(__xludf.DUMMYFUNCTION("""COMPUTED_VALUE"""),-0.426698161759964)</f>
        <v>-0.4266981618</v>
      </c>
      <c r="G672" s="16">
        <f>IFERROR(__xludf.DUMMYFUNCTION("""COMPUTED_VALUE"""),0.638625085621736)</f>
        <v>0.6386250856</v>
      </c>
    </row>
    <row r="673">
      <c r="D673" s="16">
        <f>IFERROR(__xludf.DUMMYFUNCTION("""COMPUTED_VALUE"""),-0.60604110920197)</f>
        <v>-0.6060411092</v>
      </c>
      <c r="E673" s="16">
        <f>IFERROR(__xludf.DUMMYFUNCTION("""COMPUTED_VALUE"""),-0.206883669540465)</f>
        <v>-0.2068836695</v>
      </c>
      <c r="F673" s="16">
        <f>IFERROR(__xludf.DUMMYFUNCTION("""COMPUTED_VALUE"""),-0.426698161759964)</f>
        <v>-0.4266981618</v>
      </c>
      <c r="G673" s="16">
        <f>IFERROR(__xludf.DUMMYFUNCTION("""COMPUTED_VALUE"""),0.638625085621736)</f>
        <v>0.6386250856</v>
      </c>
    </row>
    <row r="674">
      <c r="D674" s="16">
        <f>IFERROR(__xludf.DUMMYFUNCTION("""COMPUTED_VALUE"""),-0.601808242431472)</f>
        <v>-0.6018082424</v>
      </c>
      <c r="E674" s="16">
        <f>IFERROR(__xludf.DUMMYFUNCTION("""COMPUTED_VALUE"""),-0.196820582259602)</f>
        <v>-0.1968205823</v>
      </c>
      <c r="F674" s="16">
        <f>IFERROR(__xludf.DUMMYFUNCTION("""COMPUTED_VALUE"""),-0.424332858069371)</f>
        <v>-0.4243328581</v>
      </c>
      <c r="G674" s="16">
        <f>IFERROR(__xludf.DUMMYFUNCTION("""COMPUTED_VALUE"""),0.647325361238997)</f>
        <v>0.6473253612</v>
      </c>
    </row>
    <row r="675">
      <c r="D675" s="16">
        <f>IFERROR(__xludf.DUMMYFUNCTION("""COMPUTED_VALUE"""),-0.601808242431472)</f>
        <v>-0.6018082424</v>
      </c>
      <c r="E675" s="16">
        <f>IFERROR(__xludf.DUMMYFUNCTION("""COMPUTED_VALUE"""),-0.196820582259602)</f>
        <v>-0.1968205823</v>
      </c>
      <c r="F675" s="16">
        <f>IFERROR(__xludf.DUMMYFUNCTION("""COMPUTED_VALUE"""),-0.424332858069371)</f>
        <v>-0.4243328581</v>
      </c>
      <c r="G675" s="16">
        <f>IFERROR(__xludf.DUMMYFUNCTION("""COMPUTED_VALUE"""),0.647325361238997)</f>
        <v>0.6473253612</v>
      </c>
    </row>
    <row r="676">
      <c r="D676" s="16">
        <f>IFERROR(__xludf.DUMMYFUNCTION("""COMPUTED_VALUE"""),-0.601808242431472)</f>
        <v>-0.6018082424</v>
      </c>
      <c r="E676" s="16">
        <f>IFERROR(__xludf.DUMMYFUNCTION("""COMPUTED_VALUE"""),-0.196820582259602)</f>
        <v>-0.1968205823</v>
      </c>
      <c r="F676" s="16">
        <f>IFERROR(__xludf.DUMMYFUNCTION("""COMPUTED_VALUE"""),-0.424332858069371)</f>
        <v>-0.4243328581</v>
      </c>
      <c r="G676" s="16">
        <f>IFERROR(__xludf.DUMMYFUNCTION("""COMPUTED_VALUE"""),0.647325361238997)</f>
        <v>0.6473253612</v>
      </c>
    </row>
    <row r="677">
      <c r="D677" s="16">
        <f>IFERROR(__xludf.DUMMYFUNCTION("""COMPUTED_VALUE"""),-0.601808242431472)</f>
        <v>-0.6018082424</v>
      </c>
      <c r="E677" s="16">
        <f>IFERROR(__xludf.DUMMYFUNCTION("""COMPUTED_VALUE"""),-0.196820582259602)</f>
        <v>-0.1968205823</v>
      </c>
      <c r="F677" s="16">
        <f>IFERROR(__xludf.DUMMYFUNCTION("""COMPUTED_VALUE"""),-0.424332858069371)</f>
        <v>-0.4243328581</v>
      </c>
      <c r="G677" s="16">
        <f>IFERROR(__xludf.DUMMYFUNCTION("""COMPUTED_VALUE"""),0.647325361238997)</f>
        <v>0.6473253612</v>
      </c>
    </row>
    <row r="678">
      <c r="D678" s="16">
        <f>IFERROR(__xludf.DUMMYFUNCTION("""COMPUTED_VALUE"""),-0.601808242431472)</f>
        <v>-0.6018082424</v>
      </c>
      <c r="E678" s="16">
        <f>IFERROR(__xludf.DUMMYFUNCTION("""COMPUTED_VALUE"""),-0.196820582259602)</f>
        <v>-0.1968205823</v>
      </c>
      <c r="F678" s="16">
        <f>IFERROR(__xludf.DUMMYFUNCTION("""COMPUTED_VALUE"""),-0.424332858069371)</f>
        <v>-0.4243328581</v>
      </c>
      <c r="G678" s="16">
        <f>IFERROR(__xludf.DUMMYFUNCTION("""COMPUTED_VALUE"""),0.647325361238997)</f>
        <v>0.6473253612</v>
      </c>
    </row>
    <row r="679">
      <c r="D679" s="16">
        <f>IFERROR(__xludf.DUMMYFUNCTION("""COMPUTED_VALUE"""),-0.601808242431472)</f>
        <v>-0.6018082424</v>
      </c>
      <c r="E679" s="16">
        <f>IFERROR(__xludf.DUMMYFUNCTION("""COMPUTED_VALUE"""),-0.196820582259602)</f>
        <v>-0.1968205823</v>
      </c>
      <c r="F679" s="16">
        <f>IFERROR(__xludf.DUMMYFUNCTION("""COMPUTED_VALUE"""),-0.424332858069371)</f>
        <v>-0.4243328581</v>
      </c>
      <c r="G679" s="16">
        <f>IFERROR(__xludf.DUMMYFUNCTION("""COMPUTED_VALUE"""),0.647325361238997)</f>
        <v>0.6473253612</v>
      </c>
    </row>
    <row r="680">
      <c r="D680" s="16">
        <f>IFERROR(__xludf.DUMMYFUNCTION("""COMPUTED_VALUE"""),-0.601808242431472)</f>
        <v>-0.6018082424</v>
      </c>
      <c r="E680" s="16">
        <f>IFERROR(__xludf.DUMMYFUNCTION("""COMPUTED_VALUE"""),-0.196820582259602)</f>
        <v>-0.1968205823</v>
      </c>
      <c r="F680" s="16">
        <f>IFERROR(__xludf.DUMMYFUNCTION("""COMPUTED_VALUE"""),-0.424332858069371)</f>
        <v>-0.4243328581</v>
      </c>
      <c r="G680" s="16">
        <f>IFERROR(__xludf.DUMMYFUNCTION("""COMPUTED_VALUE"""),0.647325361238997)</f>
        <v>0.6473253612</v>
      </c>
    </row>
    <row r="681">
      <c r="D681" s="16">
        <f>IFERROR(__xludf.DUMMYFUNCTION("""COMPUTED_VALUE"""),-0.601808242431472)</f>
        <v>-0.6018082424</v>
      </c>
      <c r="E681" s="16">
        <f>IFERROR(__xludf.DUMMYFUNCTION("""COMPUTED_VALUE"""),-0.196820582259602)</f>
        <v>-0.1968205823</v>
      </c>
      <c r="F681" s="16">
        <f>IFERROR(__xludf.DUMMYFUNCTION("""COMPUTED_VALUE"""),-0.424332858069371)</f>
        <v>-0.4243328581</v>
      </c>
      <c r="G681" s="16">
        <f>IFERROR(__xludf.DUMMYFUNCTION("""COMPUTED_VALUE"""),0.647325361238997)</f>
        <v>0.6473253612</v>
      </c>
    </row>
    <row r="682">
      <c r="D682" s="16">
        <f>IFERROR(__xludf.DUMMYFUNCTION("""COMPUTED_VALUE"""),-0.601808242431472)</f>
        <v>-0.6018082424</v>
      </c>
      <c r="E682" s="16">
        <f>IFERROR(__xludf.DUMMYFUNCTION("""COMPUTED_VALUE"""),-0.196820582259602)</f>
        <v>-0.1968205823</v>
      </c>
      <c r="F682" s="16">
        <f>IFERROR(__xludf.DUMMYFUNCTION("""COMPUTED_VALUE"""),-0.424332858069371)</f>
        <v>-0.4243328581</v>
      </c>
      <c r="G682" s="16">
        <f>IFERROR(__xludf.DUMMYFUNCTION("""COMPUTED_VALUE"""),0.647325361238997)</f>
        <v>0.6473253612</v>
      </c>
    </row>
    <row r="683">
      <c r="D683" s="16">
        <f>IFERROR(__xludf.DUMMYFUNCTION("""COMPUTED_VALUE"""),-0.601808242431472)</f>
        <v>-0.6018082424</v>
      </c>
      <c r="E683" s="16">
        <f>IFERROR(__xludf.DUMMYFUNCTION("""COMPUTED_VALUE"""),-0.196820582259602)</f>
        <v>-0.1968205823</v>
      </c>
      <c r="F683" s="16">
        <f>IFERROR(__xludf.DUMMYFUNCTION("""COMPUTED_VALUE"""),-0.424332858069371)</f>
        <v>-0.4243328581</v>
      </c>
      <c r="G683" s="16">
        <f>IFERROR(__xludf.DUMMYFUNCTION("""COMPUTED_VALUE"""),0.647325361238997)</f>
        <v>0.6473253612</v>
      </c>
    </row>
    <row r="684">
      <c r="D684" s="16">
        <f>IFERROR(__xludf.DUMMYFUNCTION("""COMPUTED_VALUE"""),-0.601808242431472)</f>
        <v>-0.6018082424</v>
      </c>
      <c r="E684" s="16">
        <f>IFERROR(__xludf.DUMMYFUNCTION("""COMPUTED_VALUE"""),-0.196820582259602)</f>
        <v>-0.1968205823</v>
      </c>
      <c r="F684" s="16">
        <f>IFERROR(__xludf.DUMMYFUNCTION("""COMPUTED_VALUE"""),-0.424332858069371)</f>
        <v>-0.4243328581</v>
      </c>
      <c r="G684" s="16">
        <f>IFERROR(__xludf.DUMMYFUNCTION("""COMPUTED_VALUE"""),0.647325361238997)</f>
        <v>0.6473253612</v>
      </c>
    </row>
    <row r="685">
      <c r="D685" s="16">
        <f>IFERROR(__xludf.DUMMYFUNCTION("""COMPUTED_VALUE"""),-0.601808242431472)</f>
        <v>-0.6018082424</v>
      </c>
      <c r="E685" s="16">
        <f>IFERROR(__xludf.DUMMYFUNCTION("""COMPUTED_VALUE"""),-0.196820582259602)</f>
        <v>-0.1968205823</v>
      </c>
      <c r="F685" s="16">
        <f>IFERROR(__xludf.DUMMYFUNCTION("""COMPUTED_VALUE"""),-0.424332858069371)</f>
        <v>-0.4243328581</v>
      </c>
      <c r="G685" s="16">
        <f>IFERROR(__xludf.DUMMYFUNCTION("""COMPUTED_VALUE"""),0.647325361238997)</f>
        <v>0.6473253612</v>
      </c>
    </row>
    <row r="686">
      <c r="D686" s="16">
        <f>IFERROR(__xludf.DUMMYFUNCTION("""COMPUTED_VALUE"""),-0.601808242431472)</f>
        <v>-0.6018082424</v>
      </c>
      <c r="E686" s="16">
        <f>IFERROR(__xludf.DUMMYFUNCTION("""COMPUTED_VALUE"""),-0.196820582259602)</f>
        <v>-0.1968205823</v>
      </c>
      <c r="F686" s="16">
        <f>IFERROR(__xludf.DUMMYFUNCTION("""COMPUTED_VALUE"""),-0.424332858069371)</f>
        <v>-0.4243328581</v>
      </c>
      <c r="G686" s="16">
        <f>IFERROR(__xludf.DUMMYFUNCTION("""COMPUTED_VALUE"""),0.647325361238997)</f>
        <v>0.6473253612</v>
      </c>
    </row>
    <row r="687">
      <c r="D687" s="16">
        <f>IFERROR(__xludf.DUMMYFUNCTION("""COMPUTED_VALUE"""),-0.601808242431472)</f>
        <v>-0.6018082424</v>
      </c>
      <c r="E687" s="16">
        <f>IFERROR(__xludf.DUMMYFUNCTION("""COMPUTED_VALUE"""),-0.196820582259602)</f>
        <v>-0.1968205823</v>
      </c>
      <c r="F687" s="16">
        <f>IFERROR(__xludf.DUMMYFUNCTION("""COMPUTED_VALUE"""),-0.424332858069371)</f>
        <v>-0.4243328581</v>
      </c>
      <c r="G687" s="16">
        <f>IFERROR(__xludf.DUMMYFUNCTION("""COMPUTED_VALUE"""),0.647325361238997)</f>
        <v>0.6473253612</v>
      </c>
    </row>
    <row r="688">
      <c r="D688" s="16">
        <f>IFERROR(__xludf.DUMMYFUNCTION("""COMPUTED_VALUE"""),-0.601808242431472)</f>
        <v>-0.6018082424</v>
      </c>
      <c r="E688" s="16">
        <f>IFERROR(__xludf.DUMMYFUNCTION("""COMPUTED_VALUE"""),-0.196820582259602)</f>
        <v>-0.1968205823</v>
      </c>
      <c r="F688" s="16">
        <f>IFERROR(__xludf.DUMMYFUNCTION("""COMPUTED_VALUE"""),-0.424332858069371)</f>
        <v>-0.4243328581</v>
      </c>
      <c r="G688" s="16">
        <f>IFERROR(__xludf.DUMMYFUNCTION("""COMPUTED_VALUE"""),0.647325361238997)</f>
        <v>0.6473253612</v>
      </c>
    </row>
    <row r="689">
      <c r="D689" s="16">
        <f>IFERROR(__xludf.DUMMYFUNCTION("""COMPUTED_VALUE"""),-0.601808242431472)</f>
        <v>-0.6018082424</v>
      </c>
      <c r="E689" s="16">
        <f>IFERROR(__xludf.DUMMYFUNCTION("""COMPUTED_VALUE"""),-0.196820582259602)</f>
        <v>-0.1968205823</v>
      </c>
      <c r="F689" s="16">
        <f>IFERROR(__xludf.DUMMYFUNCTION("""COMPUTED_VALUE"""),-0.424332858069371)</f>
        <v>-0.4243328581</v>
      </c>
      <c r="G689" s="16">
        <f>IFERROR(__xludf.DUMMYFUNCTION("""COMPUTED_VALUE"""),0.647325361238997)</f>
        <v>0.6473253612</v>
      </c>
    </row>
    <row r="690">
      <c r="D690" s="16">
        <f>IFERROR(__xludf.DUMMYFUNCTION("""COMPUTED_VALUE"""),-0.601808242431472)</f>
        <v>-0.6018082424</v>
      </c>
      <c r="E690" s="16">
        <f>IFERROR(__xludf.DUMMYFUNCTION("""COMPUTED_VALUE"""),-0.196820582259602)</f>
        <v>-0.1968205823</v>
      </c>
      <c r="F690" s="16">
        <f>IFERROR(__xludf.DUMMYFUNCTION("""COMPUTED_VALUE"""),-0.424332858069371)</f>
        <v>-0.4243328581</v>
      </c>
      <c r="G690" s="16">
        <f>IFERROR(__xludf.DUMMYFUNCTION("""COMPUTED_VALUE"""),0.647325361238997)</f>
        <v>0.6473253612</v>
      </c>
    </row>
    <row r="691">
      <c r="D691" s="16">
        <f>IFERROR(__xludf.DUMMYFUNCTION("""COMPUTED_VALUE"""),-0.601808242431472)</f>
        <v>-0.6018082424</v>
      </c>
      <c r="E691" s="16">
        <f>IFERROR(__xludf.DUMMYFUNCTION("""COMPUTED_VALUE"""),-0.196820582259602)</f>
        <v>-0.1968205823</v>
      </c>
      <c r="F691" s="16">
        <f>IFERROR(__xludf.DUMMYFUNCTION("""COMPUTED_VALUE"""),-0.424332858069371)</f>
        <v>-0.4243328581</v>
      </c>
      <c r="G691" s="16">
        <f>IFERROR(__xludf.DUMMYFUNCTION("""COMPUTED_VALUE"""),0.647325361238997)</f>
        <v>0.6473253612</v>
      </c>
    </row>
    <row r="692">
      <c r="D692" s="16">
        <f>IFERROR(__xludf.DUMMYFUNCTION("""COMPUTED_VALUE"""),-0.601808242431472)</f>
        <v>-0.6018082424</v>
      </c>
      <c r="E692" s="16">
        <f>IFERROR(__xludf.DUMMYFUNCTION("""COMPUTED_VALUE"""),-0.196820582259602)</f>
        <v>-0.1968205823</v>
      </c>
      <c r="F692" s="16">
        <f>IFERROR(__xludf.DUMMYFUNCTION("""COMPUTED_VALUE"""),-0.424332858069371)</f>
        <v>-0.4243328581</v>
      </c>
      <c r="G692" s="16">
        <f>IFERROR(__xludf.DUMMYFUNCTION("""COMPUTED_VALUE"""),0.647325361238997)</f>
        <v>0.6473253612</v>
      </c>
    </row>
    <row r="693">
      <c r="D693" s="16">
        <f>IFERROR(__xludf.DUMMYFUNCTION("""COMPUTED_VALUE"""),-0.601808242431472)</f>
        <v>-0.6018082424</v>
      </c>
      <c r="E693" s="16">
        <f>IFERROR(__xludf.DUMMYFUNCTION("""COMPUTED_VALUE"""),-0.196820582259602)</f>
        <v>-0.1968205823</v>
      </c>
      <c r="F693" s="16">
        <f>IFERROR(__xludf.DUMMYFUNCTION("""COMPUTED_VALUE"""),-0.424332858069371)</f>
        <v>-0.4243328581</v>
      </c>
      <c r="G693" s="16">
        <f>IFERROR(__xludf.DUMMYFUNCTION("""COMPUTED_VALUE"""),0.647325361238997)</f>
        <v>0.6473253612</v>
      </c>
    </row>
    <row r="694">
      <c r="D694" s="16">
        <f>IFERROR(__xludf.DUMMYFUNCTION("""COMPUTED_VALUE"""),-0.610023458759796)</f>
        <v>-0.6100234588</v>
      </c>
      <c r="E694" s="16">
        <f>IFERROR(__xludf.DUMMYFUNCTION("""COMPUTED_VALUE"""),-0.184073256535346)</f>
        <v>-0.1840732565</v>
      </c>
      <c r="F694" s="16">
        <f>IFERROR(__xludf.DUMMYFUNCTION("""COMPUTED_VALUE"""),-0.412435346276859)</f>
        <v>-0.4124353463</v>
      </c>
      <c r="G694" s="16">
        <f>IFERROR(__xludf.DUMMYFUNCTION("""COMPUTED_VALUE"""),0.651064897788753)</f>
        <v>0.6510648978</v>
      </c>
    </row>
    <row r="695">
      <c r="D695" s="16">
        <f>IFERROR(__xludf.DUMMYFUNCTION("""COMPUTED_VALUE"""),-0.613243870436879)</f>
        <v>-0.6132438704</v>
      </c>
      <c r="E695" s="16">
        <f>IFERROR(__xludf.DUMMYFUNCTION("""COMPUTED_VALUE"""),-0.178954180255897)</f>
        <v>-0.1789541803</v>
      </c>
      <c r="F695" s="16">
        <f>IFERROR(__xludf.DUMMYFUNCTION("""COMPUTED_VALUE"""),-0.407631562158003)</f>
        <v>-0.4076315622</v>
      </c>
      <c r="G695" s="16">
        <f>IFERROR(__xludf.DUMMYFUNCTION("""COMPUTED_VALUE"""),0.652490510485131)</f>
        <v>0.6524905105</v>
      </c>
    </row>
    <row r="696">
      <c r="D696" s="16">
        <f>IFERROR(__xludf.DUMMYFUNCTION("""COMPUTED_VALUE"""),-0.616426454345651)</f>
        <v>-0.6164264543</v>
      </c>
      <c r="E696" s="16">
        <f>IFERROR(__xludf.DUMMYFUNCTION("""COMPUTED_VALUE"""),-0.173824065240319)</f>
        <v>-0.1738240652</v>
      </c>
      <c r="F696" s="16">
        <f>IFERROR(__xludf.DUMMYFUNCTION("""COMPUTED_VALUE"""),-0.402802633405775)</f>
        <v>-0.4028026334</v>
      </c>
      <c r="G696" s="16">
        <f>IFERROR(__xludf.DUMMYFUNCTION("""COMPUTED_VALUE"""),0.653875874495715)</f>
        <v>0.6538758745</v>
      </c>
    </row>
    <row r="697">
      <c r="D697" s="16">
        <f>IFERROR(__xludf.DUMMYFUNCTION("""COMPUTED_VALUE"""),-0.616426454345651)</f>
        <v>-0.6164264543</v>
      </c>
      <c r="E697" s="16">
        <f>IFERROR(__xludf.DUMMYFUNCTION("""COMPUTED_VALUE"""),-0.173824065240319)</f>
        <v>-0.1738240652</v>
      </c>
      <c r="F697" s="16">
        <f>IFERROR(__xludf.DUMMYFUNCTION("""COMPUTED_VALUE"""),-0.402802633405775)</f>
        <v>-0.4028026334</v>
      </c>
      <c r="G697" s="16">
        <f>IFERROR(__xludf.DUMMYFUNCTION("""COMPUTED_VALUE"""),0.653875874495715)</f>
        <v>0.6538758745</v>
      </c>
    </row>
    <row r="698">
      <c r="D698" s="16">
        <f>IFERROR(__xludf.DUMMYFUNCTION("""COMPUTED_VALUE"""),-0.616426454345651)</f>
        <v>-0.6164264543</v>
      </c>
      <c r="E698" s="16">
        <f>IFERROR(__xludf.DUMMYFUNCTION("""COMPUTED_VALUE"""),-0.173824065240319)</f>
        <v>-0.1738240652</v>
      </c>
      <c r="F698" s="16">
        <f>IFERROR(__xludf.DUMMYFUNCTION("""COMPUTED_VALUE"""),-0.402802633405775)</f>
        <v>-0.4028026334</v>
      </c>
      <c r="G698" s="16">
        <f>IFERROR(__xludf.DUMMYFUNCTION("""COMPUTED_VALUE"""),0.653875874495715)</f>
        <v>0.6538758745</v>
      </c>
    </row>
    <row r="699">
      <c r="D699" s="16">
        <f>IFERROR(__xludf.DUMMYFUNCTION("""COMPUTED_VALUE"""),-0.616426454345651)</f>
        <v>-0.6164264543</v>
      </c>
      <c r="E699" s="16">
        <f>IFERROR(__xludf.DUMMYFUNCTION("""COMPUTED_VALUE"""),-0.173824065240319)</f>
        <v>-0.1738240652</v>
      </c>
      <c r="F699" s="16">
        <f>IFERROR(__xludf.DUMMYFUNCTION("""COMPUTED_VALUE"""),-0.402802633405775)</f>
        <v>-0.4028026334</v>
      </c>
      <c r="G699" s="16">
        <f>IFERROR(__xludf.DUMMYFUNCTION("""COMPUTED_VALUE"""),0.653875874495715)</f>
        <v>0.6538758745</v>
      </c>
    </row>
    <row r="700">
      <c r="D700" s="16">
        <f>IFERROR(__xludf.DUMMYFUNCTION("""COMPUTED_VALUE"""),-0.616426454345651)</f>
        <v>-0.6164264543</v>
      </c>
      <c r="E700" s="16">
        <f>IFERROR(__xludf.DUMMYFUNCTION("""COMPUTED_VALUE"""),-0.173824065240319)</f>
        <v>-0.1738240652</v>
      </c>
      <c r="F700" s="16">
        <f>IFERROR(__xludf.DUMMYFUNCTION("""COMPUTED_VALUE"""),-0.402802633405775)</f>
        <v>-0.4028026334</v>
      </c>
      <c r="G700" s="16">
        <f>IFERROR(__xludf.DUMMYFUNCTION("""COMPUTED_VALUE"""),0.653875874495715)</f>
        <v>0.6538758745</v>
      </c>
    </row>
    <row r="701">
      <c r="D701" s="16">
        <f>IFERROR(__xludf.DUMMYFUNCTION("""COMPUTED_VALUE"""),-0.610023458759796)</f>
        <v>-0.6100234588</v>
      </c>
      <c r="E701" s="16">
        <f>IFERROR(__xludf.DUMMYFUNCTION("""COMPUTED_VALUE"""),-0.184073256535345)</f>
        <v>-0.1840732565</v>
      </c>
      <c r="F701" s="16">
        <f>IFERROR(__xludf.DUMMYFUNCTION("""COMPUTED_VALUE"""),-0.412435346276859)</f>
        <v>-0.4124353463</v>
      </c>
      <c r="G701" s="16">
        <f>IFERROR(__xludf.DUMMYFUNCTION("""COMPUTED_VALUE"""),0.651064897788753)</f>
        <v>0.6510648978</v>
      </c>
    </row>
    <row r="702">
      <c r="D702" s="16">
        <f>IFERROR(__xludf.DUMMYFUNCTION("""COMPUTED_VALUE"""),-0.606765417964552)</f>
        <v>-0.606765418</v>
      </c>
      <c r="E702" s="16">
        <f>IFERROR(__xludf.DUMMYFUNCTION("""COMPUTED_VALUE"""),-0.189180978309945)</f>
        <v>-0.1891809783</v>
      </c>
      <c r="F702" s="16">
        <f>IFERROR(__xludf.DUMMYFUNCTION("""COMPUTED_VALUE"""),-0.417213689442329)</f>
        <v>-0.4172136894</v>
      </c>
      <c r="G702" s="16">
        <f>IFERROR(__xludf.DUMMYFUNCTION("""COMPUTED_VALUE"""),0.649599124345083)</f>
        <v>0.6495991243</v>
      </c>
    </row>
    <row r="703">
      <c r="D703" s="16">
        <f>IFERROR(__xludf.DUMMYFUNCTION("""COMPUTED_VALUE"""),-0.600137255213488)</f>
        <v>-0.6001372552</v>
      </c>
      <c r="E703" s="16">
        <f>IFERROR(__xludf.DUMMYFUNCTION("""COMPUTED_VALUE"""),-0.199361098791152)</f>
        <v>-0.1993610988</v>
      </c>
      <c r="F703" s="16">
        <f>IFERROR(__xludf.DUMMYFUNCTION("""COMPUTED_VALUE"""),-0.42669287549782)</f>
        <v>-0.4266928755</v>
      </c>
      <c r="G703" s="16">
        <f>IFERROR(__xludf.DUMMYFUNCTION("""COMPUTED_VALUE"""),0.646547459350813)</f>
        <v>0.6465474594</v>
      </c>
    </row>
    <row r="704">
      <c r="D704" s="16">
        <f>IFERROR(__xludf.DUMMYFUNCTION("""COMPUTED_VALUE"""),-0.593361017583569)</f>
        <v>-0.5933610176</v>
      </c>
      <c r="E704" s="16">
        <f>IFERROR(__xludf.DUMMYFUNCTION("""COMPUTED_VALUE"""),-0.209492029907266)</f>
        <v>-0.2094920299</v>
      </c>
      <c r="F704" s="16">
        <f>IFERROR(__xludf.DUMMYFUNCTION("""COMPUTED_VALUE"""),-0.436066781477298)</f>
        <v>-0.4360667815</v>
      </c>
      <c r="G704" s="16">
        <f>IFERROR(__xludf.DUMMYFUNCTION("""COMPUTED_VALUE"""),0.64333626845495)</f>
        <v>0.6433362685</v>
      </c>
    </row>
    <row r="705">
      <c r="D705" s="16">
        <f>IFERROR(__xludf.DUMMYFUNCTION("""COMPUTED_VALUE"""),-0.584685040781873)</f>
        <v>-0.5846850408</v>
      </c>
      <c r="E705" s="16">
        <f>IFERROR(__xludf.DUMMYFUNCTION("""COMPUTED_VALUE"""),-0.22208271439435)</f>
        <v>-0.2220827144</v>
      </c>
      <c r="F705" s="16">
        <f>IFERROR(__xludf.DUMMYFUNCTION("""COMPUTED_VALUE"""),-0.44763259285007)</f>
        <v>-0.4476325929</v>
      </c>
      <c r="G705" s="16">
        <f>IFERROR(__xludf.DUMMYFUNCTION("""COMPUTED_VALUE"""),0.639099157307725)</f>
        <v>0.6390991573</v>
      </c>
    </row>
    <row r="706">
      <c r="D706" s="16">
        <f>IFERROR(__xludf.DUMMYFUNCTION("""COMPUTED_VALUE"""),-0.577581802678114)</f>
        <v>-0.5775818027</v>
      </c>
      <c r="E706" s="16">
        <f>IFERROR(__xludf.DUMMYFUNCTION("""COMPUTED_VALUE"""),-0.232093849561162)</f>
        <v>-0.2320938496</v>
      </c>
      <c r="F706" s="16">
        <f>IFERROR(__xludf.DUMMYFUNCTION("""COMPUTED_VALUE"""),-0.456761202720719)</f>
        <v>-0.4567612027</v>
      </c>
      <c r="G706" s="16">
        <f>IFERROR(__xludf.DUMMYFUNCTION("""COMPUTED_VALUE"""),0.635531989674861)</f>
        <v>0.6355319897</v>
      </c>
    </row>
    <row r="707">
      <c r="D707" s="16">
        <f>IFERROR(__xludf.DUMMYFUNCTION("""COMPUTED_VALUE"""),-0.568502559579854)</f>
        <v>-0.5685025596</v>
      </c>
      <c r="E707" s="16">
        <f>IFERROR(__xludf.DUMMYFUNCTION("""COMPUTED_VALUE"""),-0.244526950527764)</f>
        <v>-0.2445269505</v>
      </c>
      <c r="F707" s="16">
        <f>IFERROR(__xludf.DUMMYFUNCTION("""COMPUTED_VALUE"""),-0.468013220803571)</f>
        <v>-0.4680132208</v>
      </c>
      <c r="G707" s="16">
        <f>IFERROR(__xludf.DUMMYFUNCTION("""COMPUTED_VALUE"""),0.630852625713644)</f>
        <v>0.6308526257</v>
      </c>
    </row>
    <row r="708">
      <c r="D708" s="16">
        <f>IFERROR(__xludf.DUMMYFUNCTION("""COMPUTED_VALUE"""),-0.56480929628172)</f>
        <v>-0.5648092963</v>
      </c>
      <c r="E708" s="16">
        <f>IFERROR(__xludf.DUMMYFUNCTION("""COMPUTED_VALUE"""),-0.249474062591286)</f>
        <v>-0.2494740626</v>
      </c>
      <c r="F708" s="16">
        <f>IFERROR(__xludf.DUMMYFUNCTION("""COMPUTED_VALUE"""),-0.47246374879934)</f>
        <v>-0.4724637488</v>
      </c>
      <c r="G708" s="16">
        <f>IFERROR(__xludf.DUMMYFUNCTION("""COMPUTED_VALUE"""),0.628912678357183)</f>
        <v>0.6289126784</v>
      </c>
    </row>
    <row r="709">
      <c r="D709" s="16">
        <f>IFERROR(__xludf.DUMMYFUNCTION("""COMPUTED_VALUE"""),-0.561081192887778)</f>
        <v>-0.5610811929</v>
      </c>
      <c r="E709" s="16">
        <f>IFERROR(__xludf.DUMMYFUNCTION("""COMPUTED_VALUE"""),-0.254405785920417)</f>
        <v>-0.2544057859</v>
      </c>
      <c r="F709" s="16">
        <f>IFERROR(__xludf.DUMMYFUNCTION("""COMPUTED_VALUE"""),-0.476885133007316)</f>
        <v>-0.476885133</v>
      </c>
      <c r="G709" s="16">
        <f>IFERROR(__xludf.DUMMYFUNCTION("""COMPUTED_VALUE"""),0.626933936706589)</f>
        <v>0.6269339367</v>
      </c>
    </row>
    <row r="710">
      <c r="D710" s="16">
        <f>IFERROR(__xludf.DUMMYFUNCTION("""COMPUTED_VALUE"""),-0.561081192887778)</f>
        <v>-0.5610811929</v>
      </c>
      <c r="E710" s="16">
        <f>IFERROR(__xludf.DUMMYFUNCTION("""COMPUTED_VALUE"""),-0.254405785920417)</f>
        <v>-0.2544057859</v>
      </c>
      <c r="F710" s="16">
        <f>IFERROR(__xludf.DUMMYFUNCTION("""COMPUTED_VALUE"""),-0.476885133007316)</f>
        <v>-0.476885133</v>
      </c>
      <c r="G710" s="16">
        <f>IFERROR(__xludf.DUMMYFUNCTION("""COMPUTED_VALUE"""),0.626933936706589)</f>
        <v>0.6269339367</v>
      </c>
    </row>
    <row r="711">
      <c r="D711" s="16">
        <f>IFERROR(__xludf.DUMMYFUNCTION("""COMPUTED_VALUE"""),-0.561081192887778)</f>
        <v>-0.5610811929</v>
      </c>
      <c r="E711" s="16">
        <f>IFERROR(__xludf.DUMMYFUNCTION("""COMPUTED_VALUE"""),-0.254405785920417)</f>
        <v>-0.2544057859</v>
      </c>
      <c r="F711" s="16">
        <f>IFERROR(__xludf.DUMMYFUNCTION("""COMPUTED_VALUE"""),-0.476885133007316)</f>
        <v>-0.476885133</v>
      </c>
      <c r="G711" s="16">
        <f>IFERROR(__xludf.DUMMYFUNCTION("""COMPUTED_VALUE"""),0.626933936706589)</f>
        <v>0.6269339367</v>
      </c>
    </row>
    <row r="712">
      <c r="D712" s="16">
        <f>IFERROR(__xludf.DUMMYFUNCTION("""COMPUTED_VALUE"""),-0.561081192887778)</f>
        <v>-0.5610811929</v>
      </c>
      <c r="E712" s="16">
        <f>IFERROR(__xludf.DUMMYFUNCTION("""COMPUTED_VALUE"""),-0.254405785920417)</f>
        <v>-0.2544057859</v>
      </c>
      <c r="F712" s="16">
        <f>IFERROR(__xludf.DUMMYFUNCTION("""COMPUTED_VALUE"""),-0.476885133007316)</f>
        <v>-0.476885133</v>
      </c>
      <c r="G712" s="16">
        <f>IFERROR(__xludf.DUMMYFUNCTION("""COMPUTED_VALUE"""),0.626933936706589)</f>
        <v>0.6269339367</v>
      </c>
    </row>
    <row r="713">
      <c r="D713" s="16">
        <f>IFERROR(__xludf.DUMMYFUNCTION("""COMPUTED_VALUE"""),-0.561081192887778)</f>
        <v>-0.5610811929</v>
      </c>
      <c r="E713" s="16">
        <f>IFERROR(__xludf.DUMMYFUNCTION("""COMPUTED_VALUE"""),-0.254405785920417)</f>
        <v>-0.2544057859</v>
      </c>
      <c r="F713" s="16">
        <f>IFERROR(__xludf.DUMMYFUNCTION("""COMPUTED_VALUE"""),-0.476885133007316)</f>
        <v>-0.476885133</v>
      </c>
      <c r="G713" s="16">
        <f>IFERROR(__xludf.DUMMYFUNCTION("""COMPUTED_VALUE"""),0.626933936706589)</f>
        <v>0.6269339367</v>
      </c>
    </row>
    <row r="714">
      <c r="D714" s="16">
        <f>IFERROR(__xludf.DUMMYFUNCTION("""COMPUTED_VALUE"""),-0.561081192887778)</f>
        <v>-0.5610811929</v>
      </c>
      <c r="E714" s="16">
        <f>IFERROR(__xludf.DUMMYFUNCTION("""COMPUTED_VALUE"""),-0.254405785920417)</f>
        <v>-0.2544057859</v>
      </c>
      <c r="F714" s="16">
        <f>IFERROR(__xludf.DUMMYFUNCTION("""COMPUTED_VALUE"""),-0.476885133007316)</f>
        <v>-0.476885133</v>
      </c>
      <c r="G714" s="16">
        <f>IFERROR(__xludf.DUMMYFUNCTION("""COMPUTED_VALUE"""),0.626933936706589)</f>
        <v>0.6269339367</v>
      </c>
    </row>
    <row r="715">
      <c r="D715" s="16">
        <f>IFERROR(__xludf.DUMMYFUNCTION("""COMPUTED_VALUE"""),-0.561081192887778)</f>
        <v>-0.5610811929</v>
      </c>
      <c r="E715" s="16">
        <f>IFERROR(__xludf.DUMMYFUNCTION("""COMPUTED_VALUE"""),-0.254405785920417)</f>
        <v>-0.2544057859</v>
      </c>
      <c r="F715" s="16">
        <f>IFERROR(__xludf.DUMMYFUNCTION("""COMPUTED_VALUE"""),-0.476885133007316)</f>
        <v>-0.476885133</v>
      </c>
      <c r="G715" s="16">
        <f>IFERROR(__xludf.DUMMYFUNCTION("""COMPUTED_VALUE"""),0.626933936706589)</f>
        <v>0.6269339367</v>
      </c>
    </row>
    <row r="716">
      <c r="D716" s="16">
        <f>IFERROR(__xludf.DUMMYFUNCTION("""COMPUTED_VALUE"""),-0.561081192887778)</f>
        <v>-0.5610811929</v>
      </c>
      <c r="E716" s="16">
        <f>IFERROR(__xludf.DUMMYFUNCTION("""COMPUTED_VALUE"""),-0.254405785920417)</f>
        <v>-0.2544057859</v>
      </c>
      <c r="F716" s="16">
        <f>IFERROR(__xludf.DUMMYFUNCTION("""COMPUTED_VALUE"""),-0.476885133007316)</f>
        <v>-0.476885133</v>
      </c>
      <c r="G716" s="16">
        <f>IFERROR(__xludf.DUMMYFUNCTION("""COMPUTED_VALUE"""),0.626933936706589)</f>
        <v>0.6269339367</v>
      </c>
    </row>
    <row r="717">
      <c r="D717" s="16">
        <f>IFERROR(__xludf.DUMMYFUNCTION("""COMPUTED_VALUE"""),-0.561081192887778)</f>
        <v>-0.5610811929</v>
      </c>
      <c r="E717" s="16">
        <f>IFERROR(__xludf.DUMMYFUNCTION("""COMPUTED_VALUE"""),-0.254405785920417)</f>
        <v>-0.2544057859</v>
      </c>
      <c r="F717" s="16">
        <f>IFERROR(__xludf.DUMMYFUNCTION("""COMPUTED_VALUE"""),-0.476885133007316)</f>
        <v>-0.476885133</v>
      </c>
      <c r="G717" s="16">
        <f>IFERROR(__xludf.DUMMYFUNCTION("""COMPUTED_VALUE"""),0.626933936706589)</f>
        <v>0.6269339367</v>
      </c>
    </row>
    <row r="718">
      <c r="D718" s="16">
        <f>IFERROR(__xludf.DUMMYFUNCTION("""COMPUTED_VALUE"""),-0.561081192887778)</f>
        <v>-0.5610811929</v>
      </c>
      <c r="E718" s="16">
        <f>IFERROR(__xludf.DUMMYFUNCTION("""COMPUTED_VALUE"""),-0.254405785920417)</f>
        <v>-0.2544057859</v>
      </c>
      <c r="F718" s="16">
        <f>IFERROR(__xludf.DUMMYFUNCTION("""COMPUTED_VALUE"""),-0.476885133007316)</f>
        <v>-0.476885133</v>
      </c>
      <c r="G718" s="16">
        <f>IFERROR(__xludf.DUMMYFUNCTION("""COMPUTED_VALUE"""),0.626933936706589)</f>
        <v>0.6269339367</v>
      </c>
    </row>
    <row r="719">
      <c r="D719" s="16">
        <f>IFERROR(__xludf.DUMMYFUNCTION("""COMPUTED_VALUE"""),-0.55861490919379)</f>
        <v>-0.5586149092</v>
      </c>
      <c r="E719" s="16">
        <f>IFERROR(__xludf.DUMMYFUNCTION("""COMPUTED_VALUE"""),-0.252531105625566)</f>
        <v>-0.2525311056</v>
      </c>
      <c r="F719" s="16">
        <f>IFERROR(__xludf.DUMMYFUNCTION("""COMPUTED_VALUE"""),-0.477880502515765)</f>
        <v>-0.4778805025</v>
      </c>
      <c r="G719" s="16">
        <f>IFERROR(__xludf.DUMMYFUNCTION("""COMPUTED_VALUE"""),0.62913245762177)</f>
        <v>0.6291324576</v>
      </c>
    </row>
    <row r="720">
      <c r="D720" s="16">
        <f>IFERROR(__xludf.DUMMYFUNCTION("""COMPUTED_VALUE"""),-0.55861490919379)</f>
        <v>-0.5586149092</v>
      </c>
      <c r="E720" s="16">
        <f>IFERROR(__xludf.DUMMYFUNCTION("""COMPUTED_VALUE"""),-0.252531105625566)</f>
        <v>-0.2525311056</v>
      </c>
      <c r="F720" s="16">
        <f>IFERROR(__xludf.DUMMYFUNCTION("""COMPUTED_VALUE"""),-0.477880502515765)</f>
        <v>-0.4778805025</v>
      </c>
      <c r="G720" s="16">
        <f>IFERROR(__xludf.DUMMYFUNCTION("""COMPUTED_VALUE"""),0.62913245762177)</f>
        <v>0.6291324576</v>
      </c>
    </row>
    <row r="721">
      <c r="D721" s="16">
        <f>IFERROR(__xludf.DUMMYFUNCTION("""COMPUTED_VALUE"""),-0.55861490919379)</f>
        <v>-0.5586149092</v>
      </c>
      <c r="E721" s="16">
        <f>IFERROR(__xludf.DUMMYFUNCTION("""COMPUTED_VALUE"""),-0.252531105625566)</f>
        <v>-0.2525311056</v>
      </c>
      <c r="F721" s="16">
        <f>IFERROR(__xludf.DUMMYFUNCTION("""COMPUTED_VALUE"""),-0.477880502515765)</f>
        <v>-0.4778805025</v>
      </c>
      <c r="G721" s="16">
        <f>IFERROR(__xludf.DUMMYFUNCTION("""COMPUTED_VALUE"""),0.62913245762177)</f>
        <v>0.6291324576</v>
      </c>
    </row>
    <row r="722">
      <c r="D722" s="16">
        <f>IFERROR(__xludf.DUMMYFUNCTION("""COMPUTED_VALUE"""),-0.55861490919379)</f>
        <v>-0.5586149092</v>
      </c>
      <c r="E722" s="16">
        <f>IFERROR(__xludf.DUMMYFUNCTION("""COMPUTED_VALUE"""),-0.252531105625566)</f>
        <v>-0.2525311056</v>
      </c>
      <c r="F722" s="16">
        <f>IFERROR(__xludf.DUMMYFUNCTION("""COMPUTED_VALUE"""),-0.477880502515765)</f>
        <v>-0.4778805025</v>
      </c>
      <c r="G722" s="16">
        <f>IFERROR(__xludf.DUMMYFUNCTION("""COMPUTED_VALUE"""),0.62913245762177)</f>
        <v>0.6291324576</v>
      </c>
    </row>
    <row r="723">
      <c r="D723" s="16">
        <f>IFERROR(__xludf.DUMMYFUNCTION("""COMPUTED_VALUE"""),-0.55861490919379)</f>
        <v>-0.5586149092</v>
      </c>
      <c r="E723" s="16">
        <f>IFERROR(__xludf.DUMMYFUNCTION("""COMPUTED_VALUE"""),-0.252531105625566)</f>
        <v>-0.2525311056</v>
      </c>
      <c r="F723" s="16">
        <f>IFERROR(__xludf.DUMMYFUNCTION("""COMPUTED_VALUE"""),-0.477880502515765)</f>
        <v>-0.4778805025</v>
      </c>
      <c r="G723" s="16">
        <f>IFERROR(__xludf.DUMMYFUNCTION("""COMPUTED_VALUE"""),0.62913245762177)</f>
        <v>0.6291324576</v>
      </c>
    </row>
    <row r="724">
      <c r="D724" s="16">
        <f>IFERROR(__xludf.DUMMYFUNCTION("""COMPUTED_VALUE"""),-0.55861490919379)</f>
        <v>-0.5586149092</v>
      </c>
      <c r="E724" s="16">
        <f>IFERROR(__xludf.DUMMYFUNCTION("""COMPUTED_VALUE"""),-0.252531105625566)</f>
        <v>-0.2525311056</v>
      </c>
      <c r="F724" s="16">
        <f>IFERROR(__xludf.DUMMYFUNCTION("""COMPUTED_VALUE"""),-0.477880502515765)</f>
        <v>-0.4778805025</v>
      </c>
      <c r="G724" s="16">
        <f>IFERROR(__xludf.DUMMYFUNCTION("""COMPUTED_VALUE"""),0.62913245762177)</f>
        <v>0.6291324576</v>
      </c>
    </row>
    <row r="725">
      <c r="D725" s="16">
        <f>IFERROR(__xludf.DUMMYFUNCTION("""COMPUTED_VALUE"""),-0.55861490919379)</f>
        <v>-0.5586149092</v>
      </c>
      <c r="E725" s="16">
        <f>IFERROR(__xludf.DUMMYFUNCTION("""COMPUTED_VALUE"""),-0.252531105625566)</f>
        <v>-0.2525311056</v>
      </c>
      <c r="F725" s="16">
        <f>IFERROR(__xludf.DUMMYFUNCTION("""COMPUTED_VALUE"""),-0.477880502515765)</f>
        <v>-0.4778805025</v>
      </c>
      <c r="G725" s="16">
        <f>IFERROR(__xludf.DUMMYFUNCTION("""COMPUTED_VALUE"""),0.62913245762177)</f>
        <v>0.6291324576</v>
      </c>
    </row>
    <row r="726">
      <c r="D726" s="16">
        <f>IFERROR(__xludf.DUMMYFUNCTION("""COMPUTED_VALUE"""),-0.55861490919379)</f>
        <v>-0.5586149092</v>
      </c>
      <c r="E726" s="16">
        <f>IFERROR(__xludf.DUMMYFUNCTION("""COMPUTED_VALUE"""),-0.252531105625566)</f>
        <v>-0.2525311056</v>
      </c>
      <c r="F726" s="16">
        <f>IFERROR(__xludf.DUMMYFUNCTION("""COMPUTED_VALUE"""),-0.477880502515765)</f>
        <v>-0.4778805025</v>
      </c>
      <c r="G726" s="16">
        <f>IFERROR(__xludf.DUMMYFUNCTION("""COMPUTED_VALUE"""),0.62913245762177)</f>
        <v>0.6291324576</v>
      </c>
    </row>
    <row r="727">
      <c r="D727" s="16">
        <f>IFERROR(__xludf.DUMMYFUNCTION("""COMPUTED_VALUE"""),-0.55861490919379)</f>
        <v>-0.5586149092</v>
      </c>
      <c r="E727" s="16">
        <f>IFERROR(__xludf.DUMMYFUNCTION("""COMPUTED_VALUE"""),-0.252531105625566)</f>
        <v>-0.2525311056</v>
      </c>
      <c r="F727" s="16">
        <f>IFERROR(__xludf.DUMMYFUNCTION("""COMPUTED_VALUE"""),-0.477880502515765)</f>
        <v>-0.4778805025</v>
      </c>
      <c r="G727" s="16">
        <f>IFERROR(__xludf.DUMMYFUNCTION("""COMPUTED_VALUE"""),0.62913245762177)</f>
        <v>0.6291324576</v>
      </c>
    </row>
    <row r="728">
      <c r="D728" s="16">
        <f>IFERROR(__xludf.DUMMYFUNCTION("""COMPUTED_VALUE"""),-0.55861490919379)</f>
        <v>-0.5586149092</v>
      </c>
      <c r="E728" s="16">
        <f>IFERROR(__xludf.DUMMYFUNCTION("""COMPUTED_VALUE"""),-0.252531105625566)</f>
        <v>-0.2525311056</v>
      </c>
      <c r="F728" s="16">
        <f>IFERROR(__xludf.DUMMYFUNCTION("""COMPUTED_VALUE"""),-0.477880502515765)</f>
        <v>-0.4778805025</v>
      </c>
      <c r="G728" s="16">
        <f>IFERROR(__xludf.DUMMYFUNCTION("""COMPUTED_VALUE"""),0.62913245762177)</f>
        <v>0.6291324576</v>
      </c>
    </row>
    <row r="729">
      <c r="D729" s="16">
        <f>IFERROR(__xludf.DUMMYFUNCTION("""COMPUTED_VALUE"""),-0.55861490919379)</f>
        <v>-0.5586149092</v>
      </c>
      <c r="E729" s="16">
        <f>IFERROR(__xludf.DUMMYFUNCTION("""COMPUTED_VALUE"""),-0.252531105625566)</f>
        <v>-0.2525311056</v>
      </c>
      <c r="F729" s="16">
        <f>IFERROR(__xludf.DUMMYFUNCTION("""COMPUTED_VALUE"""),-0.477880502515765)</f>
        <v>-0.4778805025</v>
      </c>
      <c r="G729" s="16">
        <f>IFERROR(__xludf.DUMMYFUNCTION("""COMPUTED_VALUE"""),0.62913245762177)</f>
        <v>0.6291324576</v>
      </c>
    </row>
    <row r="730">
      <c r="D730" s="16">
        <f>IFERROR(__xludf.DUMMYFUNCTION("""COMPUTED_VALUE"""),-0.55861490919379)</f>
        <v>-0.5586149092</v>
      </c>
      <c r="E730" s="16">
        <f>IFERROR(__xludf.DUMMYFUNCTION("""COMPUTED_VALUE"""),-0.252531105625566)</f>
        <v>-0.2525311056</v>
      </c>
      <c r="F730" s="16">
        <f>IFERROR(__xludf.DUMMYFUNCTION("""COMPUTED_VALUE"""),-0.477880502515765)</f>
        <v>-0.4778805025</v>
      </c>
      <c r="G730" s="16">
        <f>IFERROR(__xludf.DUMMYFUNCTION("""COMPUTED_VALUE"""),0.62913245762177)</f>
        <v>0.6291324576</v>
      </c>
    </row>
    <row r="731">
      <c r="D731" s="16">
        <f>IFERROR(__xludf.DUMMYFUNCTION("""COMPUTED_VALUE"""),-0.55861490919379)</f>
        <v>-0.5586149092</v>
      </c>
      <c r="E731" s="16">
        <f>IFERROR(__xludf.DUMMYFUNCTION("""COMPUTED_VALUE"""),-0.252531105625566)</f>
        <v>-0.2525311056</v>
      </c>
      <c r="F731" s="16">
        <f>IFERROR(__xludf.DUMMYFUNCTION("""COMPUTED_VALUE"""),-0.477880502515765)</f>
        <v>-0.4778805025</v>
      </c>
      <c r="G731" s="16">
        <f>IFERROR(__xludf.DUMMYFUNCTION("""COMPUTED_VALUE"""),0.62913245762177)</f>
        <v>0.6291324576</v>
      </c>
    </row>
    <row r="732">
      <c r="D732" s="16">
        <f>IFERROR(__xludf.DUMMYFUNCTION("""COMPUTED_VALUE"""),-0.55861490919379)</f>
        <v>-0.5586149092</v>
      </c>
      <c r="E732" s="16">
        <f>IFERROR(__xludf.DUMMYFUNCTION("""COMPUTED_VALUE"""),-0.252531105625566)</f>
        <v>-0.2525311056</v>
      </c>
      <c r="F732" s="16">
        <f>IFERROR(__xludf.DUMMYFUNCTION("""COMPUTED_VALUE"""),-0.477880502515765)</f>
        <v>-0.4778805025</v>
      </c>
      <c r="G732" s="16">
        <f>IFERROR(__xludf.DUMMYFUNCTION("""COMPUTED_VALUE"""),0.62913245762177)</f>
        <v>0.6291324576</v>
      </c>
    </row>
    <row r="733">
      <c r="D733" s="16">
        <f>IFERROR(__xludf.DUMMYFUNCTION("""COMPUTED_VALUE"""),-0.564205910834467)</f>
        <v>-0.5642059108</v>
      </c>
      <c r="E733" s="16">
        <f>IFERROR(__xludf.DUMMYFUNCTION("""COMPUTED_VALUE"""),-0.245101960784651)</f>
        <v>-0.2451019608</v>
      </c>
      <c r="F733" s="16">
        <f>IFERROR(__xludf.DUMMYFUNCTION("""COMPUTED_VALUE"""),-0.471266465640995)</f>
        <v>-0.4712664656</v>
      </c>
      <c r="G733" s="16">
        <f>IFERROR(__xludf.DUMMYFUNCTION("""COMPUTED_VALUE"""),0.632063792161201)</f>
        <v>0.6320637922</v>
      </c>
    </row>
    <row r="734">
      <c r="D734" s="16">
        <f>IFERROR(__xludf.DUMMYFUNCTION("""COMPUTED_VALUE"""),-0.567889789399446)</f>
        <v>-0.5678897894</v>
      </c>
      <c r="E734" s="16">
        <f>IFERROR(__xludf.DUMMYFUNCTION("""COMPUTED_VALUE"""),-0.240130235032269)</f>
        <v>-0.240130235</v>
      </c>
      <c r="F734" s="16">
        <f>IFERROR(__xludf.DUMMYFUNCTION("""COMPUTED_VALUE"""),-0.466820713501616)</f>
        <v>-0.4668207135</v>
      </c>
      <c r="G734" s="16">
        <f>IFERROR(__xludf.DUMMYFUNCTION("""COMPUTED_VALUE"""),0.633969304276655)</f>
        <v>0.6339693043</v>
      </c>
    </row>
    <row r="735">
      <c r="D735" s="16">
        <f>IFERROR(__xludf.DUMMYFUNCTION("""COMPUTED_VALUE"""),-0.567889789399446)</f>
        <v>-0.5678897894</v>
      </c>
      <c r="E735" s="16">
        <f>IFERROR(__xludf.DUMMYFUNCTION("""COMPUTED_VALUE"""),-0.240130235032269)</f>
        <v>-0.240130235</v>
      </c>
      <c r="F735" s="16">
        <f>IFERROR(__xludf.DUMMYFUNCTION("""COMPUTED_VALUE"""),-0.466820713501616)</f>
        <v>-0.4668207135</v>
      </c>
      <c r="G735" s="16">
        <f>IFERROR(__xludf.DUMMYFUNCTION("""COMPUTED_VALUE"""),0.633969304276655)</f>
        <v>0.6339693043</v>
      </c>
    </row>
    <row r="736">
      <c r="D736" s="16">
        <f>IFERROR(__xludf.DUMMYFUNCTION("""COMPUTED_VALUE"""),-0.567889789399446)</f>
        <v>-0.5678897894</v>
      </c>
      <c r="E736" s="16">
        <f>IFERROR(__xludf.DUMMYFUNCTION("""COMPUTED_VALUE"""),-0.240130235032269)</f>
        <v>-0.240130235</v>
      </c>
      <c r="F736" s="16">
        <f>IFERROR(__xludf.DUMMYFUNCTION("""COMPUTED_VALUE"""),-0.466820713501616)</f>
        <v>-0.4668207135</v>
      </c>
      <c r="G736" s="16">
        <f>IFERROR(__xludf.DUMMYFUNCTION("""COMPUTED_VALUE"""),0.633969304276655)</f>
        <v>0.6339693043</v>
      </c>
    </row>
    <row r="737">
      <c r="D737" s="16">
        <f>IFERROR(__xludf.DUMMYFUNCTION("""COMPUTED_VALUE"""),-0.572203801789698)</f>
        <v>-0.5722038018</v>
      </c>
      <c r="E737" s="16">
        <f>IFERROR(__xludf.DUMMYFUNCTION("""COMPUTED_VALUE"""),-0.239470144344596)</f>
        <v>-0.2394701443</v>
      </c>
      <c r="F737" s="16">
        <f>IFERROR(__xludf.DUMMYFUNCTION("""COMPUTED_VALUE"""),-0.463640443748023)</f>
        <v>-0.4636404437</v>
      </c>
      <c r="G737" s="16">
        <f>IFERROR(__xludf.DUMMYFUNCTION("""COMPUTED_VALUE"""),0.632672425593304)</f>
        <v>0.6326724256</v>
      </c>
    </row>
    <row r="738">
      <c r="D738" s="16">
        <f>IFERROR(__xludf.DUMMYFUNCTION("""COMPUTED_VALUE"""),-0.572203801789698)</f>
        <v>-0.5722038018</v>
      </c>
      <c r="E738" s="16">
        <f>IFERROR(__xludf.DUMMYFUNCTION("""COMPUTED_VALUE"""),-0.239470144344596)</f>
        <v>-0.2394701443</v>
      </c>
      <c r="F738" s="16">
        <f>IFERROR(__xludf.DUMMYFUNCTION("""COMPUTED_VALUE"""),-0.463640443748023)</f>
        <v>-0.4636404437</v>
      </c>
      <c r="G738" s="16">
        <f>IFERROR(__xludf.DUMMYFUNCTION("""COMPUTED_VALUE"""),0.632672425593304)</f>
        <v>0.6326724256</v>
      </c>
    </row>
    <row r="739">
      <c r="D739" s="16">
        <f>IFERROR(__xludf.DUMMYFUNCTION("""COMPUTED_VALUE"""),-0.572203801789698)</f>
        <v>-0.5722038018</v>
      </c>
      <c r="E739" s="16">
        <f>IFERROR(__xludf.DUMMYFUNCTION("""COMPUTED_VALUE"""),-0.239470144344596)</f>
        <v>-0.2394701443</v>
      </c>
      <c r="F739" s="16">
        <f>IFERROR(__xludf.DUMMYFUNCTION("""COMPUTED_VALUE"""),-0.463640443748023)</f>
        <v>-0.4636404437</v>
      </c>
      <c r="G739" s="16">
        <f>IFERROR(__xludf.DUMMYFUNCTION("""COMPUTED_VALUE"""),0.632672425593304)</f>
        <v>0.6326724256</v>
      </c>
    </row>
    <row r="740">
      <c r="D740" s="16">
        <f>IFERROR(__xludf.DUMMYFUNCTION("""COMPUTED_VALUE"""),-0.583233577032214)</f>
        <v>-0.583233577</v>
      </c>
      <c r="E740" s="16">
        <f>IFERROR(__xludf.DUMMYFUNCTION("""COMPUTED_VALUE"""),-0.239956846744084)</f>
        <v>-0.2399568467</v>
      </c>
      <c r="F740" s="16">
        <f>IFERROR(__xludf.DUMMYFUNCTION("""COMPUTED_VALUE"""),-0.456259428925322)</f>
        <v>-0.4562594289</v>
      </c>
      <c r="G740" s="16">
        <f>IFERROR(__xludf.DUMMYFUNCTION("""COMPUTED_VALUE"""),0.627763203636186)</f>
        <v>0.6277632036</v>
      </c>
    </row>
    <row r="741">
      <c r="D741" s="16">
        <f>IFERROR(__xludf.DUMMYFUNCTION("""COMPUTED_VALUE"""),-0.590588593339159)</f>
        <v>-0.5905885933</v>
      </c>
      <c r="E741" s="16">
        <f>IFERROR(__xludf.DUMMYFUNCTION("""COMPUTED_VALUE"""),-0.245315250240256)</f>
        <v>-0.2453152502</v>
      </c>
      <c r="F741" s="16">
        <f>IFERROR(__xludf.DUMMYFUNCTION("""COMPUTED_VALUE"""),-0.45340090734601)</f>
        <v>-0.4534009073</v>
      </c>
      <c r="G741" s="16">
        <f>IFERROR(__xludf.DUMMYFUNCTION("""COMPUTED_VALUE"""),0.620848740543969)</f>
        <v>0.6208487405</v>
      </c>
    </row>
    <row r="742">
      <c r="D742" s="16">
        <f>IFERROR(__xludf.DUMMYFUNCTION("""COMPUTED_VALUE"""),-0.593022100499964)</f>
        <v>-0.5930221005</v>
      </c>
      <c r="E742" s="16">
        <f>IFERROR(__xludf.DUMMYFUNCTION("""COMPUTED_VALUE"""),-0.247093855278317)</f>
        <v>-0.2470938553</v>
      </c>
      <c r="F742" s="16">
        <f>IFERROR(__xludf.DUMMYFUNCTION("""COMPUTED_VALUE"""),-0.45243406311453)</f>
        <v>-0.4524340631</v>
      </c>
      <c r="G742" s="16">
        <f>IFERROR(__xludf.DUMMYFUNCTION("""COMPUTED_VALUE"""),0.618524723463799)</f>
        <v>0.6185247235</v>
      </c>
    </row>
    <row r="743">
      <c r="D743" s="16">
        <f>IFERROR(__xludf.DUMMYFUNCTION("""COMPUTED_VALUE"""),-0.593022100499964)</f>
        <v>-0.5930221005</v>
      </c>
      <c r="E743" s="16">
        <f>IFERROR(__xludf.DUMMYFUNCTION("""COMPUTED_VALUE"""),-0.247093855278317)</f>
        <v>-0.2470938553</v>
      </c>
      <c r="F743" s="16">
        <f>IFERROR(__xludf.DUMMYFUNCTION("""COMPUTED_VALUE"""),-0.45243406311453)</f>
        <v>-0.4524340631</v>
      </c>
      <c r="G743" s="16">
        <f>IFERROR(__xludf.DUMMYFUNCTION("""COMPUTED_VALUE"""),0.618524723463799)</f>
        <v>0.6185247235</v>
      </c>
    </row>
    <row r="744">
      <c r="D744" s="16">
        <f>IFERROR(__xludf.DUMMYFUNCTION("""COMPUTED_VALUE"""),-0.593022100499964)</f>
        <v>-0.5930221005</v>
      </c>
      <c r="E744" s="16">
        <f>IFERROR(__xludf.DUMMYFUNCTION("""COMPUTED_VALUE"""),-0.247093855278317)</f>
        <v>-0.2470938553</v>
      </c>
      <c r="F744" s="16">
        <f>IFERROR(__xludf.DUMMYFUNCTION("""COMPUTED_VALUE"""),-0.45243406311453)</f>
        <v>-0.4524340631</v>
      </c>
      <c r="G744" s="16">
        <f>IFERROR(__xludf.DUMMYFUNCTION("""COMPUTED_VALUE"""),0.618524723463799)</f>
        <v>0.6185247235</v>
      </c>
    </row>
    <row r="745">
      <c r="D745" s="16">
        <f>IFERROR(__xludf.DUMMYFUNCTION("""COMPUTED_VALUE"""),-0.593022100499964)</f>
        <v>-0.5930221005</v>
      </c>
      <c r="E745" s="16">
        <f>IFERROR(__xludf.DUMMYFUNCTION("""COMPUTED_VALUE"""),-0.247093855278317)</f>
        <v>-0.2470938553</v>
      </c>
      <c r="F745" s="16">
        <f>IFERROR(__xludf.DUMMYFUNCTION("""COMPUTED_VALUE"""),-0.45243406311453)</f>
        <v>-0.4524340631</v>
      </c>
      <c r="G745" s="16">
        <f>IFERROR(__xludf.DUMMYFUNCTION("""COMPUTED_VALUE"""),0.618524723463799)</f>
        <v>0.6185247235</v>
      </c>
    </row>
    <row r="746">
      <c r="D746" s="16">
        <f>IFERROR(__xludf.DUMMYFUNCTION("""COMPUTED_VALUE"""),-0.593022100499964)</f>
        <v>-0.5930221005</v>
      </c>
      <c r="E746" s="16">
        <f>IFERROR(__xludf.DUMMYFUNCTION("""COMPUTED_VALUE"""),-0.247093855278317)</f>
        <v>-0.2470938553</v>
      </c>
      <c r="F746" s="16">
        <f>IFERROR(__xludf.DUMMYFUNCTION("""COMPUTED_VALUE"""),-0.45243406311453)</f>
        <v>-0.4524340631</v>
      </c>
      <c r="G746" s="16">
        <f>IFERROR(__xludf.DUMMYFUNCTION("""COMPUTED_VALUE"""),0.618524723463799)</f>
        <v>0.6185247235</v>
      </c>
    </row>
    <row r="747">
      <c r="D747" s="16">
        <f>IFERROR(__xludf.DUMMYFUNCTION("""COMPUTED_VALUE"""),-0.593022100499964)</f>
        <v>-0.5930221005</v>
      </c>
      <c r="E747" s="16">
        <f>IFERROR(__xludf.DUMMYFUNCTION("""COMPUTED_VALUE"""),-0.247093855278317)</f>
        <v>-0.2470938553</v>
      </c>
      <c r="F747" s="16">
        <f>IFERROR(__xludf.DUMMYFUNCTION("""COMPUTED_VALUE"""),-0.45243406311453)</f>
        <v>-0.4524340631</v>
      </c>
      <c r="G747" s="16">
        <f>IFERROR(__xludf.DUMMYFUNCTION("""COMPUTED_VALUE"""),0.618524723463799)</f>
        <v>0.6185247235</v>
      </c>
    </row>
    <row r="748">
      <c r="D748" s="16">
        <f>IFERROR(__xludf.DUMMYFUNCTION("""COMPUTED_VALUE"""),-0.593022100499964)</f>
        <v>-0.5930221005</v>
      </c>
      <c r="E748" s="16">
        <f>IFERROR(__xludf.DUMMYFUNCTION("""COMPUTED_VALUE"""),-0.247093855278317)</f>
        <v>-0.2470938553</v>
      </c>
      <c r="F748" s="16">
        <f>IFERROR(__xludf.DUMMYFUNCTION("""COMPUTED_VALUE"""),-0.45243406311453)</f>
        <v>-0.4524340631</v>
      </c>
      <c r="G748" s="16">
        <f>IFERROR(__xludf.DUMMYFUNCTION("""COMPUTED_VALUE"""),0.618524723463799)</f>
        <v>0.6185247235</v>
      </c>
    </row>
    <row r="749">
      <c r="D749" s="16">
        <f>IFERROR(__xludf.DUMMYFUNCTION("""COMPUTED_VALUE"""),-0.593022100499964)</f>
        <v>-0.5930221005</v>
      </c>
      <c r="E749" s="16">
        <f>IFERROR(__xludf.DUMMYFUNCTION("""COMPUTED_VALUE"""),-0.247093855278317)</f>
        <v>-0.2470938553</v>
      </c>
      <c r="F749" s="16">
        <f>IFERROR(__xludf.DUMMYFUNCTION("""COMPUTED_VALUE"""),-0.45243406311453)</f>
        <v>-0.4524340631</v>
      </c>
      <c r="G749" s="16">
        <f>IFERROR(__xludf.DUMMYFUNCTION("""COMPUTED_VALUE"""),0.618524723463799)</f>
        <v>0.6185247235</v>
      </c>
    </row>
    <row r="750">
      <c r="D750" s="16">
        <f>IFERROR(__xludf.DUMMYFUNCTION("""COMPUTED_VALUE"""),-0.593022100499964)</f>
        <v>-0.5930221005</v>
      </c>
      <c r="E750" s="16">
        <f>IFERROR(__xludf.DUMMYFUNCTION("""COMPUTED_VALUE"""),-0.247093855278317)</f>
        <v>-0.2470938553</v>
      </c>
      <c r="F750" s="16">
        <f>IFERROR(__xludf.DUMMYFUNCTION("""COMPUTED_VALUE"""),-0.45243406311453)</f>
        <v>-0.4524340631</v>
      </c>
      <c r="G750" s="16">
        <f>IFERROR(__xludf.DUMMYFUNCTION("""COMPUTED_VALUE"""),0.618524723463799)</f>
        <v>0.6185247235</v>
      </c>
    </row>
    <row r="751">
      <c r="D751" s="16">
        <f>IFERROR(__xludf.DUMMYFUNCTION("""COMPUTED_VALUE"""),-0.593022100499964)</f>
        <v>-0.5930221005</v>
      </c>
      <c r="E751" s="16">
        <f>IFERROR(__xludf.DUMMYFUNCTION("""COMPUTED_VALUE"""),-0.247093855278317)</f>
        <v>-0.2470938553</v>
      </c>
      <c r="F751" s="16">
        <f>IFERROR(__xludf.DUMMYFUNCTION("""COMPUTED_VALUE"""),-0.45243406311453)</f>
        <v>-0.4524340631</v>
      </c>
      <c r="G751" s="16">
        <f>IFERROR(__xludf.DUMMYFUNCTION("""COMPUTED_VALUE"""),0.618524723463799)</f>
        <v>0.6185247235</v>
      </c>
    </row>
    <row r="752">
      <c r="D752" s="16">
        <f>IFERROR(__xludf.DUMMYFUNCTION("""COMPUTED_VALUE"""),-0.593022100499964)</f>
        <v>-0.5930221005</v>
      </c>
      <c r="E752" s="16">
        <f>IFERROR(__xludf.DUMMYFUNCTION("""COMPUTED_VALUE"""),-0.247093855278317)</f>
        <v>-0.2470938553</v>
      </c>
      <c r="F752" s="16">
        <f>IFERROR(__xludf.DUMMYFUNCTION("""COMPUTED_VALUE"""),-0.45243406311453)</f>
        <v>-0.4524340631</v>
      </c>
      <c r="G752" s="16">
        <f>IFERROR(__xludf.DUMMYFUNCTION("""COMPUTED_VALUE"""),0.618524723463799)</f>
        <v>0.6185247235</v>
      </c>
    </row>
    <row r="753">
      <c r="D753" s="16">
        <f>IFERROR(__xludf.DUMMYFUNCTION("""COMPUTED_VALUE"""),-0.593022100499964)</f>
        <v>-0.5930221005</v>
      </c>
      <c r="E753" s="16">
        <f>IFERROR(__xludf.DUMMYFUNCTION("""COMPUTED_VALUE"""),-0.247093855278317)</f>
        <v>-0.2470938553</v>
      </c>
      <c r="F753" s="16">
        <f>IFERROR(__xludf.DUMMYFUNCTION("""COMPUTED_VALUE"""),-0.45243406311453)</f>
        <v>-0.4524340631</v>
      </c>
      <c r="G753" s="16">
        <f>IFERROR(__xludf.DUMMYFUNCTION("""COMPUTED_VALUE"""),0.618524723463799)</f>
        <v>0.6185247235</v>
      </c>
    </row>
    <row r="754">
      <c r="D754" s="16">
        <f>IFERROR(__xludf.DUMMYFUNCTION("""COMPUTED_VALUE"""),-0.593022100499964)</f>
        <v>-0.5930221005</v>
      </c>
      <c r="E754" s="16">
        <f>IFERROR(__xludf.DUMMYFUNCTION("""COMPUTED_VALUE"""),-0.247093855278317)</f>
        <v>-0.2470938553</v>
      </c>
      <c r="F754" s="16">
        <f>IFERROR(__xludf.DUMMYFUNCTION("""COMPUTED_VALUE"""),-0.45243406311453)</f>
        <v>-0.4524340631</v>
      </c>
      <c r="G754" s="16">
        <f>IFERROR(__xludf.DUMMYFUNCTION("""COMPUTED_VALUE"""),0.618524723463799)</f>
        <v>0.6185247235</v>
      </c>
    </row>
    <row r="755">
      <c r="D755" s="16">
        <f>IFERROR(__xludf.DUMMYFUNCTION("""COMPUTED_VALUE"""),-0.593022100499964)</f>
        <v>-0.5930221005</v>
      </c>
      <c r="E755" s="16">
        <f>IFERROR(__xludf.DUMMYFUNCTION("""COMPUTED_VALUE"""),-0.247093855278317)</f>
        <v>-0.2470938553</v>
      </c>
      <c r="F755" s="16">
        <f>IFERROR(__xludf.DUMMYFUNCTION("""COMPUTED_VALUE"""),-0.45243406311453)</f>
        <v>-0.4524340631</v>
      </c>
      <c r="G755" s="16">
        <f>IFERROR(__xludf.DUMMYFUNCTION("""COMPUTED_VALUE"""),0.618524723463799)</f>
        <v>0.6185247235</v>
      </c>
    </row>
    <row r="756">
      <c r="D756" s="16">
        <f>IFERROR(__xludf.DUMMYFUNCTION("""COMPUTED_VALUE"""),-0.593022100499964)</f>
        <v>-0.5930221005</v>
      </c>
      <c r="E756" s="16">
        <f>IFERROR(__xludf.DUMMYFUNCTION("""COMPUTED_VALUE"""),-0.247093855278317)</f>
        <v>-0.2470938553</v>
      </c>
      <c r="F756" s="16">
        <f>IFERROR(__xludf.DUMMYFUNCTION("""COMPUTED_VALUE"""),-0.45243406311453)</f>
        <v>-0.4524340631</v>
      </c>
      <c r="G756" s="16">
        <f>IFERROR(__xludf.DUMMYFUNCTION("""COMPUTED_VALUE"""),0.618524723463799)</f>
        <v>0.6185247235</v>
      </c>
    </row>
    <row r="757">
      <c r="D757" s="16">
        <f>IFERROR(__xludf.DUMMYFUNCTION("""COMPUTED_VALUE"""),-0.593022100499964)</f>
        <v>-0.5930221005</v>
      </c>
      <c r="E757" s="16">
        <f>IFERROR(__xludf.DUMMYFUNCTION("""COMPUTED_VALUE"""),-0.247093855278317)</f>
        <v>-0.2470938553</v>
      </c>
      <c r="F757" s="16">
        <f>IFERROR(__xludf.DUMMYFUNCTION("""COMPUTED_VALUE"""),-0.45243406311453)</f>
        <v>-0.4524340631</v>
      </c>
      <c r="G757" s="16">
        <f>IFERROR(__xludf.DUMMYFUNCTION("""COMPUTED_VALUE"""),0.618524723463799)</f>
        <v>0.6185247235</v>
      </c>
    </row>
    <row r="758">
      <c r="D758" s="16">
        <f>IFERROR(__xludf.DUMMYFUNCTION("""COMPUTED_VALUE"""),-0.593022100499964)</f>
        <v>-0.5930221005</v>
      </c>
      <c r="E758" s="16">
        <f>IFERROR(__xludf.DUMMYFUNCTION("""COMPUTED_VALUE"""),-0.247093855278317)</f>
        <v>-0.2470938553</v>
      </c>
      <c r="F758" s="16">
        <f>IFERROR(__xludf.DUMMYFUNCTION("""COMPUTED_VALUE"""),-0.45243406311453)</f>
        <v>-0.4524340631</v>
      </c>
      <c r="G758" s="16">
        <f>IFERROR(__xludf.DUMMYFUNCTION("""COMPUTED_VALUE"""),0.618524723463799)</f>
        <v>0.6185247235</v>
      </c>
    </row>
    <row r="759">
      <c r="D759" s="16">
        <f>IFERROR(__xludf.DUMMYFUNCTION("""COMPUTED_VALUE"""),-0.593022100499964)</f>
        <v>-0.5930221005</v>
      </c>
      <c r="E759" s="16">
        <f>IFERROR(__xludf.DUMMYFUNCTION("""COMPUTED_VALUE"""),-0.247093855278317)</f>
        <v>-0.2470938553</v>
      </c>
      <c r="F759" s="16">
        <f>IFERROR(__xludf.DUMMYFUNCTION("""COMPUTED_VALUE"""),-0.45243406311453)</f>
        <v>-0.4524340631</v>
      </c>
      <c r="G759" s="16">
        <f>IFERROR(__xludf.DUMMYFUNCTION("""COMPUTED_VALUE"""),0.618524723463799)</f>
        <v>0.6185247235</v>
      </c>
    </row>
    <row r="760">
      <c r="D760" s="16">
        <f>IFERROR(__xludf.DUMMYFUNCTION("""COMPUTED_VALUE"""),-0.593022100499964)</f>
        <v>-0.5930221005</v>
      </c>
      <c r="E760" s="16">
        <f>IFERROR(__xludf.DUMMYFUNCTION("""COMPUTED_VALUE"""),-0.247093855278317)</f>
        <v>-0.2470938553</v>
      </c>
      <c r="F760" s="16">
        <f>IFERROR(__xludf.DUMMYFUNCTION("""COMPUTED_VALUE"""),-0.45243406311453)</f>
        <v>-0.4524340631</v>
      </c>
      <c r="G760" s="16">
        <f>IFERROR(__xludf.DUMMYFUNCTION("""COMPUTED_VALUE"""),0.618524723463799)</f>
        <v>0.6185247235</v>
      </c>
    </row>
    <row r="761">
      <c r="D761" s="16">
        <f>IFERROR(__xludf.DUMMYFUNCTION("""COMPUTED_VALUE"""),-0.593022100499964)</f>
        <v>-0.5930221005</v>
      </c>
      <c r="E761" s="16">
        <f>IFERROR(__xludf.DUMMYFUNCTION("""COMPUTED_VALUE"""),-0.247093855278317)</f>
        <v>-0.2470938553</v>
      </c>
      <c r="F761" s="16">
        <f>IFERROR(__xludf.DUMMYFUNCTION("""COMPUTED_VALUE"""),-0.45243406311453)</f>
        <v>-0.4524340631</v>
      </c>
      <c r="G761" s="16">
        <f>IFERROR(__xludf.DUMMYFUNCTION("""COMPUTED_VALUE"""),0.618524723463799)</f>
        <v>0.6185247235</v>
      </c>
    </row>
    <row r="762">
      <c r="D762" s="16">
        <f>IFERROR(__xludf.DUMMYFUNCTION("""COMPUTED_VALUE"""),-0.593022100499964)</f>
        <v>-0.5930221005</v>
      </c>
      <c r="E762" s="16">
        <f>IFERROR(__xludf.DUMMYFUNCTION("""COMPUTED_VALUE"""),-0.247093855278317)</f>
        <v>-0.2470938553</v>
      </c>
      <c r="F762" s="16">
        <f>IFERROR(__xludf.DUMMYFUNCTION("""COMPUTED_VALUE"""),-0.45243406311453)</f>
        <v>-0.4524340631</v>
      </c>
      <c r="G762" s="16">
        <f>IFERROR(__xludf.DUMMYFUNCTION("""COMPUTED_VALUE"""),0.618524723463799)</f>
        <v>0.6185247235</v>
      </c>
    </row>
    <row r="763">
      <c r="D763" s="16">
        <f>IFERROR(__xludf.DUMMYFUNCTION("""COMPUTED_VALUE"""),-0.593022100499964)</f>
        <v>-0.5930221005</v>
      </c>
      <c r="E763" s="16">
        <f>IFERROR(__xludf.DUMMYFUNCTION("""COMPUTED_VALUE"""),-0.247093855278317)</f>
        <v>-0.2470938553</v>
      </c>
      <c r="F763" s="16">
        <f>IFERROR(__xludf.DUMMYFUNCTION("""COMPUTED_VALUE"""),-0.45243406311453)</f>
        <v>-0.4524340631</v>
      </c>
      <c r="G763" s="16">
        <f>IFERROR(__xludf.DUMMYFUNCTION("""COMPUTED_VALUE"""),0.618524723463799)</f>
        <v>0.6185247235</v>
      </c>
    </row>
    <row r="764">
      <c r="D764" s="16">
        <f>IFERROR(__xludf.DUMMYFUNCTION("""COMPUTED_VALUE"""),-0.593022100499964)</f>
        <v>-0.5930221005</v>
      </c>
      <c r="E764" s="16">
        <f>IFERROR(__xludf.DUMMYFUNCTION("""COMPUTED_VALUE"""),-0.247093855278317)</f>
        <v>-0.2470938553</v>
      </c>
      <c r="F764" s="16">
        <f>IFERROR(__xludf.DUMMYFUNCTION("""COMPUTED_VALUE"""),-0.45243406311453)</f>
        <v>-0.4524340631</v>
      </c>
      <c r="G764" s="16">
        <f>IFERROR(__xludf.DUMMYFUNCTION("""COMPUTED_VALUE"""),0.618524723463799)</f>
        <v>0.6185247235</v>
      </c>
    </row>
    <row r="765">
      <c r="D765" s="16">
        <f>IFERROR(__xludf.DUMMYFUNCTION("""COMPUTED_VALUE"""),-0.593022100499964)</f>
        <v>-0.5930221005</v>
      </c>
      <c r="E765" s="16">
        <f>IFERROR(__xludf.DUMMYFUNCTION("""COMPUTED_VALUE"""),-0.247093855278317)</f>
        <v>-0.2470938553</v>
      </c>
      <c r="F765" s="16">
        <f>IFERROR(__xludf.DUMMYFUNCTION("""COMPUTED_VALUE"""),-0.45243406311453)</f>
        <v>-0.4524340631</v>
      </c>
      <c r="G765" s="16">
        <f>IFERROR(__xludf.DUMMYFUNCTION("""COMPUTED_VALUE"""),0.618524723463799)</f>
        <v>0.6185247235</v>
      </c>
    </row>
    <row r="766">
      <c r="D766" s="16">
        <f>IFERROR(__xludf.DUMMYFUNCTION("""COMPUTED_VALUE"""),-0.593022100499964)</f>
        <v>-0.5930221005</v>
      </c>
      <c r="E766" s="16">
        <f>IFERROR(__xludf.DUMMYFUNCTION("""COMPUTED_VALUE"""),-0.247093855278317)</f>
        <v>-0.2470938553</v>
      </c>
      <c r="F766" s="16">
        <f>IFERROR(__xludf.DUMMYFUNCTION("""COMPUTED_VALUE"""),-0.45243406311453)</f>
        <v>-0.4524340631</v>
      </c>
      <c r="G766" s="16">
        <f>IFERROR(__xludf.DUMMYFUNCTION("""COMPUTED_VALUE"""),0.618524723463799)</f>
        <v>0.6185247235</v>
      </c>
    </row>
    <row r="767">
      <c r="D767" s="16">
        <f>IFERROR(__xludf.DUMMYFUNCTION("""COMPUTED_VALUE"""),-0.593022100499964)</f>
        <v>-0.5930221005</v>
      </c>
      <c r="E767" s="16">
        <f>IFERROR(__xludf.DUMMYFUNCTION("""COMPUTED_VALUE"""),-0.247093855278317)</f>
        <v>-0.2470938553</v>
      </c>
      <c r="F767" s="16">
        <f>IFERROR(__xludf.DUMMYFUNCTION("""COMPUTED_VALUE"""),-0.45243406311453)</f>
        <v>-0.4524340631</v>
      </c>
      <c r="G767" s="16">
        <f>IFERROR(__xludf.DUMMYFUNCTION("""COMPUTED_VALUE"""),0.618524723463799)</f>
        <v>0.6185247235</v>
      </c>
    </row>
    <row r="768">
      <c r="D768" s="16">
        <f>IFERROR(__xludf.DUMMYFUNCTION("""COMPUTED_VALUE"""),-0.593022100499964)</f>
        <v>-0.5930221005</v>
      </c>
      <c r="E768" s="16">
        <f>IFERROR(__xludf.DUMMYFUNCTION("""COMPUTED_VALUE"""),-0.247093855278317)</f>
        <v>-0.2470938553</v>
      </c>
      <c r="F768" s="16">
        <f>IFERROR(__xludf.DUMMYFUNCTION("""COMPUTED_VALUE"""),-0.45243406311453)</f>
        <v>-0.4524340631</v>
      </c>
      <c r="G768" s="16">
        <f>IFERROR(__xludf.DUMMYFUNCTION("""COMPUTED_VALUE"""),0.618524723463799)</f>
        <v>0.6185247235</v>
      </c>
    </row>
    <row r="769">
      <c r="D769" s="16">
        <f>IFERROR(__xludf.DUMMYFUNCTION("""COMPUTED_VALUE"""),-0.593022100499964)</f>
        <v>-0.5930221005</v>
      </c>
      <c r="E769" s="16">
        <f>IFERROR(__xludf.DUMMYFUNCTION("""COMPUTED_VALUE"""),-0.247093855278317)</f>
        <v>-0.2470938553</v>
      </c>
      <c r="F769" s="16">
        <f>IFERROR(__xludf.DUMMYFUNCTION("""COMPUTED_VALUE"""),-0.45243406311453)</f>
        <v>-0.4524340631</v>
      </c>
      <c r="G769" s="16">
        <f>IFERROR(__xludf.DUMMYFUNCTION("""COMPUTED_VALUE"""),0.618524723463799)</f>
        <v>0.6185247235</v>
      </c>
    </row>
    <row r="770">
      <c r="D770" s="16">
        <f>IFERROR(__xludf.DUMMYFUNCTION("""COMPUTED_VALUE"""),-0.593022100499964)</f>
        <v>-0.5930221005</v>
      </c>
      <c r="E770" s="16">
        <f>IFERROR(__xludf.DUMMYFUNCTION("""COMPUTED_VALUE"""),-0.247093855278317)</f>
        <v>-0.2470938553</v>
      </c>
      <c r="F770" s="16">
        <f>IFERROR(__xludf.DUMMYFUNCTION("""COMPUTED_VALUE"""),-0.45243406311453)</f>
        <v>-0.4524340631</v>
      </c>
      <c r="G770" s="16">
        <f>IFERROR(__xludf.DUMMYFUNCTION("""COMPUTED_VALUE"""),0.618524723463799)</f>
        <v>0.6185247235</v>
      </c>
    </row>
    <row r="771">
      <c r="D771" s="16">
        <f>IFERROR(__xludf.DUMMYFUNCTION("""COMPUTED_VALUE"""),-0.593022100499964)</f>
        <v>-0.5930221005</v>
      </c>
      <c r="E771" s="16">
        <f>IFERROR(__xludf.DUMMYFUNCTION("""COMPUTED_VALUE"""),-0.247093855278317)</f>
        <v>-0.2470938553</v>
      </c>
      <c r="F771" s="16">
        <f>IFERROR(__xludf.DUMMYFUNCTION("""COMPUTED_VALUE"""),-0.45243406311453)</f>
        <v>-0.4524340631</v>
      </c>
      <c r="G771" s="16">
        <f>IFERROR(__xludf.DUMMYFUNCTION("""COMPUTED_VALUE"""),0.618524723463799)</f>
        <v>0.6185247235</v>
      </c>
    </row>
    <row r="772">
      <c r="D772" s="16">
        <f>IFERROR(__xludf.DUMMYFUNCTION("""COMPUTED_VALUE"""),-0.593022100499964)</f>
        <v>-0.5930221005</v>
      </c>
      <c r="E772" s="16">
        <f>IFERROR(__xludf.DUMMYFUNCTION("""COMPUTED_VALUE"""),-0.247093855278317)</f>
        <v>-0.2470938553</v>
      </c>
      <c r="F772" s="16">
        <f>IFERROR(__xludf.DUMMYFUNCTION("""COMPUTED_VALUE"""),-0.45243406311453)</f>
        <v>-0.4524340631</v>
      </c>
      <c r="G772" s="16">
        <f>IFERROR(__xludf.DUMMYFUNCTION("""COMPUTED_VALUE"""),0.618524723463799)</f>
        <v>0.6185247235</v>
      </c>
    </row>
    <row r="773">
      <c r="D773" s="16">
        <f>IFERROR(__xludf.DUMMYFUNCTION("""COMPUTED_VALUE"""),-0.593022100499964)</f>
        <v>-0.5930221005</v>
      </c>
      <c r="E773" s="16">
        <f>IFERROR(__xludf.DUMMYFUNCTION("""COMPUTED_VALUE"""),-0.247093855278317)</f>
        <v>-0.2470938553</v>
      </c>
      <c r="F773" s="16">
        <f>IFERROR(__xludf.DUMMYFUNCTION("""COMPUTED_VALUE"""),-0.45243406311453)</f>
        <v>-0.4524340631</v>
      </c>
      <c r="G773" s="16">
        <f>IFERROR(__xludf.DUMMYFUNCTION("""COMPUTED_VALUE"""),0.618524723463799)</f>
        <v>0.6185247235</v>
      </c>
    </row>
    <row r="774">
      <c r="D774" s="16">
        <f>IFERROR(__xludf.DUMMYFUNCTION("""COMPUTED_VALUE"""),-0.593022100499964)</f>
        <v>-0.5930221005</v>
      </c>
      <c r="E774" s="16">
        <f>IFERROR(__xludf.DUMMYFUNCTION("""COMPUTED_VALUE"""),-0.247093855278317)</f>
        <v>-0.2470938553</v>
      </c>
      <c r="F774" s="16">
        <f>IFERROR(__xludf.DUMMYFUNCTION("""COMPUTED_VALUE"""),-0.45243406311453)</f>
        <v>-0.4524340631</v>
      </c>
      <c r="G774" s="16">
        <f>IFERROR(__xludf.DUMMYFUNCTION("""COMPUTED_VALUE"""),0.618524723463799)</f>
        <v>0.6185247235</v>
      </c>
    </row>
    <row r="775">
      <c r="D775" s="16">
        <f>IFERROR(__xludf.DUMMYFUNCTION("""COMPUTED_VALUE"""),-0.593022100499964)</f>
        <v>-0.5930221005</v>
      </c>
      <c r="E775" s="16">
        <f>IFERROR(__xludf.DUMMYFUNCTION("""COMPUTED_VALUE"""),-0.247093855278317)</f>
        <v>-0.2470938553</v>
      </c>
      <c r="F775" s="16">
        <f>IFERROR(__xludf.DUMMYFUNCTION("""COMPUTED_VALUE"""),-0.45243406311453)</f>
        <v>-0.4524340631</v>
      </c>
      <c r="G775" s="16">
        <f>IFERROR(__xludf.DUMMYFUNCTION("""COMPUTED_VALUE"""),0.618524723463799)</f>
        <v>0.6185247235</v>
      </c>
    </row>
    <row r="776">
      <c r="D776" s="16">
        <f>IFERROR(__xludf.DUMMYFUNCTION("""COMPUTED_VALUE"""),-0.593022100499964)</f>
        <v>-0.5930221005</v>
      </c>
      <c r="E776" s="16">
        <f>IFERROR(__xludf.DUMMYFUNCTION("""COMPUTED_VALUE"""),-0.247093855278317)</f>
        <v>-0.2470938553</v>
      </c>
      <c r="F776" s="16">
        <f>IFERROR(__xludf.DUMMYFUNCTION("""COMPUTED_VALUE"""),-0.45243406311453)</f>
        <v>-0.4524340631</v>
      </c>
      <c r="G776" s="16">
        <f>IFERROR(__xludf.DUMMYFUNCTION("""COMPUTED_VALUE"""),0.618524723463799)</f>
        <v>0.6185247235</v>
      </c>
    </row>
    <row r="777">
      <c r="D777" s="16">
        <f>IFERROR(__xludf.DUMMYFUNCTION("""COMPUTED_VALUE"""),-0.593022100499964)</f>
        <v>-0.5930221005</v>
      </c>
      <c r="E777" s="16">
        <f>IFERROR(__xludf.DUMMYFUNCTION("""COMPUTED_VALUE"""),-0.247093855278317)</f>
        <v>-0.2470938553</v>
      </c>
      <c r="F777" s="16">
        <f>IFERROR(__xludf.DUMMYFUNCTION("""COMPUTED_VALUE"""),-0.45243406311453)</f>
        <v>-0.4524340631</v>
      </c>
      <c r="G777" s="16">
        <f>IFERROR(__xludf.DUMMYFUNCTION("""COMPUTED_VALUE"""),0.618524723463799)</f>
        <v>0.6185247235</v>
      </c>
    </row>
    <row r="778">
      <c r="D778" s="16">
        <f>IFERROR(__xludf.DUMMYFUNCTION("""COMPUTED_VALUE"""),-0.593022100499964)</f>
        <v>-0.5930221005</v>
      </c>
      <c r="E778" s="16">
        <f>IFERROR(__xludf.DUMMYFUNCTION("""COMPUTED_VALUE"""),-0.247093855278317)</f>
        <v>-0.2470938553</v>
      </c>
      <c r="F778" s="16">
        <f>IFERROR(__xludf.DUMMYFUNCTION("""COMPUTED_VALUE"""),-0.45243406311453)</f>
        <v>-0.4524340631</v>
      </c>
      <c r="G778" s="16">
        <f>IFERROR(__xludf.DUMMYFUNCTION("""COMPUTED_VALUE"""),0.618524723463799)</f>
        <v>0.6185247235</v>
      </c>
    </row>
    <row r="779">
      <c r="D779" s="16">
        <f>IFERROR(__xludf.DUMMYFUNCTION("""COMPUTED_VALUE"""),-0.593022100499964)</f>
        <v>-0.5930221005</v>
      </c>
      <c r="E779" s="16">
        <f>IFERROR(__xludf.DUMMYFUNCTION("""COMPUTED_VALUE"""),-0.247093855278317)</f>
        <v>-0.2470938553</v>
      </c>
      <c r="F779" s="16">
        <f>IFERROR(__xludf.DUMMYFUNCTION("""COMPUTED_VALUE"""),-0.45243406311453)</f>
        <v>-0.4524340631</v>
      </c>
      <c r="G779" s="16">
        <f>IFERROR(__xludf.DUMMYFUNCTION("""COMPUTED_VALUE"""),0.618524723463799)</f>
        <v>0.6185247235</v>
      </c>
    </row>
    <row r="780">
      <c r="D780" s="16">
        <f>IFERROR(__xludf.DUMMYFUNCTION("""COMPUTED_VALUE"""),-0.593022100499964)</f>
        <v>-0.5930221005</v>
      </c>
      <c r="E780" s="16">
        <f>IFERROR(__xludf.DUMMYFUNCTION("""COMPUTED_VALUE"""),-0.247093855278317)</f>
        <v>-0.2470938553</v>
      </c>
      <c r="F780" s="16">
        <f>IFERROR(__xludf.DUMMYFUNCTION("""COMPUTED_VALUE"""),-0.45243406311453)</f>
        <v>-0.4524340631</v>
      </c>
      <c r="G780" s="16">
        <f>IFERROR(__xludf.DUMMYFUNCTION("""COMPUTED_VALUE"""),0.618524723463799)</f>
        <v>0.6185247235</v>
      </c>
    </row>
    <row r="781">
      <c r="D781" s="16">
        <f>IFERROR(__xludf.DUMMYFUNCTION("""COMPUTED_VALUE"""),-0.593022100499964)</f>
        <v>-0.5930221005</v>
      </c>
      <c r="E781" s="16">
        <f>IFERROR(__xludf.DUMMYFUNCTION("""COMPUTED_VALUE"""),-0.247093855278317)</f>
        <v>-0.2470938553</v>
      </c>
      <c r="F781" s="16">
        <f>IFERROR(__xludf.DUMMYFUNCTION("""COMPUTED_VALUE"""),-0.45243406311453)</f>
        <v>-0.4524340631</v>
      </c>
      <c r="G781" s="16">
        <f>IFERROR(__xludf.DUMMYFUNCTION("""COMPUTED_VALUE"""),0.618524723463799)</f>
        <v>0.6185247235</v>
      </c>
    </row>
    <row r="782">
      <c r="D782" s="16">
        <f>IFERROR(__xludf.DUMMYFUNCTION("""COMPUTED_VALUE"""),-0.593022100499964)</f>
        <v>-0.5930221005</v>
      </c>
      <c r="E782" s="16">
        <f>IFERROR(__xludf.DUMMYFUNCTION("""COMPUTED_VALUE"""),-0.247093855278317)</f>
        <v>-0.2470938553</v>
      </c>
      <c r="F782" s="16">
        <f>IFERROR(__xludf.DUMMYFUNCTION("""COMPUTED_VALUE"""),-0.45243406311453)</f>
        <v>-0.4524340631</v>
      </c>
      <c r="G782" s="16">
        <f>IFERROR(__xludf.DUMMYFUNCTION("""COMPUTED_VALUE"""),0.618524723463799)</f>
        <v>0.6185247235</v>
      </c>
    </row>
    <row r="783">
      <c r="D783" s="16">
        <f>IFERROR(__xludf.DUMMYFUNCTION("""COMPUTED_VALUE"""),-0.593022100499964)</f>
        <v>-0.5930221005</v>
      </c>
      <c r="E783" s="16">
        <f>IFERROR(__xludf.DUMMYFUNCTION("""COMPUTED_VALUE"""),-0.247093855278317)</f>
        <v>-0.2470938553</v>
      </c>
      <c r="F783" s="16">
        <f>IFERROR(__xludf.DUMMYFUNCTION("""COMPUTED_VALUE"""),-0.45243406311453)</f>
        <v>-0.4524340631</v>
      </c>
      <c r="G783" s="16">
        <f>IFERROR(__xludf.DUMMYFUNCTION("""COMPUTED_VALUE"""),0.618524723463799)</f>
        <v>0.6185247235</v>
      </c>
    </row>
    <row r="784">
      <c r="D784" s="16">
        <f>IFERROR(__xludf.DUMMYFUNCTION("""COMPUTED_VALUE"""),-0.593022100499964)</f>
        <v>-0.5930221005</v>
      </c>
      <c r="E784" s="16">
        <f>IFERROR(__xludf.DUMMYFUNCTION("""COMPUTED_VALUE"""),-0.247093855278317)</f>
        <v>-0.2470938553</v>
      </c>
      <c r="F784" s="16">
        <f>IFERROR(__xludf.DUMMYFUNCTION("""COMPUTED_VALUE"""),-0.45243406311453)</f>
        <v>-0.4524340631</v>
      </c>
      <c r="G784" s="16">
        <f>IFERROR(__xludf.DUMMYFUNCTION("""COMPUTED_VALUE"""),0.618524723463799)</f>
        <v>0.6185247235</v>
      </c>
    </row>
    <row r="785">
      <c r="D785" s="16">
        <f>IFERROR(__xludf.DUMMYFUNCTION("""COMPUTED_VALUE"""),-0.593022100499964)</f>
        <v>-0.5930221005</v>
      </c>
      <c r="E785" s="16">
        <f>IFERROR(__xludf.DUMMYFUNCTION("""COMPUTED_VALUE"""),-0.247093855278317)</f>
        <v>-0.2470938553</v>
      </c>
      <c r="F785" s="16">
        <f>IFERROR(__xludf.DUMMYFUNCTION("""COMPUTED_VALUE"""),-0.45243406311453)</f>
        <v>-0.4524340631</v>
      </c>
      <c r="G785" s="16">
        <f>IFERROR(__xludf.DUMMYFUNCTION("""COMPUTED_VALUE"""),0.618524723463799)</f>
        <v>0.6185247235</v>
      </c>
    </row>
    <row r="786">
      <c r="D786" s="16">
        <f>IFERROR(__xludf.DUMMYFUNCTION("""COMPUTED_VALUE"""),-0.593022100499964)</f>
        <v>-0.5930221005</v>
      </c>
      <c r="E786" s="16">
        <f>IFERROR(__xludf.DUMMYFUNCTION("""COMPUTED_VALUE"""),-0.247093855278317)</f>
        <v>-0.2470938553</v>
      </c>
      <c r="F786" s="16">
        <f>IFERROR(__xludf.DUMMYFUNCTION("""COMPUTED_VALUE"""),-0.45243406311453)</f>
        <v>-0.4524340631</v>
      </c>
      <c r="G786" s="16">
        <f>IFERROR(__xludf.DUMMYFUNCTION("""COMPUTED_VALUE"""),0.618524723463799)</f>
        <v>0.6185247235</v>
      </c>
    </row>
    <row r="787">
      <c r="D787" s="16">
        <f>IFERROR(__xludf.DUMMYFUNCTION("""COMPUTED_VALUE"""),-0.593022100499964)</f>
        <v>-0.5930221005</v>
      </c>
      <c r="E787" s="16">
        <f>IFERROR(__xludf.DUMMYFUNCTION("""COMPUTED_VALUE"""),-0.247093855278317)</f>
        <v>-0.2470938553</v>
      </c>
      <c r="F787" s="16">
        <f>IFERROR(__xludf.DUMMYFUNCTION("""COMPUTED_VALUE"""),-0.45243406311453)</f>
        <v>-0.4524340631</v>
      </c>
      <c r="G787" s="16">
        <f>IFERROR(__xludf.DUMMYFUNCTION("""COMPUTED_VALUE"""),0.618524723463799)</f>
        <v>0.6185247235</v>
      </c>
    </row>
    <row r="788">
      <c r="D788" s="16">
        <f>IFERROR(__xludf.DUMMYFUNCTION("""COMPUTED_VALUE"""),-0.590588593339159)</f>
        <v>-0.5905885933</v>
      </c>
      <c r="E788" s="16">
        <f>IFERROR(__xludf.DUMMYFUNCTION("""COMPUTED_VALUE"""),-0.245315250240256)</f>
        <v>-0.2453152502</v>
      </c>
      <c r="F788" s="16">
        <f>IFERROR(__xludf.DUMMYFUNCTION("""COMPUTED_VALUE"""),-0.45340090734601)</f>
        <v>-0.4534009073</v>
      </c>
      <c r="G788" s="16">
        <f>IFERROR(__xludf.DUMMYFUNCTION("""COMPUTED_VALUE"""),0.620848740543969)</f>
        <v>0.6208487405</v>
      </c>
    </row>
    <row r="789">
      <c r="D789" s="16">
        <f>IFERROR(__xludf.DUMMYFUNCTION("""COMPUTED_VALUE"""),-0.585694293867211)</f>
        <v>-0.5856942939</v>
      </c>
      <c r="E789" s="16">
        <f>IFERROR(__xludf.DUMMYFUNCTION("""COMPUTED_VALUE"""),-0.241746718457554)</f>
        <v>-0.2417467185</v>
      </c>
      <c r="F789" s="16">
        <f>IFERROR(__xludf.DUMMYFUNCTION("""COMPUTED_VALUE"""),-0.455313604999487)</f>
        <v>-0.455313605</v>
      </c>
      <c r="G789" s="16">
        <f>IFERROR(__xludf.DUMMYFUNCTION("""COMPUTED_VALUE"""),0.625468016247632)</f>
        <v>0.6254680162</v>
      </c>
    </row>
    <row r="790">
      <c r="D790" s="16">
        <f>IFERROR(__xludf.DUMMYFUNCTION("""COMPUTED_VALUE"""),-0.580763866014502)</f>
        <v>-0.580763866</v>
      </c>
      <c r="E790" s="16">
        <f>IFERROR(__xludf.DUMMYFUNCTION("""COMPUTED_VALUE"""),-0.238163274599417)</f>
        <v>-0.2381632746</v>
      </c>
      <c r="F790" s="16">
        <f>IFERROR(__xludf.DUMMYFUNCTION("""COMPUTED_VALUE"""),-0.457198216766762)</f>
        <v>-0.4571982168</v>
      </c>
      <c r="G790" s="16">
        <f>IFERROR(__xludf.DUMMYFUNCTION("""COMPUTED_VALUE"""),0.630048710140136)</f>
        <v>0.6300487101</v>
      </c>
    </row>
    <row r="791">
      <c r="D791" s="16">
        <f>IFERROR(__xludf.DUMMYFUNCTION("""COMPUTED_VALUE"""),-0.57579761391303)</f>
        <v>-0.5757976139</v>
      </c>
      <c r="E791" s="16">
        <f>IFERROR(__xludf.DUMMYFUNCTION("""COMPUTED_VALUE"""),-0.234565139709529)</f>
        <v>-0.2345651397</v>
      </c>
      <c r="F791" s="16">
        <f>IFERROR(__xludf.DUMMYFUNCTION("""COMPUTED_VALUE"""),-0.459054626396111)</f>
        <v>-0.4590546264</v>
      </c>
      <c r="G791" s="16">
        <f>IFERROR(__xludf.DUMMYFUNCTION("""COMPUTED_VALUE"""),0.634590539662718)</f>
        <v>0.6345905397</v>
      </c>
    </row>
    <row r="792">
      <c r="D792" s="16">
        <f>IFERROR(__xludf.DUMMYFUNCTION("""COMPUTED_VALUE"""),-0.573990475542215)</f>
        <v>-0.5739904755</v>
      </c>
      <c r="E792" s="16">
        <f>IFERROR(__xludf.DUMMYFUNCTION("""COMPUTED_VALUE"""),-0.237055355809851)</f>
        <v>-0.2370553558</v>
      </c>
      <c r="F792" s="16">
        <f>IFERROR(__xludf.DUMMYFUNCTION("""COMPUTED_VALUE"""),-0.461312232864504)</f>
        <v>-0.4613122329</v>
      </c>
      <c r="G792" s="16">
        <f>IFERROR(__xludf.DUMMYFUNCTION("""COMPUTED_VALUE"""),0.633664513822761)</f>
        <v>0.6336645138</v>
      </c>
    </row>
    <row r="793">
      <c r="D793" s="16">
        <f>IFERROR(__xludf.DUMMYFUNCTION("""COMPUTED_VALUE"""),-0.573990475542215)</f>
        <v>-0.5739904755</v>
      </c>
      <c r="E793" s="16">
        <f>IFERROR(__xludf.DUMMYFUNCTION("""COMPUTED_VALUE"""),-0.237055355809851)</f>
        <v>-0.2370553558</v>
      </c>
      <c r="F793" s="16">
        <f>IFERROR(__xludf.DUMMYFUNCTION("""COMPUTED_VALUE"""),-0.461312232864504)</f>
        <v>-0.4613122329</v>
      </c>
      <c r="G793" s="16">
        <f>IFERROR(__xludf.DUMMYFUNCTION("""COMPUTED_VALUE"""),0.633664513822761)</f>
        <v>0.6336645138</v>
      </c>
    </row>
    <row r="794">
      <c r="D794" s="16">
        <f>IFERROR(__xludf.DUMMYFUNCTION("""COMPUTED_VALUE"""),-0.571497661463871)</f>
        <v>-0.5714976615</v>
      </c>
      <c r="E794" s="16">
        <f>IFERROR(__xludf.DUMMYFUNCTION("""COMPUTED_VALUE"""),-0.235241963774394)</f>
        <v>-0.2352419638</v>
      </c>
      <c r="F794" s="16">
        <f>IFERROR(__xludf.DUMMYFUNCTION("""COMPUTED_VALUE"""),-0.462239587647073)</f>
        <v>-0.4622395876</v>
      </c>
      <c r="G794" s="16">
        <f>IFERROR(__xludf.DUMMYFUNCTION("""COMPUTED_VALUE"""),0.635913677343664)</f>
        <v>0.6359136773</v>
      </c>
    </row>
    <row r="795">
      <c r="D795" s="16">
        <f>IFERROR(__xludf.DUMMYFUNCTION("""COMPUTED_VALUE"""),-0.558481629937356)</f>
        <v>-0.5584816299</v>
      </c>
      <c r="E795" s="16">
        <f>IFERROR(__xludf.DUMMYFUNCTION("""COMPUTED_VALUE"""),-0.237255269939372)</f>
        <v>-0.2372552699</v>
      </c>
      <c r="F795" s="16">
        <f>IFERROR(__xludf.DUMMYFUNCTION("""COMPUTED_VALUE"""),-0.471679171620086)</f>
        <v>-0.4716791716</v>
      </c>
      <c r="G795" s="16">
        <f>IFERROR(__xludf.DUMMYFUNCTION("""COMPUTED_VALUE"""),0.6397866558223)</f>
        <v>0.6397866558</v>
      </c>
    </row>
    <row r="796">
      <c r="D796" s="16">
        <f>IFERROR(__xludf.DUMMYFUNCTION("""COMPUTED_VALUE"""),-0.554108323940028)</f>
        <v>-0.5541083239</v>
      </c>
      <c r="E796" s="16">
        <f>IFERROR(__xludf.DUMMYFUNCTION("""COMPUTED_VALUE"""),-0.237911764308117)</f>
        <v>-0.2379117643</v>
      </c>
      <c r="F796" s="16">
        <f>IFERROR(__xludf.DUMMYFUNCTION("""COMPUTED_VALUE"""),-0.474796733095989)</f>
        <v>-0.4747967331</v>
      </c>
      <c r="G796" s="16">
        <f>IFERROR(__xludf.DUMMYFUNCTION("""COMPUTED_VALUE"""),0.641038235977802)</f>
        <v>0.641038236</v>
      </c>
    </row>
    <row r="797">
      <c r="D797" s="16">
        <f>IFERROR(__xludf.DUMMYFUNCTION("""COMPUTED_VALUE"""),-0.554108323940028)</f>
        <v>-0.5541083239</v>
      </c>
      <c r="E797" s="16">
        <f>IFERROR(__xludf.DUMMYFUNCTION("""COMPUTED_VALUE"""),-0.237911764308117)</f>
        <v>-0.2379117643</v>
      </c>
      <c r="F797" s="16">
        <f>IFERROR(__xludf.DUMMYFUNCTION("""COMPUTED_VALUE"""),-0.474796733095989)</f>
        <v>-0.4747967331</v>
      </c>
      <c r="G797" s="16">
        <f>IFERROR(__xludf.DUMMYFUNCTION("""COMPUTED_VALUE"""),0.641038235977802)</f>
        <v>0.641038236</v>
      </c>
    </row>
    <row r="798">
      <c r="D798" s="16">
        <f>IFERROR(__xludf.DUMMYFUNCTION("""COMPUTED_VALUE"""),-0.549717927894041)</f>
        <v>-0.5497179279</v>
      </c>
      <c r="E798" s="16">
        <f>IFERROR(__xludf.DUMMYFUNCTION("""COMPUTED_VALUE"""),-0.238560920899297)</f>
        <v>-0.2385609209</v>
      </c>
      <c r="F798" s="16">
        <f>IFERROR(__xludf.DUMMYFUNCTION("""COMPUTED_VALUE"""),-0.477899650685632)</f>
        <v>-0.4778996507</v>
      </c>
      <c r="G798" s="16">
        <f>IFERROR(__xludf.DUMMYFUNCTION("""COMPUTED_VALUE"""),0.642270044954688)</f>
        <v>0.642270045</v>
      </c>
    </row>
    <row r="799">
      <c r="D799" s="16">
        <f>IFERROR(__xludf.DUMMYFUNCTION("""COMPUTED_VALUE"""),-0.547191507218174)</f>
        <v>-0.5471915072</v>
      </c>
      <c r="E799" s="16">
        <f>IFERROR(__xludf.DUMMYFUNCTION("""COMPUTED_VALUE"""),-0.236682378786901)</f>
        <v>-0.2366823788</v>
      </c>
      <c r="F799" s="16">
        <f>IFERROR(__xludf.DUMMYFUNCTION("""COMPUTED_VALUE"""),-0.478832789893866)</f>
        <v>-0.4788327899</v>
      </c>
      <c r="G799" s="16">
        <f>IFERROR(__xludf.DUMMYFUNCTION("""COMPUTED_VALUE"""),0.644423824297734)</f>
        <v>0.6444238243</v>
      </c>
    </row>
    <row r="800">
      <c r="D800" s="16">
        <f>IFERROR(__xludf.DUMMYFUNCTION("""COMPUTED_VALUE"""),-0.547191507218174)</f>
        <v>-0.5471915072</v>
      </c>
      <c r="E800" s="16">
        <f>IFERROR(__xludf.DUMMYFUNCTION("""COMPUTED_VALUE"""),-0.236682378786901)</f>
        <v>-0.2366823788</v>
      </c>
      <c r="F800" s="16">
        <f>IFERROR(__xludf.DUMMYFUNCTION("""COMPUTED_VALUE"""),-0.478832789893866)</f>
        <v>-0.4788327899</v>
      </c>
      <c r="G800" s="16">
        <f>IFERROR(__xludf.DUMMYFUNCTION("""COMPUTED_VALUE"""),0.644423824297734)</f>
        <v>0.6444238243</v>
      </c>
    </row>
    <row r="801">
      <c r="D801" s="16">
        <f>IFERROR(__xludf.DUMMYFUNCTION("""COMPUTED_VALUE"""),-0.547191507218174)</f>
        <v>-0.5471915072</v>
      </c>
      <c r="E801" s="16">
        <f>IFERROR(__xludf.DUMMYFUNCTION("""COMPUTED_VALUE"""),-0.236682378786901)</f>
        <v>-0.2366823788</v>
      </c>
      <c r="F801" s="16">
        <f>IFERROR(__xludf.DUMMYFUNCTION("""COMPUTED_VALUE"""),-0.478832789893866)</f>
        <v>-0.4788327899</v>
      </c>
      <c r="G801" s="16">
        <f>IFERROR(__xludf.DUMMYFUNCTION("""COMPUTED_VALUE"""),0.644423824297734)</f>
        <v>0.6444238243</v>
      </c>
    </row>
    <row r="802">
      <c r="D802" s="16">
        <f>IFERROR(__xludf.DUMMYFUNCTION("""COMPUTED_VALUE"""),-0.547191507218174)</f>
        <v>-0.5471915072</v>
      </c>
      <c r="E802" s="16">
        <f>IFERROR(__xludf.DUMMYFUNCTION("""COMPUTED_VALUE"""),-0.236682378786901)</f>
        <v>-0.2366823788</v>
      </c>
      <c r="F802" s="16">
        <f>IFERROR(__xludf.DUMMYFUNCTION("""COMPUTED_VALUE"""),-0.478832789893866)</f>
        <v>-0.4788327899</v>
      </c>
      <c r="G802" s="16">
        <f>IFERROR(__xludf.DUMMYFUNCTION("""COMPUTED_VALUE"""),0.644423824297734)</f>
        <v>0.6444238243</v>
      </c>
    </row>
    <row r="803">
      <c r="D803" s="16">
        <f>IFERROR(__xludf.DUMMYFUNCTION("""COMPUTED_VALUE"""),-0.550935335706406)</f>
        <v>-0.5509353357</v>
      </c>
      <c r="E803" s="16">
        <f>IFERROR(__xludf.DUMMYFUNCTION("""COMPUTED_VALUE"""),-0.231613838249753)</f>
        <v>-0.2316138382</v>
      </c>
      <c r="F803" s="16">
        <f>IFERROR(__xludf.DUMMYFUNCTION("""COMPUTED_VALUE"""),-0.474520433826943)</f>
        <v>-0.4745204338</v>
      </c>
      <c r="G803" s="16">
        <f>IFERROR(__xludf.DUMMYFUNCTION("""COMPUTED_VALUE"""),0.646262828640144)</f>
        <v>0.6462628286</v>
      </c>
    </row>
    <row r="804">
      <c r="D804" s="16">
        <f>IFERROR(__xludf.DUMMYFUNCTION("""COMPUTED_VALUE"""),-0.560145725669541)</f>
        <v>-0.5601457257</v>
      </c>
      <c r="E804" s="16">
        <f>IFERROR(__xludf.DUMMYFUNCTION("""COMPUTED_VALUE"""),-0.218880667232298)</f>
        <v>-0.2188806672</v>
      </c>
      <c r="F804" s="16">
        <f>IFERROR(__xludf.DUMMYFUNCTION("""COMPUTED_VALUE"""),-0.463612070877565)</f>
        <v>-0.4636120709</v>
      </c>
      <c r="G804" s="16">
        <f>IFERROR(__xludf.DUMMYFUNCTION("""COMPUTED_VALUE"""),0.650685690070626)</f>
        <v>0.6506856901</v>
      </c>
    </row>
    <row r="805">
      <c r="D805" s="16">
        <f>IFERROR(__xludf.DUMMYFUNCTION("""COMPUTED_VALUE"""),-0.563769612604142)</f>
        <v>-0.5637696126</v>
      </c>
      <c r="E805" s="16">
        <f>IFERROR(__xludf.DUMMYFUNCTION("""COMPUTED_VALUE"""),-0.213763495670134)</f>
        <v>-0.2137634957</v>
      </c>
      <c r="F805" s="16">
        <f>IFERROR(__xludf.DUMMYFUNCTION("""COMPUTED_VALUE"""),-0.459198443108659)</f>
        <v>-0.4591984431</v>
      </c>
      <c r="G805" s="16">
        <f>IFERROR(__xludf.DUMMYFUNCTION("""COMPUTED_VALUE"""),0.652384688408325)</f>
        <v>0.6523846884</v>
      </c>
    </row>
    <row r="806">
      <c r="D806" s="16">
        <f>IFERROR(__xludf.DUMMYFUNCTION("""COMPUTED_VALUE"""),-0.568122753870912)</f>
        <v>-0.5681227539</v>
      </c>
      <c r="E806" s="16">
        <f>IFERROR(__xludf.DUMMYFUNCTION("""COMPUTED_VALUE"""),-0.213010260387082)</f>
        <v>-0.2130102604</v>
      </c>
      <c r="F806" s="16">
        <f>IFERROR(__xludf.DUMMYFUNCTION("""COMPUTED_VALUE"""),-0.456127967294706)</f>
        <v>-0.4561279673</v>
      </c>
      <c r="G806" s="16">
        <f>IFERROR(__xludf.DUMMYFUNCTION("""COMPUTED_VALUE"""),0.651007252613627)</f>
        <v>0.6510072526</v>
      </c>
    </row>
    <row r="807">
      <c r="D807" s="16">
        <f>IFERROR(__xludf.DUMMYFUNCTION("""COMPUTED_VALUE"""),-0.573218177915723)</f>
        <v>-0.5732181779</v>
      </c>
      <c r="E807" s="16">
        <f>IFERROR(__xludf.DUMMYFUNCTION("""COMPUTED_VALUE"""),-0.216586074390342)</f>
        <v>-0.2165860744</v>
      </c>
      <c r="F807" s="16">
        <f>IFERROR(__xludf.DUMMYFUNCTION("""COMPUTED_VALUE"""),-0.454440937811234)</f>
        <v>-0.4544409378</v>
      </c>
      <c r="G807" s="16">
        <f>IFERROR(__xludf.DUMMYFUNCTION("""COMPUTED_VALUE"""),0.646525194349292)</f>
        <v>0.6465251943</v>
      </c>
    </row>
    <row r="808">
      <c r="D808" s="16">
        <f>IFERROR(__xludf.DUMMYFUNCTION("""COMPUTED_VALUE"""),-0.574998338799012)</f>
        <v>-0.5749983388</v>
      </c>
      <c r="E808" s="16">
        <f>IFERROR(__xludf.DUMMYFUNCTION("""COMPUTED_VALUE"""),-0.214045512477813)</f>
        <v>-0.2140455125</v>
      </c>
      <c r="F808" s="16">
        <f>IFERROR(__xludf.DUMMYFUNCTION("""COMPUTED_VALUE"""),-0.452186417122576)</f>
        <v>-0.4521864171</v>
      </c>
      <c r="G808" s="16">
        <f>IFERROR(__xludf.DUMMYFUNCTION("""COMPUTED_VALUE"""),0.647370738554283)</f>
        <v>0.6473707386</v>
      </c>
    </row>
    <row r="809">
      <c r="D809" s="16">
        <f>IFERROR(__xludf.DUMMYFUNCTION("""COMPUTED_VALUE"""),-0.581836252384255)</f>
        <v>-0.5818362524</v>
      </c>
      <c r="E809" s="16">
        <f>IFERROR(__xludf.DUMMYFUNCTION("""COMPUTED_VALUE"""),-0.215046492274107)</f>
        <v>-0.2150464923</v>
      </c>
      <c r="F809" s="16">
        <f>IFERROR(__xludf.DUMMYFUNCTION("""COMPUTED_VALUE"""),-0.448229912047315)</f>
        <v>-0.448229912</v>
      </c>
      <c r="G809" s="16">
        <f>IFERROR(__xludf.DUMMYFUNCTION("""COMPUTED_VALUE"""),0.643670356252398)</f>
        <v>0.6436703563</v>
      </c>
    </row>
    <row r="810">
      <c r="D810" s="16">
        <f>IFERROR(__xludf.DUMMYFUNCTION("""COMPUTED_VALUE"""),-0.581836252384255)</f>
        <v>-0.5818362524</v>
      </c>
      <c r="E810" s="16">
        <f>IFERROR(__xludf.DUMMYFUNCTION("""COMPUTED_VALUE"""),-0.215046492274107)</f>
        <v>-0.2150464923</v>
      </c>
      <c r="F810" s="16">
        <f>IFERROR(__xludf.DUMMYFUNCTION("""COMPUTED_VALUE"""),-0.448229912047315)</f>
        <v>-0.448229912</v>
      </c>
      <c r="G810" s="16">
        <f>IFERROR(__xludf.DUMMYFUNCTION("""COMPUTED_VALUE"""),0.643670356252398)</f>
        <v>0.6436703563</v>
      </c>
    </row>
    <row r="811">
      <c r="D811" s="16">
        <f>IFERROR(__xludf.DUMMYFUNCTION("""COMPUTED_VALUE"""),-0.581836252384255)</f>
        <v>-0.5818362524</v>
      </c>
      <c r="E811" s="16">
        <f>IFERROR(__xludf.DUMMYFUNCTION("""COMPUTED_VALUE"""),-0.215046492274107)</f>
        <v>-0.2150464923</v>
      </c>
      <c r="F811" s="16">
        <f>IFERROR(__xludf.DUMMYFUNCTION("""COMPUTED_VALUE"""),-0.448229912047315)</f>
        <v>-0.448229912</v>
      </c>
      <c r="G811" s="16">
        <f>IFERROR(__xludf.DUMMYFUNCTION("""COMPUTED_VALUE"""),0.643670356252398)</f>
        <v>0.6436703563</v>
      </c>
    </row>
    <row r="812">
      <c r="D812" s="16">
        <f>IFERROR(__xludf.DUMMYFUNCTION("""COMPUTED_VALUE"""),-0.581836252384255)</f>
        <v>-0.5818362524</v>
      </c>
      <c r="E812" s="16">
        <f>IFERROR(__xludf.DUMMYFUNCTION("""COMPUTED_VALUE"""),-0.215046492274107)</f>
        <v>-0.2150464923</v>
      </c>
      <c r="F812" s="16">
        <f>IFERROR(__xludf.DUMMYFUNCTION("""COMPUTED_VALUE"""),-0.448229912047315)</f>
        <v>-0.448229912</v>
      </c>
      <c r="G812" s="16">
        <f>IFERROR(__xludf.DUMMYFUNCTION("""COMPUTED_VALUE"""),0.643670356252398)</f>
        <v>0.6436703563</v>
      </c>
    </row>
    <row r="813">
      <c r="D813" s="16">
        <f>IFERROR(__xludf.DUMMYFUNCTION("""COMPUTED_VALUE"""),-0.581836252384255)</f>
        <v>-0.5818362524</v>
      </c>
      <c r="E813" s="16">
        <f>IFERROR(__xludf.DUMMYFUNCTION("""COMPUTED_VALUE"""),-0.215046492274107)</f>
        <v>-0.2150464923</v>
      </c>
      <c r="F813" s="16">
        <f>IFERROR(__xludf.DUMMYFUNCTION("""COMPUTED_VALUE"""),-0.448229912047315)</f>
        <v>-0.448229912</v>
      </c>
      <c r="G813" s="16">
        <f>IFERROR(__xludf.DUMMYFUNCTION("""COMPUTED_VALUE"""),0.643670356252398)</f>
        <v>0.6436703563</v>
      </c>
    </row>
    <row r="814">
      <c r="D814" s="16">
        <f>IFERROR(__xludf.DUMMYFUNCTION("""COMPUTED_VALUE"""),-0.581836252384255)</f>
        <v>-0.5818362524</v>
      </c>
      <c r="E814" s="16">
        <f>IFERROR(__xludf.DUMMYFUNCTION("""COMPUTED_VALUE"""),-0.215046492274107)</f>
        <v>-0.2150464923</v>
      </c>
      <c r="F814" s="16">
        <f>IFERROR(__xludf.DUMMYFUNCTION("""COMPUTED_VALUE"""),-0.448229912047315)</f>
        <v>-0.448229912</v>
      </c>
      <c r="G814" s="16">
        <f>IFERROR(__xludf.DUMMYFUNCTION("""COMPUTED_VALUE"""),0.643670356252398)</f>
        <v>0.6436703563</v>
      </c>
    </row>
    <row r="815">
      <c r="D815" s="16">
        <f>IFERROR(__xludf.DUMMYFUNCTION("""COMPUTED_VALUE"""),-0.581836252384255)</f>
        <v>-0.5818362524</v>
      </c>
      <c r="E815" s="16">
        <f>IFERROR(__xludf.DUMMYFUNCTION("""COMPUTED_VALUE"""),-0.215046492274107)</f>
        <v>-0.2150464923</v>
      </c>
      <c r="F815" s="16">
        <f>IFERROR(__xludf.DUMMYFUNCTION("""COMPUTED_VALUE"""),-0.448229912047315)</f>
        <v>-0.448229912</v>
      </c>
      <c r="G815" s="16">
        <f>IFERROR(__xludf.DUMMYFUNCTION("""COMPUTED_VALUE"""),0.643670356252398)</f>
        <v>0.6436703563</v>
      </c>
    </row>
    <row r="816">
      <c r="D816" s="16">
        <f>IFERROR(__xludf.DUMMYFUNCTION("""COMPUTED_VALUE"""),-0.581836252384255)</f>
        <v>-0.5818362524</v>
      </c>
      <c r="E816" s="16">
        <f>IFERROR(__xludf.DUMMYFUNCTION("""COMPUTED_VALUE"""),-0.215046492274107)</f>
        <v>-0.2150464923</v>
      </c>
      <c r="F816" s="16">
        <f>IFERROR(__xludf.DUMMYFUNCTION("""COMPUTED_VALUE"""),-0.448229912047315)</f>
        <v>-0.448229912</v>
      </c>
      <c r="G816" s="16">
        <f>IFERROR(__xludf.DUMMYFUNCTION("""COMPUTED_VALUE"""),0.643670356252398)</f>
        <v>0.6436703563</v>
      </c>
    </row>
    <row r="817">
      <c r="D817" s="16">
        <f>IFERROR(__xludf.DUMMYFUNCTION("""COMPUTED_VALUE"""),-0.581836252384255)</f>
        <v>-0.5818362524</v>
      </c>
      <c r="E817" s="16">
        <f>IFERROR(__xludf.DUMMYFUNCTION("""COMPUTED_VALUE"""),-0.215046492274107)</f>
        <v>-0.2150464923</v>
      </c>
      <c r="F817" s="16">
        <f>IFERROR(__xludf.DUMMYFUNCTION("""COMPUTED_VALUE"""),-0.448229912047315)</f>
        <v>-0.448229912</v>
      </c>
      <c r="G817" s="16">
        <f>IFERROR(__xludf.DUMMYFUNCTION("""COMPUTED_VALUE"""),0.643670356252398)</f>
        <v>0.6436703563</v>
      </c>
    </row>
    <row r="818">
      <c r="D818" s="16">
        <f>IFERROR(__xludf.DUMMYFUNCTION("""COMPUTED_VALUE"""),-0.581836252384255)</f>
        <v>-0.5818362524</v>
      </c>
      <c r="E818" s="16">
        <f>IFERROR(__xludf.DUMMYFUNCTION("""COMPUTED_VALUE"""),-0.215046492274107)</f>
        <v>-0.2150464923</v>
      </c>
      <c r="F818" s="16">
        <f>IFERROR(__xludf.DUMMYFUNCTION("""COMPUTED_VALUE"""),-0.448229912047315)</f>
        <v>-0.448229912</v>
      </c>
      <c r="G818" s="16">
        <f>IFERROR(__xludf.DUMMYFUNCTION("""COMPUTED_VALUE"""),0.643670356252398)</f>
        <v>0.6436703563</v>
      </c>
    </row>
    <row r="819">
      <c r="D819" s="16">
        <f>IFERROR(__xludf.DUMMYFUNCTION("""COMPUTED_VALUE"""),-0.581836252384255)</f>
        <v>-0.5818362524</v>
      </c>
      <c r="E819" s="16">
        <f>IFERROR(__xludf.DUMMYFUNCTION("""COMPUTED_VALUE"""),-0.215046492274107)</f>
        <v>-0.2150464923</v>
      </c>
      <c r="F819" s="16">
        <f>IFERROR(__xludf.DUMMYFUNCTION("""COMPUTED_VALUE"""),-0.448229912047315)</f>
        <v>-0.448229912</v>
      </c>
      <c r="G819" s="16">
        <f>IFERROR(__xludf.DUMMYFUNCTION("""COMPUTED_VALUE"""),0.643670356252398)</f>
        <v>0.6436703563</v>
      </c>
    </row>
    <row r="820">
      <c r="D820" s="16">
        <f>IFERROR(__xludf.DUMMYFUNCTION("""COMPUTED_VALUE"""),-0.578297953985249)</f>
        <v>-0.578297954</v>
      </c>
      <c r="E820" s="16">
        <f>IFERROR(__xludf.DUMMYFUNCTION("""COMPUTED_VALUE"""),-0.22009518276661)</f>
        <v>-0.2200951828</v>
      </c>
      <c r="F820" s="16">
        <f>IFERROR(__xludf.DUMMYFUNCTION("""COMPUTED_VALUE"""),-0.45278577170553)</f>
        <v>-0.4527857717</v>
      </c>
      <c r="G820" s="16">
        <f>IFERROR(__xludf.DUMMYFUNCTION("""COMPUTED_VALUE"""),0.641961550157343)</f>
        <v>0.6419615502</v>
      </c>
    </row>
    <row r="821">
      <c r="D821" s="16">
        <f>IFERROR(__xludf.DUMMYFUNCTION("""COMPUTED_VALUE"""),-0.578297953985249)</f>
        <v>-0.578297954</v>
      </c>
      <c r="E821" s="16">
        <f>IFERROR(__xludf.DUMMYFUNCTION("""COMPUTED_VALUE"""),-0.22009518276661)</f>
        <v>-0.2200951828</v>
      </c>
      <c r="F821" s="16">
        <f>IFERROR(__xludf.DUMMYFUNCTION("""COMPUTED_VALUE"""),-0.45278577170553)</f>
        <v>-0.4527857717</v>
      </c>
      <c r="G821" s="16">
        <f>IFERROR(__xludf.DUMMYFUNCTION("""COMPUTED_VALUE"""),0.641961550157343)</f>
        <v>0.6419615502</v>
      </c>
    </row>
    <row r="822">
      <c r="D822" s="16">
        <f>IFERROR(__xludf.DUMMYFUNCTION("""COMPUTED_VALUE"""),-0.578297953985249)</f>
        <v>-0.578297954</v>
      </c>
      <c r="E822" s="16">
        <f>IFERROR(__xludf.DUMMYFUNCTION("""COMPUTED_VALUE"""),-0.22009518276661)</f>
        <v>-0.2200951828</v>
      </c>
      <c r="F822" s="16">
        <f>IFERROR(__xludf.DUMMYFUNCTION("""COMPUTED_VALUE"""),-0.45278577170553)</f>
        <v>-0.4527857717</v>
      </c>
      <c r="G822" s="16">
        <f>IFERROR(__xludf.DUMMYFUNCTION("""COMPUTED_VALUE"""),0.641961550157343)</f>
        <v>0.6419615502</v>
      </c>
    </row>
    <row r="823">
      <c r="D823" s="16">
        <f>IFERROR(__xludf.DUMMYFUNCTION("""COMPUTED_VALUE"""),-0.578297953985249)</f>
        <v>-0.578297954</v>
      </c>
      <c r="E823" s="16">
        <f>IFERROR(__xludf.DUMMYFUNCTION("""COMPUTED_VALUE"""),-0.22009518276661)</f>
        <v>-0.2200951828</v>
      </c>
      <c r="F823" s="16">
        <f>IFERROR(__xludf.DUMMYFUNCTION("""COMPUTED_VALUE"""),-0.45278577170553)</f>
        <v>-0.4527857717</v>
      </c>
      <c r="G823" s="16">
        <f>IFERROR(__xludf.DUMMYFUNCTION("""COMPUTED_VALUE"""),0.641961550157343)</f>
        <v>0.6419615502</v>
      </c>
    </row>
    <row r="824">
      <c r="D824" s="16">
        <f>IFERROR(__xludf.DUMMYFUNCTION("""COMPUTED_VALUE"""),-0.578297953985249)</f>
        <v>-0.578297954</v>
      </c>
      <c r="E824" s="16">
        <f>IFERROR(__xludf.DUMMYFUNCTION("""COMPUTED_VALUE"""),-0.22009518276661)</f>
        <v>-0.2200951828</v>
      </c>
      <c r="F824" s="16">
        <f>IFERROR(__xludf.DUMMYFUNCTION("""COMPUTED_VALUE"""),-0.45278577170553)</f>
        <v>-0.4527857717</v>
      </c>
      <c r="G824" s="16">
        <f>IFERROR(__xludf.DUMMYFUNCTION("""COMPUTED_VALUE"""),0.641961550157343)</f>
        <v>0.6419615502</v>
      </c>
    </row>
    <row r="825">
      <c r="D825" s="16">
        <f>IFERROR(__xludf.DUMMYFUNCTION("""COMPUTED_VALUE"""),-0.578297953985249)</f>
        <v>-0.578297954</v>
      </c>
      <c r="E825" s="16">
        <f>IFERROR(__xludf.DUMMYFUNCTION("""COMPUTED_VALUE"""),-0.22009518276661)</f>
        <v>-0.2200951828</v>
      </c>
      <c r="F825" s="16">
        <f>IFERROR(__xludf.DUMMYFUNCTION("""COMPUTED_VALUE"""),-0.45278577170553)</f>
        <v>-0.4527857717</v>
      </c>
      <c r="G825" s="16">
        <f>IFERROR(__xludf.DUMMYFUNCTION("""COMPUTED_VALUE"""),0.641961550157343)</f>
        <v>0.6419615502</v>
      </c>
    </row>
    <row r="826">
      <c r="D826" s="16">
        <f>IFERROR(__xludf.DUMMYFUNCTION("""COMPUTED_VALUE"""),-0.578297953985249)</f>
        <v>-0.578297954</v>
      </c>
      <c r="E826" s="16">
        <f>IFERROR(__xludf.DUMMYFUNCTION("""COMPUTED_VALUE"""),-0.22009518276661)</f>
        <v>-0.2200951828</v>
      </c>
      <c r="F826" s="16">
        <f>IFERROR(__xludf.DUMMYFUNCTION("""COMPUTED_VALUE"""),-0.45278577170553)</f>
        <v>-0.4527857717</v>
      </c>
      <c r="G826" s="16">
        <f>IFERROR(__xludf.DUMMYFUNCTION("""COMPUTED_VALUE"""),0.641961550157343)</f>
        <v>0.6419615502</v>
      </c>
    </row>
    <row r="827">
      <c r="D827" s="16">
        <f>IFERROR(__xludf.DUMMYFUNCTION("""COMPUTED_VALUE"""),-0.574723983446541)</f>
        <v>-0.5747239834</v>
      </c>
      <c r="E827" s="16">
        <f>IFERROR(__xludf.DUMMYFUNCTION("""COMPUTED_VALUE"""),-0.225130296752309)</f>
        <v>-0.2251302968</v>
      </c>
      <c r="F827" s="16">
        <f>IFERROR(__xludf.DUMMYFUNCTION("""COMPUTED_VALUE"""),-0.457313701406199)</f>
        <v>-0.4573137014</v>
      </c>
      <c r="G827" s="16">
        <f>IFERROR(__xludf.DUMMYFUNCTION("""COMPUTED_VALUE"""),0.640213144852324)</f>
        <v>0.6402131449</v>
      </c>
    </row>
    <row r="828">
      <c r="D828" s="16">
        <f>IFERROR(__xludf.DUMMYFUNCTION("""COMPUTED_VALUE"""),-0.570401715344148)</f>
        <v>-0.5704017153</v>
      </c>
      <c r="E828" s="16">
        <f>IFERROR(__xludf.DUMMYFUNCTION("""COMPUTED_VALUE"""),-0.225853924927637)</f>
        <v>-0.2258539249</v>
      </c>
      <c r="F828" s="16">
        <f>IFERROR(__xludf.DUMMYFUNCTION("""COMPUTED_VALUE"""),-0.460437764278261)</f>
        <v>-0.4604377643</v>
      </c>
      <c r="G828" s="16">
        <f>IFERROR(__xludf.DUMMYFUNCTION("""COMPUTED_VALUE"""),0.641583161370102)</f>
        <v>0.6415831614</v>
      </c>
    </row>
    <row r="829">
      <c r="D829" s="16">
        <f>IFERROR(__xludf.DUMMYFUNCTION("""COMPUTED_VALUE"""),-0.559881536520306)</f>
        <v>-0.5598815365</v>
      </c>
      <c r="E829" s="16">
        <f>IFERROR(__xludf.DUMMYFUNCTION("""COMPUTED_VALUE"""),-0.229773421208099)</f>
        <v>-0.2297734212</v>
      </c>
      <c r="F829" s="16">
        <f>IFERROR(__xludf.DUMMYFUNCTION("""COMPUTED_VALUE"""),-0.468885071902217)</f>
        <v>-0.4688850719</v>
      </c>
      <c r="G829" s="16">
        <f>IFERROR(__xludf.DUMMYFUNCTION("""COMPUTED_VALUE"""),0.643337881145844)</f>
        <v>0.6433378811</v>
      </c>
    </row>
    <row r="830">
      <c r="D830" s="16">
        <f>IFERROR(__xludf.DUMMYFUNCTION("""COMPUTED_VALUE"""),-0.555505235724786)</f>
        <v>-0.5555052357</v>
      </c>
      <c r="E830" s="16">
        <f>IFERROR(__xludf.DUMMYFUNCTION("""COMPUTED_VALUE"""),-0.230454948860389)</f>
        <v>-0.2304549489</v>
      </c>
      <c r="F830" s="16">
        <f>IFERROR(__xludf.DUMMYFUNCTION("""COMPUTED_VALUE"""),-0.471978792859054)</f>
        <v>-0.4719787929</v>
      </c>
      <c r="G830" s="16">
        <f>IFERROR(__xludf.DUMMYFUNCTION("""COMPUTED_VALUE"""),0.64462428492836)</f>
        <v>0.6446242849</v>
      </c>
    </row>
    <row r="831">
      <c r="D831" s="16">
        <f>IFERROR(__xludf.DUMMYFUNCTION("""COMPUTED_VALUE"""),-0.551115378245019)</f>
        <v>-0.5511153782</v>
      </c>
      <c r="E831" s="16">
        <f>IFERROR(__xludf.DUMMYFUNCTION("""COMPUTED_VALUE"""),-0.231120798701115)</f>
        <v>-0.2311207987</v>
      </c>
      <c r="F831" s="16">
        <f>IFERROR(__xludf.DUMMYFUNCTION("""COMPUTED_VALUE"""),-0.475067881859849)</f>
        <v>-0.4750678819</v>
      </c>
      <c r="G831" s="16">
        <f>IFERROR(__xludf.DUMMYFUNCTION("""COMPUTED_VALUE"""),0.645883521925423)</f>
        <v>0.6458835219</v>
      </c>
    </row>
    <row r="832">
      <c r="D832" s="16">
        <f>IFERROR(__xludf.DUMMYFUNCTION("""COMPUTED_VALUE"""),-0.551115378245019)</f>
        <v>-0.5511153782</v>
      </c>
      <c r="E832" s="16">
        <f>IFERROR(__xludf.DUMMYFUNCTION("""COMPUTED_VALUE"""),-0.231120798701115)</f>
        <v>-0.2311207987</v>
      </c>
      <c r="F832" s="16">
        <f>IFERROR(__xludf.DUMMYFUNCTION("""COMPUTED_VALUE"""),-0.475067881859849)</f>
        <v>-0.4750678819</v>
      </c>
      <c r="G832" s="16">
        <f>IFERROR(__xludf.DUMMYFUNCTION("""COMPUTED_VALUE"""),0.645883521925423)</f>
        <v>0.6458835219</v>
      </c>
    </row>
    <row r="833">
      <c r="D833" s="16">
        <f>IFERROR(__xludf.DUMMYFUNCTION("""COMPUTED_VALUE"""),-0.548574756739959)</f>
        <v>-0.5485747567</v>
      </c>
      <c r="E833" s="16">
        <f>IFERROR(__xludf.DUMMYFUNCTION("""COMPUTED_VALUE"""),-0.229253434257922)</f>
        <v>-0.2292534343</v>
      </c>
      <c r="F833" s="16">
        <f>IFERROR(__xludf.DUMMYFUNCTION("""COMPUTED_VALUE"""),-0.475971825687187)</f>
        <v>-0.4759718257</v>
      </c>
      <c r="G833" s="16">
        <f>IFERROR(__xludf.DUMMYFUNCTION("""COMPUTED_VALUE"""),0.648042761166756)</f>
        <v>0.6480427612</v>
      </c>
    </row>
    <row r="834">
      <c r="D834" s="16">
        <f>IFERROR(__xludf.DUMMYFUNCTION("""COMPUTED_VALUE"""),-0.548574756739959)</f>
        <v>-0.5485747567</v>
      </c>
      <c r="E834" s="16">
        <f>IFERROR(__xludf.DUMMYFUNCTION("""COMPUTED_VALUE"""),-0.229253434257922)</f>
        <v>-0.2292534343</v>
      </c>
      <c r="F834" s="16">
        <f>IFERROR(__xludf.DUMMYFUNCTION("""COMPUTED_VALUE"""),-0.475971825687187)</f>
        <v>-0.4759718257</v>
      </c>
      <c r="G834" s="16">
        <f>IFERROR(__xludf.DUMMYFUNCTION("""COMPUTED_VALUE"""),0.648042761166756)</f>
        <v>0.6480427612</v>
      </c>
    </row>
    <row r="835">
      <c r="D835" s="16">
        <f>IFERROR(__xludf.DUMMYFUNCTION("""COMPUTED_VALUE"""),-0.548574756739959)</f>
        <v>-0.5485747567</v>
      </c>
      <c r="E835" s="16">
        <f>IFERROR(__xludf.DUMMYFUNCTION("""COMPUTED_VALUE"""),-0.229253434257922)</f>
        <v>-0.2292534343</v>
      </c>
      <c r="F835" s="16">
        <f>IFERROR(__xludf.DUMMYFUNCTION("""COMPUTED_VALUE"""),-0.475971825687187)</f>
        <v>-0.4759718257</v>
      </c>
      <c r="G835" s="16">
        <f>IFERROR(__xludf.DUMMYFUNCTION("""COMPUTED_VALUE"""),0.648042761166756)</f>
        <v>0.6480427612</v>
      </c>
    </row>
    <row r="836">
      <c r="D836" s="16">
        <f>IFERROR(__xludf.DUMMYFUNCTION("""COMPUTED_VALUE"""),-0.548574756739959)</f>
        <v>-0.5485747567</v>
      </c>
      <c r="E836" s="16">
        <f>IFERROR(__xludf.DUMMYFUNCTION("""COMPUTED_VALUE"""),-0.229253434257922)</f>
        <v>-0.2292534343</v>
      </c>
      <c r="F836" s="16">
        <f>IFERROR(__xludf.DUMMYFUNCTION("""COMPUTED_VALUE"""),-0.475971825687187)</f>
        <v>-0.4759718257</v>
      </c>
      <c r="G836" s="16">
        <f>IFERROR(__xludf.DUMMYFUNCTION("""COMPUTED_VALUE"""),0.648042761166756)</f>
        <v>0.6480427612</v>
      </c>
    </row>
    <row r="837">
      <c r="D837" s="16">
        <f>IFERROR(__xludf.DUMMYFUNCTION("""COMPUTED_VALUE"""),-0.548574756739959)</f>
        <v>-0.5485747567</v>
      </c>
      <c r="E837" s="16">
        <f>IFERROR(__xludf.DUMMYFUNCTION("""COMPUTED_VALUE"""),-0.229253434257922)</f>
        <v>-0.2292534343</v>
      </c>
      <c r="F837" s="16">
        <f>IFERROR(__xludf.DUMMYFUNCTION("""COMPUTED_VALUE"""),-0.475971825687187)</f>
        <v>-0.4759718257</v>
      </c>
      <c r="G837" s="16">
        <f>IFERROR(__xludf.DUMMYFUNCTION("""COMPUTED_VALUE"""),0.648042761166756)</f>
        <v>0.6480427612</v>
      </c>
    </row>
    <row r="838">
      <c r="D838" s="16">
        <f>IFERROR(__xludf.DUMMYFUNCTION("""COMPUTED_VALUE"""),-0.548574756739959)</f>
        <v>-0.5485747567</v>
      </c>
      <c r="E838" s="16">
        <f>IFERROR(__xludf.DUMMYFUNCTION("""COMPUTED_VALUE"""),-0.229253434257922)</f>
        <v>-0.2292534343</v>
      </c>
      <c r="F838" s="16">
        <f>IFERROR(__xludf.DUMMYFUNCTION("""COMPUTED_VALUE"""),-0.475971825687187)</f>
        <v>-0.4759718257</v>
      </c>
      <c r="G838" s="16">
        <f>IFERROR(__xludf.DUMMYFUNCTION("""COMPUTED_VALUE"""),0.648042761166756)</f>
        <v>0.6480427612</v>
      </c>
    </row>
    <row r="839">
      <c r="D839" s="16">
        <f>IFERROR(__xludf.DUMMYFUNCTION("""COMPUTED_VALUE"""),-0.548574756739959)</f>
        <v>-0.5485747567</v>
      </c>
      <c r="E839" s="16">
        <f>IFERROR(__xludf.DUMMYFUNCTION("""COMPUTED_VALUE"""),-0.229253434257922)</f>
        <v>-0.2292534343</v>
      </c>
      <c r="F839" s="16">
        <f>IFERROR(__xludf.DUMMYFUNCTION("""COMPUTED_VALUE"""),-0.475971825687187)</f>
        <v>-0.4759718257</v>
      </c>
      <c r="G839" s="16">
        <f>IFERROR(__xludf.DUMMYFUNCTION("""COMPUTED_VALUE"""),0.648042761166756)</f>
        <v>0.6480427612</v>
      </c>
    </row>
    <row r="840">
      <c r="D840" s="16">
        <f>IFERROR(__xludf.DUMMYFUNCTION("""COMPUTED_VALUE"""),-0.548574756739959)</f>
        <v>-0.5485747567</v>
      </c>
      <c r="E840" s="16">
        <f>IFERROR(__xludf.DUMMYFUNCTION("""COMPUTED_VALUE"""),-0.229253434257922)</f>
        <v>-0.2292534343</v>
      </c>
      <c r="F840" s="16">
        <f>IFERROR(__xludf.DUMMYFUNCTION("""COMPUTED_VALUE"""),-0.475971825687187)</f>
        <v>-0.4759718257</v>
      </c>
      <c r="G840" s="16">
        <f>IFERROR(__xludf.DUMMYFUNCTION("""COMPUTED_VALUE"""),0.648042761166756)</f>
        <v>0.6480427612</v>
      </c>
    </row>
    <row r="841">
      <c r="D841" s="16">
        <f>IFERROR(__xludf.DUMMYFUNCTION("""COMPUTED_VALUE"""),-0.548574756739959)</f>
        <v>-0.5485747567</v>
      </c>
      <c r="E841" s="16">
        <f>IFERROR(__xludf.DUMMYFUNCTION("""COMPUTED_VALUE"""),-0.229253434257922)</f>
        <v>-0.2292534343</v>
      </c>
      <c r="F841" s="16">
        <f>IFERROR(__xludf.DUMMYFUNCTION("""COMPUTED_VALUE"""),-0.475971825687187)</f>
        <v>-0.4759718257</v>
      </c>
      <c r="G841" s="16">
        <f>IFERROR(__xludf.DUMMYFUNCTION("""COMPUTED_VALUE"""),0.648042761166756)</f>
        <v>0.6480427612</v>
      </c>
    </row>
    <row r="842">
      <c r="D842" s="16">
        <f>IFERROR(__xludf.DUMMYFUNCTION("""COMPUTED_VALUE"""),-0.548574756739959)</f>
        <v>-0.5485747567</v>
      </c>
      <c r="E842" s="16">
        <f>IFERROR(__xludf.DUMMYFUNCTION("""COMPUTED_VALUE"""),-0.229253434257922)</f>
        <v>-0.2292534343</v>
      </c>
      <c r="F842" s="16">
        <f>IFERROR(__xludf.DUMMYFUNCTION("""COMPUTED_VALUE"""),-0.475971825687187)</f>
        <v>-0.4759718257</v>
      </c>
      <c r="G842" s="16">
        <f>IFERROR(__xludf.DUMMYFUNCTION("""COMPUTED_VALUE"""),0.648042761166756)</f>
        <v>0.6480427612</v>
      </c>
    </row>
    <row r="843">
      <c r="D843" s="16">
        <f>IFERROR(__xludf.DUMMYFUNCTION("""COMPUTED_VALUE"""),-0.548574756739959)</f>
        <v>-0.5485747567</v>
      </c>
      <c r="E843" s="16">
        <f>IFERROR(__xludf.DUMMYFUNCTION("""COMPUTED_VALUE"""),-0.229253434257922)</f>
        <v>-0.2292534343</v>
      </c>
      <c r="F843" s="16">
        <f>IFERROR(__xludf.DUMMYFUNCTION("""COMPUTED_VALUE"""),-0.475971825687187)</f>
        <v>-0.4759718257</v>
      </c>
      <c r="G843" s="16">
        <f>IFERROR(__xludf.DUMMYFUNCTION("""COMPUTED_VALUE"""),0.648042761166756)</f>
        <v>0.6480427612</v>
      </c>
    </row>
    <row r="844">
      <c r="D844" s="16">
        <f>IFERROR(__xludf.DUMMYFUNCTION("""COMPUTED_VALUE"""),-0.548574756739959)</f>
        <v>-0.5485747567</v>
      </c>
      <c r="E844" s="16">
        <f>IFERROR(__xludf.DUMMYFUNCTION("""COMPUTED_VALUE"""),-0.229253434257922)</f>
        <v>-0.2292534343</v>
      </c>
      <c r="F844" s="16">
        <f>IFERROR(__xludf.DUMMYFUNCTION("""COMPUTED_VALUE"""),-0.475971825687187)</f>
        <v>-0.4759718257</v>
      </c>
      <c r="G844" s="16">
        <f>IFERROR(__xludf.DUMMYFUNCTION("""COMPUTED_VALUE"""),0.648042761166756)</f>
        <v>0.6480427612</v>
      </c>
    </row>
    <row r="845">
      <c r="D845" s="16">
        <f>IFERROR(__xludf.DUMMYFUNCTION("""COMPUTED_VALUE"""),-0.548574756739959)</f>
        <v>-0.5485747567</v>
      </c>
      <c r="E845" s="16">
        <f>IFERROR(__xludf.DUMMYFUNCTION("""COMPUTED_VALUE"""),-0.229253434257922)</f>
        <v>-0.2292534343</v>
      </c>
      <c r="F845" s="16">
        <f>IFERROR(__xludf.DUMMYFUNCTION("""COMPUTED_VALUE"""),-0.475971825687187)</f>
        <v>-0.4759718257</v>
      </c>
      <c r="G845" s="16">
        <f>IFERROR(__xludf.DUMMYFUNCTION("""COMPUTED_VALUE"""),0.648042761166756)</f>
        <v>0.6480427612</v>
      </c>
    </row>
    <row r="846">
      <c r="D846" s="16">
        <f>IFERROR(__xludf.DUMMYFUNCTION("""COMPUTED_VALUE"""),-0.548574756739959)</f>
        <v>-0.5485747567</v>
      </c>
      <c r="E846" s="16">
        <f>IFERROR(__xludf.DUMMYFUNCTION("""COMPUTED_VALUE"""),-0.229253434257922)</f>
        <v>-0.2292534343</v>
      </c>
      <c r="F846" s="16">
        <f>IFERROR(__xludf.DUMMYFUNCTION("""COMPUTED_VALUE"""),-0.475971825687187)</f>
        <v>-0.4759718257</v>
      </c>
      <c r="G846" s="16">
        <f>IFERROR(__xludf.DUMMYFUNCTION("""COMPUTED_VALUE"""),0.648042761166756)</f>
        <v>0.6480427612</v>
      </c>
    </row>
    <row r="847">
      <c r="D847" s="16">
        <f>IFERROR(__xludf.DUMMYFUNCTION("""COMPUTED_VALUE"""),-0.546025675534035)</f>
        <v>-0.5460256755</v>
      </c>
      <c r="E847" s="16">
        <f>IFERROR(__xludf.DUMMYFUNCTION("""COMPUTED_VALUE"""),-0.227382534443383)</f>
        <v>-0.2273825344</v>
      </c>
      <c r="F847" s="16">
        <f>IFERROR(__xludf.DUMMYFUNCTION("""COMPUTED_VALUE"""),-0.476868429440604)</f>
        <v>-0.4768684294</v>
      </c>
      <c r="G847" s="16">
        <f>IFERROR(__xludf.DUMMYFUNCTION("""COMPUTED_VALUE"""),0.65019200678764)</f>
        <v>0.6501920068</v>
      </c>
    </row>
    <row r="848">
      <c r="D848" s="16">
        <f>IFERROR(__xludf.DUMMYFUNCTION("""COMPUTED_VALUE"""),-0.548574756739959)</f>
        <v>-0.5485747567</v>
      </c>
      <c r="E848" s="16">
        <f>IFERROR(__xludf.DUMMYFUNCTION("""COMPUTED_VALUE"""),-0.229253434257922)</f>
        <v>-0.2292534343</v>
      </c>
      <c r="F848" s="16">
        <f>IFERROR(__xludf.DUMMYFUNCTION("""COMPUTED_VALUE"""),-0.475971825687187)</f>
        <v>-0.4759718257</v>
      </c>
      <c r="G848" s="16">
        <f>IFERROR(__xludf.DUMMYFUNCTION("""COMPUTED_VALUE"""),0.648042761166756)</f>
        <v>0.6480427612</v>
      </c>
    </row>
    <row r="849">
      <c r="D849" s="16">
        <f>IFERROR(__xludf.DUMMYFUNCTION("""COMPUTED_VALUE"""),-0.548574756739959)</f>
        <v>-0.5485747567</v>
      </c>
      <c r="E849" s="16">
        <f>IFERROR(__xludf.DUMMYFUNCTION("""COMPUTED_VALUE"""),-0.229253434257922)</f>
        <v>-0.2292534343</v>
      </c>
      <c r="F849" s="16">
        <f>IFERROR(__xludf.DUMMYFUNCTION("""COMPUTED_VALUE"""),-0.475971825687187)</f>
        <v>-0.4759718257</v>
      </c>
      <c r="G849" s="16">
        <f>IFERROR(__xludf.DUMMYFUNCTION("""COMPUTED_VALUE"""),0.648042761166756)</f>
        <v>0.6480427612</v>
      </c>
    </row>
    <row r="850">
      <c r="D850" s="16">
        <f>IFERROR(__xludf.DUMMYFUNCTION("""COMPUTED_VALUE"""),-0.548574756739959)</f>
        <v>-0.5485747567</v>
      </c>
      <c r="E850" s="16">
        <f>IFERROR(__xludf.DUMMYFUNCTION("""COMPUTED_VALUE"""),-0.229253434257922)</f>
        <v>-0.2292534343</v>
      </c>
      <c r="F850" s="16">
        <f>IFERROR(__xludf.DUMMYFUNCTION("""COMPUTED_VALUE"""),-0.475971825687187)</f>
        <v>-0.4759718257</v>
      </c>
      <c r="G850" s="16">
        <f>IFERROR(__xludf.DUMMYFUNCTION("""COMPUTED_VALUE"""),0.648042761166756)</f>
        <v>0.6480427612</v>
      </c>
    </row>
    <row r="851">
      <c r="D851" s="16">
        <f>IFERROR(__xludf.DUMMYFUNCTION("""COMPUTED_VALUE"""),-0.548574756739959)</f>
        <v>-0.5485747567</v>
      </c>
      <c r="E851" s="16">
        <f>IFERROR(__xludf.DUMMYFUNCTION("""COMPUTED_VALUE"""),-0.229253434257922)</f>
        <v>-0.2292534343</v>
      </c>
      <c r="F851" s="16">
        <f>IFERROR(__xludf.DUMMYFUNCTION("""COMPUTED_VALUE"""),-0.475971825687187)</f>
        <v>-0.4759718257</v>
      </c>
      <c r="G851" s="16">
        <f>IFERROR(__xludf.DUMMYFUNCTION("""COMPUTED_VALUE"""),0.648042761166756)</f>
        <v>0.6480427612</v>
      </c>
    </row>
    <row r="852">
      <c r="D852" s="16">
        <f>IFERROR(__xludf.DUMMYFUNCTION("""COMPUTED_VALUE"""),-0.548574756739959)</f>
        <v>-0.5485747567</v>
      </c>
      <c r="E852" s="16">
        <f>IFERROR(__xludf.DUMMYFUNCTION("""COMPUTED_VALUE"""),-0.229253434257922)</f>
        <v>-0.2292534343</v>
      </c>
      <c r="F852" s="16">
        <f>IFERROR(__xludf.DUMMYFUNCTION("""COMPUTED_VALUE"""),-0.475971825687187)</f>
        <v>-0.4759718257</v>
      </c>
      <c r="G852" s="16">
        <f>IFERROR(__xludf.DUMMYFUNCTION("""COMPUTED_VALUE"""),0.648042761166756)</f>
        <v>0.6480427612</v>
      </c>
    </row>
    <row r="853">
      <c r="D853" s="16">
        <f>IFERROR(__xludf.DUMMYFUNCTION("""COMPUTED_VALUE"""),-0.548574756739959)</f>
        <v>-0.5485747567</v>
      </c>
      <c r="E853" s="16">
        <f>IFERROR(__xludf.DUMMYFUNCTION("""COMPUTED_VALUE"""),-0.229253434257922)</f>
        <v>-0.2292534343</v>
      </c>
      <c r="F853" s="16">
        <f>IFERROR(__xludf.DUMMYFUNCTION("""COMPUTED_VALUE"""),-0.475971825687187)</f>
        <v>-0.4759718257</v>
      </c>
      <c r="G853" s="16">
        <f>IFERROR(__xludf.DUMMYFUNCTION("""COMPUTED_VALUE"""),0.648042761166756)</f>
        <v>0.6480427612</v>
      </c>
    </row>
    <row r="854">
      <c r="D854" s="16">
        <f>IFERROR(__xludf.DUMMYFUNCTION("""COMPUTED_VALUE"""),-0.548574756739959)</f>
        <v>-0.5485747567</v>
      </c>
      <c r="E854" s="16">
        <f>IFERROR(__xludf.DUMMYFUNCTION("""COMPUTED_VALUE"""),-0.229253434257922)</f>
        <v>-0.2292534343</v>
      </c>
      <c r="F854" s="16">
        <f>IFERROR(__xludf.DUMMYFUNCTION("""COMPUTED_VALUE"""),-0.475971825687187)</f>
        <v>-0.4759718257</v>
      </c>
      <c r="G854" s="16">
        <f>IFERROR(__xludf.DUMMYFUNCTION("""COMPUTED_VALUE"""),0.648042761166756)</f>
        <v>0.6480427612</v>
      </c>
    </row>
    <row r="855">
      <c r="D855" s="16">
        <f>IFERROR(__xludf.DUMMYFUNCTION("""COMPUTED_VALUE"""),-0.548574756739959)</f>
        <v>-0.5485747567</v>
      </c>
      <c r="E855" s="16">
        <f>IFERROR(__xludf.DUMMYFUNCTION("""COMPUTED_VALUE"""),-0.229253434257922)</f>
        <v>-0.2292534343</v>
      </c>
      <c r="F855" s="16">
        <f>IFERROR(__xludf.DUMMYFUNCTION("""COMPUTED_VALUE"""),-0.475971825687187)</f>
        <v>-0.4759718257</v>
      </c>
      <c r="G855" s="16">
        <f>IFERROR(__xludf.DUMMYFUNCTION("""COMPUTED_VALUE"""),0.648042761166756)</f>
        <v>0.6480427612</v>
      </c>
    </row>
    <row r="856">
      <c r="D856" s="16">
        <f>IFERROR(__xludf.DUMMYFUNCTION("""COMPUTED_VALUE"""),-0.548574756739959)</f>
        <v>-0.5485747567</v>
      </c>
      <c r="E856" s="16">
        <f>IFERROR(__xludf.DUMMYFUNCTION("""COMPUTED_VALUE"""),-0.229253434257922)</f>
        <v>-0.2292534343</v>
      </c>
      <c r="F856" s="16">
        <f>IFERROR(__xludf.DUMMYFUNCTION("""COMPUTED_VALUE"""),-0.475971825687187)</f>
        <v>-0.4759718257</v>
      </c>
      <c r="G856" s="16">
        <f>IFERROR(__xludf.DUMMYFUNCTION("""COMPUTED_VALUE"""),0.648042761166756)</f>
        <v>0.6480427612</v>
      </c>
    </row>
    <row r="857">
      <c r="D857" s="16">
        <f>IFERROR(__xludf.DUMMYFUNCTION("""COMPUTED_VALUE"""),-0.548574756739959)</f>
        <v>-0.5485747567</v>
      </c>
      <c r="E857" s="16">
        <f>IFERROR(__xludf.DUMMYFUNCTION("""COMPUTED_VALUE"""),-0.229253434257922)</f>
        <v>-0.2292534343</v>
      </c>
      <c r="F857" s="16">
        <f>IFERROR(__xludf.DUMMYFUNCTION("""COMPUTED_VALUE"""),-0.475971825687187)</f>
        <v>-0.4759718257</v>
      </c>
      <c r="G857" s="16">
        <f>IFERROR(__xludf.DUMMYFUNCTION("""COMPUTED_VALUE"""),0.648042761166756)</f>
        <v>0.6480427612</v>
      </c>
    </row>
    <row r="858">
      <c r="D858" s="16">
        <f>IFERROR(__xludf.DUMMYFUNCTION("""COMPUTED_VALUE"""),-0.548574756739959)</f>
        <v>-0.5485747567</v>
      </c>
      <c r="E858" s="16">
        <f>IFERROR(__xludf.DUMMYFUNCTION("""COMPUTED_VALUE"""),-0.229253434257922)</f>
        <v>-0.2292534343</v>
      </c>
      <c r="F858" s="16">
        <f>IFERROR(__xludf.DUMMYFUNCTION("""COMPUTED_VALUE"""),-0.475971825687187)</f>
        <v>-0.4759718257</v>
      </c>
      <c r="G858" s="16">
        <f>IFERROR(__xludf.DUMMYFUNCTION("""COMPUTED_VALUE"""),0.648042761166756)</f>
        <v>0.6480427612</v>
      </c>
    </row>
    <row r="859">
      <c r="D859" s="16">
        <f>IFERROR(__xludf.DUMMYFUNCTION("""COMPUTED_VALUE"""),-0.548574756739959)</f>
        <v>-0.5485747567</v>
      </c>
      <c r="E859" s="16">
        <f>IFERROR(__xludf.DUMMYFUNCTION("""COMPUTED_VALUE"""),-0.229253434257922)</f>
        <v>-0.2292534343</v>
      </c>
      <c r="F859" s="16">
        <f>IFERROR(__xludf.DUMMYFUNCTION("""COMPUTED_VALUE"""),-0.475971825687187)</f>
        <v>-0.4759718257</v>
      </c>
      <c r="G859" s="16">
        <f>IFERROR(__xludf.DUMMYFUNCTION("""COMPUTED_VALUE"""),0.648042761166756)</f>
        <v>0.6480427612</v>
      </c>
    </row>
    <row r="860">
      <c r="D860" s="16">
        <f>IFERROR(__xludf.DUMMYFUNCTION("""COMPUTED_VALUE"""),-0.548574756739959)</f>
        <v>-0.5485747567</v>
      </c>
      <c r="E860" s="16">
        <f>IFERROR(__xludf.DUMMYFUNCTION("""COMPUTED_VALUE"""),-0.229253434257922)</f>
        <v>-0.2292534343</v>
      </c>
      <c r="F860" s="16">
        <f>IFERROR(__xludf.DUMMYFUNCTION("""COMPUTED_VALUE"""),-0.475971825687187)</f>
        <v>-0.4759718257</v>
      </c>
      <c r="G860" s="16">
        <f>IFERROR(__xludf.DUMMYFUNCTION("""COMPUTED_VALUE"""),0.648042761166756)</f>
        <v>0.6480427612</v>
      </c>
    </row>
    <row r="861">
      <c r="D861" s="16">
        <f>IFERROR(__xludf.DUMMYFUNCTION("""COMPUTED_VALUE"""),-0.548574756739959)</f>
        <v>-0.5485747567</v>
      </c>
      <c r="E861" s="16">
        <f>IFERROR(__xludf.DUMMYFUNCTION("""COMPUTED_VALUE"""),-0.229253434257922)</f>
        <v>-0.2292534343</v>
      </c>
      <c r="F861" s="16">
        <f>IFERROR(__xludf.DUMMYFUNCTION("""COMPUTED_VALUE"""),-0.475971825687187)</f>
        <v>-0.4759718257</v>
      </c>
      <c r="G861" s="16">
        <f>IFERROR(__xludf.DUMMYFUNCTION("""COMPUTED_VALUE"""),0.648042761166756)</f>
        <v>0.6480427612</v>
      </c>
    </row>
    <row r="862">
      <c r="D862" s="16">
        <f>IFERROR(__xludf.DUMMYFUNCTION("""COMPUTED_VALUE"""),-0.548574756739959)</f>
        <v>-0.5485747567</v>
      </c>
      <c r="E862" s="16">
        <f>IFERROR(__xludf.DUMMYFUNCTION("""COMPUTED_VALUE"""),-0.229253434257922)</f>
        <v>-0.2292534343</v>
      </c>
      <c r="F862" s="16">
        <f>IFERROR(__xludf.DUMMYFUNCTION("""COMPUTED_VALUE"""),-0.475971825687187)</f>
        <v>-0.4759718257</v>
      </c>
      <c r="G862" s="16">
        <f>IFERROR(__xludf.DUMMYFUNCTION("""COMPUTED_VALUE"""),0.648042761166756)</f>
        <v>0.6480427612</v>
      </c>
    </row>
    <row r="863">
      <c r="D863" s="16">
        <f>IFERROR(__xludf.DUMMYFUNCTION("""COMPUTED_VALUE"""),-0.548574756739959)</f>
        <v>-0.5485747567</v>
      </c>
      <c r="E863" s="16">
        <f>IFERROR(__xludf.DUMMYFUNCTION("""COMPUTED_VALUE"""),-0.229253434257922)</f>
        <v>-0.2292534343</v>
      </c>
      <c r="F863" s="16">
        <f>IFERROR(__xludf.DUMMYFUNCTION("""COMPUTED_VALUE"""),-0.475971825687187)</f>
        <v>-0.4759718257</v>
      </c>
      <c r="G863" s="16">
        <f>IFERROR(__xludf.DUMMYFUNCTION("""COMPUTED_VALUE"""),0.648042761166756)</f>
        <v>0.6480427612</v>
      </c>
    </row>
    <row r="864">
      <c r="D864" s="16">
        <f>IFERROR(__xludf.DUMMYFUNCTION("""COMPUTED_VALUE"""),-0.548574756739959)</f>
        <v>-0.5485747567</v>
      </c>
      <c r="E864" s="16">
        <f>IFERROR(__xludf.DUMMYFUNCTION("""COMPUTED_VALUE"""),-0.229253434257922)</f>
        <v>-0.2292534343</v>
      </c>
      <c r="F864" s="16">
        <f>IFERROR(__xludf.DUMMYFUNCTION("""COMPUTED_VALUE"""),-0.475971825687187)</f>
        <v>-0.4759718257</v>
      </c>
      <c r="G864" s="16">
        <f>IFERROR(__xludf.DUMMYFUNCTION("""COMPUTED_VALUE"""),0.648042761166756)</f>
        <v>0.6480427612</v>
      </c>
    </row>
    <row r="865">
      <c r="D865" s="16">
        <f>IFERROR(__xludf.DUMMYFUNCTION("""COMPUTED_VALUE"""),-0.548574756739959)</f>
        <v>-0.5485747567</v>
      </c>
      <c r="E865" s="16">
        <f>IFERROR(__xludf.DUMMYFUNCTION("""COMPUTED_VALUE"""),-0.229253434257922)</f>
        <v>-0.2292534343</v>
      </c>
      <c r="F865" s="16">
        <f>IFERROR(__xludf.DUMMYFUNCTION("""COMPUTED_VALUE"""),-0.475971825687187)</f>
        <v>-0.4759718257</v>
      </c>
      <c r="G865" s="16">
        <f>IFERROR(__xludf.DUMMYFUNCTION("""COMPUTED_VALUE"""),0.648042761166756)</f>
        <v>0.6480427612</v>
      </c>
    </row>
    <row r="866">
      <c r="D866" s="16">
        <f>IFERROR(__xludf.DUMMYFUNCTION("""COMPUTED_VALUE"""),-0.548574756739959)</f>
        <v>-0.5485747567</v>
      </c>
      <c r="E866" s="16">
        <f>IFERROR(__xludf.DUMMYFUNCTION("""COMPUTED_VALUE"""),-0.229253434257922)</f>
        <v>-0.2292534343</v>
      </c>
      <c r="F866" s="16">
        <f>IFERROR(__xludf.DUMMYFUNCTION("""COMPUTED_VALUE"""),-0.475971825687187)</f>
        <v>-0.4759718257</v>
      </c>
      <c r="G866" s="16">
        <f>IFERROR(__xludf.DUMMYFUNCTION("""COMPUTED_VALUE"""),0.648042761166756)</f>
        <v>0.6480427612</v>
      </c>
    </row>
    <row r="867">
      <c r="D867" s="16">
        <f>IFERROR(__xludf.DUMMYFUNCTION("""COMPUTED_VALUE"""),-0.550439659018393)</f>
        <v>-0.550439659</v>
      </c>
      <c r="E867" s="16">
        <f>IFERROR(__xludf.DUMMYFUNCTION("""COMPUTED_VALUE"""),-0.226706815216757)</f>
        <v>-0.2267068152</v>
      </c>
      <c r="F867" s="16">
        <f>IFERROR(__xludf.DUMMYFUNCTION("""COMPUTED_VALUE"""),-0.473813913219118)</f>
        <v>-0.4738139132</v>
      </c>
      <c r="G867" s="16">
        <f>IFERROR(__xludf.DUMMYFUNCTION("""COMPUTED_VALUE"""),0.648938038146909)</f>
        <v>0.6489380381</v>
      </c>
    </row>
    <row r="868">
      <c r="D868" s="16">
        <f>IFERROR(__xludf.DUMMYFUNCTION("""COMPUTED_VALUE"""),-0.550439659018393)</f>
        <v>-0.550439659</v>
      </c>
      <c r="E868" s="16">
        <f>IFERROR(__xludf.DUMMYFUNCTION("""COMPUTED_VALUE"""),-0.226706815216757)</f>
        <v>-0.2267068152</v>
      </c>
      <c r="F868" s="16">
        <f>IFERROR(__xludf.DUMMYFUNCTION("""COMPUTED_VALUE"""),-0.473813913219118)</f>
        <v>-0.4738139132</v>
      </c>
      <c r="G868" s="16">
        <f>IFERROR(__xludf.DUMMYFUNCTION("""COMPUTED_VALUE"""),0.648938038146909)</f>
        <v>0.6489380381</v>
      </c>
    </row>
    <row r="869">
      <c r="D869" s="16">
        <f>IFERROR(__xludf.DUMMYFUNCTION("""COMPUTED_VALUE"""),-0.550439659018393)</f>
        <v>-0.550439659</v>
      </c>
      <c r="E869" s="16">
        <f>IFERROR(__xludf.DUMMYFUNCTION("""COMPUTED_VALUE"""),-0.226706815216757)</f>
        <v>-0.2267068152</v>
      </c>
      <c r="F869" s="16">
        <f>IFERROR(__xludf.DUMMYFUNCTION("""COMPUTED_VALUE"""),-0.473813913219118)</f>
        <v>-0.4738139132</v>
      </c>
      <c r="G869" s="16">
        <f>IFERROR(__xludf.DUMMYFUNCTION("""COMPUTED_VALUE"""),0.648938038146909)</f>
        <v>0.6489380381</v>
      </c>
    </row>
    <row r="870">
      <c r="D870" s="16">
        <f>IFERROR(__xludf.DUMMYFUNCTION("""COMPUTED_VALUE"""),-0.550439659018393)</f>
        <v>-0.550439659</v>
      </c>
      <c r="E870" s="16">
        <f>IFERROR(__xludf.DUMMYFUNCTION("""COMPUTED_VALUE"""),-0.226706815216757)</f>
        <v>-0.2267068152</v>
      </c>
      <c r="F870" s="16">
        <f>IFERROR(__xludf.DUMMYFUNCTION("""COMPUTED_VALUE"""),-0.473813913219118)</f>
        <v>-0.4738139132</v>
      </c>
      <c r="G870" s="16">
        <f>IFERROR(__xludf.DUMMYFUNCTION("""COMPUTED_VALUE"""),0.648938038146909)</f>
        <v>0.6489380381</v>
      </c>
    </row>
    <row r="871">
      <c r="D871" s="16">
        <f>IFERROR(__xludf.DUMMYFUNCTION("""COMPUTED_VALUE"""),-0.550439659018393)</f>
        <v>-0.550439659</v>
      </c>
      <c r="E871" s="16">
        <f>IFERROR(__xludf.DUMMYFUNCTION("""COMPUTED_VALUE"""),-0.226706815216757)</f>
        <v>-0.2267068152</v>
      </c>
      <c r="F871" s="16">
        <f>IFERROR(__xludf.DUMMYFUNCTION("""COMPUTED_VALUE"""),-0.473813913219118)</f>
        <v>-0.4738139132</v>
      </c>
      <c r="G871" s="16">
        <f>IFERROR(__xludf.DUMMYFUNCTION("""COMPUTED_VALUE"""),0.648938038146909)</f>
        <v>0.6489380381</v>
      </c>
    </row>
    <row r="872">
      <c r="D872" s="16">
        <f>IFERROR(__xludf.DUMMYFUNCTION("""COMPUTED_VALUE"""),-0.550439659018393)</f>
        <v>-0.550439659</v>
      </c>
      <c r="E872" s="16">
        <f>IFERROR(__xludf.DUMMYFUNCTION("""COMPUTED_VALUE"""),-0.226706815216757)</f>
        <v>-0.2267068152</v>
      </c>
      <c r="F872" s="16">
        <f>IFERROR(__xludf.DUMMYFUNCTION("""COMPUTED_VALUE"""),-0.473813913219118)</f>
        <v>-0.4738139132</v>
      </c>
      <c r="G872" s="16">
        <f>IFERROR(__xludf.DUMMYFUNCTION("""COMPUTED_VALUE"""),0.648938038146909)</f>
        <v>0.6489380381</v>
      </c>
    </row>
    <row r="873">
      <c r="D873" s="16">
        <f>IFERROR(__xludf.DUMMYFUNCTION("""COMPUTED_VALUE"""),-0.552296072836865)</f>
        <v>-0.5522960728</v>
      </c>
      <c r="E873" s="16">
        <f>IFERROR(__xludf.DUMMYFUNCTION("""COMPUTED_VALUE"""),-0.224156700076261)</f>
        <v>-0.2241567001</v>
      </c>
      <c r="F873" s="16">
        <f>IFERROR(__xludf.DUMMYFUNCTION("""COMPUTED_VALUE"""),-0.471648693954807)</f>
        <v>-0.471648694</v>
      </c>
      <c r="G873" s="16">
        <f>IFERROR(__xludf.DUMMYFUNCTION("""COMPUTED_VALUE"""),0.649823307700336)</f>
        <v>0.6498233077</v>
      </c>
    </row>
    <row r="874">
      <c r="D874" s="16">
        <f>IFERROR(__xludf.DUMMYFUNCTION("""COMPUTED_VALUE"""),-0.555983320712481)</f>
        <v>-0.5559833207</v>
      </c>
      <c r="E874" s="16">
        <f>IFERROR(__xludf.DUMMYFUNCTION("""COMPUTED_VALUE"""),-0.219046138854291)</f>
        <v>-0.2190461389</v>
      </c>
      <c r="F874" s="16">
        <f>IFERROR(__xludf.DUMMYFUNCTION("""COMPUTED_VALUE"""),-0.467296468711054)</f>
        <v>-0.4672964687</v>
      </c>
      <c r="G874" s="16">
        <f>IFERROR(__xludf.DUMMYFUNCTION("""COMPUTED_VALUE"""),0.651563770073744)</f>
        <v>0.6515637701</v>
      </c>
    </row>
    <row r="875">
      <c r="D875" s="16">
        <f>IFERROR(__xludf.DUMMYFUNCTION("""COMPUTED_VALUE"""),-0.563254704128147)</f>
        <v>-0.5632547041</v>
      </c>
      <c r="E875" s="16">
        <f>IFERROR(__xludf.DUMMYFUNCTION("""COMPUTED_VALUE"""),-0.208784797096775)</f>
        <v>-0.2087847971</v>
      </c>
      <c r="F875" s="16">
        <f>IFERROR(__xludf.DUMMYFUNCTION("""COMPUTED_VALUE"""),-0.458505813330445)</f>
        <v>-0.4585058133</v>
      </c>
      <c r="G875" s="16">
        <f>IFERROR(__xludf.DUMMYFUNCTION("""COMPUTED_VALUE"""),0.654924015379603)</f>
        <v>0.6549240154</v>
      </c>
    </row>
    <row r="876">
      <c r="D876" s="16">
        <f>IFERROR(__xludf.DUMMYFUNCTION("""COMPUTED_VALUE"""),-0.571194106364191)</f>
        <v>-0.5711941064</v>
      </c>
      <c r="E876" s="16">
        <f>IFERROR(__xludf.DUMMYFUNCTION("""COMPUTED_VALUE"""),-0.202827656046906)</f>
        <v>-0.202827656</v>
      </c>
      <c r="F876" s="16">
        <f>IFERROR(__xludf.DUMMYFUNCTION("""COMPUTED_VALUE"""),-0.451045438496333)</f>
        <v>-0.4510454385</v>
      </c>
      <c r="G876" s="16">
        <f>IFERROR(__xludf.DUMMYFUNCTION("""COMPUTED_VALUE"""),0.65510018104788)</f>
        <v>0.655100181</v>
      </c>
    </row>
    <row r="877">
      <c r="D877" s="16">
        <f>IFERROR(__xludf.DUMMYFUNCTION("""COMPUTED_VALUE"""),-0.571194106364191)</f>
        <v>-0.5711941064</v>
      </c>
      <c r="E877" s="16">
        <f>IFERROR(__xludf.DUMMYFUNCTION("""COMPUTED_VALUE"""),-0.202827656046906)</f>
        <v>-0.202827656</v>
      </c>
      <c r="F877" s="16">
        <f>IFERROR(__xludf.DUMMYFUNCTION("""COMPUTED_VALUE"""),-0.451045438496333)</f>
        <v>-0.4510454385</v>
      </c>
      <c r="G877" s="16">
        <f>IFERROR(__xludf.DUMMYFUNCTION("""COMPUTED_VALUE"""),0.65510018104788)</f>
        <v>0.655100181</v>
      </c>
    </row>
    <row r="878">
      <c r="D878" s="16">
        <f>IFERROR(__xludf.DUMMYFUNCTION("""COMPUTED_VALUE"""),-0.571194106364191)</f>
        <v>-0.5711941064</v>
      </c>
      <c r="E878" s="16">
        <f>IFERROR(__xludf.DUMMYFUNCTION("""COMPUTED_VALUE"""),-0.202827656046906)</f>
        <v>-0.202827656</v>
      </c>
      <c r="F878" s="16">
        <f>IFERROR(__xludf.DUMMYFUNCTION("""COMPUTED_VALUE"""),-0.451045438496333)</f>
        <v>-0.4510454385</v>
      </c>
      <c r="G878" s="16">
        <f>IFERROR(__xludf.DUMMYFUNCTION("""COMPUTED_VALUE"""),0.65510018104788)</f>
        <v>0.655100181</v>
      </c>
    </row>
    <row r="879">
      <c r="D879" s="16">
        <f>IFERROR(__xludf.DUMMYFUNCTION("""COMPUTED_VALUE"""),-0.571194106364191)</f>
        <v>-0.5711941064</v>
      </c>
      <c r="E879" s="16">
        <f>IFERROR(__xludf.DUMMYFUNCTION("""COMPUTED_VALUE"""),-0.202827656046906)</f>
        <v>-0.202827656</v>
      </c>
      <c r="F879" s="16">
        <f>IFERROR(__xludf.DUMMYFUNCTION("""COMPUTED_VALUE"""),-0.451045438496333)</f>
        <v>-0.4510454385</v>
      </c>
      <c r="G879" s="16">
        <f>IFERROR(__xludf.DUMMYFUNCTION("""COMPUTED_VALUE"""),0.65510018104788)</f>
        <v>0.655100181</v>
      </c>
    </row>
    <row r="880">
      <c r="D880" s="16">
        <f>IFERROR(__xludf.DUMMYFUNCTION("""COMPUTED_VALUE"""),-0.571194106364191)</f>
        <v>-0.5711941064</v>
      </c>
      <c r="E880" s="16">
        <f>IFERROR(__xludf.DUMMYFUNCTION("""COMPUTED_VALUE"""),-0.202827656046906)</f>
        <v>-0.202827656</v>
      </c>
      <c r="F880" s="16">
        <f>IFERROR(__xludf.DUMMYFUNCTION("""COMPUTED_VALUE"""),-0.451045438496333)</f>
        <v>-0.4510454385</v>
      </c>
      <c r="G880" s="16">
        <f>IFERROR(__xludf.DUMMYFUNCTION("""COMPUTED_VALUE"""),0.65510018104788)</f>
        <v>0.655100181</v>
      </c>
    </row>
    <row r="881">
      <c r="D881" s="16">
        <f>IFERROR(__xludf.DUMMYFUNCTION("""COMPUTED_VALUE"""),-0.571194106364191)</f>
        <v>-0.5711941064</v>
      </c>
      <c r="E881" s="16">
        <f>IFERROR(__xludf.DUMMYFUNCTION("""COMPUTED_VALUE"""),-0.202827656046906)</f>
        <v>-0.202827656</v>
      </c>
      <c r="F881" s="16">
        <f>IFERROR(__xludf.DUMMYFUNCTION("""COMPUTED_VALUE"""),-0.451045438496333)</f>
        <v>-0.4510454385</v>
      </c>
      <c r="G881" s="16">
        <f>IFERROR(__xludf.DUMMYFUNCTION("""COMPUTED_VALUE"""),0.65510018104788)</f>
        <v>0.655100181</v>
      </c>
    </row>
    <row r="882">
      <c r="D882" s="16">
        <f>IFERROR(__xludf.DUMMYFUNCTION("""COMPUTED_VALUE"""),-0.571194106364191)</f>
        <v>-0.5711941064</v>
      </c>
      <c r="E882" s="16">
        <f>IFERROR(__xludf.DUMMYFUNCTION("""COMPUTED_VALUE"""),-0.202827656046906)</f>
        <v>-0.202827656</v>
      </c>
      <c r="F882" s="16">
        <f>IFERROR(__xludf.DUMMYFUNCTION("""COMPUTED_VALUE"""),-0.451045438496333)</f>
        <v>-0.4510454385</v>
      </c>
      <c r="G882" s="16">
        <f>IFERROR(__xludf.DUMMYFUNCTION("""COMPUTED_VALUE"""),0.65510018104788)</f>
        <v>0.655100181</v>
      </c>
    </row>
    <row r="883">
      <c r="D883" s="16">
        <f>IFERROR(__xludf.DUMMYFUNCTION("""COMPUTED_VALUE"""),-0.571194106364191)</f>
        <v>-0.5711941064</v>
      </c>
      <c r="E883" s="16">
        <f>IFERROR(__xludf.DUMMYFUNCTION("""COMPUTED_VALUE"""),-0.202827656046906)</f>
        <v>-0.202827656</v>
      </c>
      <c r="F883" s="16">
        <f>IFERROR(__xludf.DUMMYFUNCTION("""COMPUTED_VALUE"""),-0.451045438496333)</f>
        <v>-0.4510454385</v>
      </c>
      <c r="G883" s="16">
        <f>IFERROR(__xludf.DUMMYFUNCTION("""COMPUTED_VALUE"""),0.65510018104788)</f>
        <v>0.655100181</v>
      </c>
    </row>
    <row r="884">
      <c r="D884" s="16">
        <f>IFERROR(__xludf.DUMMYFUNCTION("""COMPUTED_VALUE"""),-0.571194106364191)</f>
        <v>-0.5711941064</v>
      </c>
      <c r="E884" s="16">
        <f>IFERROR(__xludf.DUMMYFUNCTION("""COMPUTED_VALUE"""),-0.202827656046906)</f>
        <v>-0.202827656</v>
      </c>
      <c r="F884" s="16">
        <f>IFERROR(__xludf.DUMMYFUNCTION("""COMPUTED_VALUE"""),-0.451045438496333)</f>
        <v>-0.4510454385</v>
      </c>
      <c r="G884" s="16">
        <f>IFERROR(__xludf.DUMMYFUNCTION("""COMPUTED_VALUE"""),0.65510018104788)</f>
        <v>0.655100181</v>
      </c>
    </row>
    <row r="885">
      <c r="D885" s="16">
        <f>IFERROR(__xludf.DUMMYFUNCTION("""COMPUTED_VALUE"""),-0.571194106364191)</f>
        <v>-0.5711941064</v>
      </c>
      <c r="E885" s="16">
        <f>IFERROR(__xludf.DUMMYFUNCTION("""COMPUTED_VALUE"""),-0.202827656046906)</f>
        <v>-0.202827656</v>
      </c>
      <c r="F885" s="16">
        <f>IFERROR(__xludf.DUMMYFUNCTION("""COMPUTED_VALUE"""),-0.451045438496333)</f>
        <v>-0.4510454385</v>
      </c>
      <c r="G885" s="16">
        <f>IFERROR(__xludf.DUMMYFUNCTION("""COMPUTED_VALUE"""),0.65510018104788)</f>
        <v>0.655100181</v>
      </c>
    </row>
    <row r="886">
      <c r="D886" s="16">
        <f>IFERROR(__xludf.DUMMYFUNCTION("""COMPUTED_VALUE"""),-0.571194106364191)</f>
        <v>-0.5711941064</v>
      </c>
      <c r="E886" s="16">
        <f>IFERROR(__xludf.DUMMYFUNCTION("""COMPUTED_VALUE"""),-0.202827656046906)</f>
        <v>-0.202827656</v>
      </c>
      <c r="F886" s="16">
        <f>IFERROR(__xludf.DUMMYFUNCTION("""COMPUTED_VALUE"""),-0.451045438496333)</f>
        <v>-0.4510454385</v>
      </c>
      <c r="G886" s="16">
        <f>IFERROR(__xludf.DUMMYFUNCTION("""COMPUTED_VALUE"""),0.65510018104788)</f>
        <v>0.655100181</v>
      </c>
    </row>
    <row r="887">
      <c r="D887" s="16">
        <f>IFERROR(__xludf.DUMMYFUNCTION("""COMPUTED_VALUE"""),-0.571194106364191)</f>
        <v>-0.5711941064</v>
      </c>
      <c r="E887" s="16">
        <f>IFERROR(__xludf.DUMMYFUNCTION("""COMPUTED_VALUE"""),-0.202827656046906)</f>
        <v>-0.202827656</v>
      </c>
      <c r="F887" s="16">
        <f>IFERROR(__xludf.DUMMYFUNCTION("""COMPUTED_VALUE"""),-0.451045438496333)</f>
        <v>-0.4510454385</v>
      </c>
      <c r="G887" s="16">
        <f>IFERROR(__xludf.DUMMYFUNCTION("""COMPUTED_VALUE"""),0.65510018104788)</f>
        <v>0.655100181</v>
      </c>
    </row>
    <row r="888">
      <c r="D888" s="16">
        <f>IFERROR(__xludf.DUMMYFUNCTION("""COMPUTED_VALUE"""),-0.571194106364191)</f>
        <v>-0.5711941064</v>
      </c>
      <c r="E888" s="16">
        <f>IFERROR(__xludf.DUMMYFUNCTION("""COMPUTED_VALUE"""),-0.202827656046906)</f>
        <v>-0.202827656</v>
      </c>
      <c r="F888" s="16">
        <f>IFERROR(__xludf.DUMMYFUNCTION("""COMPUTED_VALUE"""),-0.451045438496333)</f>
        <v>-0.4510454385</v>
      </c>
      <c r="G888" s="16">
        <f>IFERROR(__xludf.DUMMYFUNCTION("""COMPUTED_VALUE"""),0.65510018104788)</f>
        <v>0.655100181</v>
      </c>
    </row>
    <row r="889">
      <c r="D889" s="16">
        <f>IFERROR(__xludf.DUMMYFUNCTION("""COMPUTED_VALUE"""),-0.571194106364191)</f>
        <v>-0.5711941064</v>
      </c>
      <c r="E889" s="16">
        <f>IFERROR(__xludf.DUMMYFUNCTION("""COMPUTED_VALUE"""),-0.202827656046906)</f>
        <v>-0.202827656</v>
      </c>
      <c r="F889" s="16">
        <f>IFERROR(__xludf.DUMMYFUNCTION("""COMPUTED_VALUE"""),-0.451045438496333)</f>
        <v>-0.4510454385</v>
      </c>
      <c r="G889" s="16">
        <f>IFERROR(__xludf.DUMMYFUNCTION("""COMPUTED_VALUE"""),0.65510018104788)</f>
        <v>0.655100181</v>
      </c>
    </row>
    <row r="890">
      <c r="D890" s="16">
        <f>IFERROR(__xludf.DUMMYFUNCTION("""COMPUTED_VALUE"""),-0.571194106364191)</f>
        <v>-0.5711941064</v>
      </c>
      <c r="E890" s="16">
        <f>IFERROR(__xludf.DUMMYFUNCTION("""COMPUTED_VALUE"""),-0.202827656046906)</f>
        <v>-0.202827656</v>
      </c>
      <c r="F890" s="16">
        <f>IFERROR(__xludf.DUMMYFUNCTION("""COMPUTED_VALUE"""),-0.451045438496333)</f>
        <v>-0.4510454385</v>
      </c>
      <c r="G890" s="16">
        <f>IFERROR(__xludf.DUMMYFUNCTION("""COMPUTED_VALUE"""),0.65510018104788)</f>
        <v>0.655100181</v>
      </c>
    </row>
    <row r="891">
      <c r="D891" s="16">
        <f>IFERROR(__xludf.DUMMYFUNCTION("""COMPUTED_VALUE"""),-0.571194106364191)</f>
        <v>-0.5711941064</v>
      </c>
      <c r="E891" s="16">
        <f>IFERROR(__xludf.DUMMYFUNCTION("""COMPUTED_VALUE"""),-0.202827656046906)</f>
        <v>-0.202827656</v>
      </c>
      <c r="F891" s="16">
        <f>IFERROR(__xludf.DUMMYFUNCTION("""COMPUTED_VALUE"""),-0.451045438496333)</f>
        <v>-0.4510454385</v>
      </c>
      <c r="G891" s="16">
        <f>IFERROR(__xludf.DUMMYFUNCTION("""COMPUTED_VALUE"""),0.65510018104788)</f>
        <v>0.655100181</v>
      </c>
    </row>
    <row r="892">
      <c r="D892" s="16">
        <f>IFERROR(__xludf.DUMMYFUNCTION("""COMPUTED_VALUE"""),-0.571194106364191)</f>
        <v>-0.5711941064</v>
      </c>
      <c r="E892" s="16">
        <f>IFERROR(__xludf.DUMMYFUNCTION("""COMPUTED_VALUE"""),-0.202827656046906)</f>
        <v>-0.202827656</v>
      </c>
      <c r="F892" s="16">
        <f>IFERROR(__xludf.DUMMYFUNCTION("""COMPUTED_VALUE"""),-0.451045438496333)</f>
        <v>-0.4510454385</v>
      </c>
      <c r="G892" s="16">
        <f>IFERROR(__xludf.DUMMYFUNCTION("""COMPUTED_VALUE"""),0.65510018104788)</f>
        <v>0.655100181</v>
      </c>
    </row>
    <row r="893">
      <c r="D893" s="16">
        <f>IFERROR(__xludf.DUMMYFUNCTION("""COMPUTED_VALUE"""),-0.571194106364191)</f>
        <v>-0.5711941064</v>
      </c>
      <c r="E893" s="16">
        <f>IFERROR(__xludf.DUMMYFUNCTION("""COMPUTED_VALUE"""),-0.202827656046906)</f>
        <v>-0.202827656</v>
      </c>
      <c r="F893" s="16">
        <f>IFERROR(__xludf.DUMMYFUNCTION("""COMPUTED_VALUE"""),-0.451045438496333)</f>
        <v>-0.4510454385</v>
      </c>
      <c r="G893" s="16">
        <f>IFERROR(__xludf.DUMMYFUNCTION("""COMPUTED_VALUE"""),0.65510018104788)</f>
        <v>0.655100181</v>
      </c>
    </row>
    <row r="894">
      <c r="D894" s="16">
        <f>IFERROR(__xludf.DUMMYFUNCTION("""COMPUTED_VALUE"""),-0.571194106364191)</f>
        <v>-0.5711941064</v>
      </c>
      <c r="E894" s="16">
        <f>IFERROR(__xludf.DUMMYFUNCTION("""COMPUTED_VALUE"""),-0.202827656046906)</f>
        <v>-0.202827656</v>
      </c>
      <c r="F894" s="16">
        <f>IFERROR(__xludf.DUMMYFUNCTION("""COMPUTED_VALUE"""),-0.451045438496333)</f>
        <v>-0.4510454385</v>
      </c>
      <c r="G894" s="16">
        <f>IFERROR(__xludf.DUMMYFUNCTION("""COMPUTED_VALUE"""),0.65510018104788)</f>
        <v>0.655100181</v>
      </c>
    </row>
    <row r="895">
      <c r="D895" s="16">
        <f>IFERROR(__xludf.DUMMYFUNCTION("""COMPUTED_VALUE"""),-0.571194106364191)</f>
        <v>-0.5711941064</v>
      </c>
      <c r="E895" s="16">
        <f>IFERROR(__xludf.DUMMYFUNCTION("""COMPUTED_VALUE"""),-0.202827656046906)</f>
        <v>-0.202827656</v>
      </c>
      <c r="F895" s="16">
        <f>IFERROR(__xludf.DUMMYFUNCTION("""COMPUTED_VALUE"""),-0.451045438496333)</f>
        <v>-0.4510454385</v>
      </c>
      <c r="G895" s="16">
        <f>IFERROR(__xludf.DUMMYFUNCTION("""COMPUTED_VALUE"""),0.65510018104788)</f>
        <v>0.655100181</v>
      </c>
    </row>
    <row r="896">
      <c r="D896" s="16">
        <f>IFERROR(__xludf.DUMMYFUNCTION("""COMPUTED_VALUE"""),-0.571194106364191)</f>
        <v>-0.5711941064</v>
      </c>
      <c r="E896" s="16">
        <f>IFERROR(__xludf.DUMMYFUNCTION("""COMPUTED_VALUE"""),-0.202827656046906)</f>
        <v>-0.202827656</v>
      </c>
      <c r="F896" s="16">
        <f>IFERROR(__xludf.DUMMYFUNCTION("""COMPUTED_VALUE"""),-0.451045438496333)</f>
        <v>-0.4510454385</v>
      </c>
      <c r="G896" s="16">
        <f>IFERROR(__xludf.DUMMYFUNCTION("""COMPUTED_VALUE"""),0.65510018104788)</f>
        <v>0.655100181</v>
      </c>
    </row>
    <row r="897">
      <c r="D897" s="16">
        <f>IFERROR(__xludf.DUMMYFUNCTION("""COMPUTED_VALUE"""),-0.571194106364191)</f>
        <v>-0.5711941064</v>
      </c>
      <c r="E897" s="16">
        <f>IFERROR(__xludf.DUMMYFUNCTION("""COMPUTED_VALUE"""),-0.202827656046906)</f>
        <v>-0.202827656</v>
      </c>
      <c r="F897" s="16">
        <f>IFERROR(__xludf.DUMMYFUNCTION("""COMPUTED_VALUE"""),-0.451045438496333)</f>
        <v>-0.4510454385</v>
      </c>
      <c r="G897" s="16">
        <f>IFERROR(__xludf.DUMMYFUNCTION("""COMPUTED_VALUE"""),0.65510018104788)</f>
        <v>0.655100181</v>
      </c>
    </row>
    <row r="898">
      <c r="D898" s="16">
        <f>IFERROR(__xludf.DUMMYFUNCTION("""COMPUTED_VALUE"""),-0.571194106364191)</f>
        <v>-0.5711941064</v>
      </c>
      <c r="E898" s="16">
        <f>IFERROR(__xludf.DUMMYFUNCTION("""COMPUTED_VALUE"""),-0.202827656046906)</f>
        <v>-0.202827656</v>
      </c>
      <c r="F898" s="16">
        <f>IFERROR(__xludf.DUMMYFUNCTION("""COMPUTED_VALUE"""),-0.451045438496333)</f>
        <v>-0.4510454385</v>
      </c>
      <c r="G898" s="16">
        <f>IFERROR(__xludf.DUMMYFUNCTION("""COMPUTED_VALUE"""),0.65510018104788)</f>
        <v>0.655100181</v>
      </c>
    </row>
    <row r="899">
      <c r="D899" s="16">
        <f>IFERROR(__xludf.DUMMYFUNCTION("""COMPUTED_VALUE"""),-0.571194106364191)</f>
        <v>-0.5711941064</v>
      </c>
      <c r="E899" s="16">
        <f>IFERROR(__xludf.DUMMYFUNCTION("""COMPUTED_VALUE"""),-0.202827656046906)</f>
        <v>-0.202827656</v>
      </c>
      <c r="F899" s="16">
        <f>IFERROR(__xludf.DUMMYFUNCTION("""COMPUTED_VALUE"""),-0.451045438496333)</f>
        <v>-0.4510454385</v>
      </c>
      <c r="G899" s="16">
        <f>IFERROR(__xludf.DUMMYFUNCTION("""COMPUTED_VALUE"""),0.65510018104788)</f>
        <v>0.655100181</v>
      </c>
    </row>
    <row r="900">
      <c r="D900" s="16">
        <f>IFERROR(__xludf.DUMMYFUNCTION("""COMPUTED_VALUE"""),-0.571194106364191)</f>
        <v>-0.5711941064</v>
      </c>
      <c r="E900" s="16">
        <f>IFERROR(__xludf.DUMMYFUNCTION("""COMPUTED_VALUE"""),-0.202827656046906)</f>
        <v>-0.202827656</v>
      </c>
      <c r="F900" s="16">
        <f>IFERROR(__xludf.DUMMYFUNCTION("""COMPUTED_VALUE"""),-0.451045438496333)</f>
        <v>-0.4510454385</v>
      </c>
      <c r="G900" s="16">
        <f>IFERROR(__xludf.DUMMYFUNCTION("""COMPUTED_VALUE"""),0.65510018104788)</f>
        <v>0.655100181</v>
      </c>
    </row>
    <row r="901">
      <c r="D901" s="16">
        <f>IFERROR(__xludf.DUMMYFUNCTION("""COMPUTED_VALUE"""),-0.571194106364191)</f>
        <v>-0.5711941064</v>
      </c>
      <c r="E901" s="16">
        <f>IFERROR(__xludf.DUMMYFUNCTION("""COMPUTED_VALUE"""),-0.202827656046906)</f>
        <v>-0.202827656</v>
      </c>
      <c r="F901" s="16">
        <f>IFERROR(__xludf.DUMMYFUNCTION("""COMPUTED_VALUE"""),-0.451045438496333)</f>
        <v>-0.4510454385</v>
      </c>
      <c r="G901" s="16">
        <f>IFERROR(__xludf.DUMMYFUNCTION("""COMPUTED_VALUE"""),0.65510018104788)</f>
        <v>0.655100181</v>
      </c>
    </row>
    <row r="902">
      <c r="D902" s="16">
        <f>IFERROR(__xludf.DUMMYFUNCTION("""COMPUTED_VALUE"""),-0.571194106364191)</f>
        <v>-0.5711941064</v>
      </c>
      <c r="E902" s="16">
        <f>IFERROR(__xludf.DUMMYFUNCTION("""COMPUTED_VALUE"""),-0.202827656046906)</f>
        <v>-0.202827656</v>
      </c>
      <c r="F902" s="16">
        <f>IFERROR(__xludf.DUMMYFUNCTION("""COMPUTED_VALUE"""),-0.451045438496333)</f>
        <v>-0.4510454385</v>
      </c>
      <c r="G902" s="16">
        <f>IFERROR(__xludf.DUMMYFUNCTION("""COMPUTED_VALUE"""),0.65510018104788)</f>
        <v>0.655100181</v>
      </c>
    </row>
    <row r="903">
      <c r="D903" s="16">
        <f>IFERROR(__xludf.DUMMYFUNCTION("""COMPUTED_VALUE"""),-0.571194106364191)</f>
        <v>-0.5711941064</v>
      </c>
      <c r="E903" s="16">
        <f>IFERROR(__xludf.DUMMYFUNCTION("""COMPUTED_VALUE"""),-0.202827656046906)</f>
        <v>-0.202827656</v>
      </c>
      <c r="F903" s="16">
        <f>IFERROR(__xludf.DUMMYFUNCTION("""COMPUTED_VALUE"""),-0.451045438496333)</f>
        <v>-0.4510454385</v>
      </c>
      <c r="G903" s="16">
        <f>IFERROR(__xludf.DUMMYFUNCTION("""COMPUTED_VALUE"""),0.65510018104788)</f>
        <v>0.655100181</v>
      </c>
    </row>
    <row r="904">
      <c r="D904" s="16">
        <f>IFERROR(__xludf.DUMMYFUNCTION("""COMPUTED_VALUE"""),-0.571194106364191)</f>
        <v>-0.5711941064</v>
      </c>
      <c r="E904" s="16">
        <f>IFERROR(__xludf.DUMMYFUNCTION("""COMPUTED_VALUE"""),-0.202827656046906)</f>
        <v>-0.202827656</v>
      </c>
      <c r="F904" s="16">
        <f>IFERROR(__xludf.DUMMYFUNCTION("""COMPUTED_VALUE"""),-0.451045438496333)</f>
        <v>-0.4510454385</v>
      </c>
      <c r="G904" s="16">
        <f>IFERROR(__xludf.DUMMYFUNCTION("""COMPUTED_VALUE"""),0.65510018104788)</f>
        <v>0.655100181</v>
      </c>
    </row>
    <row r="905">
      <c r="D905" s="16">
        <f>IFERROR(__xludf.DUMMYFUNCTION("""COMPUTED_VALUE"""),-0.571194106364191)</f>
        <v>-0.5711941064</v>
      </c>
      <c r="E905" s="16">
        <f>IFERROR(__xludf.DUMMYFUNCTION("""COMPUTED_VALUE"""),-0.202827656046906)</f>
        <v>-0.202827656</v>
      </c>
      <c r="F905" s="16">
        <f>IFERROR(__xludf.DUMMYFUNCTION("""COMPUTED_VALUE"""),-0.451045438496333)</f>
        <v>-0.4510454385</v>
      </c>
      <c r="G905" s="16">
        <f>IFERROR(__xludf.DUMMYFUNCTION("""COMPUTED_VALUE"""),0.65510018104788)</f>
        <v>0.655100181</v>
      </c>
    </row>
    <row r="906">
      <c r="D906" s="16">
        <f>IFERROR(__xludf.DUMMYFUNCTION("""COMPUTED_VALUE"""),-0.571194106364191)</f>
        <v>-0.5711941064</v>
      </c>
      <c r="E906" s="16">
        <f>IFERROR(__xludf.DUMMYFUNCTION("""COMPUTED_VALUE"""),-0.202827656046906)</f>
        <v>-0.202827656</v>
      </c>
      <c r="F906" s="16">
        <f>IFERROR(__xludf.DUMMYFUNCTION("""COMPUTED_VALUE"""),-0.451045438496333)</f>
        <v>-0.4510454385</v>
      </c>
      <c r="G906" s="16">
        <f>IFERROR(__xludf.DUMMYFUNCTION("""COMPUTED_VALUE"""),0.65510018104788)</f>
        <v>0.655100181</v>
      </c>
    </row>
    <row r="907">
      <c r="D907" s="16">
        <f>IFERROR(__xludf.DUMMYFUNCTION("""COMPUTED_VALUE"""),-0.571194106364191)</f>
        <v>-0.5711941064</v>
      </c>
      <c r="E907" s="16">
        <f>IFERROR(__xludf.DUMMYFUNCTION("""COMPUTED_VALUE"""),-0.202827656046906)</f>
        <v>-0.202827656</v>
      </c>
      <c r="F907" s="16">
        <f>IFERROR(__xludf.DUMMYFUNCTION("""COMPUTED_VALUE"""),-0.451045438496333)</f>
        <v>-0.4510454385</v>
      </c>
      <c r="G907" s="16">
        <f>IFERROR(__xludf.DUMMYFUNCTION("""COMPUTED_VALUE"""),0.65510018104788)</f>
        <v>0.655100181</v>
      </c>
    </row>
    <row r="908">
      <c r="D908" s="16">
        <f>IFERROR(__xludf.DUMMYFUNCTION("""COMPUTED_VALUE"""),-0.571194106364191)</f>
        <v>-0.5711941064</v>
      </c>
      <c r="E908" s="16">
        <f>IFERROR(__xludf.DUMMYFUNCTION("""COMPUTED_VALUE"""),-0.202827656046906)</f>
        <v>-0.202827656</v>
      </c>
      <c r="F908" s="16">
        <f>IFERROR(__xludf.DUMMYFUNCTION("""COMPUTED_VALUE"""),-0.451045438496333)</f>
        <v>-0.4510454385</v>
      </c>
      <c r="G908" s="16">
        <f>IFERROR(__xludf.DUMMYFUNCTION("""COMPUTED_VALUE"""),0.65510018104788)</f>
        <v>0.655100181</v>
      </c>
    </row>
    <row r="909">
      <c r="D909" s="16">
        <f>IFERROR(__xludf.DUMMYFUNCTION("""COMPUTED_VALUE"""),-0.571194106364191)</f>
        <v>-0.5711941064</v>
      </c>
      <c r="E909" s="16">
        <f>IFERROR(__xludf.DUMMYFUNCTION("""COMPUTED_VALUE"""),-0.202827656046906)</f>
        <v>-0.202827656</v>
      </c>
      <c r="F909" s="16">
        <f>IFERROR(__xludf.DUMMYFUNCTION("""COMPUTED_VALUE"""),-0.451045438496333)</f>
        <v>-0.4510454385</v>
      </c>
      <c r="G909" s="16">
        <f>IFERROR(__xludf.DUMMYFUNCTION("""COMPUTED_VALUE"""),0.65510018104788)</f>
        <v>0.655100181</v>
      </c>
    </row>
    <row r="910">
      <c r="D910" s="16">
        <f>IFERROR(__xludf.DUMMYFUNCTION("""COMPUTED_VALUE"""),-0.571194106364191)</f>
        <v>-0.5711941064</v>
      </c>
      <c r="E910" s="16">
        <f>IFERROR(__xludf.DUMMYFUNCTION("""COMPUTED_VALUE"""),-0.202827656046906)</f>
        <v>-0.202827656</v>
      </c>
      <c r="F910" s="16">
        <f>IFERROR(__xludf.DUMMYFUNCTION("""COMPUTED_VALUE"""),-0.451045438496333)</f>
        <v>-0.4510454385</v>
      </c>
      <c r="G910" s="16">
        <f>IFERROR(__xludf.DUMMYFUNCTION("""COMPUTED_VALUE"""),0.65510018104788)</f>
        <v>0.655100181</v>
      </c>
    </row>
    <row r="911">
      <c r="D911" s="16">
        <f>IFERROR(__xludf.DUMMYFUNCTION("""COMPUTED_VALUE"""),-0.571194106364191)</f>
        <v>-0.5711941064</v>
      </c>
      <c r="E911" s="16">
        <f>IFERROR(__xludf.DUMMYFUNCTION("""COMPUTED_VALUE"""),-0.202827656046906)</f>
        <v>-0.202827656</v>
      </c>
      <c r="F911" s="16">
        <f>IFERROR(__xludf.DUMMYFUNCTION("""COMPUTED_VALUE"""),-0.451045438496333)</f>
        <v>-0.4510454385</v>
      </c>
      <c r="G911" s="16">
        <f>IFERROR(__xludf.DUMMYFUNCTION("""COMPUTED_VALUE"""),0.65510018104788)</f>
        <v>0.655100181</v>
      </c>
    </row>
    <row r="912">
      <c r="D912" s="16">
        <f>IFERROR(__xludf.DUMMYFUNCTION("""COMPUTED_VALUE"""),-0.571194106364191)</f>
        <v>-0.5711941064</v>
      </c>
      <c r="E912" s="16">
        <f>IFERROR(__xludf.DUMMYFUNCTION("""COMPUTED_VALUE"""),-0.202827656046906)</f>
        <v>-0.202827656</v>
      </c>
      <c r="F912" s="16">
        <f>IFERROR(__xludf.DUMMYFUNCTION("""COMPUTED_VALUE"""),-0.451045438496333)</f>
        <v>-0.4510454385</v>
      </c>
      <c r="G912" s="16">
        <f>IFERROR(__xludf.DUMMYFUNCTION("""COMPUTED_VALUE"""),0.65510018104788)</f>
        <v>0.655100181</v>
      </c>
    </row>
    <row r="913">
      <c r="D913" s="16">
        <f>IFERROR(__xludf.DUMMYFUNCTION("""COMPUTED_VALUE"""),-0.571194106364191)</f>
        <v>-0.5711941064</v>
      </c>
      <c r="E913" s="16">
        <f>IFERROR(__xludf.DUMMYFUNCTION("""COMPUTED_VALUE"""),-0.202827656046906)</f>
        <v>-0.202827656</v>
      </c>
      <c r="F913" s="16">
        <f>IFERROR(__xludf.DUMMYFUNCTION("""COMPUTED_VALUE"""),-0.451045438496333)</f>
        <v>-0.4510454385</v>
      </c>
      <c r="G913" s="16">
        <f>IFERROR(__xludf.DUMMYFUNCTION("""COMPUTED_VALUE"""),0.65510018104788)</f>
        <v>0.655100181</v>
      </c>
    </row>
    <row r="914">
      <c r="D914" s="16">
        <f>IFERROR(__xludf.DUMMYFUNCTION("""COMPUTED_VALUE"""),-0.571194106364191)</f>
        <v>-0.5711941064</v>
      </c>
      <c r="E914" s="16">
        <f>IFERROR(__xludf.DUMMYFUNCTION("""COMPUTED_VALUE"""),-0.202827656046906)</f>
        <v>-0.202827656</v>
      </c>
      <c r="F914" s="16">
        <f>IFERROR(__xludf.DUMMYFUNCTION("""COMPUTED_VALUE"""),-0.451045438496333)</f>
        <v>-0.4510454385</v>
      </c>
      <c r="G914" s="16">
        <f>IFERROR(__xludf.DUMMYFUNCTION("""COMPUTED_VALUE"""),0.65510018104788)</f>
        <v>0.655100181</v>
      </c>
    </row>
    <row r="915">
      <c r="D915" s="16">
        <f>IFERROR(__xludf.DUMMYFUNCTION("""COMPUTED_VALUE"""),-0.571194106364191)</f>
        <v>-0.5711941064</v>
      </c>
      <c r="E915" s="16">
        <f>IFERROR(__xludf.DUMMYFUNCTION("""COMPUTED_VALUE"""),-0.202827656046906)</f>
        <v>-0.202827656</v>
      </c>
      <c r="F915" s="16">
        <f>IFERROR(__xludf.DUMMYFUNCTION("""COMPUTED_VALUE"""),-0.451045438496333)</f>
        <v>-0.4510454385</v>
      </c>
      <c r="G915" s="16">
        <f>IFERROR(__xludf.DUMMYFUNCTION("""COMPUTED_VALUE"""),0.65510018104788)</f>
        <v>0.655100181</v>
      </c>
    </row>
    <row r="916">
      <c r="D916" s="16">
        <f>IFERROR(__xludf.DUMMYFUNCTION("""COMPUTED_VALUE"""),-0.571194106364191)</f>
        <v>-0.5711941064</v>
      </c>
      <c r="E916" s="16">
        <f>IFERROR(__xludf.DUMMYFUNCTION("""COMPUTED_VALUE"""),-0.202827656046906)</f>
        <v>-0.202827656</v>
      </c>
      <c r="F916" s="16">
        <f>IFERROR(__xludf.DUMMYFUNCTION("""COMPUTED_VALUE"""),-0.451045438496333)</f>
        <v>-0.4510454385</v>
      </c>
      <c r="G916" s="16">
        <f>IFERROR(__xludf.DUMMYFUNCTION("""COMPUTED_VALUE"""),0.65510018104788)</f>
        <v>0.655100181</v>
      </c>
    </row>
    <row r="917">
      <c r="D917" s="16">
        <f>IFERROR(__xludf.DUMMYFUNCTION("""COMPUTED_VALUE"""),-0.571194106364191)</f>
        <v>-0.5711941064</v>
      </c>
      <c r="E917" s="16">
        <f>IFERROR(__xludf.DUMMYFUNCTION("""COMPUTED_VALUE"""),-0.202827656046906)</f>
        <v>-0.202827656</v>
      </c>
      <c r="F917" s="16">
        <f>IFERROR(__xludf.DUMMYFUNCTION("""COMPUTED_VALUE"""),-0.451045438496333)</f>
        <v>-0.4510454385</v>
      </c>
      <c r="G917" s="16">
        <f>IFERROR(__xludf.DUMMYFUNCTION("""COMPUTED_VALUE"""),0.65510018104788)</f>
        <v>0.655100181</v>
      </c>
    </row>
    <row r="918">
      <c r="D918" s="16">
        <f>IFERROR(__xludf.DUMMYFUNCTION("""COMPUTED_VALUE"""),-0.571194106364191)</f>
        <v>-0.5711941064</v>
      </c>
      <c r="E918" s="16">
        <f>IFERROR(__xludf.DUMMYFUNCTION("""COMPUTED_VALUE"""),-0.202827656046906)</f>
        <v>-0.202827656</v>
      </c>
      <c r="F918" s="16">
        <f>IFERROR(__xludf.DUMMYFUNCTION("""COMPUTED_VALUE"""),-0.451045438496333)</f>
        <v>-0.4510454385</v>
      </c>
      <c r="G918" s="16">
        <f>IFERROR(__xludf.DUMMYFUNCTION("""COMPUTED_VALUE"""),0.65510018104788)</f>
        <v>0.655100181</v>
      </c>
    </row>
    <row r="919">
      <c r="D919" s="16">
        <f>IFERROR(__xludf.DUMMYFUNCTION("""COMPUTED_VALUE"""),-0.569418455414823)</f>
        <v>-0.5694184554</v>
      </c>
      <c r="E919" s="16">
        <f>IFERROR(__xludf.DUMMYFUNCTION("""COMPUTED_VALUE"""),-0.205398657826816)</f>
        <v>-0.2053986578</v>
      </c>
      <c r="F919" s="16">
        <f>IFERROR(__xludf.DUMMYFUNCTION("""COMPUTED_VALUE"""),-0.453285028835647)</f>
        <v>-0.4532850288</v>
      </c>
      <c r="G919" s="16">
        <f>IFERROR(__xludf.DUMMYFUNCTION("""COMPUTED_VALUE"""),0.654298629548763)</f>
        <v>0.6542986295</v>
      </c>
    </row>
    <row r="920">
      <c r="D920" s="16">
        <f>IFERROR(__xludf.DUMMYFUNCTION("""COMPUTED_VALUE"""),-0.561152480409742)</f>
        <v>-0.5611524804</v>
      </c>
      <c r="E920" s="16">
        <f>IFERROR(__xludf.DUMMYFUNCTION("""COMPUTED_VALUE"""),-0.22251748912953)</f>
        <v>-0.2225174891</v>
      </c>
      <c r="F920" s="16">
        <f>IFERROR(__xludf.DUMMYFUNCTION("""COMPUTED_VALUE"""),-0.465784585825394)</f>
        <v>-0.4657845858</v>
      </c>
      <c r="G920" s="16">
        <f>IFERROR(__xludf.DUMMYFUNCTION("""COMPUTED_VALUE"""),0.647022859232139)</f>
        <v>0.6470228592</v>
      </c>
    </row>
    <row r="921">
      <c r="D921" s="16">
        <f>IFERROR(__xludf.DUMMYFUNCTION("""COMPUTED_VALUE"""),-0.561152480409742)</f>
        <v>-0.5611524804</v>
      </c>
      <c r="E921" s="16">
        <f>IFERROR(__xludf.DUMMYFUNCTION("""COMPUTED_VALUE"""),-0.22251748912953)</f>
        <v>-0.2225174891</v>
      </c>
      <c r="F921" s="16">
        <f>IFERROR(__xludf.DUMMYFUNCTION("""COMPUTED_VALUE"""),-0.465784585825394)</f>
        <v>-0.4657845858</v>
      </c>
      <c r="G921" s="16">
        <f>IFERROR(__xludf.DUMMYFUNCTION("""COMPUTED_VALUE"""),0.647022859232139)</f>
        <v>0.6470228592</v>
      </c>
    </row>
    <row r="922">
      <c r="D922" s="16">
        <f>IFERROR(__xludf.DUMMYFUNCTION("""COMPUTED_VALUE"""),-0.561152480409742)</f>
        <v>-0.5611524804</v>
      </c>
      <c r="E922" s="16">
        <f>IFERROR(__xludf.DUMMYFUNCTION("""COMPUTED_VALUE"""),-0.22251748912953)</f>
        <v>-0.2225174891</v>
      </c>
      <c r="F922" s="16">
        <f>IFERROR(__xludf.DUMMYFUNCTION("""COMPUTED_VALUE"""),-0.465784585825394)</f>
        <v>-0.4657845858</v>
      </c>
      <c r="G922" s="16">
        <f>IFERROR(__xludf.DUMMYFUNCTION("""COMPUTED_VALUE"""),0.647022859232139)</f>
        <v>0.6470228592</v>
      </c>
    </row>
    <row r="923">
      <c r="D923" s="16">
        <f>IFERROR(__xludf.DUMMYFUNCTION("""COMPUTED_VALUE"""),-0.561152480409742)</f>
        <v>-0.5611524804</v>
      </c>
      <c r="E923" s="16">
        <f>IFERROR(__xludf.DUMMYFUNCTION("""COMPUTED_VALUE"""),-0.22251748912953)</f>
        <v>-0.2225174891</v>
      </c>
      <c r="F923" s="16">
        <f>IFERROR(__xludf.DUMMYFUNCTION("""COMPUTED_VALUE"""),-0.465784585825394)</f>
        <v>-0.4657845858</v>
      </c>
      <c r="G923" s="16">
        <f>IFERROR(__xludf.DUMMYFUNCTION("""COMPUTED_VALUE"""),0.647022859232139)</f>
        <v>0.6470228592</v>
      </c>
    </row>
    <row r="924">
      <c r="D924" s="16">
        <f>IFERROR(__xludf.DUMMYFUNCTION("""COMPUTED_VALUE"""),-0.561152480409742)</f>
        <v>-0.5611524804</v>
      </c>
      <c r="E924" s="16">
        <f>IFERROR(__xludf.DUMMYFUNCTION("""COMPUTED_VALUE"""),-0.22251748912953)</f>
        <v>-0.2225174891</v>
      </c>
      <c r="F924" s="16">
        <f>IFERROR(__xludf.DUMMYFUNCTION("""COMPUTED_VALUE"""),-0.465784585825394)</f>
        <v>-0.4657845858</v>
      </c>
      <c r="G924" s="16">
        <f>IFERROR(__xludf.DUMMYFUNCTION("""COMPUTED_VALUE"""),0.647022859232139)</f>
        <v>0.6470228592</v>
      </c>
    </row>
    <row r="925">
      <c r="D925" s="16">
        <f>IFERROR(__xludf.DUMMYFUNCTION("""COMPUTED_VALUE"""),-0.561152480409742)</f>
        <v>-0.5611524804</v>
      </c>
      <c r="E925" s="16">
        <f>IFERROR(__xludf.DUMMYFUNCTION("""COMPUTED_VALUE"""),-0.22251748912953)</f>
        <v>-0.2225174891</v>
      </c>
      <c r="F925" s="16">
        <f>IFERROR(__xludf.DUMMYFUNCTION("""COMPUTED_VALUE"""),-0.465784585825394)</f>
        <v>-0.4657845858</v>
      </c>
      <c r="G925" s="16">
        <f>IFERROR(__xludf.DUMMYFUNCTION("""COMPUTED_VALUE"""),0.647022859232139)</f>
        <v>0.6470228592</v>
      </c>
    </row>
    <row r="926">
      <c r="D926" s="16">
        <f>IFERROR(__xludf.DUMMYFUNCTION("""COMPUTED_VALUE"""),-0.562977280612779)</f>
        <v>-0.5629772806</v>
      </c>
      <c r="E926" s="16">
        <f>IFERROR(__xludf.DUMMYFUNCTION("""COMPUTED_VALUE"""),-0.219974927161784)</f>
        <v>-0.2199749272</v>
      </c>
      <c r="F926" s="16">
        <f>IFERROR(__xludf.DUMMYFUNCTION("""COMPUTED_VALUE"""),-0.463577359430312)</f>
        <v>-0.4635773594</v>
      </c>
      <c r="G926" s="16">
        <f>IFERROR(__xludf.DUMMYFUNCTION("""COMPUTED_VALUE"""),0.647891692150479)</f>
        <v>0.6478916922</v>
      </c>
    </row>
    <row r="927">
      <c r="D927" s="16">
        <f>IFERROR(__xludf.DUMMYFUNCTION("""COMPUTED_VALUE"""),-0.564793399010229)</f>
        <v>-0.564793399</v>
      </c>
      <c r="E927" s="16">
        <f>IFERROR(__xludf.DUMMYFUNCTION("""COMPUTED_VALUE"""),-0.217428972908741)</f>
        <v>-0.2174289729</v>
      </c>
      <c r="F927" s="16">
        <f>IFERROR(__xludf.DUMMYFUNCTION("""COMPUTED_VALUE"""),-0.461362984099301)</f>
        <v>-0.4613629841</v>
      </c>
      <c r="G927" s="16">
        <f>IFERROR(__xludf.DUMMYFUNCTION("""COMPUTED_VALUE"""),0.648750533778041)</f>
        <v>0.6487505338</v>
      </c>
    </row>
    <row r="928">
      <c r="D928" s="16">
        <f>IFERROR(__xludf.DUMMYFUNCTION("""COMPUTED_VALUE"""),-0.564793399010229)</f>
        <v>-0.564793399</v>
      </c>
      <c r="E928" s="16">
        <f>IFERROR(__xludf.DUMMYFUNCTION("""COMPUTED_VALUE"""),-0.217428972908741)</f>
        <v>-0.2174289729</v>
      </c>
      <c r="F928" s="16">
        <f>IFERROR(__xludf.DUMMYFUNCTION("""COMPUTED_VALUE"""),-0.461362984099301)</f>
        <v>-0.4613629841</v>
      </c>
      <c r="G928" s="16">
        <f>IFERROR(__xludf.DUMMYFUNCTION("""COMPUTED_VALUE"""),0.648750533778041)</f>
        <v>0.6487505338</v>
      </c>
    </row>
    <row r="929">
      <c r="D929" s="16">
        <f>IFERROR(__xludf.DUMMYFUNCTION("""COMPUTED_VALUE"""),-0.564793399010229)</f>
        <v>-0.564793399</v>
      </c>
      <c r="E929" s="16">
        <f>IFERROR(__xludf.DUMMYFUNCTION("""COMPUTED_VALUE"""),-0.217428972908741)</f>
        <v>-0.2174289729</v>
      </c>
      <c r="F929" s="16">
        <f>IFERROR(__xludf.DUMMYFUNCTION("""COMPUTED_VALUE"""),-0.461362984099301)</f>
        <v>-0.4613629841</v>
      </c>
      <c r="G929" s="16">
        <f>IFERROR(__xludf.DUMMYFUNCTION("""COMPUTED_VALUE"""),0.648750533778041)</f>
        <v>0.6487505338</v>
      </c>
    </row>
    <row r="930">
      <c r="D930" s="16">
        <f>IFERROR(__xludf.DUMMYFUNCTION("""COMPUTED_VALUE"""),-0.564793399010229)</f>
        <v>-0.564793399</v>
      </c>
      <c r="E930" s="16">
        <f>IFERROR(__xludf.DUMMYFUNCTION("""COMPUTED_VALUE"""),-0.217428972908741)</f>
        <v>-0.2174289729</v>
      </c>
      <c r="F930" s="16">
        <f>IFERROR(__xludf.DUMMYFUNCTION("""COMPUTED_VALUE"""),-0.461362984099301)</f>
        <v>-0.4613629841</v>
      </c>
      <c r="G930" s="16">
        <f>IFERROR(__xludf.DUMMYFUNCTION("""COMPUTED_VALUE"""),0.648750533778041)</f>
        <v>0.6487505338</v>
      </c>
    </row>
    <row r="931">
      <c r="D931" s="16">
        <f>IFERROR(__xludf.DUMMYFUNCTION("""COMPUTED_VALUE"""),-0.564793399010229)</f>
        <v>-0.564793399</v>
      </c>
      <c r="E931" s="16">
        <f>IFERROR(__xludf.DUMMYFUNCTION("""COMPUTED_VALUE"""),-0.217428972908741)</f>
        <v>-0.2174289729</v>
      </c>
      <c r="F931" s="16">
        <f>IFERROR(__xludf.DUMMYFUNCTION("""COMPUTED_VALUE"""),-0.461362984099301)</f>
        <v>-0.4613629841</v>
      </c>
      <c r="G931" s="16">
        <f>IFERROR(__xludf.DUMMYFUNCTION("""COMPUTED_VALUE"""),0.648750533778041)</f>
        <v>0.6487505338</v>
      </c>
    </row>
    <row r="932">
      <c r="D932" s="16">
        <f>IFERROR(__xludf.DUMMYFUNCTION("""COMPUTED_VALUE"""),-0.564793399010229)</f>
        <v>-0.564793399</v>
      </c>
      <c r="E932" s="16">
        <f>IFERROR(__xludf.DUMMYFUNCTION("""COMPUTED_VALUE"""),-0.217428972908741)</f>
        <v>-0.2174289729</v>
      </c>
      <c r="F932" s="16">
        <f>IFERROR(__xludf.DUMMYFUNCTION("""COMPUTED_VALUE"""),-0.461362984099301)</f>
        <v>-0.4613629841</v>
      </c>
      <c r="G932" s="16">
        <f>IFERROR(__xludf.DUMMYFUNCTION("""COMPUTED_VALUE"""),0.648750533778041)</f>
        <v>0.6487505338</v>
      </c>
    </row>
    <row r="933">
      <c r="D933" s="16">
        <f>IFERROR(__xludf.DUMMYFUNCTION("""COMPUTED_VALUE"""),-0.564793399010229)</f>
        <v>-0.564793399</v>
      </c>
      <c r="E933" s="16">
        <f>IFERROR(__xludf.DUMMYFUNCTION("""COMPUTED_VALUE"""),-0.217428972908741)</f>
        <v>-0.2174289729</v>
      </c>
      <c r="F933" s="16">
        <f>IFERROR(__xludf.DUMMYFUNCTION("""COMPUTED_VALUE"""),-0.461362984099301)</f>
        <v>-0.4613629841</v>
      </c>
      <c r="G933" s="16">
        <f>IFERROR(__xludf.DUMMYFUNCTION("""COMPUTED_VALUE"""),0.648750533778041)</f>
        <v>0.6487505338</v>
      </c>
    </row>
    <row r="934">
      <c r="D934" s="16">
        <f>IFERROR(__xludf.DUMMYFUNCTION("""COMPUTED_VALUE"""),-0.564793399010229)</f>
        <v>-0.564793399</v>
      </c>
      <c r="E934" s="16">
        <f>IFERROR(__xludf.DUMMYFUNCTION("""COMPUTED_VALUE"""),-0.217428972908741)</f>
        <v>-0.2174289729</v>
      </c>
      <c r="F934" s="16">
        <f>IFERROR(__xludf.DUMMYFUNCTION("""COMPUTED_VALUE"""),-0.461362984099301)</f>
        <v>-0.4613629841</v>
      </c>
      <c r="G934" s="16">
        <f>IFERROR(__xludf.DUMMYFUNCTION("""COMPUTED_VALUE"""),0.648750533778041)</f>
        <v>0.6487505338</v>
      </c>
    </row>
    <row r="935">
      <c r="D935" s="16">
        <f>IFERROR(__xludf.DUMMYFUNCTION("""COMPUTED_VALUE"""),-0.564793399010229)</f>
        <v>-0.564793399</v>
      </c>
      <c r="E935" s="16">
        <f>IFERROR(__xludf.DUMMYFUNCTION("""COMPUTED_VALUE"""),-0.217428972908741)</f>
        <v>-0.2174289729</v>
      </c>
      <c r="F935" s="16">
        <f>IFERROR(__xludf.DUMMYFUNCTION("""COMPUTED_VALUE"""),-0.461362984099301)</f>
        <v>-0.4613629841</v>
      </c>
      <c r="G935" s="16">
        <f>IFERROR(__xludf.DUMMYFUNCTION("""COMPUTED_VALUE"""),0.648750533778041)</f>
        <v>0.6487505338</v>
      </c>
    </row>
    <row r="936">
      <c r="D936" s="16">
        <f>IFERROR(__xludf.DUMMYFUNCTION("""COMPUTED_VALUE"""),-0.564793399010229)</f>
        <v>-0.564793399</v>
      </c>
      <c r="E936" s="16">
        <f>IFERROR(__xludf.DUMMYFUNCTION("""COMPUTED_VALUE"""),-0.217428972908741)</f>
        <v>-0.2174289729</v>
      </c>
      <c r="F936" s="16">
        <f>IFERROR(__xludf.DUMMYFUNCTION("""COMPUTED_VALUE"""),-0.461362984099301)</f>
        <v>-0.4613629841</v>
      </c>
      <c r="G936" s="16">
        <f>IFERROR(__xludf.DUMMYFUNCTION("""COMPUTED_VALUE"""),0.648750533778041)</f>
        <v>0.6487505338</v>
      </c>
    </row>
    <row r="937">
      <c r="D937" s="16">
        <f>IFERROR(__xludf.DUMMYFUNCTION("""COMPUTED_VALUE"""),-0.564793399010229)</f>
        <v>-0.564793399</v>
      </c>
      <c r="E937" s="16">
        <f>IFERROR(__xludf.DUMMYFUNCTION("""COMPUTED_VALUE"""),-0.217428972908741)</f>
        <v>-0.2174289729</v>
      </c>
      <c r="F937" s="16">
        <f>IFERROR(__xludf.DUMMYFUNCTION("""COMPUTED_VALUE"""),-0.461362984099301)</f>
        <v>-0.4613629841</v>
      </c>
      <c r="G937" s="16">
        <f>IFERROR(__xludf.DUMMYFUNCTION("""COMPUTED_VALUE"""),0.648750533778041)</f>
        <v>0.6487505338</v>
      </c>
    </row>
    <row r="938">
      <c r="D938" s="16">
        <f>IFERROR(__xludf.DUMMYFUNCTION("""COMPUTED_VALUE"""),-0.564793399010229)</f>
        <v>-0.564793399</v>
      </c>
      <c r="E938" s="16">
        <f>IFERROR(__xludf.DUMMYFUNCTION("""COMPUTED_VALUE"""),-0.217428972908741)</f>
        <v>-0.2174289729</v>
      </c>
      <c r="F938" s="16">
        <f>IFERROR(__xludf.DUMMYFUNCTION("""COMPUTED_VALUE"""),-0.461362984099301)</f>
        <v>-0.4613629841</v>
      </c>
      <c r="G938" s="16">
        <f>IFERROR(__xludf.DUMMYFUNCTION("""COMPUTED_VALUE"""),0.648750533778041)</f>
        <v>0.6487505338</v>
      </c>
    </row>
    <row r="939">
      <c r="D939" s="16">
        <f>IFERROR(__xludf.DUMMYFUNCTION("""COMPUTED_VALUE"""),-0.564793399010229)</f>
        <v>-0.564793399</v>
      </c>
      <c r="E939" s="16">
        <f>IFERROR(__xludf.DUMMYFUNCTION("""COMPUTED_VALUE"""),-0.217428972908741)</f>
        <v>-0.2174289729</v>
      </c>
      <c r="F939" s="16">
        <f>IFERROR(__xludf.DUMMYFUNCTION("""COMPUTED_VALUE"""),-0.461362984099301)</f>
        <v>-0.4613629841</v>
      </c>
      <c r="G939" s="16">
        <f>IFERROR(__xludf.DUMMYFUNCTION("""COMPUTED_VALUE"""),0.648750533778041)</f>
        <v>0.6487505338</v>
      </c>
    </row>
    <row r="940">
      <c r="D940" s="16">
        <f>IFERROR(__xludf.DUMMYFUNCTION("""COMPUTED_VALUE"""),-0.564793399010229)</f>
        <v>-0.564793399</v>
      </c>
      <c r="E940" s="16">
        <f>IFERROR(__xludf.DUMMYFUNCTION("""COMPUTED_VALUE"""),-0.217428972908741)</f>
        <v>-0.2174289729</v>
      </c>
      <c r="F940" s="16">
        <f>IFERROR(__xludf.DUMMYFUNCTION("""COMPUTED_VALUE"""),-0.461362984099301)</f>
        <v>-0.4613629841</v>
      </c>
      <c r="G940" s="16">
        <f>IFERROR(__xludf.DUMMYFUNCTION("""COMPUTED_VALUE"""),0.648750533778041)</f>
        <v>0.6487505338</v>
      </c>
    </row>
    <row r="941">
      <c r="D941" s="16">
        <f>IFERROR(__xludf.DUMMYFUNCTION("""COMPUTED_VALUE"""),-0.564793399010229)</f>
        <v>-0.564793399</v>
      </c>
      <c r="E941" s="16">
        <f>IFERROR(__xludf.DUMMYFUNCTION("""COMPUTED_VALUE"""),-0.217428972908741)</f>
        <v>-0.2174289729</v>
      </c>
      <c r="F941" s="16">
        <f>IFERROR(__xludf.DUMMYFUNCTION("""COMPUTED_VALUE"""),-0.461362984099301)</f>
        <v>-0.4613629841</v>
      </c>
      <c r="G941" s="16">
        <f>IFERROR(__xludf.DUMMYFUNCTION("""COMPUTED_VALUE"""),0.648750533778041)</f>
        <v>0.6487505338</v>
      </c>
    </row>
    <row r="942">
      <c r="D942" s="16">
        <f>IFERROR(__xludf.DUMMYFUNCTION("""COMPUTED_VALUE"""),-0.564793399010229)</f>
        <v>-0.564793399</v>
      </c>
      <c r="E942" s="16">
        <f>IFERROR(__xludf.DUMMYFUNCTION("""COMPUTED_VALUE"""),-0.217428972908741)</f>
        <v>-0.2174289729</v>
      </c>
      <c r="F942" s="16">
        <f>IFERROR(__xludf.DUMMYFUNCTION("""COMPUTED_VALUE"""),-0.461362984099301)</f>
        <v>-0.4613629841</v>
      </c>
      <c r="G942" s="16">
        <f>IFERROR(__xludf.DUMMYFUNCTION("""COMPUTED_VALUE"""),0.648750533778041)</f>
        <v>0.6487505338</v>
      </c>
    </row>
    <row r="943">
      <c r="D943" s="16">
        <f>IFERROR(__xludf.DUMMYFUNCTION("""COMPUTED_VALUE"""),-0.564793399010229)</f>
        <v>-0.564793399</v>
      </c>
      <c r="E943" s="16">
        <f>IFERROR(__xludf.DUMMYFUNCTION("""COMPUTED_VALUE"""),-0.217428972908741)</f>
        <v>-0.2174289729</v>
      </c>
      <c r="F943" s="16">
        <f>IFERROR(__xludf.DUMMYFUNCTION("""COMPUTED_VALUE"""),-0.461362984099301)</f>
        <v>-0.4613629841</v>
      </c>
      <c r="G943" s="16">
        <f>IFERROR(__xludf.DUMMYFUNCTION("""COMPUTED_VALUE"""),0.648750533778041)</f>
        <v>0.6487505338</v>
      </c>
    </row>
    <row r="944">
      <c r="D944" s="16">
        <f>IFERROR(__xludf.DUMMYFUNCTION("""COMPUTED_VALUE"""),-0.564793399010229)</f>
        <v>-0.564793399</v>
      </c>
      <c r="E944" s="16">
        <f>IFERROR(__xludf.DUMMYFUNCTION("""COMPUTED_VALUE"""),-0.217428972908741)</f>
        <v>-0.2174289729</v>
      </c>
      <c r="F944" s="16">
        <f>IFERROR(__xludf.DUMMYFUNCTION("""COMPUTED_VALUE"""),-0.461362984099301)</f>
        <v>-0.4613629841</v>
      </c>
      <c r="G944" s="16">
        <f>IFERROR(__xludf.DUMMYFUNCTION("""COMPUTED_VALUE"""),0.648750533778041)</f>
        <v>0.6487505338</v>
      </c>
    </row>
    <row r="945">
      <c r="D945" s="16">
        <f>IFERROR(__xludf.DUMMYFUNCTION("""COMPUTED_VALUE"""),-0.564793399010229)</f>
        <v>-0.564793399</v>
      </c>
      <c r="E945" s="16">
        <f>IFERROR(__xludf.DUMMYFUNCTION("""COMPUTED_VALUE"""),-0.217428972908741)</f>
        <v>-0.2174289729</v>
      </c>
      <c r="F945" s="16">
        <f>IFERROR(__xludf.DUMMYFUNCTION("""COMPUTED_VALUE"""),-0.461362984099301)</f>
        <v>-0.4613629841</v>
      </c>
      <c r="G945" s="16">
        <f>IFERROR(__xludf.DUMMYFUNCTION("""COMPUTED_VALUE"""),0.648750533778041)</f>
        <v>0.6487505338</v>
      </c>
    </row>
    <row r="946">
      <c r="D946" s="16">
        <f>IFERROR(__xludf.DUMMYFUNCTION("""COMPUTED_VALUE"""),-0.564793399010229)</f>
        <v>-0.564793399</v>
      </c>
      <c r="E946" s="16">
        <f>IFERROR(__xludf.DUMMYFUNCTION("""COMPUTED_VALUE"""),-0.217428972908741)</f>
        <v>-0.2174289729</v>
      </c>
      <c r="F946" s="16">
        <f>IFERROR(__xludf.DUMMYFUNCTION("""COMPUTED_VALUE"""),-0.461362984099301)</f>
        <v>-0.4613629841</v>
      </c>
      <c r="G946" s="16">
        <f>IFERROR(__xludf.DUMMYFUNCTION("""COMPUTED_VALUE"""),0.648750533778041)</f>
        <v>0.6487505338</v>
      </c>
    </row>
    <row r="947">
      <c r="D947" s="16">
        <f>IFERROR(__xludf.DUMMYFUNCTION("""COMPUTED_VALUE"""),-0.564793399010229)</f>
        <v>-0.564793399</v>
      </c>
      <c r="E947" s="16">
        <f>IFERROR(__xludf.DUMMYFUNCTION("""COMPUTED_VALUE"""),-0.217428972908741)</f>
        <v>-0.2174289729</v>
      </c>
      <c r="F947" s="16">
        <f>IFERROR(__xludf.DUMMYFUNCTION("""COMPUTED_VALUE"""),-0.461362984099301)</f>
        <v>-0.4613629841</v>
      </c>
      <c r="G947" s="16">
        <f>IFERROR(__xludf.DUMMYFUNCTION("""COMPUTED_VALUE"""),0.648750533778041)</f>
        <v>0.6487505338</v>
      </c>
    </row>
    <row r="948">
      <c r="D948" s="16">
        <f>IFERROR(__xludf.DUMMYFUNCTION("""COMPUTED_VALUE"""),-0.566600807595303)</f>
        <v>-0.5666008076</v>
      </c>
      <c r="E948" s="16">
        <f>IFERROR(__xludf.DUMMYFUNCTION("""COMPUTED_VALUE"""),-0.214879665632163)</f>
        <v>-0.2148796656</v>
      </c>
      <c r="F948" s="16">
        <f>IFERROR(__xludf.DUMMYFUNCTION("""COMPUTED_VALUE"""),-0.459141493980767)</f>
        <v>-0.459141494</v>
      </c>
      <c r="G948" s="16">
        <f>IFERROR(__xludf.DUMMYFUNCTION("""COMPUTED_VALUE"""),0.649599370870425)</f>
        <v>0.6495993709</v>
      </c>
    </row>
    <row r="949">
      <c r="D949" s="16">
        <f>IFERROR(__xludf.DUMMYFUNCTION("""COMPUTED_VALUE"""),-0.574214223457067)</f>
        <v>-0.5742142235</v>
      </c>
      <c r="E949" s="16">
        <f>IFERROR(__xludf.DUMMYFUNCTION("""COMPUTED_VALUE"""),-0.220273762098141)</f>
        <v>-0.2202737621</v>
      </c>
      <c r="F949" s="16">
        <f>IFERROR(__xludf.DUMMYFUNCTION("""COMPUTED_VALUE"""),-0.456578199138123)</f>
        <v>-0.4565781991</v>
      </c>
      <c r="G949" s="16">
        <f>IFERROR(__xludf.DUMMYFUNCTION("""COMPUTED_VALUE"""),0.642879338120693)</f>
        <v>0.6428793381</v>
      </c>
    </row>
    <row r="950">
      <c r="D950" s="16">
        <f>IFERROR(__xludf.DUMMYFUNCTION("""COMPUTED_VALUE"""),-0.574214223457067)</f>
        <v>-0.5742142235</v>
      </c>
      <c r="E950" s="16">
        <f>IFERROR(__xludf.DUMMYFUNCTION("""COMPUTED_VALUE"""),-0.220273762098141)</f>
        <v>-0.2202737621</v>
      </c>
      <c r="F950" s="16">
        <f>IFERROR(__xludf.DUMMYFUNCTION("""COMPUTED_VALUE"""),-0.456578199138123)</f>
        <v>-0.4565781991</v>
      </c>
      <c r="G950" s="16">
        <f>IFERROR(__xludf.DUMMYFUNCTION("""COMPUTED_VALUE"""),0.642879338120693)</f>
        <v>0.6428793381</v>
      </c>
    </row>
    <row r="951">
      <c r="D951" s="16">
        <f>IFERROR(__xludf.DUMMYFUNCTION("""COMPUTED_VALUE"""),-0.574214223457067)</f>
        <v>-0.5742142235</v>
      </c>
      <c r="E951" s="16">
        <f>IFERROR(__xludf.DUMMYFUNCTION("""COMPUTED_VALUE"""),-0.220273762098141)</f>
        <v>-0.2202737621</v>
      </c>
      <c r="F951" s="16">
        <f>IFERROR(__xludf.DUMMYFUNCTION("""COMPUTED_VALUE"""),-0.456578199138123)</f>
        <v>-0.4565781991</v>
      </c>
      <c r="G951" s="16">
        <f>IFERROR(__xludf.DUMMYFUNCTION("""COMPUTED_VALUE"""),0.642879338120693)</f>
        <v>0.6428793381</v>
      </c>
    </row>
    <row r="952">
      <c r="D952" s="16">
        <f>IFERROR(__xludf.DUMMYFUNCTION("""COMPUTED_VALUE"""),-0.576734370603825)</f>
        <v>-0.5767343706</v>
      </c>
      <c r="E952" s="16">
        <f>IFERROR(__xludf.DUMMYFUNCTION("""COMPUTED_VALUE"""),-0.222065037384803)</f>
        <v>-0.2220650374</v>
      </c>
      <c r="F952" s="16">
        <f>IFERROR(__xludf.DUMMYFUNCTION("""COMPUTED_VALUE"""),-0.45570966784606)</f>
        <v>-0.4557096678</v>
      </c>
      <c r="G952" s="16">
        <f>IFERROR(__xludf.DUMMYFUNCTION("""COMPUTED_VALUE"""),0.640619453003975)</f>
        <v>0.640619453</v>
      </c>
    </row>
    <row r="953">
      <c r="D953" s="16">
        <f>IFERROR(__xludf.DUMMYFUNCTION("""COMPUTED_VALUE"""),-0.574940360597393)</f>
        <v>-0.5749403606</v>
      </c>
      <c r="E953" s="16">
        <f>IFERROR(__xludf.DUMMYFUNCTION("""COMPUTED_VALUE"""),-0.224579025294411)</f>
        <v>-0.2245790253</v>
      </c>
      <c r="F953" s="16">
        <f>IFERROR(__xludf.DUMMYFUNCTION("""COMPUTED_VALUE"""),-0.457970978731508)</f>
        <v>-0.4579709787</v>
      </c>
      <c r="G953" s="16">
        <f>IFERROR(__xludf.DUMMYFUNCTION("""COMPUTED_VALUE"""),0.639742468336782)</f>
        <v>0.6397424683</v>
      </c>
    </row>
    <row r="954">
      <c r="D954" s="16">
        <f>IFERROR(__xludf.DUMMYFUNCTION("""COMPUTED_VALUE"""),-0.577448183718377)</f>
        <v>-0.5774481837</v>
      </c>
      <c r="E954" s="16">
        <f>IFERROR(__xludf.DUMMYFUNCTION("""COMPUTED_VALUE"""),-0.226375736803285)</f>
        <v>-0.2263757368</v>
      </c>
      <c r="F954" s="16">
        <f>IFERROR(__xludf.DUMMYFUNCTION("""COMPUTED_VALUE"""),-0.457085530015174)</f>
        <v>-0.45708553</v>
      </c>
      <c r="G954" s="16">
        <f>IFERROR(__xludf.DUMMYFUNCTION("""COMPUTED_VALUE"""),0.637479755880802)</f>
        <v>0.6374797559</v>
      </c>
    </row>
    <row r="955">
      <c r="D955" s="16">
        <f>IFERROR(__xludf.DUMMYFUNCTION("""COMPUTED_VALUE"""),-0.577448183718377)</f>
        <v>-0.5774481837</v>
      </c>
      <c r="E955" s="16">
        <f>IFERROR(__xludf.DUMMYFUNCTION("""COMPUTED_VALUE"""),-0.226375736803285)</f>
        <v>-0.2263757368</v>
      </c>
      <c r="F955" s="16">
        <f>IFERROR(__xludf.DUMMYFUNCTION("""COMPUTED_VALUE"""),-0.457085530015174)</f>
        <v>-0.45708553</v>
      </c>
      <c r="G955" s="16">
        <f>IFERROR(__xludf.DUMMYFUNCTION("""COMPUTED_VALUE"""),0.637479755880802)</f>
        <v>0.6374797559</v>
      </c>
    </row>
    <row r="956">
      <c r="D956" s="16">
        <f>IFERROR(__xludf.DUMMYFUNCTION("""COMPUTED_VALUE"""),-0.577448183718377)</f>
        <v>-0.5774481837</v>
      </c>
      <c r="E956" s="16">
        <f>IFERROR(__xludf.DUMMYFUNCTION("""COMPUTED_VALUE"""),-0.226375736803285)</f>
        <v>-0.2263757368</v>
      </c>
      <c r="F956" s="16">
        <f>IFERROR(__xludf.DUMMYFUNCTION("""COMPUTED_VALUE"""),-0.457085530015174)</f>
        <v>-0.45708553</v>
      </c>
      <c r="G956" s="16">
        <f>IFERROR(__xludf.DUMMYFUNCTION("""COMPUTED_VALUE"""),0.637479755880802)</f>
        <v>0.6374797559</v>
      </c>
    </row>
    <row r="957">
      <c r="D957" s="16">
        <f>IFERROR(__xludf.DUMMYFUNCTION("""COMPUTED_VALUE"""),-0.577448183718377)</f>
        <v>-0.5774481837</v>
      </c>
      <c r="E957" s="16">
        <f>IFERROR(__xludf.DUMMYFUNCTION("""COMPUTED_VALUE"""),-0.226375736803285)</f>
        <v>-0.2263757368</v>
      </c>
      <c r="F957" s="16">
        <f>IFERROR(__xludf.DUMMYFUNCTION("""COMPUTED_VALUE"""),-0.457085530015174)</f>
        <v>-0.45708553</v>
      </c>
      <c r="G957" s="16">
        <f>IFERROR(__xludf.DUMMYFUNCTION("""COMPUTED_VALUE"""),0.637479755880802)</f>
        <v>0.6374797559</v>
      </c>
    </row>
    <row r="958">
      <c r="D958" s="16">
        <f>IFERROR(__xludf.DUMMYFUNCTION("""COMPUTED_VALUE"""),-0.577448183718377)</f>
        <v>-0.5774481837</v>
      </c>
      <c r="E958" s="16">
        <f>IFERROR(__xludf.DUMMYFUNCTION("""COMPUTED_VALUE"""),-0.226375736803285)</f>
        <v>-0.2263757368</v>
      </c>
      <c r="F958" s="16">
        <f>IFERROR(__xludf.DUMMYFUNCTION("""COMPUTED_VALUE"""),-0.457085530015174)</f>
        <v>-0.45708553</v>
      </c>
      <c r="G958" s="16">
        <f>IFERROR(__xludf.DUMMYFUNCTION("""COMPUTED_VALUE"""),0.637479755880802)</f>
        <v>0.6374797559</v>
      </c>
    </row>
    <row r="959">
      <c r="D959" s="16">
        <f>IFERROR(__xludf.DUMMYFUNCTION("""COMPUTED_VALUE"""),-0.579947101874561)</f>
        <v>-0.5799471019</v>
      </c>
      <c r="E959" s="16">
        <f>IFERROR(__xludf.DUMMYFUNCTION("""COMPUTED_VALUE"""),-0.228168957318466)</f>
        <v>-0.2281689573</v>
      </c>
      <c r="F959" s="16">
        <f>IFERROR(__xludf.DUMMYFUNCTION("""COMPUTED_VALUE"""),-0.456193032474946)</f>
        <v>-0.4561930325</v>
      </c>
      <c r="G959" s="16">
        <f>IFERROR(__xludf.DUMMYFUNCTION("""COMPUTED_VALUE"""),0.635207212698972)</f>
        <v>0.6352072127</v>
      </c>
    </row>
    <row r="960">
      <c r="D960" s="16">
        <f>IFERROR(__xludf.DUMMYFUNCTION("""COMPUTED_VALUE"""),-0.579947101874561)</f>
        <v>-0.5799471019</v>
      </c>
      <c r="E960" s="16">
        <f>IFERROR(__xludf.DUMMYFUNCTION("""COMPUTED_VALUE"""),-0.228168957318466)</f>
        <v>-0.2281689573</v>
      </c>
      <c r="F960" s="16">
        <f>IFERROR(__xludf.DUMMYFUNCTION("""COMPUTED_VALUE"""),-0.456193032474946)</f>
        <v>-0.4561930325</v>
      </c>
      <c r="G960" s="16">
        <f>IFERROR(__xludf.DUMMYFUNCTION("""COMPUTED_VALUE"""),0.635207212698972)</f>
        <v>0.6352072127</v>
      </c>
    </row>
    <row r="961">
      <c r="D961" s="16">
        <f>IFERROR(__xludf.DUMMYFUNCTION("""COMPUTED_VALUE"""),-0.579947101874561)</f>
        <v>-0.5799471019</v>
      </c>
      <c r="E961" s="16">
        <f>IFERROR(__xludf.DUMMYFUNCTION("""COMPUTED_VALUE"""),-0.228168957318466)</f>
        <v>-0.2281689573</v>
      </c>
      <c r="F961" s="16">
        <f>IFERROR(__xludf.DUMMYFUNCTION("""COMPUTED_VALUE"""),-0.456193032474946)</f>
        <v>-0.4561930325</v>
      </c>
      <c r="G961" s="16">
        <f>IFERROR(__xludf.DUMMYFUNCTION("""COMPUTED_VALUE"""),0.635207212698972)</f>
        <v>0.6352072127</v>
      </c>
    </row>
    <row r="962">
      <c r="D962" s="16">
        <f>IFERROR(__xludf.DUMMYFUNCTION("""COMPUTED_VALUE"""),-0.579947101874561)</f>
        <v>-0.5799471019</v>
      </c>
      <c r="E962" s="16">
        <f>IFERROR(__xludf.DUMMYFUNCTION("""COMPUTED_VALUE"""),-0.228168957318466)</f>
        <v>-0.2281689573</v>
      </c>
      <c r="F962" s="16">
        <f>IFERROR(__xludf.DUMMYFUNCTION("""COMPUTED_VALUE"""),-0.456193032474946)</f>
        <v>-0.4561930325</v>
      </c>
      <c r="G962" s="16">
        <f>IFERROR(__xludf.DUMMYFUNCTION("""COMPUTED_VALUE"""),0.635207212698972)</f>
        <v>0.6352072127</v>
      </c>
    </row>
    <row r="963">
      <c r="D963" s="16">
        <f>IFERROR(__xludf.DUMMYFUNCTION("""COMPUTED_VALUE"""),-0.579947101874561)</f>
        <v>-0.5799471019</v>
      </c>
      <c r="E963" s="16">
        <f>IFERROR(__xludf.DUMMYFUNCTION("""COMPUTED_VALUE"""),-0.228168957318466)</f>
        <v>-0.2281689573</v>
      </c>
      <c r="F963" s="16">
        <f>IFERROR(__xludf.DUMMYFUNCTION("""COMPUTED_VALUE"""),-0.456193032474946)</f>
        <v>-0.4561930325</v>
      </c>
      <c r="G963" s="16">
        <f>IFERROR(__xludf.DUMMYFUNCTION("""COMPUTED_VALUE"""),0.635207212698972)</f>
        <v>0.6352072127</v>
      </c>
    </row>
    <row r="964">
      <c r="D964" s="16">
        <f>IFERROR(__xludf.DUMMYFUNCTION("""COMPUTED_VALUE"""),-0.579947101874561)</f>
        <v>-0.5799471019</v>
      </c>
      <c r="E964" s="16">
        <f>IFERROR(__xludf.DUMMYFUNCTION("""COMPUTED_VALUE"""),-0.228168957318466)</f>
        <v>-0.2281689573</v>
      </c>
      <c r="F964" s="16">
        <f>IFERROR(__xludf.DUMMYFUNCTION("""COMPUTED_VALUE"""),-0.456193032474946)</f>
        <v>-0.4561930325</v>
      </c>
      <c r="G964" s="16">
        <f>IFERROR(__xludf.DUMMYFUNCTION("""COMPUTED_VALUE"""),0.635207212698972)</f>
        <v>0.6352072127</v>
      </c>
    </row>
    <row r="965">
      <c r="D965" s="16">
        <f>IFERROR(__xludf.DUMMYFUNCTION("""COMPUTED_VALUE"""),-0.579947101874561)</f>
        <v>-0.5799471019</v>
      </c>
      <c r="E965" s="16">
        <f>IFERROR(__xludf.DUMMYFUNCTION("""COMPUTED_VALUE"""),-0.228168957318466)</f>
        <v>-0.2281689573</v>
      </c>
      <c r="F965" s="16">
        <f>IFERROR(__xludf.DUMMYFUNCTION("""COMPUTED_VALUE"""),-0.456193032474946)</f>
        <v>-0.4561930325</v>
      </c>
      <c r="G965" s="16">
        <f>IFERROR(__xludf.DUMMYFUNCTION("""COMPUTED_VALUE"""),0.635207212698972)</f>
        <v>0.6352072127</v>
      </c>
    </row>
    <row r="966">
      <c r="D966" s="16">
        <f>IFERROR(__xludf.DUMMYFUNCTION("""COMPUTED_VALUE"""),-0.579947101874561)</f>
        <v>-0.5799471019</v>
      </c>
      <c r="E966" s="16">
        <f>IFERROR(__xludf.DUMMYFUNCTION("""COMPUTED_VALUE"""),-0.228168957318466)</f>
        <v>-0.2281689573</v>
      </c>
      <c r="F966" s="16">
        <f>IFERROR(__xludf.DUMMYFUNCTION("""COMPUTED_VALUE"""),-0.456193032474946)</f>
        <v>-0.4561930325</v>
      </c>
      <c r="G966" s="16">
        <f>IFERROR(__xludf.DUMMYFUNCTION("""COMPUTED_VALUE"""),0.635207212698972)</f>
        <v>0.6352072127</v>
      </c>
    </row>
    <row r="967">
      <c r="D967" s="16">
        <f>IFERROR(__xludf.DUMMYFUNCTION("""COMPUTED_VALUE"""),-0.579947101874561)</f>
        <v>-0.5799471019</v>
      </c>
      <c r="E967" s="16">
        <f>IFERROR(__xludf.DUMMYFUNCTION("""COMPUTED_VALUE"""),-0.228168957318466)</f>
        <v>-0.2281689573</v>
      </c>
      <c r="F967" s="16">
        <f>IFERROR(__xludf.DUMMYFUNCTION("""COMPUTED_VALUE"""),-0.456193032474946)</f>
        <v>-0.4561930325</v>
      </c>
      <c r="G967" s="16">
        <f>IFERROR(__xludf.DUMMYFUNCTION("""COMPUTED_VALUE"""),0.635207212698972)</f>
        <v>0.6352072127</v>
      </c>
    </row>
    <row r="968">
      <c r="D968" s="16">
        <f>IFERROR(__xludf.DUMMYFUNCTION("""COMPUTED_VALUE"""),-0.579947101874561)</f>
        <v>-0.5799471019</v>
      </c>
      <c r="E968" s="16">
        <f>IFERROR(__xludf.DUMMYFUNCTION("""COMPUTED_VALUE"""),-0.228168957318466)</f>
        <v>-0.2281689573</v>
      </c>
      <c r="F968" s="16">
        <f>IFERROR(__xludf.DUMMYFUNCTION("""COMPUTED_VALUE"""),-0.456193032474946)</f>
        <v>-0.4561930325</v>
      </c>
      <c r="G968" s="16">
        <f>IFERROR(__xludf.DUMMYFUNCTION("""COMPUTED_VALUE"""),0.635207212698972)</f>
        <v>0.6352072127</v>
      </c>
    </row>
    <row r="969">
      <c r="D969" s="16">
        <f>IFERROR(__xludf.DUMMYFUNCTION("""COMPUTED_VALUE"""),-0.579947101874561)</f>
        <v>-0.5799471019</v>
      </c>
      <c r="E969" s="16">
        <f>IFERROR(__xludf.DUMMYFUNCTION("""COMPUTED_VALUE"""),-0.228168957318466)</f>
        <v>-0.2281689573</v>
      </c>
      <c r="F969" s="16">
        <f>IFERROR(__xludf.DUMMYFUNCTION("""COMPUTED_VALUE"""),-0.456193032474946)</f>
        <v>-0.4561930325</v>
      </c>
      <c r="G969" s="16">
        <f>IFERROR(__xludf.DUMMYFUNCTION("""COMPUTED_VALUE"""),0.635207212698972)</f>
        <v>0.6352072127</v>
      </c>
    </row>
    <row r="970">
      <c r="D970" s="16">
        <f>IFERROR(__xludf.DUMMYFUNCTION("""COMPUTED_VALUE"""),-0.579947101874561)</f>
        <v>-0.5799471019</v>
      </c>
      <c r="E970" s="16">
        <f>IFERROR(__xludf.DUMMYFUNCTION("""COMPUTED_VALUE"""),-0.228168957318466)</f>
        <v>-0.2281689573</v>
      </c>
      <c r="F970" s="16">
        <f>IFERROR(__xludf.DUMMYFUNCTION("""COMPUTED_VALUE"""),-0.456193032474946)</f>
        <v>-0.4561930325</v>
      </c>
      <c r="G970" s="16">
        <f>IFERROR(__xludf.DUMMYFUNCTION("""COMPUTED_VALUE"""),0.635207212698972)</f>
        <v>0.6352072127</v>
      </c>
    </row>
    <row r="971">
      <c r="D971" s="16">
        <f>IFERROR(__xludf.DUMMYFUNCTION("""COMPUTED_VALUE"""),-0.579947101874561)</f>
        <v>-0.5799471019</v>
      </c>
      <c r="E971" s="16">
        <f>IFERROR(__xludf.DUMMYFUNCTION("""COMPUTED_VALUE"""),-0.228168957318466)</f>
        <v>-0.2281689573</v>
      </c>
      <c r="F971" s="16">
        <f>IFERROR(__xludf.DUMMYFUNCTION("""COMPUTED_VALUE"""),-0.456193032474946)</f>
        <v>-0.4561930325</v>
      </c>
      <c r="G971" s="16">
        <f>IFERROR(__xludf.DUMMYFUNCTION("""COMPUTED_VALUE"""),0.635207212698972)</f>
        <v>0.6352072127</v>
      </c>
    </row>
    <row r="972">
      <c r="D972" s="16">
        <f>IFERROR(__xludf.DUMMYFUNCTION("""COMPUTED_VALUE"""),-0.581734091315453)</f>
        <v>-0.5817340913</v>
      </c>
      <c r="E972" s="16">
        <f>IFERROR(__xludf.DUMMYFUNCTION("""COMPUTED_VALUE"""),-0.2256727515892)</f>
        <v>-0.2256727516</v>
      </c>
      <c r="F972" s="16">
        <f>IFERROR(__xludf.DUMMYFUNCTION("""COMPUTED_VALUE"""),-0.453912073922664)</f>
        <v>-0.4539120739</v>
      </c>
      <c r="G972" s="16">
        <f>IFERROR(__xludf.DUMMYFUNCTION("""COMPUTED_VALUE"""),0.636098329929227)</f>
        <v>0.6360983299</v>
      </c>
    </row>
    <row r="973">
      <c r="D973" s="16">
        <f>IFERROR(__xludf.DUMMYFUNCTION("""COMPUTED_VALUE"""),-0.581734091315453)</f>
        <v>-0.5817340913</v>
      </c>
      <c r="E973" s="16">
        <f>IFERROR(__xludf.DUMMYFUNCTION("""COMPUTED_VALUE"""),-0.2256727515892)</f>
        <v>-0.2256727516</v>
      </c>
      <c r="F973" s="16">
        <f>IFERROR(__xludf.DUMMYFUNCTION("""COMPUTED_VALUE"""),-0.453912073922664)</f>
        <v>-0.4539120739</v>
      </c>
      <c r="G973" s="16">
        <f>IFERROR(__xludf.DUMMYFUNCTION("""COMPUTED_VALUE"""),0.636098329929227)</f>
        <v>0.6360983299</v>
      </c>
    </row>
    <row r="974">
      <c r="D974" s="16">
        <f>IFERROR(__xludf.DUMMYFUNCTION("""COMPUTED_VALUE"""),-0.581734091315453)</f>
        <v>-0.5817340913</v>
      </c>
      <c r="E974" s="16">
        <f>IFERROR(__xludf.DUMMYFUNCTION("""COMPUTED_VALUE"""),-0.2256727515892)</f>
        <v>-0.2256727516</v>
      </c>
      <c r="F974" s="16">
        <f>IFERROR(__xludf.DUMMYFUNCTION("""COMPUTED_VALUE"""),-0.453912073922664)</f>
        <v>-0.4539120739</v>
      </c>
      <c r="G974" s="16">
        <f>IFERROR(__xludf.DUMMYFUNCTION("""COMPUTED_VALUE"""),0.636098329929227)</f>
        <v>0.6360983299</v>
      </c>
    </row>
    <row r="975">
      <c r="D975" s="16">
        <f>IFERROR(__xludf.DUMMYFUNCTION("""COMPUTED_VALUE"""),-0.570878558121934)</f>
        <v>-0.5708785581</v>
      </c>
      <c r="E975" s="16">
        <f>IFERROR(__xludf.DUMMYFUNCTION("""COMPUTED_VALUE"""),-0.240596438274286)</f>
        <v>-0.2405964383</v>
      </c>
      <c r="F975" s="16">
        <f>IFERROR(__xludf.DUMMYFUNCTION("""COMPUTED_VALUE"""),-0.467491599633631)</f>
        <v>-0.4674915996</v>
      </c>
      <c r="G975" s="16">
        <f>IFERROR(__xludf.DUMMYFUNCTION("""COMPUTED_VALUE"""),0.630604971466543)</f>
        <v>0.6306049715</v>
      </c>
    </row>
    <row r="976">
      <c r="D976" s="16">
        <f>IFERROR(__xludf.DUMMYFUNCTION("""COMPUTED_VALUE"""),-0.561589929831094)</f>
        <v>-0.5615899298</v>
      </c>
      <c r="E976" s="16">
        <f>IFERROR(__xludf.DUMMYFUNCTION("""COMPUTED_VALUE"""),-0.252931164728715)</f>
        <v>-0.2529311647</v>
      </c>
      <c r="F976" s="16">
        <f>IFERROR(__xludf.DUMMYFUNCTION("""COMPUTED_VALUE"""),-0.478609939892286)</f>
        <v>-0.4786099399</v>
      </c>
      <c r="G976" s="16">
        <f>IFERROR(__xludf.DUMMYFUNCTION("""COMPUTED_VALUE"""),0.625759620027985)</f>
        <v>0.62575962</v>
      </c>
    </row>
    <row r="977">
      <c r="D977" s="16">
        <f>IFERROR(__xludf.DUMMYFUNCTION("""COMPUTED_VALUE"""),-0.55781365415574)</f>
        <v>-0.5578136542</v>
      </c>
      <c r="E977" s="16">
        <f>IFERROR(__xludf.DUMMYFUNCTION("""COMPUTED_VALUE"""),-0.257838017625804)</f>
        <v>-0.2578380176</v>
      </c>
      <c r="F977" s="16">
        <f>IFERROR(__xludf.DUMMYFUNCTION("""COMPUTED_VALUE"""),-0.48300584995299)</f>
        <v>-0.48300585</v>
      </c>
      <c r="G977" s="16">
        <f>IFERROR(__xludf.DUMMYFUNCTION("""COMPUTED_VALUE"""),0.623753823888389)</f>
        <v>0.6237538239</v>
      </c>
    </row>
    <row r="978">
      <c r="D978" s="16">
        <f>IFERROR(__xludf.DUMMYFUNCTION("""COMPUTED_VALUE"""),-0.55781365415574)</f>
        <v>-0.5578136542</v>
      </c>
      <c r="E978" s="16">
        <f>IFERROR(__xludf.DUMMYFUNCTION("""COMPUTED_VALUE"""),-0.257838017625804)</f>
        <v>-0.2578380176</v>
      </c>
      <c r="F978" s="16">
        <f>IFERROR(__xludf.DUMMYFUNCTION("""COMPUTED_VALUE"""),-0.48300584995299)</f>
        <v>-0.48300585</v>
      </c>
      <c r="G978" s="16">
        <f>IFERROR(__xludf.DUMMYFUNCTION("""COMPUTED_VALUE"""),0.623753823888389)</f>
        <v>0.6237538239</v>
      </c>
    </row>
    <row r="979">
      <c r="D979" s="16">
        <f>IFERROR(__xludf.DUMMYFUNCTION("""COMPUTED_VALUE"""),-0.55781365415574)</f>
        <v>-0.5578136542</v>
      </c>
      <c r="E979" s="16">
        <f>IFERROR(__xludf.DUMMYFUNCTION("""COMPUTED_VALUE"""),-0.257838017625804)</f>
        <v>-0.2578380176</v>
      </c>
      <c r="F979" s="16">
        <f>IFERROR(__xludf.DUMMYFUNCTION("""COMPUTED_VALUE"""),-0.48300584995299)</f>
        <v>-0.48300585</v>
      </c>
      <c r="G979" s="16">
        <f>IFERROR(__xludf.DUMMYFUNCTION("""COMPUTED_VALUE"""),0.623753823888389)</f>
        <v>0.6237538239</v>
      </c>
    </row>
    <row r="980">
      <c r="D980" s="16">
        <f>IFERROR(__xludf.DUMMYFUNCTION("""COMPUTED_VALUE"""),-0.55781365415574)</f>
        <v>-0.5578136542</v>
      </c>
      <c r="E980" s="16">
        <f>IFERROR(__xludf.DUMMYFUNCTION("""COMPUTED_VALUE"""),-0.257838017625804)</f>
        <v>-0.2578380176</v>
      </c>
      <c r="F980" s="16">
        <f>IFERROR(__xludf.DUMMYFUNCTION("""COMPUTED_VALUE"""),-0.48300584995299)</f>
        <v>-0.48300585</v>
      </c>
      <c r="G980" s="16">
        <f>IFERROR(__xludf.DUMMYFUNCTION("""COMPUTED_VALUE"""),0.623753823888389)</f>
        <v>0.6237538239</v>
      </c>
    </row>
    <row r="981">
      <c r="D981" s="16">
        <f>IFERROR(__xludf.DUMMYFUNCTION("""COMPUTED_VALUE"""),-0.55781365415574)</f>
        <v>-0.5578136542</v>
      </c>
      <c r="E981" s="16">
        <f>IFERROR(__xludf.DUMMYFUNCTION("""COMPUTED_VALUE"""),-0.257838017625804)</f>
        <v>-0.2578380176</v>
      </c>
      <c r="F981" s="16">
        <f>IFERROR(__xludf.DUMMYFUNCTION("""COMPUTED_VALUE"""),-0.48300584995299)</f>
        <v>-0.48300585</v>
      </c>
      <c r="G981" s="16">
        <f>IFERROR(__xludf.DUMMYFUNCTION("""COMPUTED_VALUE"""),0.623753823888389)</f>
        <v>0.6237538239</v>
      </c>
    </row>
    <row r="982">
      <c r="D982" s="16">
        <f>IFERROR(__xludf.DUMMYFUNCTION("""COMPUTED_VALUE"""),-0.55781365415574)</f>
        <v>-0.5578136542</v>
      </c>
      <c r="E982" s="16">
        <f>IFERROR(__xludf.DUMMYFUNCTION("""COMPUTED_VALUE"""),-0.257838017625804)</f>
        <v>-0.2578380176</v>
      </c>
      <c r="F982" s="16">
        <f>IFERROR(__xludf.DUMMYFUNCTION("""COMPUTED_VALUE"""),-0.48300584995299)</f>
        <v>-0.48300585</v>
      </c>
      <c r="G982" s="16">
        <f>IFERROR(__xludf.DUMMYFUNCTION("""COMPUTED_VALUE"""),0.623753823888389)</f>
        <v>0.6237538239</v>
      </c>
    </row>
    <row r="983">
      <c r="D983" s="16">
        <f>IFERROR(__xludf.DUMMYFUNCTION("""COMPUTED_VALUE"""),-0.55781365415574)</f>
        <v>-0.5578136542</v>
      </c>
      <c r="E983" s="16">
        <f>IFERROR(__xludf.DUMMYFUNCTION("""COMPUTED_VALUE"""),-0.257838017625804)</f>
        <v>-0.2578380176</v>
      </c>
      <c r="F983" s="16">
        <f>IFERROR(__xludf.DUMMYFUNCTION("""COMPUTED_VALUE"""),-0.48300584995299)</f>
        <v>-0.48300585</v>
      </c>
      <c r="G983" s="16">
        <f>IFERROR(__xludf.DUMMYFUNCTION("""COMPUTED_VALUE"""),0.623753823888389)</f>
        <v>0.6237538239</v>
      </c>
    </row>
    <row r="984">
      <c r="D984" s="16">
        <f>IFERROR(__xludf.DUMMYFUNCTION("""COMPUTED_VALUE"""),-0.55781365415574)</f>
        <v>-0.5578136542</v>
      </c>
      <c r="E984" s="16">
        <f>IFERROR(__xludf.DUMMYFUNCTION("""COMPUTED_VALUE"""),-0.257838017625804)</f>
        <v>-0.2578380176</v>
      </c>
      <c r="F984" s="16">
        <f>IFERROR(__xludf.DUMMYFUNCTION("""COMPUTED_VALUE"""),-0.48300584995299)</f>
        <v>-0.48300585</v>
      </c>
      <c r="G984" s="16">
        <f>IFERROR(__xludf.DUMMYFUNCTION("""COMPUTED_VALUE"""),0.623753823888389)</f>
        <v>0.6237538239</v>
      </c>
    </row>
    <row r="985">
      <c r="D985" s="16">
        <f>IFERROR(__xludf.DUMMYFUNCTION("""COMPUTED_VALUE"""),-0.555912598461953)</f>
        <v>-0.5559125985</v>
      </c>
      <c r="E985" s="16">
        <f>IFERROR(__xludf.DUMMYFUNCTION("""COMPUTED_VALUE"""),-0.260285498705166)</f>
        <v>-0.2602854987</v>
      </c>
      <c r="F985" s="16">
        <f>IFERROR(__xludf.DUMMYFUNCTION("""COMPUTED_VALUE"""),-0.485192649081444)</f>
        <v>-0.4851926491</v>
      </c>
      <c r="G985" s="16">
        <f>IFERROR(__xludf.DUMMYFUNCTION("""COMPUTED_VALUE"""),0.622736489465966)</f>
        <v>0.6227364895</v>
      </c>
    </row>
    <row r="986">
      <c r="D986" s="16">
        <f>IFERROR(__xludf.DUMMYFUNCTION("""COMPUTED_VALUE"""),-0.551004542286797)</f>
        <v>-0.5510045423</v>
      </c>
      <c r="E986" s="16">
        <f>IFERROR(__xludf.DUMMYFUNCTION("""COMPUTED_VALUE"""),-0.256466816023539)</f>
        <v>-0.256466816</v>
      </c>
      <c r="F986" s="16">
        <f>IFERROR(__xludf.DUMMYFUNCTION("""COMPUTED_VALUE"""),-0.487221941047008)</f>
        <v>-0.487221941</v>
      </c>
      <c r="G986" s="16">
        <f>IFERROR(__xludf.DUMMYFUNCTION("""COMPUTED_VALUE"""),0.627083365128141)</f>
        <v>0.6270833651</v>
      </c>
    </row>
    <row r="987">
      <c r="D987" s="16">
        <f>IFERROR(__xludf.DUMMYFUNCTION("""COMPUTED_VALUE"""),-0.546062497558035)</f>
        <v>-0.5460624976</v>
      </c>
      <c r="E987" s="16">
        <f>IFERROR(__xludf.DUMMYFUNCTION("""COMPUTED_VALUE"""),-0.252632313261576)</f>
        <v>-0.2526323133</v>
      </c>
      <c r="F987" s="16">
        <f>IFERROR(__xludf.DUMMYFUNCTION("""COMPUTED_VALUE"""),-0.489221178870019)</f>
        <v>-0.4892211789</v>
      </c>
      <c r="G987" s="16">
        <f>IFERROR(__xludf.DUMMYFUNCTION("""COMPUTED_VALUE"""),0.631391559336833)</f>
        <v>0.6313915593</v>
      </c>
    </row>
    <row r="988">
      <c r="D988" s="16">
        <f>IFERROR(__xludf.DUMMYFUNCTION("""COMPUTED_VALUE"""),-0.541086769124246)</f>
        <v>-0.5410867691</v>
      </c>
      <c r="E988" s="16">
        <f>IFERROR(__xludf.DUMMYFUNCTION("""COMPUTED_VALUE"""),-0.248782226949455)</f>
        <v>-0.2487822269</v>
      </c>
      <c r="F988" s="16">
        <f>IFERROR(__xludf.DUMMYFUNCTION("""COMPUTED_VALUE"""),-0.491190239228078)</f>
        <v>-0.4911902392</v>
      </c>
      <c r="G988" s="16">
        <f>IFERROR(__xludf.DUMMYFUNCTION("""COMPUTED_VALUE"""),0.635660806342345)</f>
        <v>0.6356608063</v>
      </c>
    </row>
    <row r="989">
      <c r="D989" s="16">
        <f>IFERROR(__xludf.DUMMYFUNCTION("""COMPUTED_VALUE"""),-0.541086769124246)</f>
        <v>-0.5410867691</v>
      </c>
      <c r="E989" s="16">
        <f>IFERROR(__xludf.DUMMYFUNCTION("""COMPUTED_VALUE"""),-0.248782226949455)</f>
        <v>-0.2487822269</v>
      </c>
      <c r="F989" s="16">
        <f>IFERROR(__xludf.DUMMYFUNCTION("""COMPUTED_VALUE"""),-0.491190239228078)</f>
        <v>-0.4911902392</v>
      </c>
      <c r="G989" s="16">
        <f>IFERROR(__xludf.DUMMYFUNCTION("""COMPUTED_VALUE"""),0.635660806342345)</f>
        <v>0.6356608063</v>
      </c>
    </row>
    <row r="990">
      <c r="D990" s="16">
        <f>IFERROR(__xludf.DUMMYFUNCTION("""COMPUTED_VALUE"""),-0.53607766391178)</f>
        <v>-0.5360776639</v>
      </c>
      <c r="E990" s="16">
        <f>IFERROR(__xludf.DUMMYFUNCTION("""COMPUTED_VALUE"""),-0.244916794578621)</f>
        <v>-0.2449167946</v>
      </c>
      <c r="F990" s="16">
        <f>IFERROR(__xludf.DUMMYFUNCTION("""COMPUTED_VALUE"""),-0.493129000660273)</f>
        <v>-0.4931290007</v>
      </c>
      <c r="G990" s="16">
        <f>IFERROR(__xludf.DUMMYFUNCTION("""COMPUTED_VALUE"""),0.639890842797429)</f>
        <v>0.6398908428</v>
      </c>
    </row>
    <row r="991">
      <c r="D991" s="16">
        <f>IFERROR(__xludf.DUMMYFUNCTION("""COMPUTED_VALUE"""),-0.53607766391178)</f>
        <v>-0.5360776639</v>
      </c>
      <c r="E991" s="16">
        <f>IFERROR(__xludf.DUMMYFUNCTION("""COMPUTED_VALUE"""),-0.244916794578621)</f>
        <v>-0.2449167946</v>
      </c>
      <c r="F991" s="16">
        <f>IFERROR(__xludf.DUMMYFUNCTION("""COMPUTED_VALUE"""),-0.493129000660273)</f>
        <v>-0.4931290007</v>
      </c>
      <c r="G991" s="16">
        <f>IFERROR(__xludf.DUMMYFUNCTION("""COMPUTED_VALUE"""),0.639890842797429)</f>
        <v>0.6398908428</v>
      </c>
    </row>
    <row r="992">
      <c r="D992" s="16">
        <f>IFERROR(__xludf.DUMMYFUNCTION("""COMPUTED_VALUE"""),-0.53607766391178)</f>
        <v>-0.5360776639</v>
      </c>
      <c r="E992" s="16">
        <f>IFERROR(__xludf.DUMMYFUNCTION("""COMPUTED_VALUE"""),-0.244916794578621)</f>
        <v>-0.2449167946</v>
      </c>
      <c r="F992" s="16">
        <f>IFERROR(__xludf.DUMMYFUNCTION("""COMPUTED_VALUE"""),-0.493129000660273)</f>
        <v>-0.4931290007</v>
      </c>
      <c r="G992" s="16">
        <f>IFERROR(__xludf.DUMMYFUNCTION("""COMPUTED_VALUE"""),0.639890842797429)</f>
        <v>0.6398908428</v>
      </c>
    </row>
    <row r="993">
      <c r="D993" s="16">
        <f>IFERROR(__xludf.DUMMYFUNCTION("""COMPUTED_VALUE"""),-0.53607766391178)</f>
        <v>-0.5360776639</v>
      </c>
      <c r="E993" s="16">
        <f>IFERROR(__xludf.DUMMYFUNCTION("""COMPUTED_VALUE"""),-0.244916794578621)</f>
        <v>-0.2449167946</v>
      </c>
      <c r="F993" s="16">
        <f>IFERROR(__xludf.DUMMYFUNCTION("""COMPUTED_VALUE"""),-0.493129000660273)</f>
        <v>-0.4931290007</v>
      </c>
      <c r="G993" s="16">
        <f>IFERROR(__xludf.DUMMYFUNCTION("""COMPUTED_VALUE"""),0.639890842797429)</f>
        <v>0.6398908428</v>
      </c>
    </row>
    <row r="994">
      <c r="D994" s="16">
        <f>IFERROR(__xludf.DUMMYFUNCTION("""COMPUTED_VALUE"""),-0.53607766391178)</f>
        <v>-0.5360776639</v>
      </c>
      <c r="E994" s="16">
        <f>IFERROR(__xludf.DUMMYFUNCTION("""COMPUTED_VALUE"""),-0.244916794578621)</f>
        <v>-0.2449167946</v>
      </c>
      <c r="F994" s="16">
        <f>IFERROR(__xludf.DUMMYFUNCTION("""COMPUTED_VALUE"""),-0.493129000660273)</f>
        <v>-0.4931290007</v>
      </c>
      <c r="G994" s="16">
        <f>IFERROR(__xludf.DUMMYFUNCTION("""COMPUTED_VALUE"""),0.639890842797429)</f>
        <v>0.6398908428</v>
      </c>
    </row>
    <row r="995">
      <c r="D995" s="16">
        <f>IFERROR(__xludf.DUMMYFUNCTION("""COMPUTED_VALUE"""),-0.53607766391178)</f>
        <v>-0.5360776639</v>
      </c>
      <c r="E995" s="16">
        <f>IFERROR(__xludf.DUMMYFUNCTION("""COMPUTED_VALUE"""),-0.244916794578621)</f>
        <v>-0.2449167946</v>
      </c>
      <c r="F995" s="16">
        <f>IFERROR(__xludf.DUMMYFUNCTION("""COMPUTED_VALUE"""),-0.493129000660273)</f>
        <v>-0.4931290007</v>
      </c>
      <c r="G995" s="16">
        <f>IFERROR(__xludf.DUMMYFUNCTION("""COMPUTED_VALUE"""),0.639890842797429)</f>
        <v>0.6398908428</v>
      </c>
    </row>
    <row r="996">
      <c r="D996" s="16">
        <f>IFERROR(__xludf.DUMMYFUNCTION("""COMPUTED_VALUE"""),-0.53607766391178)</f>
        <v>-0.5360776639</v>
      </c>
      <c r="E996" s="16">
        <f>IFERROR(__xludf.DUMMYFUNCTION("""COMPUTED_VALUE"""),-0.244916794578621)</f>
        <v>-0.2449167946</v>
      </c>
      <c r="F996" s="16">
        <f>IFERROR(__xludf.DUMMYFUNCTION("""COMPUTED_VALUE"""),-0.493129000660273)</f>
        <v>-0.4931290007</v>
      </c>
      <c r="G996" s="16">
        <f>IFERROR(__xludf.DUMMYFUNCTION("""COMPUTED_VALUE"""),0.639890842797429)</f>
        <v>0.6398908428</v>
      </c>
    </row>
    <row r="997">
      <c r="D997" s="16">
        <f>IFERROR(__xludf.DUMMYFUNCTION("""COMPUTED_VALUE"""),-0.53607766391178)</f>
        <v>-0.5360776639</v>
      </c>
      <c r="E997" s="16">
        <f>IFERROR(__xludf.DUMMYFUNCTION("""COMPUTED_VALUE"""),-0.244916794578621)</f>
        <v>-0.2449167946</v>
      </c>
      <c r="F997" s="16">
        <f>IFERROR(__xludf.DUMMYFUNCTION("""COMPUTED_VALUE"""),-0.493129000660273)</f>
        <v>-0.4931290007</v>
      </c>
      <c r="G997" s="16">
        <f>IFERROR(__xludf.DUMMYFUNCTION("""COMPUTED_VALUE"""),0.639890842797429)</f>
        <v>0.6398908428</v>
      </c>
    </row>
    <row r="998">
      <c r="D998" s="16">
        <f>IFERROR(__xludf.DUMMYFUNCTION("""COMPUTED_VALUE"""),-0.53607766391178)</f>
        <v>-0.5360776639</v>
      </c>
      <c r="E998" s="16">
        <f>IFERROR(__xludf.DUMMYFUNCTION("""COMPUTED_VALUE"""),-0.244916794578621)</f>
        <v>-0.2449167946</v>
      </c>
      <c r="F998" s="16">
        <f>IFERROR(__xludf.DUMMYFUNCTION("""COMPUTED_VALUE"""),-0.493129000660273)</f>
        <v>-0.4931290007</v>
      </c>
      <c r="G998" s="16">
        <f>IFERROR(__xludf.DUMMYFUNCTION("""COMPUTED_VALUE"""),0.639890842797429)</f>
        <v>0.6398908428</v>
      </c>
    </row>
    <row r="999">
      <c r="D999" s="16">
        <f>IFERROR(__xludf.DUMMYFUNCTION("""COMPUTED_VALUE"""),-0.53607766391178)</f>
        <v>-0.5360776639</v>
      </c>
      <c r="E999" s="16">
        <f>IFERROR(__xludf.DUMMYFUNCTION("""COMPUTED_VALUE"""),-0.244916794578621)</f>
        <v>-0.2449167946</v>
      </c>
      <c r="F999" s="16">
        <f>IFERROR(__xludf.DUMMYFUNCTION("""COMPUTED_VALUE"""),-0.493129000660273)</f>
        <v>-0.4931290007</v>
      </c>
      <c r="G999" s="16">
        <f>IFERROR(__xludf.DUMMYFUNCTION("""COMPUTED_VALUE"""),0.639890842797429)</f>
        <v>0.6398908428</v>
      </c>
    </row>
    <row r="1000">
      <c r="D1000" s="16">
        <f>IFERROR(__xludf.DUMMYFUNCTION("""COMPUTED_VALUE"""),-0.533560691491511)</f>
        <v>-0.5335606915</v>
      </c>
      <c r="E1000" s="16">
        <f>IFERROR(__xludf.DUMMYFUNCTION("""COMPUTED_VALUE"""),-0.242978398096506)</f>
        <v>-0.2429783981</v>
      </c>
      <c r="F1000" s="16">
        <f>IFERROR(__xludf.DUMMYFUNCTION("""COMPUTED_VALUE"""),-0.494086981833484)</f>
        <v>-0.4940869818</v>
      </c>
      <c r="G1000" s="16">
        <f>IFERROR(__xludf.DUMMYFUNCTION("""COMPUTED_VALUE"""),0.641991075433465)</f>
        <v>0.6419910754</v>
      </c>
    </row>
    <row r="1001">
      <c r="D1001" s="16">
        <f>IFERROR(__xludf.DUMMYFUNCTION("""COMPUTED_VALUE"""),-0.533560691491511)</f>
        <v>-0.5335606915</v>
      </c>
      <c r="E1001" s="16">
        <f>IFERROR(__xludf.DUMMYFUNCTION("""COMPUTED_VALUE"""),-0.242978398096506)</f>
        <v>-0.2429783981</v>
      </c>
      <c r="F1001" s="16">
        <f>IFERROR(__xludf.DUMMYFUNCTION("""COMPUTED_VALUE"""),-0.494086981833484)</f>
        <v>-0.4940869818</v>
      </c>
      <c r="G1001" s="16">
        <f>IFERROR(__xludf.DUMMYFUNCTION("""COMPUTED_VALUE"""),0.641991075433465)</f>
        <v>0.6419910754</v>
      </c>
    </row>
    <row r="1002">
      <c r="D1002" s="16">
        <f>IFERROR(__xludf.DUMMYFUNCTION("""COMPUTED_VALUE"""),-0.535496847404544)</f>
        <v>-0.5354968474</v>
      </c>
      <c r="E1002" s="16">
        <f>IFERROR(__xludf.DUMMYFUNCTION("""COMPUTED_VALUE"""),-0.240455438079901)</f>
        <v>-0.2404554381</v>
      </c>
      <c r="F1002" s="16">
        <f>IFERROR(__xludf.DUMMYFUNCTION("""COMPUTED_VALUE"""),-0.491987889629426)</f>
        <v>-0.4919878896</v>
      </c>
      <c r="G1002" s="16">
        <f>IFERROR(__xludf.DUMMYFUNCTION("""COMPUTED_VALUE"""),0.642940296742679)</f>
        <v>0.6429402967</v>
      </c>
    </row>
    <row r="1003">
      <c r="D1003" s="16">
        <f>IFERROR(__xludf.DUMMYFUNCTION("""COMPUTED_VALUE"""),-0.535496847404544)</f>
        <v>-0.5354968474</v>
      </c>
      <c r="E1003" s="16">
        <f>IFERROR(__xludf.DUMMYFUNCTION("""COMPUTED_VALUE"""),-0.240455438079901)</f>
        <v>-0.2404554381</v>
      </c>
      <c r="F1003" s="16">
        <f>IFERROR(__xludf.DUMMYFUNCTION("""COMPUTED_VALUE"""),-0.491987889629426)</f>
        <v>-0.4919878896</v>
      </c>
      <c r="G1003" s="16">
        <f>IFERROR(__xludf.DUMMYFUNCTION("""COMPUTED_VALUE"""),0.642940296742679)</f>
        <v>0.6429402967</v>
      </c>
    </row>
    <row r="1004">
      <c r="D1004" s="16">
        <f>IFERROR(__xludf.DUMMYFUNCTION("""COMPUTED_VALUE"""),-0.535496847404544)</f>
        <v>-0.5354968474</v>
      </c>
      <c r="E1004" s="16">
        <f>IFERROR(__xludf.DUMMYFUNCTION("""COMPUTED_VALUE"""),-0.240455438079901)</f>
        <v>-0.2404554381</v>
      </c>
      <c r="F1004" s="16">
        <f>IFERROR(__xludf.DUMMYFUNCTION("""COMPUTED_VALUE"""),-0.491987889629426)</f>
        <v>-0.4919878896</v>
      </c>
      <c r="G1004" s="16">
        <f>IFERROR(__xludf.DUMMYFUNCTION("""COMPUTED_VALUE"""),0.642940296742679)</f>
        <v>0.6429402967</v>
      </c>
    </row>
    <row r="1005">
      <c r="D1005" s="16">
        <f>IFERROR(__xludf.DUMMYFUNCTION("""COMPUTED_VALUE"""),-0.535496847404544)</f>
        <v>-0.5354968474</v>
      </c>
      <c r="E1005" s="16">
        <f>IFERROR(__xludf.DUMMYFUNCTION("""COMPUTED_VALUE"""),-0.240455438079901)</f>
        <v>-0.2404554381</v>
      </c>
      <c r="F1005" s="16">
        <f>IFERROR(__xludf.DUMMYFUNCTION("""COMPUTED_VALUE"""),-0.491987889629426)</f>
        <v>-0.4919878896</v>
      </c>
      <c r="G1005" s="16">
        <f>IFERROR(__xludf.DUMMYFUNCTION("""COMPUTED_VALUE"""),0.642940296742679)</f>
        <v>0.6429402967</v>
      </c>
    </row>
    <row r="1006">
      <c r="D1006" s="16">
        <f>IFERROR(__xludf.DUMMYFUNCTION("""COMPUTED_VALUE"""),-0.535496847404544)</f>
        <v>-0.5354968474</v>
      </c>
      <c r="E1006" s="16">
        <f>IFERROR(__xludf.DUMMYFUNCTION("""COMPUTED_VALUE"""),-0.240455438079901)</f>
        <v>-0.2404554381</v>
      </c>
      <c r="F1006" s="16">
        <f>IFERROR(__xludf.DUMMYFUNCTION("""COMPUTED_VALUE"""),-0.491987889629426)</f>
        <v>-0.4919878896</v>
      </c>
      <c r="G1006" s="16">
        <f>IFERROR(__xludf.DUMMYFUNCTION("""COMPUTED_VALUE"""),0.642940296742679)</f>
        <v>0.6429402967</v>
      </c>
    </row>
    <row r="1007">
      <c r="D1007" s="16">
        <f>IFERROR(__xludf.DUMMYFUNCTION("""COMPUTED_VALUE"""),-0.535496847404544)</f>
        <v>-0.5354968474</v>
      </c>
      <c r="E1007" s="16">
        <f>IFERROR(__xludf.DUMMYFUNCTION("""COMPUTED_VALUE"""),-0.240455438079901)</f>
        <v>-0.2404554381</v>
      </c>
      <c r="F1007" s="16">
        <f>IFERROR(__xludf.DUMMYFUNCTION("""COMPUTED_VALUE"""),-0.491987889629426)</f>
        <v>-0.4919878896</v>
      </c>
      <c r="G1007" s="16">
        <f>IFERROR(__xludf.DUMMYFUNCTION("""COMPUTED_VALUE"""),0.642940296742679)</f>
        <v>0.6429402967</v>
      </c>
    </row>
    <row r="1008">
      <c r="D1008" s="16">
        <f>IFERROR(__xludf.DUMMYFUNCTION("""COMPUTED_VALUE"""),-0.535496847404544)</f>
        <v>-0.5354968474</v>
      </c>
      <c r="E1008" s="16">
        <f>IFERROR(__xludf.DUMMYFUNCTION("""COMPUTED_VALUE"""),-0.240455438079901)</f>
        <v>-0.2404554381</v>
      </c>
      <c r="F1008" s="16">
        <f>IFERROR(__xludf.DUMMYFUNCTION("""COMPUTED_VALUE"""),-0.491987889629426)</f>
        <v>-0.4919878896</v>
      </c>
      <c r="G1008" s="16">
        <f>IFERROR(__xludf.DUMMYFUNCTION("""COMPUTED_VALUE"""),0.642940296742679)</f>
        <v>0.6429402967</v>
      </c>
    </row>
    <row r="1009">
      <c r="D1009" s="16">
        <f>IFERROR(__xludf.DUMMYFUNCTION("""COMPUTED_VALUE"""),-0.535496847404544)</f>
        <v>-0.5354968474</v>
      </c>
      <c r="E1009" s="16">
        <f>IFERROR(__xludf.DUMMYFUNCTION("""COMPUTED_VALUE"""),-0.240455438079901)</f>
        <v>-0.2404554381</v>
      </c>
      <c r="F1009" s="16">
        <f>IFERROR(__xludf.DUMMYFUNCTION("""COMPUTED_VALUE"""),-0.491987889629426)</f>
        <v>-0.4919878896</v>
      </c>
      <c r="G1009" s="16">
        <f>IFERROR(__xludf.DUMMYFUNCTION("""COMPUTED_VALUE"""),0.642940296742679)</f>
        <v>0.6429402967</v>
      </c>
    </row>
    <row r="1010">
      <c r="D1010" s="16">
        <f>IFERROR(__xludf.DUMMYFUNCTION("""COMPUTED_VALUE"""),-0.535496847404544)</f>
        <v>-0.5354968474</v>
      </c>
      <c r="E1010" s="16">
        <f>IFERROR(__xludf.DUMMYFUNCTION("""COMPUTED_VALUE"""),-0.240455438079901)</f>
        <v>-0.2404554381</v>
      </c>
      <c r="F1010" s="16">
        <f>IFERROR(__xludf.DUMMYFUNCTION("""COMPUTED_VALUE"""),-0.491987889629426)</f>
        <v>-0.4919878896</v>
      </c>
      <c r="G1010" s="16">
        <f>IFERROR(__xludf.DUMMYFUNCTION("""COMPUTED_VALUE"""),0.642940296742679)</f>
        <v>0.6429402967</v>
      </c>
    </row>
    <row r="1011">
      <c r="D1011" s="16">
        <f>IFERROR(__xludf.DUMMYFUNCTION("""COMPUTED_VALUE"""),-0.535496847404544)</f>
        <v>-0.5354968474</v>
      </c>
      <c r="E1011" s="16">
        <f>IFERROR(__xludf.DUMMYFUNCTION("""COMPUTED_VALUE"""),-0.240455438079901)</f>
        <v>-0.2404554381</v>
      </c>
      <c r="F1011" s="16">
        <f>IFERROR(__xludf.DUMMYFUNCTION("""COMPUTED_VALUE"""),-0.491987889629426)</f>
        <v>-0.4919878896</v>
      </c>
      <c r="G1011" s="16">
        <f>IFERROR(__xludf.DUMMYFUNCTION("""COMPUTED_VALUE"""),0.642940296742679)</f>
        <v>0.6429402967</v>
      </c>
    </row>
    <row r="1012">
      <c r="D1012" s="16">
        <f>IFERROR(__xludf.DUMMYFUNCTION("""COMPUTED_VALUE"""),-0.535496847404544)</f>
        <v>-0.5354968474</v>
      </c>
      <c r="E1012" s="16">
        <f>IFERROR(__xludf.DUMMYFUNCTION("""COMPUTED_VALUE"""),-0.240455438079901)</f>
        <v>-0.2404554381</v>
      </c>
      <c r="F1012" s="16">
        <f>IFERROR(__xludf.DUMMYFUNCTION("""COMPUTED_VALUE"""),-0.491987889629426)</f>
        <v>-0.4919878896</v>
      </c>
      <c r="G1012" s="16">
        <f>IFERROR(__xludf.DUMMYFUNCTION("""COMPUTED_VALUE"""),0.642940296742679)</f>
        <v>0.6429402967</v>
      </c>
    </row>
    <row r="1013">
      <c r="D1013" s="16">
        <f>IFERROR(__xludf.DUMMYFUNCTION("""COMPUTED_VALUE"""),-0.535496847404544)</f>
        <v>-0.5354968474</v>
      </c>
      <c r="E1013" s="16">
        <f>IFERROR(__xludf.DUMMYFUNCTION("""COMPUTED_VALUE"""),-0.240455438079901)</f>
        <v>-0.2404554381</v>
      </c>
      <c r="F1013" s="16">
        <f>IFERROR(__xludf.DUMMYFUNCTION("""COMPUTED_VALUE"""),-0.491987889629426)</f>
        <v>-0.4919878896</v>
      </c>
      <c r="G1013" s="16">
        <f>IFERROR(__xludf.DUMMYFUNCTION("""COMPUTED_VALUE"""),0.642940296742679)</f>
        <v>0.6429402967</v>
      </c>
    </row>
    <row r="1014">
      <c r="D1014" s="16">
        <f>IFERROR(__xludf.DUMMYFUNCTION("""COMPUTED_VALUE"""),-0.535496847404544)</f>
        <v>-0.5354968474</v>
      </c>
      <c r="E1014" s="16">
        <f>IFERROR(__xludf.DUMMYFUNCTION("""COMPUTED_VALUE"""),-0.240455438079901)</f>
        <v>-0.2404554381</v>
      </c>
      <c r="F1014" s="16">
        <f>IFERROR(__xludf.DUMMYFUNCTION("""COMPUTED_VALUE"""),-0.491987889629426)</f>
        <v>-0.4919878896</v>
      </c>
      <c r="G1014" s="16">
        <f>IFERROR(__xludf.DUMMYFUNCTION("""COMPUTED_VALUE"""),0.642940296742679)</f>
        <v>0.6429402967</v>
      </c>
    </row>
    <row r="1015">
      <c r="D1015" s="16">
        <f>IFERROR(__xludf.DUMMYFUNCTION("""COMPUTED_VALUE"""),-0.535496847404544)</f>
        <v>-0.5354968474</v>
      </c>
      <c r="E1015" s="16">
        <f>IFERROR(__xludf.DUMMYFUNCTION("""COMPUTED_VALUE"""),-0.240455438079901)</f>
        <v>-0.2404554381</v>
      </c>
      <c r="F1015" s="16">
        <f>IFERROR(__xludf.DUMMYFUNCTION("""COMPUTED_VALUE"""),-0.491987889629426)</f>
        <v>-0.4919878896</v>
      </c>
      <c r="G1015" s="16">
        <f>IFERROR(__xludf.DUMMYFUNCTION("""COMPUTED_VALUE"""),0.642940296742679)</f>
        <v>0.6429402967</v>
      </c>
    </row>
    <row r="1016">
      <c r="D1016" s="16">
        <f>IFERROR(__xludf.DUMMYFUNCTION("""COMPUTED_VALUE"""),-0.535496847404544)</f>
        <v>-0.5354968474</v>
      </c>
      <c r="E1016" s="16">
        <f>IFERROR(__xludf.DUMMYFUNCTION("""COMPUTED_VALUE"""),-0.240455438079901)</f>
        <v>-0.2404554381</v>
      </c>
      <c r="F1016" s="16">
        <f>IFERROR(__xludf.DUMMYFUNCTION("""COMPUTED_VALUE"""),-0.491987889629426)</f>
        <v>-0.4919878896</v>
      </c>
      <c r="G1016" s="16">
        <f>IFERROR(__xludf.DUMMYFUNCTION("""COMPUTED_VALUE"""),0.642940296742679)</f>
        <v>0.6429402967</v>
      </c>
    </row>
    <row r="1017">
      <c r="D1017" s="16">
        <f>IFERROR(__xludf.DUMMYFUNCTION("""COMPUTED_VALUE"""),-0.535496847404544)</f>
        <v>-0.5354968474</v>
      </c>
      <c r="E1017" s="16">
        <f>IFERROR(__xludf.DUMMYFUNCTION("""COMPUTED_VALUE"""),-0.240455438079901)</f>
        <v>-0.2404554381</v>
      </c>
      <c r="F1017" s="16">
        <f>IFERROR(__xludf.DUMMYFUNCTION("""COMPUTED_VALUE"""),-0.491987889629426)</f>
        <v>-0.4919878896</v>
      </c>
      <c r="G1017" s="16">
        <f>IFERROR(__xludf.DUMMYFUNCTION("""COMPUTED_VALUE"""),0.642940296742679)</f>
        <v>0.6429402967</v>
      </c>
    </row>
    <row r="1018">
      <c r="D1018" s="16">
        <f>IFERROR(__xludf.DUMMYFUNCTION("""COMPUTED_VALUE"""),-0.538017532469527)</f>
        <v>-0.5380175325</v>
      </c>
      <c r="E1018" s="16">
        <f>IFERROR(__xludf.DUMMYFUNCTION("""COMPUTED_VALUE"""),-0.24238561092122)</f>
        <v>-0.2423856109</v>
      </c>
      <c r="F1018" s="16">
        <f>IFERROR(__xludf.DUMMYFUNCTION("""COMPUTED_VALUE"""),-0.49103983225657)</f>
        <v>-0.4910398323</v>
      </c>
      <c r="G1018" s="16">
        <f>IFERROR(__xludf.DUMMYFUNCTION("""COMPUTED_VALUE"""),0.640832453540838)</f>
        <v>0.6408324535</v>
      </c>
    </row>
    <row r="1019">
      <c r="D1019" s="16">
        <f>IFERROR(__xludf.DUMMYFUNCTION("""COMPUTED_VALUE"""),-0.538017532469527)</f>
        <v>-0.5380175325</v>
      </c>
      <c r="E1019" s="16">
        <f>IFERROR(__xludf.DUMMYFUNCTION("""COMPUTED_VALUE"""),-0.24238561092122)</f>
        <v>-0.2423856109</v>
      </c>
      <c r="F1019" s="16">
        <f>IFERROR(__xludf.DUMMYFUNCTION("""COMPUTED_VALUE"""),-0.49103983225657)</f>
        <v>-0.4910398323</v>
      </c>
      <c r="G1019" s="16">
        <f>IFERROR(__xludf.DUMMYFUNCTION("""COMPUTED_VALUE"""),0.640832453540838)</f>
        <v>0.6408324535</v>
      </c>
    </row>
    <row r="1020">
      <c r="D1020" s="16">
        <f>IFERROR(__xludf.DUMMYFUNCTION("""COMPUTED_VALUE"""),-0.538017532469527)</f>
        <v>-0.5380175325</v>
      </c>
      <c r="E1020" s="16">
        <f>IFERROR(__xludf.DUMMYFUNCTION("""COMPUTED_VALUE"""),-0.24238561092122)</f>
        <v>-0.2423856109</v>
      </c>
      <c r="F1020" s="16">
        <f>IFERROR(__xludf.DUMMYFUNCTION("""COMPUTED_VALUE"""),-0.49103983225657)</f>
        <v>-0.4910398323</v>
      </c>
      <c r="G1020" s="16">
        <f>IFERROR(__xludf.DUMMYFUNCTION("""COMPUTED_VALUE"""),0.640832453540838)</f>
        <v>0.6408324535</v>
      </c>
    </row>
    <row r="1021">
      <c r="D1021" s="16">
        <f>IFERROR(__xludf.DUMMYFUNCTION("""COMPUTED_VALUE"""),-0.53859746679172)</f>
        <v>-0.5385974668</v>
      </c>
      <c r="E1021" s="16">
        <f>IFERROR(__xludf.DUMMYFUNCTION("""COMPUTED_VALUE"""),-0.24682670213183)</f>
        <v>-0.2468267021</v>
      </c>
      <c r="F1021" s="16">
        <f>IFERROR(__xludf.DUMMYFUNCTION("""COMPUTED_VALUE"""),-0.492193197663909)</f>
        <v>-0.4921931977</v>
      </c>
      <c r="G1021" s="16">
        <f>IFERROR(__xludf.DUMMYFUNCTION("""COMPUTED_VALUE"""),0.637757950992087)</f>
        <v>0.637757951</v>
      </c>
    </row>
    <row r="1022">
      <c r="D1022" s="16">
        <f>IFERROR(__xludf.DUMMYFUNCTION("""COMPUTED_VALUE"""),-0.53859746679172)</f>
        <v>-0.5385974668</v>
      </c>
      <c r="E1022" s="16">
        <f>IFERROR(__xludf.DUMMYFUNCTION("""COMPUTED_VALUE"""),-0.24682670213183)</f>
        <v>-0.2468267021</v>
      </c>
      <c r="F1022" s="16">
        <f>IFERROR(__xludf.DUMMYFUNCTION("""COMPUTED_VALUE"""),-0.492193197663909)</f>
        <v>-0.4921931977</v>
      </c>
      <c r="G1022" s="16">
        <f>IFERROR(__xludf.DUMMYFUNCTION("""COMPUTED_VALUE"""),0.637757950992087)</f>
        <v>0.637757951</v>
      </c>
    </row>
    <row r="1023">
      <c r="D1023" s="16">
        <f>IFERROR(__xludf.DUMMYFUNCTION("""COMPUTED_VALUE"""),-0.53859746679172)</f>
        <v>-0.5385974668</v>
      </c>
      <c r="E1023" s="16">
        <f>IFERROR(__xludf.DUMMYFUNCTION("""COMPUTED_VALUE"""),-0.24682670213183)</f>
        <v>-0.2468267021</v>
      </c>
      <c r="F1023" s="16">
        <f>IFERROR(__xludf.DUMMYFUNCTION("""COMPUTED_VALUE"""),-0.492193197663909)</f>
        <v>-0.4921931977</v>
      </c>
      <c r="G1023" s="16">
        <f>IFERROR(__xludf.DUMMYFUNCTION("""COMPUTED_VALUE"""),0.637757950992087)</f>
        <v>0.637757951</v>
      </c>
    </row>
    <row r="1024">
      <c r="D1024" s="16">
        <f>IFERROR(__xludf.DUMMYFUNCTION("""COMPUTED_VALUE"""),-0.53859746679172)</f>
        <v>-0.5385974668</v>
      </c>
      <c r="E1024" s="16">
        <f>IFERROR(__xludf.DUMMYFUNCTION("""COMPUTED_VALUE"""),-0.24682670213183)</f>
        <v>-0.2468267021</v>
      </c>
      <c r="F1024" s="16">
        <f>IFERROR(__xludf.DUMMYFUNCTION("""COMPUTED_VALUE"""),-0.492193197663909)</f>
        <v>-0.4921931977</v>
      </c>
      <c r="G1024" s="16">
        <f>IFERROR(__xludf.DUMMYFUNCTION("""COMPUTED_VALUE"""),0.637757950992087)</f>
        <v>0.637757951</v>
      </c>
    </row>
    <row r="1025">
      <c r="D1025" s="16">
        <f>IFERROR(__xludf.DUMMYFUNCTION("""COMPUTED_VALUE"""),-0.53859746679172)</f>
        <v>-0.5385974668</v>
      </c>
      <c r="E1025" s="16">
        <f>IFERROR(__xludf.DUMMYFUNCTION("""COMPUTED_VALUE"""),-0.24682670213183)</f>
        <v>-0.2468267021</v>
      </c>
      <c r="F1025" s="16">
        <f>IFERROR(__xludf.DUMMYFUNCTION("""COMPUTED_VALUE"""),-0.492193197663909)</f>
        <v>-0.4921931977</v>
      </c>
      <c r="G1025" s="16">
        <f>IFERROR(__xludf.DUMMYFUNCTION("""COMPUTED_VALUE"""),0.637757950992087)</f>
        <v>0.637757951</v>
      </c>
    </row>
    <row r="1026">
      <c r="D1026" s="16">
        <f>IFERROR(__xludf.DUMMYFUNCTION("""COMPUTED_VALUE"""),-0.53859746679172)</f>
        <v>-0.5385974668</v>
      </c>
      <c r="E1026" s="16">
        <f>IFERROR(__xludf.DUMMYFUNCTION("""COMPUTED_VALUE"""),-0.24682670213183)</f>
        <v>-0.2468267021</v>
      </c>
      <c r="F1026" s="16">
        <f>IFERROR(__xludf.DUMMYFUNCTION("""COMPUTED_VALUE"""),-0.492193197663909)</f>
        <v>-0.4921931977</v>
      </c>
      <c r="G1026" s="16">
        <f>IFERROR(__xludf.DUMMYFUNCTION("""COMPUTED_VALUE"""),0.637757950992087)</f>
        <v>0.637757951</v>
      </c>
    </row>
    <row r="1027">
      <c r="D1027" s="16">
        <f>IFERROR(__xludf.DUMMYFUNCTION("""COMPUTED_VALUE"""),-0.53859746679172)</f>
        <v>-0.5385974668</v>
      </c>
      <c r="E1027" s="16">
        <f>IFERROR(__xludf.DUMMYFUNCTION("""COMPUTED_VALUE"""),-0.24682670213183)</f>
        <v>-0.2468267021</v>
      </c>
      <c r="F1027" s="16">
        <f>IFERROR(__xludf.DUMMYFUNCTION("""COMPUTED_VALUE"""),-0.492193197663909)</f>
        <v>-0.4921931977</v>
      </c>
      <c r="G1027" s="16">
        <f>IFERROR(__xludf.DUMMYFUNCTION("""COMPUTED_VALUE"""),0.637757950992087)</f>
        <v>0.637757951</v>
      </c>
    </row>
    <row r="1028">
      <c r="D1028" s="16">
        <f>IFERROR(__xludf.DUMMYFUNCTION("""COMPUTED_VALUE"""),-0.53859746679172)</f>
        <v>-0.5385974668</v>
      </c>
      <c r="E1028" s="16">
        <f>IFERROR(__xludf.DUMMYFUNCTION("""COMPUTED_VALUE"""),-0.24682670213183)</f>
        <v>-0.2468267021</v>
      </c>
      <c r="F1028" s="16">
        <f>IFERROR(__xludf.DUMMYFUNCTION("""COMPUTED_VALUE"""),-0.492193197663909)</f>
        <v>-0.4921931977</v>
      </c>
      <c r="G1028" s="16">
        <f>IFERROR(__xludf.DUMMYFUNCTION("""COMPUTED_VALUE"""),0.637757950992087)</f>
        <v>0.637757951</v>
      </c>
    </row>
    <row r="1029">
      <c r="D1029" s="16">
        <f>IFERROR(__xludf.DUMMYFUNCTION("""COMPUTED_VALUE"""),-0.53859746679172)</f>
        <v>-0.5385974668</v>
      </c>
      <c r="E1029" s="16">
        <f>IFERROR(__xludf.DUMMYFUNCTION("""COMPUTED_VALUE"""),-0.24682670213183)</f>
        <v>-0.2468267021</v>
      </c>
      <c r="F1029" s="16">
        <f>IFERROR(__xludf.DUMMYFUNCTION("""COMPUTED_VALUE"""),-0.492193197663909)</f>
        <v>-0.4921931977</v>
      </c>
      <c r="G1029" s="16">
        <f>IFERROR(__xludf.DUMMYFUNCTION("""COMPUTED_VALUE"""),0.637757950992087)</f>
        <v>0.637757951</v>
      </c>
    </row>
    <row r="1030">
      <c r="D1030" s="16">
        <f>IFERROR(__xludf.DUMMYFUNCTION("""COMPUTED_VALUE"""),-0.53859746679172)</f>
        <v>-0.5385974668</v>
      </c>
      <c r="E1030" s="16">
        <f>IFERROR(__xludf.DUMMYFUNCTION("""COMPUTED_VALUE"""),-0.24682670213183)</f>
        <v>-0.2468267021</v>
      </c>
      <c r="F1030" s="16">
        <f>IFERROR(__xludf.DUMMYFUNCTION("""COMPUTED_VALUE"""),-0.492193197663909)</f>
        <v>-0.4921931977</v>
      </c>
      <c r="G1030" s="16">
        <f>IFERROR(__xludf.DUMMYFUNCTION("""COMPUTED_VALUE"""),0.637757950992087)</f>
        <v>0.637757951</v>
      </c>
    </row>
    <row r="1031">
      <c r="D1031" s="16">
        <f>IFERROR(__xludf.DUMMYFUNCTION("""COMPUTED_VALUE"""),-0.53859746679172)</f>
        <v>-0.5385974668</v>
      </c>
      <c r="E1031" s="16">
        <f>IFERROR(__xludf.DUMMYFUNCTION("""COMPUTED_VALUE"""),-0.24682670213183)</f>
        <v>-0.2468267021</v>
      </c>
      <c r="F1031" s="16">
        <f>IFERROR(__xludf.DUMMYFUNCTION("""COMPUTED_VALUE"""),-0.492193197663909)</f>
        <v>-0.4921931977</v>
      </c>
      <c r="G1031" s="16">
        <f>IFERROR(__xludf.DUMMYFUNCTION("""COMPUTED_VALUE"""),0.637757950992087)</f>
        <v>0.637757951</v>
      </c>
    </row>
    <row r="1032">
      <c r="D1032" s="16">
        <f>IFERROR(__xludf.DUMMYFUNCTION("""COMPUTED_VALUE"""),-0.53859746679172)</f>
        <v>-0.5385974668</v>
      </c>
      <c r="E1032" s="16">
        <f>IFERROR(__xludf.DUMMYFUNCTION("""COMPUTED_VALUE"""),-0.24682670213183)</f>
        <v>-0.2468267021</v>
      </c>
      <c r="F1032" s="16">
        <f>IFERROR(__xludf.DUMMYFUNCTION("""COMPUTED_VALUE"""),-0.492193197663909)</f>
        <v>-0.4921931977</v>
      </c>
      <c r="G1032" s="16">
        <f>IFERROR(__xludf.DUMMYFUNCTION("""COMPUTED_VALUE"""),0.637757950992087)</f>
        <v>0.637757951</v>
      </c>
    </row>
    <row r="1033">
      <c r="D1033" s="16">
        <f>IFERROR(__xludf.DUMMYFUNCTION("""COMPUTED_VALUE"""),-0.53859746679172)</f>
        <v>-0.5385974668</v>
      </c>
      <c r="E1033" s="16">
        <f>IFERROR(__xludf.DUMMYFUNCTION("""COMPUTED_VALUE"""),-0.24682670213183)</f>
        <v>-0.2468267021</v>
      </c>
      <c r="F1033" s="16">
        <f>IFERROR(__xludf.DUMMYFUNCTION("""COMPUTED_VALUE"""),-0.492193197663909)</f>
        <v>-0.4921931977</v>
      </c>
      <c r="G1033" s="16">
        <f>IFERROR(__xludf.DUMMYFUNCTION("""COMPUTED_VALUE"""),0.637757950992087)</f>
        <v>0.637757951</v>
      </c>
    </row>
    <row r="1034">
      <c r="D1034" s="16">
        <f>IFERROR(__xludf.DUMMYFUNCTION("""COMPUTED_VALUE"""),-0.53859746679172)</f>
        <v>-0.5385974668</v>
      </c>
      <c r="E1034" s="16">
        <f>IFERROR(__xludf.DUMMYFUNCTION("""COMPUTED_VALUE"""),-0.24682670213183)</f>
        <v>-0.2468267021</v>
      </c>
      <c r="F1034" s="16">
        <f>IFERROR(__xludf.DUMMYFUNCTION("""COMPUTED_VALUE"""),-0.492193197663909)</f>
        <v>-0.4921931977</v>
      </c>
      <c r="G1034" s="16">
        <f>IFERROR(__xludf.DUMMYFUNCTION("""COMPUTED_VALUE"""),0.637757950992087)</f>
        <v>0.637757951</v>
      </c>
    </row>
    <row r="1035">
      <c r="D1035" s="16">
        <f>IFERROR(__xludf.DUMMYFUNCTION("""COMPUTED_VALUE"""),-0.53859746679172)</f>
        <v>-0.5385974668</v>
      </c>
      <c r="E1035" s="16">
        <f>IFERROR(__xludf.DUMMYFUNCTION("""COMPUTED_VALUE"""),-0.24682670213183)</f>
        <v>-0.2468267021</v>
      </c>
      <c r="F1035" s="16">
        <f>IFERROR(__xludf.DUMMYFUNCTION("""COMPUTED_VALUE"""),-0.492193197663909)</f>
        <v>-0.4921931977</v>
      </c>
      <c r="G1035" s="16">
        <f>IFERROR(__xludf.DUMMYFUNCTION("""COMPUTED_VALUE"""),0.637757950992087)</f>
        <v>0.637757951</v>
      </c>
    </row>
    <row r="1036">
      <c r="D1036" s="16">
        <f>IFERROR(__xludf.DUMMYFUNCTION("""COMPUTED_VALUE"""),-0.53859746679172)</f>
        <v>-0.5385974668</v>
      </c>
      <c r="E1036" s="16">
        <f>IFERROR(__xludf.DUMMYFUNCTION("""COMPUTED_VALUE"""),-0.24682670213183)</f>
        <v>-0.2468267021</v>
      </c>
      <c r="F1036" s="16">
        <f>IFERROR(__xludf.DUMMYFUNCTION("""COMPUTED_VALUE"""),-0.492193197663909)</f>
        <v>-0.4921931977</v>
      </c>
      <c r="G1036" s="16">
        <f>IFERROR(__xludf.DUMMYFUNCTION("""COMPUTED_VALUE"""),0.637757950992087)</f>
        <v>0.637757951</v>
      </c>
    </row>
    <row r="1037">
      <c r="D1037" s="16">
        <f>IFERROR(__xludf.DUMMYFUNCTION("""COMPUTED_VALUE"""),-0.53859746679172)</f>
        <v>-0.5385974668</v>
      </c>
      <c r="E1037" s="16">
        <f>IFERROR(__xludf.DUMMYFUNCTION("""COMPUTED_VALUE"""),-0.24682670213183)</f>
        <v>-0.2468267021</v>
      </c>
      <c r="F1037" s="16">
        <f>IFERROR(__xludf.DUMMYFUNCTION("""COMPUTED_VALUE"""),-0.492193197663909)</f>
        <v>-0.4921931977</v>
      </c>
      <c r="G1037" s="16">
        <f>IFERROR(__xludf.DUMMYFUNCTION("""COMPUTED_VALUE"""),0.637757950992087)</f>
        <v>0.637757951</v>
      </c>
    </row>
    <row r="1038">
      <c r="D1038" s="16">
        <f>IFERROR(__xludf.DUMMYFUNCTION("""COMPUTED_VALUE"""),-0.53859746679172)</f>
        <v>-0.5385974668</v>
      </c>
      <c r="E1038" s="16">
        <f>IFERROR(__xludf.DUMMYFUNCTION("""COMPUTED_VALUE"""),-0.24682670213183)</f>
        <v>-0.2468267021</v>
      </c>
      <c r="F1038" s="16">
        <f>IFERROR(__xludf.DUMMYFUNCTION("""COMPUTED_VALUE"""),-0.492193197663909)</f>
        <v>-0.4921931977</v>
      </c>
      <c r="G1038" s="16">
        <f>IFERROR(__xludf.DUMMYFUNCTION("""COMPUTED_VALUE"""),0.637757950992087)</f>
        <v>0.637757951</v>
      </c>
    </row>
    <row r="1039">
      <c r="D1039" s="16">
        <f>IFERROR(__xludf.DUMMYFUNCTION("""COMPUTED_VALUE"""),-0.53859746679172)</f>
        <v>-0.5385974668</v>
      </c>
      <c r="E1039" s="16">
        <f>IFERROR(__xludf.DUMMYFUNCTION("""COMPUTED_VALUE"""),-0.24682670213183)</f>
        <v>-0.2468267021</v>
      </c>
      <c r="F1039" s="16">
        <f>IFERROR(__xludf.DUMMYFUNCTION("""COMPUTED_VALUE"""),-0.492193197663909)</f>
        <v>-0.4921931977</v>
      </c>
      <c r="G1039" s="16">
        <f>IFERROR(__xludf.DUMMYFUNCTION("""COMPUTED_VALUE"""),0.637757950992087)</f>
        <v>0.637757951</v>
      </c>
    </row>
    <row r="1040">
      <c r="D1040" s="16">
        <f>IFERROR(__xludf.DUMMYFUNCTION("""COMPUTED_VALUE"""),-0.53859746679172)</f>
        <v>-0.5385974668</v>
      </c>
      <c r="E1040" s="16">
        <f>IFERROR(__xludf.DUMMYFUNCTION("""COMPUTED_VALUE"""),-0.24682670213183)</f>
        <v>-0.2468267021</v>
      </c>
      <c r="F1040" s="16">
        <f>IFERROR(__xludf.DUMMYFUNCTION("""COMPUTED_VALUE"""),-0.492193197663909)</f>
        <v>-0.4921931977</v>
      </c>
      <c r="G1040" s="16">
        <f>IFERROR(__xludf.DUMMYFUNCTION("""COMPUTED_VALUE"""),0.637757950992087)</f>
        <v>0.637757951</v>
      </c>
    </row>
    <row r="1041">
      <c r="D1041" s="16">
        <f>IFERROR(__xludf.DUMMYFUNCTION("""COMPUTED_VALUE"""),-0.53859746679172)</f>
        <v>-0.5385974668</v>
      </c>
      <c r="E1041" s="16">
        <f>IFERROR(__xludf.DUMMYFUNCTION("""COMPUTED_VALUE"""),-0.24682670213183)</f>
        <v>-0.2468267021</v>
      </c>
      <c r="F1041" s="16">
        <f>IFERROR(__xludf.DUMMYFUNCTION("""COMPUTED_VALUE"""),-0.492193197663909)</f>
        <v>-0.4921931977</v>
      </c>
      <c r="G1041" s="16">
        <f>IFERROR(__xludf.DUMMYFUNCTION("""COMPUTED_VALUE"""),0.637757950992087)</f>
        <v>0.637757951</v>
      </c>
    </row>
    <row r="1042">
      <c r="D1042" s="16">
        <f>IFERROR(__xludf.DUMMYFUNCTION("""COMPUTED_VALUE"""),-0.53859746679172)</f>
        <v>-0.5385974668</v>
      </c>
      <c r="E1042" s="16">
        <f>IFERROR(__xludf.DUMMYFUNCTION("""COMPUTED_VALUE"""),-0.24682670213183)</f>
        <v>-0.2468267021</v>
      </c>
      <c r="F1042" s="16">
        <f>IFERROR(__xludf.DUMMYFUNCTION("""COMPUTED_VALUE"""),-0.492193197663909)</f>
        <v>-0.4921931977</v>
      </c>
      <c r="G1042" s="16">
        <f>IFERROR(__xludf.DUMMYFUNCTION("""COMPUTED_VALUE"""),0.637757950992087)</f>
        <v>0.637757951</v>
      </c>
    </row>
    <row r="1043">
      <c r="D1043" s="16">
        <f>IFERROR(__xludf.DUMMYFUNCTION("""COMPUTED_VALUE"""),-0.53859746679172)</f>
        <v>-0.5385974668</v>
      </c>
      <c r="E1043" s="16">
        <f>IFERROR(__xludf.DUMMYFUNCTION("""COMPUTED_VALUE"""),-0.24682670213183)</f>
        <v>-0.2468267021</v>
      </c>
      <c r="F1043" s="16">
        <f>IFERROR(__xludf.DUMMYFUNCTION("""COMPUTED_VALUE"""),-0.492193197663909)</f>
        <v>-0.4921931977</v>
      </c>
      <c r="G1043" s="16">
        <f>IFERROR(__xludf.DUMMYFUNCTION("""COMPUTED_VALUE"""),0.637757950992087)</f>
        <v>0.637757951</v>
      </c>
    </row>
    <row r="1044">
      <c r="D1044" s="16">
        <f>IFERROR(__xludf.DUMMYFUNCTION("""COMPUTED_VALUE"""),-0.53859746679172)</f>
        <v>-0.5385974668</v>
      </c>
      <c r="E1044" s="16">
        <f>IFERROR(__xludf.DUMMYFUNCTION("""COMPUTED_VALUE"""),-0.24682670213183)</f>
        <v>-0.2468267021</v>
      </c>
      <c r="F1044" s="16">
        <f>IFERROR(__xludf.DUMMYFUNCTION("""COMPUTED_VALUE"""),-0.492193197663909)</f>
        <v>-0.4921931977</v>
      </c>
      <c r="G1044" s="16">
        <f>IFERROR(__xludf.DUMMYFUNCTION("""COMPUTED_VALUE"""),0.637757950992087)</f>
        <v>0.637757951</v>
      </c>
    </row>
    <row r="1045">
      <c r="D1045" s="16">
        <f>IFERROR(__xludf.DUMMYFUNCTION("""COMPUTED_VALUE"""),-0.53859746679172)</f>
        <v>-0.5385974668</v>
      </c>
      <c r="E1045" s="16">
        <f>IFERROR(__xludf.DUMMYFUNCTION("""COMPUTED_VALUE"""),-0.24682670213183)</f>
        <v>-0.2468267021</v>
      </c>
      <c r="F1045" s="16">
        <f>IFERROR(__xludf.DUMMYFUNCTION("""COMPUTED_VALUE"""),-0.492193197663909)</f>
        <v>-0.4921931977</v>
      </c>
      <c r="G1045" s="16">
        <f>IFERROR(__xludf.DUMMYFUNCTION("""COMPUTED_VALUE"""),0.637757950992087)</f>
        <v>0.637757951</v>
      </c>
    </row>
    <row r="1046">
      <c r="D1046" s="16">
        <f>IFERROR(__xludf.DUMMYFUNCTION("""COMPUTED_VALUE"""),-0.53859746679172)</f>
        <v>-0.5385974668</v>
      </c>
      <c r="E1046" s="16">
        <f>IFERROR(__xludf.DUMMYFUNCTION("""COMPUTED_VALUE"""),-0.24682670213183)</f>
        <v>-0.2468267021</v>
      </c>
      <c r="F1046" s="16">
        <f>IFERROR(__xludf.DUMMYFUNCTION("""COMPUTED_VALUE"""),-0.492193197663909)</f>
        <v>-0.4921931977</v>
      </c>
      <c r="G1046" s="16">
        <f>IFERROR(__xludf.DUMMYFUNCTION("""COMPUTED_VALUE"""),0.637757950992087)</f>
        <v>0.637757951</v>
      </c>
    </row>
    <row r="1047">
      <c r="D1047" s="16">
        <f>IFERROR(__xludf.DUMMYFUNCTION("""COMPUTED_VALUE"""),-0.53859746679172)</f>
        <v>-0.5385974668</v>
      </c>
      <c r="E1047" s="16">
        <f>IFERROR(__xludf.DUMMYFUNCTION("""COMPUTED_VALUE"""),-0.24682670213183)</f>
        <v>-0.2468267021</v>
      </c>
      <c r="F1047" s="16">
        <f>IFERROR(__xludf.DUMMYFUNCTION("""COMPUTED_VALUE"""),-0.492193197663909)</f>
        <v>-0.4921931977</v>
      </c>
      <c r="G1047" s="16">
        <f>IFERROR(__xludf.DUMMYFUNCTION("""COMPUTED_VALUE"""),0.637757950992087)</f>
        <v>0.637757951</v>
      </c>
    </row>
    <row r="1048">
      <c r="D1048" s="16">
        <f>IFERROR(__xludf.DUMMYFUNCTION("""COMPUTED_VALUE"""),-0.53859746679172)</f>
        <v>-0.5385974668</v>
      </c>
      <c r="E1048" s="16">
        <f>IFERROR(__xludf.DUMMYFUNCTION("""COMPUTED_VALUE"""),-0.24682670213183)</f>
        <v>-0.2468267021</v>
      </c>
      <c r="F1048" s="16">
        <f>IFERROR(__xludf.DUMMYFUNCTION("""COMPUTED_VALUE"""),-0.492193197663909)</f>
        <v>-0.4921931977</v>
      </c>
      <c r="G1048" s="16">
        <f>IFERROR(__xludf.DUMMYFUNCTION("""COMPUTED_VALUE"""),0.637757950992087)</f>
        <v>0.637757951</v>
      </c>
    </row>
    <row r="1049">
      <c r="D1049" s="16">
        <f>IFERROR(__xludf.DUMMYFUNCTION("""COMPUTED_VALUE"""),-0.53859746679172)</f>
        <v>-0.5385974668</v>
      </c>
      <c r="E1049" s="16">
        <f>IFERROR(__xludf.DUMMYFUNCTION("""COMPUTED_VALUE"""),-0.24682670213183)</f>
        <v>-0.2468267021</v>
      </c>
      <c r="F1049" s="16">
        <f>IFERROR(__xludf.DUMMYFUNCTION("""COMPUTED_VALUE"""),-0.492193197663909)</f>
        <v>-0.4921931977</v>
      </c>
      <c r="G1049" s="16">
        <f>IFERROR(__xludf.DUMMYFUNCTION("""COMPUTED_VALUE"""),0.637757950992087)</f>
        <v>0.637757951</v>
      </c>
    </row>
    <row r="1050">
      <c r="D1050" s="16">
        <f>IFERROR(__xludf.DUMMYFUNCTION("""COMPUTED_VALUE"""),-0.53859746679172)</f>
        <v>-0.5385974668</v>
      </c>
      <c r="E1050" s="16">
        <f>IFERROR(__xludf.DUMMYFUNCTION("""COMPUTED_VALUE"""),-0.24682670213183)</f>
        <v>-0.2468267021</v>
      </c>
      <c r="F1050" s="16">
        <f>IFERROR(__xludf.DUMMYFUNCTION("""COMPUTED_VALUE"""),-0.492193197663909)</f>
        <v>-0.4921931977</v>
      </c>
      <c r="G1050" s="16">
        <f>IFERROR(__xludf.DUMMYFUNCTION("""COMPUTED_VALUE"""),0.637757950992087)</f>
        <v>0.637757951</v>
      </c>
    </row>
    <row r="1051">
      <c r="D1051" s="16">
        <f>IFERROR(__xludf.DUMMYFUNCTION("""COMPUTED_VALUE"""),-0.53859746679172)</f>
        <v>-0.5385974668</v>
      </c>
      <c r="E1051" s="16">
        <f>IFERROR(__xludf.DUMMYFUNCTION("""COMPUTED_VALUE"""),-0.24682670213183)</f>
        <v>-0.2468267021</v>
      </c>
      <c r="F1051" s="16">
        <f>IFERROR(__xludf.DUMMYFUNCTION("""COMPUTED_VALUE"""),-0.492193197663909)</f>
        <v>-0.4921931977</v>
      </c>
      <c r="G1051" s="16">
        <f>IFERROR(__xludf.DUMMYFUNCTION("""COMPUTED_VALUE"""),0.637757950992087)</f>
        <v>0.637757951</v>
      </c>
    </row>
    <row r="1052">
      <c r="D1052" s="16">
        <f>IFERROR(__xludf.DUMMYFUNCTION("""COMPUTED_VALUE"""),-0.53859746679172)</f>
        <v>-0.5385974668</v>
      </c>
      <c r="E1052" s="16">
        <f>IFERROR(__xludf.DUMMYFUNCTION("""COMPUTED_VALUE"""),-0.24682670213183)</f>
        <v>-0.2468267021</v>
      </c>
      <c r="F1052" s="16">
        <f>IFERROR(__xludf.DUMMYFUNCTION("""COMPUTED_VALUE"""),-0.492193197663909)</f>
        <v>-0.4921931977</v>
      </c>
      <c r="G1052" s="16">
        <f>IFERROR(__xludf.DUMMYFUNCTION("""COMPUTED_VALUE"""),0.637757950992087)</f>
        <v>0.637757951</v>
      </c>
    </row>
    <row r="1053">
      <c r="D1053" s="16">
        <f>IFERROR(__xludf.DUMMYFUNCTION("""COMPUTED_VALUE"""),-0.53859746679172)</f>
        <v>-0.5385974668</v>
      </c>
      <c r="E1053" s="16">
        <f>IFERROR(__xludf.DUMMYFUNCTION("""COMPUTED_VALUE"""),-0.24682670213183)</f>
        <v>-0.2468267021</v>
      </c>
      <c r="F1053" s="16">
        <f>IFERROR(__xludf.DUMMYFUNCTION("""COMPUTED_VALUE"""),-0.492193197663909)</f>
        <v>-0.4921931977</v>
      </c>
      <c r="G1053" s="16">
        <f>IFERROR(__xludf.DUMMYFUNCTION("""COMPUTED_VALUE"""),0.637757950992087)</f>
        <v>0.637757951</v>
      </c>
    </row>
    <row r="1054">
      <c r="D1054" s="16">
        <f>IFERROR(__xludf.DUMMYFUNCTION("""COMPUTED_VALUE"""),-0.53859746679172)</f>
        <v>-0.5385974668</v>
      </c>
      <c r="E1054" s="16">
        <f>IFERROR(__xludf.DUMMYFUNCTION("""COMPUTED_VALUE"""),-0.24682670213183)</f>
        <v>-0.2468267021</v>
      </c>
      <c r="F1054" s="16">
        <f>IFERROR(__xludf.DUMMYFUNCTION("""COMPUTED_VALUE"""),-0.492193197663909)</f>
        <v>-0.4921931977</v>
      </c>
      <c r="G1054" s="16">
        <f>IFERROR(__xludf.DUMMYFUNCTION("""COMPUTED_VALUE"""),0.637757950992087)</f>
        <v>0.637757951</v>
      </c>
    </row>
    <row r="1055">
      <c r="D1055" s="16">
        <f>IFERROR(__xludf.DUMMYFUNCTION("""COMPUTED_VALUE"""),-0.53859746679172)</f>
        <v>-0.5385974668</v>
      </c>
      <c r="E1055" s="16">
        <f>IFERROR(__xludf.DUMMYFUNCTION("""COMPUTED_VALUE"""),-0.24682670213183)</f>
        <v>-0.2468267021</v>
      </c>
      <c r="F1055" s="16">
        <f>IFERROR(__xludf.DUMMYFUNCTION("""COMPUTED_VALUE"""),-0.492193197663909)</f>
        <v>-0.4921931977</v>
      </c>
      <c r="G1055" s="16">
        <f>IFERROR(__xludf.DUMMYFUNCTION("""COMPUTED_VALUE"""),0.637757950992087)</f>
        <v>0.637757951</v>
      </c>
    </row>
    <row r="1056">
      <c r="D1056" s="16">
        <f>IFERROR(__xludf.DUMMYFUNCTION("""COMPUTED_VALUE"""),-0.53859746679172)</f>
        <v>-0.5385974668</v>
      </c>
      <c r="E1056" s="16">
        <f>IFERROR(__xludf.DUMMYFUNCTION("""COMPUTED_VALUE"""),-0.24682670213183)</f>
        <v>-0.2468267021</v>
      </c>
      <c r="F1056" s="16">
        <f>IFERROR(__xludf.DUMMYFUNCTION("""COMPUTED_VALUE"""),-0.492193197663909)</f>
        <v>-0.4921931977</v>
      </c>
      <c r="G1056" s="16">
        <f>IFERROR(__xludf.DUMMYFUNCTION("""COMPUTED_VALUE"""),0.637757950992087)</f>
        <v>0.637757951</v>
      </c>
    </row>
    <row r="1057">
      <c r="D1057" s="16">
        <f>IFERROR(__xludf.DUMMYFUNCTION("""COMPUTED_VALUE"""),-0.53859746679172)</f>
        <v>-0.5385974668</v>
      </c>
      <c r="E1057" s="16">
        <f>IFERROR(__xludf.DUMMYFUNCTION("""COMPUTED_VALUE"""),-0.24682670213183)</f>
        <v>-0.2468267021</v>
      </c>
      <c r="F1057" s="16">
        <f>IFERROR(__xludf.DUMMYFUNCTION("""COMPUTED_VALUE"""),-0.492193197663909)</f>
        <v>-0.4921931977</v>
      </c>
      <c r="G1057" s="16">
        <f>IFERROR(__xludf.DUMMYFUNCTION("""COMPUTED_VALUE"""),0.637757950992087)</f>
        <v>0.637757951</v>
      </c>
    </row>
    <row r="1058">
      <c r="D1058" s="16">
        <f>IFERROR(__xludf.DUMMYFUNCTION("""COMPUTED_VALUE"""),-0.53859746679172)</f>
        <v>-0.5385974668</v>
      </c>
      <c r="E1058" s="16">
        <f>IFERROR(__xludf.DUMMYFUNCTION("""COMPUTED_VALUE"""),-0.24682670213183)</f>
        <v>-0.2468267021</v>
      </c>
      <c r="F1058" s="16">
        <f>IFERROR(__xludf.DUMMYFUNCTION("""COMPUTED_VALUE"""),-0.492193197663909)</f>
        <v>-0.4921931977</v>
      </c>
      <c r="G1058" s="16">
        <f>IFERROR(__xludf.DUMMYFUNCTION("""COMPUTED_VALUE"""),0.637757950992087)</f>
        <v>0.637757951</v>
      </c>
    </row>
    <row r="1059">
      <c r="D1059" s="16">
        <f>IFERROR(__xludf.DUMMYFUNCTION("""COMPUTED_VALUE"""),-0.53859746679172)</f>
        <v>-0.5385974668</v>
      </c>
      <c r="E1059" s="16">
        <f>IFERROR(__xludf.DUMMYFUNCTION("""COMPUTED_VALUE"""),-0.24682670213183)</f>
        <v>-0.2468267021</v>
      </c>
      <c r="F1059" s="16">
        <f>IFERROR(__xludf.DUMMYFUNCTION("""COMPUTED_VALUE"""),-0.492193197663909)</f>
        <v>-0.4921931977</v>
      </c>
      <c r="G1059" s="16">
        <f>IFERROR(__xludf.DUMMYFUNCTION("""COMPUTED_VALUE"""),0.637757950992087)</f>
        <v>0.637757951</v>
      </c>
    </row>
    <row r="1060">
      <c r="D1060" s="16">
        <f>IFERROR(__xludf.DUMMYFUNCTION("""COMPUTED_VALUE"""),-0.53859746679172)</f>
        <v>-0.5385974668</v>
      </c>
      <c r="E1060" s="16">
        <f>IFERROR(__xludf.DUMMYFUNCTION("""COMPUTED_VALUE"""),-0.24682670213183)</f>
        <v>-0.2468267021</v>
      </c>
      <c r="F1060" s="16">
        <f>IFERROR(__xludf.DUMMYFUNCTION("""COMPUTED_VALUE"""),-0.492193197663909)</f>
        <v>-0.4921931977</v>
      </c>
      <c r="G1060" s="16">
        <f>IFERROR(__xludf.DUMMYFUNCTION("""COMPUTED_VALUE"""),0.637757950992087)</f>
        <v>0.637757951</v>
      </c>
    </row>
    <row r="1061">
      <c r="D1061" s="16">
        <f>IFERROR(__xludf.DUMMYFUNCTION("""COMPUTED_VALUE"""),-0.53859746679172)</f>
        <v>-0.5385974668</v>
      </c>
      <c r="E1061" s="16">
        <f>IFERROR(__xludf.DUMMYFUNCTION("""COMPUTED_VALUE"""),-0.24682670213183)</f>
        <v>-0.2468267021</v>
      </c>
      <c r="F1061" s="16">
        <f>IFERROR(__xludf.DUMMYFUNCTION("""COMPUTED_VALUE"""),-0.492193197663909)</f>
        <v>-0.4921931977</v>
      </c>
      <c r="G1061" s="16">
        <f>IFERROR(__xludf.DUMMYFUNCTION("""COMPUTED_VALUE"""),0.637757950992087)</f>
        <v>0.637757951</v>
      </c>
    </row>
    <row r="1062">
      <c r="D1062" s="16">
        <f>IFERROR(__xludf.DUMMYFUNCTION("""COMPUTED_VALUE"""),-0.53859746679172)</f>
        <v>-0.5385974668</v>
      </c>
      <c r="E1062" s="16">
        <f>IFERROR(__xludf.DUMMYFUNCTION("""COMPUTED_VALUE"""),-0.24682670213183)</f>
        <v>-0.2468267021</v>
      </c>
      <c r="F1062" s="16">
        <f>IFERROR(__xludf.DUMMYFUNCTION("""COMPUTED_VALUE"""),-0.492193197663909)</f>
        <v>-0.4921931977</v>
      </c>
      <c r="G1062" s="16">
        <f>IFERROR(__xludf.DUMMYFUNCTION("""COMPUTED_VALUE"""),0.637757950992087)</f>
        <v>0.637757951</v>
      </c>
    </row>
    <row r="1063">
      <c r="D1063" s="16">
        <f>IFERROR(__xludf.DUMMYFUNCTION("""COMPUTED_VALUE"""),-0.53859746679172)</f>
        <v>-0.5385974668</v>
      </c>
      <c r="E1063" s="16">
        <f>IFERROR(__xludf.DUMMYFUNCTION("""COMPUTED_VALUE"""),-0.24682670213183)</f>
        <v>-0.2468267021</v>
      </c>
      <c r="F1063" s="16">
        <f>IFERROR(__xludf.DUMMYFUNCTION("""COMPUTED_VALUE"""),-0.492193197663909)</f>
        <v>-0.4921931977</v>
      </c>
      <c r="G1063" s="16">
        <f>IFERROR(__xludf.DUMMYFUNCTION("""COMPUTED_VALUE"""),0.637757950992087)</f>
        <v>0.637757951</v>
      </c>
    </row>
    <row r="1064">
      <c r="D1064" s="16">
        <f>IFERROR(__xludf.DUMMYFUNCTION("""COMPUTED_VALUE"""),-0.53859746679172)</f>
        <v>-0.5385974668</v>
      </c>
      <c r="E1064" s="16">
        <f>IFERROR(__xludf.DUMMYFUNCTION("""COMPUTED_VALUE"""),-0.24682670213183)</f>
        <v>-0.2468267021</v>
      </c>
      <c r="F1064" s="16">
        <f>IFERROR(__xludf.DUMMYFUNCTION("""COMPUTED_VALUE"""),-0.492193197663909)</f>
        <v>-0.4921931977</v>
      </c>
      <c r="G1064" s="16">
        <f>IFERROR(__xludf.DUMMYFUNCTION("""COMPUTED_VALUE"""),0.637757950992087)</f>
        <v>0.637757951</v>
      </c>
    </row>
    <row r="1065">
      <c r="D1065" s="16">
        <f>IFERROR(__xludf.DUMMYFUNCTION("""COMPUTED_VALUE"""),-0.53859746679172)</f>
        <v>-0.5385974668</v>
      </c>
      <c r="E1065" s="16">
        <f>IFERROR(__xludf.DUMMYFUNCTION("""COMPUTED_VALUE"""),-0.24682670213183)</f>
        <v>-0.2468267021</v>
      </c>
      <c r="F1065" s="16">
        <f>IFERROR(__xludf.DUMMYFUNCTION("""COMPUTED_VALUE"""),-0.492193197663909)</f>
        <v>-0.4921931977</v>
      </c>
      <c r="G1065" s="16">
        <f>IFERROR(__xludf.DUMMYFUNCTION("""COMPUTED_VALUE"""),0.637757950992087)</f>
        <v>0.637757951</v>
      </c>
    </row>
    <row r="1066">
      <c r="D1066" s="16">
        <f>IFERROR(__xludf.DUMMYFUNCTION("""COMPUTED_VALUE"""),-0.53859746679172)</f>
        <v>-0.5385974668</v>
      </c>
      <c r="E1066" s="16">
        <f>IFERROR(__xludf.DUMMYFUNCTION("""COMPUTED_VALUE"""),-0.24682670213183)</f>
        <v>-0.2468267021</v>
      </c>
      <c r="F1066" s="16">
        <f>IFERROR(__xludf.DUMMYFUNCTION("""COMPUTED_VALUE"""),-0.492193197663909)</f>
        <v>-0.4921931977</v>
      </c>
      <c r="G1066" s="16">
        <f>IFERROR(__xludf.DUMMYFUNCTION("""COMPUTED_VALUE"""),0.637757950992087)</f>
        <v>0.637757951</v>
      </c>
    </row>
    <row r="1067">
      <c r="D1067" s="16">
        <f>IFERROR(__xludf.DUMMYFUNCTION("""COMPUTED_VALUE"""),-0.53859746679172)</f>
        <v>-0.5385974668</v>
      </c>
      <c r="E1067" s="16">
        <f>IFERROR(__xludf.DUMMYFUNCTION("""COMPUTED_VALUE"""),-0.24682670213183)</f>
        <v>-0.2468267021</v>
      </c>
      <c r="F1067" s="16">
        <f>IFERROR(__xludf.DUMMYFUNCTION("""COMPUTED_VALUE"""),-0.492193197663909)</f>
        <v>-0.4921931977</v>
      </c>
      <c r="G1067" s="16">
        <f>IFERROR(__xludf.DUMMYFUNCTION("""COMPUTED_VALUE"""),0.637757950992087)</f>
        <v>0.637757951</v>
      </c>
    </row>
    <row r="1068">
      <c r="D1068" s="16">
        <f>IFERROR(__xludf.DUMMYFUNCTION("""COMPUTED_VALUE"""),-0.53859746679172)</f>
        <v>-0.5385974668</v>
      </c>
      <c r="E1068" s="16">
        <f>IFERROR(__xludf.DUMMYFUNCTION("""COMPUTED_VALUE"""),-0.24682670213183)</f>
        <v>-0.2468267021</v>
      </c>
      <c r="F1068" s="16">
        <f>IFERROR(__xludf.DUMMYFUNCTION("""COMPUTED_VALUE"""),-0.492193197663909)</f>
        <v>-0.4921931977</v>
      </c>
      <c r="G1068" s="16">
        <f>IFERROR(__xludf.DUMMYFUNCTION("""COMPUTED_VALUE"""),0.637757950992087)</f>
        <v>0.637757951</v>
      </c>
    </row>
    <row r="1069">
      <c r="D1069" s="16">
        <f>IFERROR(__xludf.DUMMYFUNCTION("""COMPUTED_VALUE"""),-0.53859746679172)</f>
        <v>-0.5385974668</v>
      </c>
      <c r="E1069" s="16">
        <f>IFERROR(__xludf.DUMMYFUNCTION("""COMPUTED_VALUE"""),-0.24682670213183)</f>
        <v>-0.2468267021</v>
      </c>
      <c r="F1069" s="16">
        <f>IFERROR(__xludf.DUMMYFUNCTION("""COMPUTED_VALUE"""),-0.492193197663909)</f>
        <v>-0.4921931977</v>
      </c>
      <c r="G1069" s="16">
        <f>IFERROR(__xludf.DUMMYFUNCTION("""COMPUTED_VALUE"""),0.637757950992087)</f>
        <v>0.637757951</v>
      </c>
    </row>
    <row r="1070">
      <c r="D1070" s="16">
        <f>IFERROR(__xludf.DUMMYFUNCTION("""COMPUTED_VALUE"""),-0.53859746679172)</f>
        <v>-0.5385974668</v>
      </c>
      <c r="E1070" s="16">
        <f>IFERROR(__xludf.DUMMYFUNCTION("""COMPUTED_VALUE"""),-0.24682670213183)</f>
        <v>-0.2468267021</v>
      </c>
      <c r="F1070" s="16">
        <f>IFERROR(__xludf.DUMMYFUNCTION("""COMPUTED_VALUE"""),-0.492193197663909)</f>
        <v>-0.4921931977</v>
      </c>
      <c r="G1070" s="16">
        <f>IFERROR(__xludf.DUMMYFUNCTION("""COMPUTED_VALUE"""),0.637757950992087)</f>
        <v>0.637757951</v>
      </c>
    </row>
    <row r="1071">
      <c r="D1071" s="16">
        <f>IFERROR(__xludf.DUMMYFUNCTION("""COMPUTED_VALUE"""),-0.53859746679172)</f>
        <v>-0.5385974668</v>
      </c>
      <c r="E1071" s="16">
        <f>IFERROR(__xludf.DUMMYFUNCTION("""COMPUTED_VALUE"""),-0.24682670213183)</f>
        <v>-0.2468267021</v>
      </c>
      <c r="F1071" s="16">
        <f>IFERROR(__xludf.DUMMYFUNCTION("""COMPUTED_VALUE"""),-0.492193197663909)</f>
        <v>-0.4921931977</v>
      </c>
      <c r="G1071" s="16">
        <f>IFERROR(__xludf.DUMMYFUNCTION("""COMPUTED_VALUE"""),0.637757950992087)</f>
        <v>0.637757951</v>
      </c>
    </row>
    <row r="1072">
      <c r="D1072" s="16">
        <f>IFERROR(__xludf.DUMMYFUNCTION("""COMPUTED_VALUE"""),-0.53859746679172)</f>
        <v>-0.5385974668</v>
      </c>
      <c r="E1072" s="16">
        <f>IFERROR(__xludf.DUMMYFUNCTION("""COMPUTED_VALUE"""),-0.24682670213183)</f>
        <v>-0.2468267021</v>
      </c>
      <c r="F1072" s="16">
        <f>IFERROR(__xludf.DUMMYFUNCTION("""COMPUTED_VALUE"""),-0.492193197663909)</f>
        <v>-0.4921931977</v>
      </c>
      <c r="G1072" s="16">
        <f>IFERROR(__xludf.DUMMYFUNCTION("""COMPUTED_VALUE"""),0.637757950992087)</f>
        <v>0.637757951</v>
      </c>
    </row>
    <row r="1073">
      <c r="D1073" s="16">
        <f>IFERROR(__xludf.DUMMYFUNCTION("""COMPUTED_VALUE"""),-0.53859746679172)</f>
        <v>-0.5385974668</v>
      </c>
      <c r="E1073" s="16">
        <f>IFERROR(__xludf.DUMMYFUNCTION("""COMPUTED_VALUE"""),-0.24682670213183)</f>
        <v>-0.2468267021</v>
      </c>
      <c r="F1073" s="16">
        <f>IFERROR(__xludf.DUMMYFUNCTION("""COMPUTED_VALUE"""),-0.492193197663909)</f>
        <v>-0.4921931977</v>
      </c>
      <c r="G1073" s="16">
        <f>IFERROR(__xludf.DUMMYFUNCTION("""COMPUTED_VALUE"""),0.637757950992087)</f>
        <v>0.637757951</v>
      </c>
    </row>
    <row r="1074">
      <c r="D1074" s="16">
        <f>IFERROR(__xludf.DUMMYFUNCTION("""COMPUTED_VALUE"""),-0.53859746679172)</f>
        <v>-0.5385974668</v>
      </c>
      <c r="E1074" s="16">
        <f>IFERROR(__xludf.DUMMYFUNCTION("""COMPUTED_VALUE"""),-0.24682670213183)</f>
        <v>-0.2468267021</v>
      </c>
      <c r="F1074" s="16">
        <f>IFERROR(__xludf.DUMMYFUNCTION("""COMPUTED_VALUE"""),-0.492193197663909)</f>
        <v>-0.4921931977</v>
      </c>
      <c r="G1074" s="16">
        <f>IFERROR(__xludf.DUMMYFUNCTION("""COMPUTED_VALUE"""),0.637757950992087)</f>
        <v>0.637757951</v>
      </c>
    </row>
    <row r="1075">
      <c r="D1075" s="16">
        <f>IFERROR(__xludf.DUMMYFUNCTION("""COMPUTED_VALUE"""),-0.53859746679172)</f>
        <v>-0.5385974668</v>
      </c>
      <c r="E1075" s="16">
        <f>IFERROR(__xludf.DUMMYFUNCTION("""COMPUTED_VALUE"""),-0.24682670213183)</f>
        <v>-0.2468267021</v>
      </c>
      <c r="F1075" s="16">
        <f>IFERROR(__xludf.DUMMYFUNCTION("""COMPUTED_VALUE"""),-0.492193197663909)</f>
        <v>-0.4921931977</v>
      </c>
      <c r="G1075" s="16">
        <f>IFERROR(__xludf.DUMMYFUNCTION("""COMPUTED_VALUE"""),0.637757950992087)</f>
        <v>0.637757951</v>
      </c>
    </row>
    <row r="1076">
      <c r="D1076" s="16">
        <f>IFERROR(__xludf.DUMMYFUNCTION("""COMPUTED_VALUE"""),-0.53859746679172)</f>
        <v>-0.5385974668</v>
      </c>
      <c r="E1076" s="16">
        <f>IFERROR(__xludf.DUMMYFUNCTION("""COMPUTED_VALUE"""),-0.24682670213183)</f>
        <v>-0.2468267021</v>
      </c>
      <c r="F1076" s="16">
        <f>IFERROR(__xludf.DUMMYFUNCTION("""COMPUTED_VALUE"""),-0.492193197663909)</f>
        <v>-0.4921931977</v>
      </c>
      <c r="G1076" s="16">
        <f>IFERROR(__xludf.DUMMYFUNCTION("""COMPUTED_VALUE"""),0.637757950992087)</f>
        <v>0.637757951</v>
      </c>
    </row>
    <row r="1077">
      <c r="D1077" s="16">
        <f>IFERROR(__xludf.DUMMYFUNCTION("""COMPUTED_VALUE"""),-0.53859746679172)</f>
        <v>-0.5385974668</v>
      </c>
      <c r="E1077" s="16">
        <f>IFERROR(__xludf.DUMMYFUNCTION("""COMPUTED_VALUE"""),-0.24682670213183)</f>
        <v>-0.2468267021</v>
      </c>
      <c r="F1077" s="16">
        <f>IFERROR(__xludf.DUMMYFUNCTION("""COMPUTED_VALUE"""),-0.492193197663909)</f>
        <v>-0.4921931977</v>
      </c>
      <c r="G1077" s="16">
        <f>IFERROR(__xludf.DUMMYFUNCTION("""COMPUTED_VALUE"""),0.637757950992087)</f>
        <v>0.637757951</v>
      </c>
    </row>
    <row r="1078">
      <c r="D1078" s="16">
        <f>IFERROR(__xludf.DUMMYFUNCTION("""COMPUTED_VALUE"""),-0.53859746679172)</f>
        <v>-0.5385974668</v>
      </c>
      <c r="E1078" s="16">
        <f>IFERROR(__xludf.DUMMYFUNCTION("""COMPUTED_VALUE"""),-0.24682670213183)</f>
        <v>-0.2468267021</v>
      </c>
      <c r="F1078" s="16">
        <f>IFERROR(__xludf.DUMMYFUNCTION("""COMPUTED_VALUE"""),-0.492193197663909)</f>
        <v>-0.4921931977</v>
      </c>
      <c r="G1078" s="16">
        <f>IFERROR(__xludf.DUMMYFUNCTION("""COMPUTED_VALUE"""),0.637757950992087)</f>
        <v>0.637757951</v>
      </c>
    </row>
    <row r="1079">
      <c r="D1079" s="16">
        <f>IFERROR(__xludf.DUMMYFUNCTION("""COMPUTED_VALUE"""),-0.534148092593709)</f>
        <v>-0.5341480926</v>
      </c>
      <c r="E1079" s="16">
        <f>IFERROR(__xludf.DUMMYFUNCTION("""COMPUTED_VALUE"""),-0.247402827136079)</f>
        <v>-0.2474028271</v>
      </c>
      <c r="F1079" s="16">
        <f>IFERROR(__xludf.DUMMYFUNCTION("""COMPUTED_VALUE"""),-0.495260094184879)</f>
        <v>-0.4952600942</v>
      </c>
      <c r="G1079" s="16">
        <f>IFERROR(__xludf.DUMMYFUNCTION("""COMPUTED_VALUE"""),0.638901475512105)</f>
        <v>0.6389014755</v>
      </c>
    </row>
    <row r="1080">
      <c r="D1080" s="16">
        <f>IFERROR(__xludf.DUMMYFUNCTION("""COMPUTED_VALUE"""),-0.531635020277769)</f>
        <v>-0.5316350203</v>
      </c>
      <c r="E1080" s="16">
        <f>IFERROR(__xludf.DUMMYFUNCTION("""COMPUTED_VALUE"""),-0.245456042722174)</f>
        <v>-0.2454560427</v>
      </c>
      <c r="F1080" s="16">
        <f>IFERROR(__xludf.DUMMYFUNCTION("""COMPUTED_VALUE"""),-0.496227821527683)</f>
        <v>-0.4962278215</v>
      </c>
      <c r="G1080" s="16">
        <f>IFERROR(__xludf.DUMMYFUNCTION("""COMPUTED_VALUE"""),0.640994138387628)</f>
        <v>0.6409941384</v>
      </c>
    </row>
    <row r="1081">
      <c r="D1081" s="16">
        <f>IFERROR(__xludf.DUMMYFUNCTION("""COMPUTED_VALUE"""),-0.529113749492642)</f>
        <v>-0.5291137495</v>
      </c>
      <c r="E1081" s="16">
        <f>IFERROR(__xludf.DUMMYFUNCTION("""COMPUTED_VALUE"""),-0.243505473072672)</f>
        <v>-0.2435054731</v>
      </c>
      <c r="F1081" s="16">
        <f>IFERROR(__xludf.DUMMYFUNCTION("""COMPUTED_VALUE"""),-0.497187896424072)</f>
        <v>-0.4971878964</v>
      </c>
      <c r="G1081" s="16">
        <f>IFERROR(__xludf.DUMMYFUNCTION("""COMPUTED_VALUE"""),0.643076916341179)</f>
        <v>0.6430769163</v>
      </c>
    </row>
    <row r="1082">
      <c r="D1082" s="16">
        <f>IFERROR(__xludf.DUMMYFUNCTION("""COMPUTED_VALUE"""),-0.529113749492642)</f>
        <v>-0.5291137495</v>
      </c>
      <c r="E1082" s="16">
        <f>IFERROR(__xludf.DUMMYFUNCTION("""COMPUTED_VALUE"""),-0.243505473072672)</f>
        <v>-0.2435054731</v>
      </c>
      <c r="F1082" s="16">
        <f>IFERROR(__xludf.DUMMYFUNCTION("""COMPUTED_VALUE"""),-0.497187896424072)</f>
        <v>-0.4971878964</v>
      </c>
      <c r="G1082" s="16">
        <f>IFERROR(__xludf.DUMMYFUNCTION("""COMPUTED_VALUE"""),0.643076916341179)</f>
        <v>0.6430769163</v>
      </c>
    </row>
    <row r="1083">
      <c r="D1083" s="16">
        <f>IFERROR(__xludf.DUMMYFUNCTION("""COMPUTED_VALUE"""),-0.529113749492642)</f>
        <v>-0.5291137495</v>
      </c>
      <c r="E1083" s="16">
        <f>IFERROR(__xludf.DUMMYFUNCTION("""COMPUTED_VALUE"""),-0.243505473072672)</f>
        <v>-0.2435054731</v>
      </c>
      <c r="F1083" s="16">
        <f>IFERROR(__xludf.DUMMYFUNCTION("""COMPUTED_VALUE"""),-0.497187896424072)</f>
        <v>-0.4971878964</v>
      </c>
      <c r="G1083" s="16">
        <f>IFERROR(__xludf.DUMMYFUNCTION("""COMPUTED_VALUE"""),0.643076916341179)</f>
        <v>0.6430769163</v>
      </c>
    </row>
    <row r="1084">
      <c r="D1084" s="16">
        <f>IFERROR(__xludf.DUMMYFUNCTION("""COMPUTED_VALUE"""),-0.524046768165103)</f>
        <v>-0.5240467682</v>
      </c>
      <c r="E1084" s="16">
        <f>IFERROR(__xludf.DUMMYFUNCTION("""COMPUTED_VALUE"""),-0.239593098445568)</f>
        <v>-0.2395930984</v>
      </c>
      <c r="F1084" s="16">
        <f>IFERROR(__xludf.DUMMYFUNCTION("""COMPUTED_VALUE"""),-0.499085029773677)</f>
        <v>-0.4990850298</v>
      </c>
      <c r="G1084" s="16">
        <f>IFERROR(__xludf.DUMMYFUNCTION("""COMPUTED_VALUE"""),0.647212689159254)</f>
        <v>0.6472126892</v>
      </c>
    </row>
    <row r="1085">
      <c r="D1085" s="16">
        <f>IFERROR(__xludf.DUMMYFUNCTION("""COMPUTED_VALUE"""),-0.516385783759548)</f>
        <v>-0.5163857838</v>
      </c>
      <c r="E1085" s="16">
        <f>IFERROR(__xludf.DUMMYFUNCTION("""COMPUTED_VALUE"""),-0.233696901115095)</f>
        <v>-0.2336969011</v>
      </c>
      <c r="F1085" s="16">
        <f>IFERROR(__xludf.DUMMYFUNCTION("""COMPUTED_VALUE"""),-0.501872970158925)</f>
        <v>-0.5018729702</v>
      </c>
      <c r="G1085" s="16">
        <f>IFERROR(__xludf.DUMMYFUNCTION("""COMPUTED_VALUE"""),0.653341413476966)</f>
        <v>0.6533414135</v>
      </c>
    </row>
    <row r="1086">
      <c r="D1086" s="16">
        <f>IFERROR(__xludf.DUMMYFUNCTION("""COMPUTED_VALUE"""),-0.513816143045637)</f>
        <v>-0.513816143</v>
      </c>
      <c r="E1086" s="16">
        <f>IFERROR(__xludf.DUMMYFUNCTION("""COMPUTED_VALUE"""),-0.231724253746645)</f>
        <v>-0.2317242537</v>
      </c>
      <c r="F1086" s="16">
        <f>IFERROR(__xludf.DUMMYFUNCTION("""COMPUTED_VALUE"""),-0.502786823606686)</f>
        <v>-0.5027868236</v>
      </c>
      <c r="G1086" s="16">
        <f>IFERROR(__xludf.DUMMYFUNCTION("""COMPUTED_VALUE"""),0.655364212769318)</f>
        <v>0.6553642128</v>
      </c>
    </row>
    <row r="1087">
      <c r="D1087" s="16">
        <f>IFERROR(__xludf.DUMMYFUNCTION("""COMPUTED_VALUE"""),-0.513816143045637)</f>
        <v>-0.513816143</v>
      </c>
      <c r="E1087" s="16">
        <f>IFERROR(__xludf.DUMMYFUNCTION("""COMPUTED_VALUE"""),-0.231724253746645)</f>
        <v>-0.2317242537</v>
      </c>
      <c r="F1087" s="16">
        <f>IFERROR(__xludf.DUMMYFUNCTION("""COMPUTED_VALUE"""),-0.502786823606686)</f>
        <v>-0.5027868236</v>
      </c>
      <c r="G1087" s="16">
        <f>IFERROR(__xludf.DUMMYFUNCTION("""COMPUTED_VALUE"""),0.655364212769318)</f>
        <v>0.6553642128</v>
      </c>
    </row>
    <row r="1088">
      <c r="D1088" s="16">
        <f>IFERROR(__xludf.DUMMYFUNCTION("""COMPUTED_VALUE"""),-0.513816143045637)</f>
        <v>-0.513816143</v>
      </c>
      <c r="E1088" s="16">
        <f>IFERROR(__xludf.DUMMYFUNCTION("""COMPUTED_VALUE"""),-0.231724253746645)</f>
        <v>-0.2317242537</v>
      </c>
      <c r="F1088" s="16">
        <f>IFERROR(__xludf.DUMMYFUNCTION("""COMPUTED_VALUE"""),-0.502786823606686)</f>
        <v>-0.5027868236</v>
      </c>
      <c r="G1088" s="16">
        <f>IFERROR(__xludf.DUMMYFUNCTION("""COMPUTED_VALUE"""),0.655364212769318)</f>
        <v>0.6553642128</v>
      </c>
    </row>
    <row r="1089">
      <c r="D1089" s="16">
        <f>IFERROR(__xludf.DUMMYFUNCTION("""COMPUTED_VALUE"""),-0.513816143045637)</f>
        <v>-0.513816143</v>
      </c>
      <c r="E1089" s="16">
        <f>IFERROR(__xludf.DUMMYFUNCTION("""COMPUTED_VALUE"""),-0.231724253746645)</f>
        <v>-0.2317242537</v>
      </c>
      <c r="F1089" s="16">
        <f>IFERROR(__xludf.DUMMYFUNCTION("""COMPUTED_VALUE"""),-0.502786823606686)</f>
        <v>-0.5027868236</v>
      </c>
      <c r="G1089" s="16">
        <f>IFERROR(__xludf.DUMMYFUNCTION("""COMPUTED_VALUE"""),0.655364212769318)</f>
        <v>0.6553642128</v>
      </c>
    </row>
    <row r="1090">
      <c r="D1090" s="16">
        <f>IFERROR(__xludf.DUMMYFUNCTION("""COMPUTED_VALUE"""),-0.513816143045637)</f>
        <v>-0.513816143</v>
      </c>
      <c r="E1090" s="16">
        <f>IFERROR(__xludf.DUMMYFUNCTION("""COMPUTED_VALUE"""),-0.231724253746645)</f>
        <v>-0.2317242537</v>
      </c>
      <c r="F1090" s="16">
        <f>IFERROR(__xludf.DUMMYFUNCTION("""COMPUTED_VALUE"""),-0.502786823606686)</f>
        <v>-0.5027868236</v>
      </c>
      <c r="G1090" s="16">
        <f>IFERROR(__xludf.DUMMYFUNCTION("""COMPUTED_VALUE"""),0.655364212769318)</f>
        <v>0.6553642128</v>
      </c>
    </row>
    <row r="1091">
      <c r="D1091" s="16">
        <f>IFERROR(__xludf.DUMMYFUNCTION("""COMPUTED_VALUE"""),-0.515786615311267)</f>
        <v>-0.5157866153</v>
      </c>
      <c r="E1091" s="16">
        <f>IFERROR(__xludf.DUMMYFUNCTION("""COMPUTED_VALUE"""),-0.229148864455478)</f>
        <v>-0.2291488645</v>
      </c>
      <c r="F1091" s="16">
        <f>IFERROR(__xludf.DUMMYFUNCTION("""COMPUTED_VALUE"""),-0.500765200780307)</f>
        <v>-0.5007652008</v>
      </c>
      <c r="G1091" s="16">
        <f>IFERROR(__xludf.DUMMYFUNCTION("""COMPUTED_VALUE"""),0.65626913615677)</f>
        <v>0.6562691362</v>
      </c>
    </row>
    <row r="1092">
      <c r="D1092" s="16">
        <f>IFERROR(__xludf.DUMMYFUNCTION("""COMPUTED_VALUE"""),-0.521650186770306)</f>
        <v>-0.5216501868</v>
      </c>
      <c r="E1092" s="16">
        <f>IFERROR(__xludf.DUMMYFUNCTION("""COMPUTED_VALUE"""),-0.221401653164085)</f>
        <v>-0.2214016532</v>
      </c>
      <c r="F1092" s="16">
        <f>IFERROR(__xludf.DUMMYFUNCTION("""COMPUTED_VALUE"""),-0.494654123089355)</f>
        <v>-0.4946541231</v>
      </c>
      <c r="G1092" s="16">
        <f>IFERROR(__xludf.DUMMYFUNCTION("""COMPUTED_VALUE"""),0.658923128391619)</f>
        <v>0.6589231284</v>
      </c>
    </row>
    <row r="1093">
      <c r="D1093" s="16">
        <f>IFERROR(__xludf.DUMMYFUNCTION("""COMPUTED_VALUE"""),-0.529355521124678)</f>
        <v>-0.5293555211</v>
      </c>
      <c r="E1093" s="16">
        <f>IFERROR(__xludf.DUMMYFUNCTION("""COMPUTED_VALUE"""),-0.211024425039765)</f>
        <v>-0.211024425</v>
      </c>
      <c r="F1093" s="16">
        <f>IFERROR(__xludf.DUMMYFUNCTION("""COMPUTED_VALUE"""),-0.486399374076093)</f>
        <v>-0.4863993741</v>
      </c>
      <c r="G1093" s="16">
        <f>IFERROR(__xludf.DUMMYFUNCTION("""COMPUTED_VALUE"""),0.662319464601354)</f>
        <v>0.6623194646</v>
      </c>
    </row>
    <row r="1094">
      <c r="D1094" s="16">
        <f>IFERROR(__xludf.DUMMYFUNCTION("""COMPUTED_VALUE"""),-0.531261520375597)</f>
        <v>-0.5312615204</v>
      </c>
      <c r="E1094" s="16">
        <f>IFERROR(__xludf.DUMMYFUNCTION("""COMPUTED_VALUE"""),-0.208421882218011)</f>
        <v>-0.2084218822</v>
      </c>
      <c r="F1094" s="16">
        <f>IFERROR(__xludf.DUMMYFUNCTION("""COMPUTED_VALUE"""),-0.484316854770721)</f>
        <v>-0.4843168548</v>
      </c>
      <c r="G1094" s="16">
        <f>IFERROR(__xludf.DUMMYFUNCTION("""COMPUTED_VALUE"""),0.663143046533619)</f>
        <v>0.6631430465</v>
      </c>
    </row>
    <row r="1095">
      <c r="D1095" s="16">
        <f>IFERROR(__xludf.DUMMYFUNCTION("""COMPUTED_VALUE"""),-0.533159326917159)</f>
        <v>-0.5331593269</v>
      </c>
      <c r="E1095" s="16">
        <f>IFERROR(__xludf.DUMMYFUNCTION("""COMPUTED_VALUE"""),-0.205816125273195)</f>
        <v>-0.2058161253</v>
      </c>
      <c r="F1095" s="16">
        <f>IFERROR(__xludf.DUMMYFUNCTION("""COMPUTED_VALUE"""),-0.482226866700764)</f>
        <v>-0.4822268667</v>
      </c>
      <c r="G1095" s="16">
        <f>IFERROR(__xludf.DUMMYFUNCTION("""COMPUTED_VALUE"""),0.663956401980368)</f>
        <v>0.663956402</v>
      </c>
    </row>
    <row r="1096">
      <c r="D1096" s="16">
        <f>IFERROR(__xludf.DUMMYFUNCTION("""COMPUTED_VALUE"""),-0.53504891148284)</f>
        <v>-0.5350489115</v>
      </c>
      <c r="E1096" s="16">
        <f>IFERROR(__xludf.DUMMYFUNCTION("""COMPUTED_VALUE"""),-0.20320719438931)</f>
        <v>-0.2032071944</v>
      </c>
      <c r="F1096" s="16">
        <f>IFERROR(__xludf.DUMMYFUNCTION("""COMPUTED_VALUE"""),-0.480129442096423)</f>
        <v>-0.4801294421</v>
      </c>
      <c r="G1096" s="16">
        <f>IFERROR(__xludf.DUMMYFUNCTION("""COMPUTED_VALUE"""),0.664759518398656)</f>
        <v>0.6647595184</v>
      </c>
    </row>
    <row r="1097">
      <c r="D1097" s="16">
        <f>IFERROR(__xludf.DUMMYFUNCTION("""COMPUTED_VALUE"""),-0.536930244932911)</f>
        <v>-0.5369302449</v>
      </c>
      <c r="E1097" s="16">
        <f>IFERROR(__xludf.DUMMYFUNCTION("""COMPUTED_VALUE"""),-0.200595129799294)</f>
        <v>-0.2005951298</v>
      </c>
      <c r="F1097" s="16">
        <f>IFERROR(__xludf.DUMMYFUNCTION("""COMPUTED_VALUE"""),-0.478024613302578)</f>
        <v>-0.4780246133</v>
      </c>
      <c r="G1097" s="16">
        <f>IFERROR(__xludf.DUMMYFUNCTION("""COMPUTED_VALUE"""),0.665552383403434)</f>
        <v>0.6655523834</v>
      </c>
    </row>
    <row r="1098">
      <c r="D1098" s="16">
        <f>IFERROR(__xludf.DUMMYFUNCTION("""COMPUTED_VALUE"""),-0.536930244932911)</f>
        <v>-0.5369302449</v>
      </c>
      <c r="E1098" s="16">
        <f>IFERROR(__xludf.DUMMYFUNCTION("""COMPUTED_VALUE"""),-0.200595129799294)</f>
        <v>-0.2005951298</v>
      </c>
      <c r="F1098" s="16">
        <f>IFERROR(__xludf.DUMMYFUNCTION("""COMPUTED_VALUE"""),-0.478024613302578)</f>
        <v>-0.4780246133</v>
      </c>
      <c r="G1098" s="16">
        <f>IFERROR(__xludf.DUMMYFUNCTION("""COMPUTED_VALUE"""),0.665552383403434)</f>
        <v>0.6655523834</v>
      </c>
    </row>
    <row r="1099">
      <c r="D1099" s="16">
        <f>IFERROR(__xludf.DUMMYFUNCTION("""COMPUTED_VALUE"""),-0.536930244932911)</f>
        <v>-0.5369302449</v>
      </c>
      <c r="E1099" s="16">
        <f>IFERROR(__xludf.DUMMYFUNCTION("""COMPUTED_VALUE"""),-0.200595129799294)</f>
        <v>-0.2005951298</v>
      </c>
      <c r="F1099" s="16">
        <f>IFERROR(__xludf.DUMMYFUNCTION("""COMPUTED_VALUE"""),-0.478024613302578)</f>
        <v>-0.4780246133</v>
      </c>
      <c r="G1099" s="16">
        <f>IFERROR(__xludf.DUMMYFUNCTION("""COMPUTED_VALUE"""),0.665552383403434)</f>
        <v>0.6655523834</v>
      </c>
    </row>
    <row r="1100">
      <c r="D1100" s="16">
        <f>IFERROR(__xludf.DUMMYFUNCTION("""COMPUTED_VALUE"""),-0.536930244932911)</f>
        <v>-0.5369302449</v>
      </c>
      <c r="E1100" s="16">
        <f>IFERROR(__xludf.DUMMYFUNCTION("""COMPUTED_VALUE"""),-0.200595129799294)</f>
        <v>-0.2005951298</v>
      </c>
      <c r="F1100" s="16">
        <f>IFERROR(__xludf.DUMMYFUNCTION("""COMPUTED_VALUE"""),-0.478024613302578)</f>
        <v>-0.4780246133</v>
      </c>
      <c r="G1100" s="16">
        <f>IFERROR(__xludf.DUMMYFUNCTION("""COMPUTED_VALUE"""),0.665552383403434)</f>
        <v>0.6655523834</v>
      </c>
    </row>
    <row r="1101">
      <c r="D1101" s="16">
        <f>IFERROR(__xludf.DUMMYFUNCTION("""COMPUTED_VALUE"""),-0.536930244932911)</f>
        <v>-0.5369302449</v>
      </c>
      <c r="E1101" s="16">
        <f>IFERROR(__xludf.DUMMYFUNCTION("""COMPUTED_VALUE"""),-0.200595129799294)</f>
        <v>-0.2005951298</v>
      </c>
      <c r="F1101" s="16">
        <f>IFERROR(__xludf.DUMMYFUNCTION("""COMPUTED_VALUE"""),-0.478024613302578)</f>
        <v>-0.4780246133</v>
      </c>
      <c r="G1101" s="16">
        <f>IFERROR(__xludf.DUMMYFUNCTION("""COMPUTED_VALUE"""),0.665552383403434)</f>
        <v>0.6655523834</v>
      </c>
    </row>
    <row r="1102">
      <c r="D1102" s="16">
        <f>IFERROR(__xludf.DUMMYFUNCTION("""COMPUTED_VALUE"""),-0.536930244932911)</f>
        <v>-0.5369302449</v>
      </c>
      <c r="E1102" s="16">
        <f>IFERROR(__xludf.DUMMYFUNCTION("""COMPUTED_VALUE"""),-0.200595129799294)</f>
        <v>-0.2005951298</v>
      </c>
      <c r="F1102" s="16">
        <f>IFERROR(__xludf.DUMMYFUNCTION("""COMPUTED_VALUE"""),-0.478024613302578)</f>
        <v>-0.4780246133</v>
      </c>
      <c r="G1102" s="16">
        <f>IFERROR(__xludf.DUMMYFUNCTION("""COMPUTED_VALUE"""),0.665552383403434)</f>
        <v>0.6655523834</v>
      </c>
    </row>
    <row r="1103">
      <c r="D1103" s="16">
        <f>IFERROR(__xludf.DUMMYFUNCTION("""COMPUTED_VALUE"""),-0.536930244932911)</f>
        <v>-0.5369302449</v>
      </c>
      <c r="E1103" s="16">
        <f>IFERROR(__xludf.DUMMYFUNCTION("""COMPUTED_VALUE"""),-0.200595129799294)</f>
        <v>-0.2005951298</v>
      </c>
      <c r="F1103" s="16">
        <f>IFERROR(__xludf.DUMMYFUNCTION("""COMPUTED_VALUE"""),-0.478024613302578)</f>
        <v>-0.4780246133</v>
      </c>
      <c r="G1103" s="16">
        <f>IFERROR(__xludf.DUMMYFUNCTION("""COMPUTED_VALUE"""),0.665552383403434)</f>
        <v>0.6655523834</v>
      </c>
    </row>
    <row r="1104">
      <c r="D1104" s="16">
        <f>IFERROR(__xludf.DUMMYFUNCTION("""COMPUTED_VALUE"""),-0.536930244932911)</f>
        <v>-0.5369302449</v>
      </c>
      <c r="E1104" s="16">
        <f>IFERROR(__xludf.DUMMYFUNCTION("""COMPUTED_VALUE"""),-0.200595129799294)</f>
        <v>-0.2005951298</v>
      </c>
      <c r="F1104" s="16">
        <f>IFERROR(__xludf.DUMMYFUNCTION("""COMPUTED_VALUE"""),-0.478024613302578)</f>
        <v>-0.4780246133</v>
      </c>
      <c r="G1104" s="16">
        <f>IFERROR(__xludf.DUMMYFUNCTION("""COMPUTED_VALUE"""),0.665552383403434)</f>
        <v>0.6655523834</v>
      </c>
    </row>
    <row r="1105">
      <c r="D1105" s="16">
        <f>IFERROR(__xludf.DUMMYFUNCTION("""COMPUTED_VALUE"""),-0.536930244932911)</f>
        <v>-0.5369302449</v>
      </c>
      <c r="E1105" s="16">
        <f>IFERROR(__xludf.DUMMYFUNCTION("""COMPUTED_VALUE"""),-0.200595129799294)</f>
        <v>-0.2005951298</v>
      </c>
      <c r="F1105" s="16">
        <f>IFERROR(__xludf.DUMMYFUNCTION("""COMPUTED_VALUE"""),-0.478024613302578)</f>
        <v>-0.4780246133</v>
      </c>
      <c r="G1105" s="16">
        <f>IFERROR(__xludf.DUMMYFUNCTION("""COMPUTED_VALUE"""),0.665552383403434)</f>
        <v>0.6655523834</v>
      </c>
    </row>
    <row r="1106">
      <c r="D1106" s="16">
        <f>IFERROR(__xludf.DUMMYFUNCTION("""COMPUTED_VALUE"""),-0.536930244932911)</f>
        <v>-0.5369302449</v>
      </c>
      <c r="E1106" s="16">
        <f>IFERROR(__xludf.DUMMYFUNCTION("""COMPUTED_VALUE"""),-0.200595129799294)</f>
        <v>-0.2005951298</v>
      </c>
      <c r="F1106" s="16">
        <f>IFERROR(__xludf.DUMMYFUNCTION("""COMPUTED_VALUE"""),-0.478024613302578)</f>
        <v>-0.4780246133</v>
      </c>
      <c r="G1106" s="16">
        <f>IFERROR(__xludf.DUMMYFUNCTION("""COMPUTED_VALUE"""),0.665552383403434)</f>
        <v>0.6655523834</v>
      </c>
    </row>
    <row r="1107">
      <c r="D1107" s="16">
        <f>IFERROR(__xludf.DUMMYFUNCTION("""COMPUTED_VALUE"""),-0.536930244932911)</f>
        <v>-0.5369302449</v>
      </c>
      <c r="E1107" s="16">
        <f>IFERROR(__xludf.DUMMYFUNCTION("""COMPUTED_VALUE"""),-0.200595129799294)</f>
        <v>-0.2005951298</v>
      </c>
      <c r="F1107" s="16">
        <f>IFERROR(__xludf.DUMMYFUNCTION("""COMPUTED_VALUE"""),-0.478024613302578)</f>
        <v>-0.4780246133</v>
      </c>
      <c r="G1107" s="16">
        <f>IFERROR(__xludf.DUMMYFUNCTION("""COMPUTED_VALUE"""),0.665552383403434)</f>
        <v>0.6655523834</v>
      </c>
    </row>
    <row r="1108">
      <c r="D1108" s="16">
        <f>IFERROR(__xludf.DUMMYFUNCTION("""COMPUTED_VALUE"""),-0.542140867040339)</f>
        <v>-0.542140867</v>
      </c>
      <c r="E1108" s="16">
        <f>IFERROR(__xludf.DUMMYFUNCTION("""COMPUTED_VALUE"""),-0.204343300796817)</f>
        <v>-0.2043433008</v>
      </c>
      <c r="F1108" s="16">
        <f>IFERROR(__xludf.DUMMYFUNCTION("""COMPUTED_VALUE"""),-0.476434415677264)</f>
        <v>-0.4764344157</v>
      </c>
      <c r="G1108" s="16">
        <f>IFERROR(__xludf.DUMMYFUNCTION("""COMPUTED_VALUE"""),0.661314859399407)</f>
        <v>0.6613148594</v>
      </c>
    </row>
    <row r="1109">
      <c r="D1109" s="16">
        <f>IFERROR(__xludf.DUMMYFUNCTION("""COMPUTED_VALUE"""),-0.547318047347369)</f>
        <v>-0.5473180473</v>
      </c>
      <c r="E1109" s="16">
        <f>IFERROR(__xludf.DUMMYFUNCTION("""COMPUTED_VALUE"""),-0.208078866937755)</f>
        <v>-0.2080788669</v>
      </c>
      <c r="F1109" s="16">
        <f>IFERROR(__xludf.DUMMYFUNCTION("""COMPUTED_VALUE"""),-0.474814829334737)</f>
        <v>-0.4748148293</v>
      </c>
      <c r="G1109" s="16">
        <f>IFERROR(__xludf.DUMMYFUNCTION("""COMPUTED_VALUE"""),0.657036542382211)</f>
        <v>0.6570365424</v>
      </c>
    </row>
    <row r="1110">
      <c r="D1110" s="16">
        <f>IFERROR(__xludf.DUMMYFUNCTION("""COMPUTED_VALUE"""),-0.552461466501151)</f>
        <v>-0.5524614665</v>
      </c>
      <c r="E1110" s="16">
        <f>IFERROR(__xludf.DUMMYFUNCTION("""COMPUTED_VALUE"""),-0.211801597794806)</f>
        <v>-0.2118015978</v>
      </c>
      <c r="F1110" s="16">
        <f>IFERROR(__xludf.DUMMYFUNCTION("""COMPUTED_VALUE"""),-0.473165954178703)</f>
        <v>-0.4731659542</v>
      </c>
      <c r="G1110" s="16">
        <f>IFERROR(__xludf.DUMMYFUNCTION("""COMPUTED_VALUE"""),0.652717696258577)</f>
        <v>0.6527176963</v>
      </c>
    </row>
    <row r="1111">
      <c r="D1111" s="16">
        <f>IFERROR(__xludf.DUMMYFUNCTION("""COMPUTED_VALUE"""),-0.552461466501151)</f>
        <v>-0.5524614665</v>
      </c>
      <c r="E1111" s="16">
        <f>IFERROR(__xludf.DUMMYFUNCTION("""COMPUTED_VALUE"""),-0.211801597794806)</f>
        <v>-0.2118015978</v>
      </c>
      <c r="F1111" s="16">
        <f>IFERROR(__xludf.DUMMYFUNCTION("""COMPUTED_VALUE"""),-0.473165954178703)</f>
        <v>-0.4731659542</v>
      </c>
      <c r="G1111" s="16">
        <f>IFERROR(__xludf.DUMMYFUNCTION("""COMPUTED_VALUE"""),0.652717696258577)</f>
        <v>0.6527176963</v>
      </c>
    </row>
    <row r="1112">
      <c r="D1112" s="16">
        <f>IFERROR(__xludf.DUMMYFUNCTION("""COMPUTED_VALUE"""),-0.55502041641672)</f>
        <v>-0.5550204164</v>
      </c>
      <c r="E1112" s="16">
        <f>IFERROR(__xludf.DUMMYFUNCTION("""COMPUTED_VALUE"""),-0.213658078199446)</f>
        <v>-0.2136580782</v>
      </c>
      <c r="F1112" s="16">
        <f>IFERROR(__xludf.DUMMYFUNCTION("""COMPUTED_VALUE"""),-0.472330565009713)</f>
        <v>-0.472330565</v>
      </c>
      <c r="G1112" s="16">
        <f>IFERROR(__xludf.DUMMYFUNCTION("""COMPUTED_VALUE"""),0.650543157936749)</f>
        <v>0.6505431579</v>
      </c>
    </row>
    <row r="1113">
      <c r="D1113" s="16">
        <f>IFERROR(__xludf.DUMMYFUNCTION("""COMPUTED_VALUE"""),-0.557570807231385)</f>
        <v>-0.5575708072</v>
      </c>
      <c r="E1113" s="16">
        <f>IFERROR(__xludf.DUMMYFUNCTION("""COMPUTED_VALUE"""),-0.215511263732408)</f>
        <v>-0.2155112637</v>
      </c>
      <c r="F1113" s="16">
        <f>IFERROR(__xludf.DUMMYFUNCTION("""COMPUTED_VALUE"""),-0.471487891919544)</f>
        <v>-0.4714878919</v>
      </c>
      <c r="G1113" s="16">
        <f>IFERROR(__xludf.DUMMYFUNCTION("""COMPUTED_VALUE"""),0.648358587435263)</f>
        <v>0.6483585874</v>
      </c>
    </row>
    <row r="1114">
      <c r="D1114" s="16">
        <f>IFERROR(__xludf.DUMMYFUNCTION("""COMPUTED_VALUE"""),-0.557570807231385)</f>
        <v>-0.5575708072</v>
      </c>
      <c r="E1114" s="16">
        <f>IFERROR(__xludf.DUMMYFUNCTION("""COMPUTED_VALUE"""),-0.215511263732408)</f>
        <v>-0.2155112637</v>
      </c>
      <c r="F1114" s="16">
        <f>IFERROR(__xludf.DUMMYFUNCTION("""COMPUTED_VALUE"""),-0.471487891919544)</f>
        <v>-0.4714878919</v>
      </c>
      <c r="G1114" s="16">
        <f>IFERROR(__xludf.DUMMYFUNCTION("""COMPUTED_VALUE"""),0.648358587435263)</f>
        <v>0.6483585874</v>
      </c>
    </row>
    <row r="1115">
      <c r="D1115" s="16">
        <f>IFERROR(__xludf.DUMMYFUNCTION("""COMPUTED_VALUE"""),-0.56079324770079)</f>
        <v>-0.5607932477</v>
      </c>
      <c r="E1115" s="16">
        <f>IFERROR(__xludf.DUMMYFUNCTION("""COMPUTED_VALUE"""),-0.221743422233774)</f>
        <v>-0.2217434222</v>
      </c>
      <c r="F1115" s="16">
        <f>IFERROR(__xludf.DUMMYFUNCTION("""COMPUTED_VALUE"""),-0.471976665024775)</f>
        <v>-0.471976665</v>
      </c>
      <c r="G1115" s="16">
        <f>IFERROR(__xludf.DUMMYFUNCTION("""COMPUTED_VALUE"""),0.643100937412882)</f>
        <v>0.6431009374</v>
      </c>
    </row>
    <row r="1116">
      <c r="D1116" s="16">
        <f>IFERROR(__xludf.DUMMYFUNCTION("""COMPUTED_VALUE"""),-0.56079324770079)</f>
        <v>-0.5607932477</v>
      </c>
      <c r="E1116" s="16">
        <f>IFERROR(__xludf.DUMMYFUNCTION("""COMPUTED_VALUE"""),-0.221743422233774)</f>
        <v>-0.2217434222</v>
      </c>
      <c r="F1116" s="16">
        <f>IFERROR(__xludf.DUMMYFUNCTION("""COMPUTED_VALUE"""),-0.471976665024775)</f>
        <v>-0.471976665</v>
      </c>
      <c r="G1116" s="16">
        <f>IFERROR(__xludf.DUMMYFUNCTION("""COMPUTED_VALUE"""),0.643100937412882)</f>
        <v>0.6431009374</v>
      </c>
    </row>
    <row r="1117">
      <c r="D1117" s="16">
        <f>IFERROR(__xludf.DUMMYFUNCTION("""COMPUTED_VALUE"""),-0.558935480427817)</f>
        <v>-0.5589354804</v>
      </c>
      <c r="E1117" s="16">
        <f>IFERROR(__xludf.DUMMYFUNCTION("""COMPUTED_VALUE"""),-0.224267157364384)</f>
        <v>-0.2242671574</v>
      </c>
      <c r="F1117" s="16">
        <f>IFERROR(__xludf.DUMMYFUNCTION("""COMPUTED_VALUE"""),-0.47417525000113)</f>
        <v>-0.47417525</v>
      </c>
      <c r="G1117" s="16">
        <f>IFERROR(__xludf.DUMMYFUNCTION("""COMPUTED_VALUE"""),0.642225196588371)</f>
        <v>0.6422251966</v>
      </c>
    </row>
    <row r="1118">
      <c r="D1118" s="16">
        <f>IFERROR(__xludf.DUMMYFUNCTION("""COMPUTED_VALUE"""),-0.558935480427817)</f>
        <v>-0.5589354804</v>
      </c>
      <c r="E1118" s="16">
        <f>IFERROR(__xludf.DUMMYFUNCTION("""COMPUTED_VALUE"""),-0.224267157364384)</f>
        <v>-0.2242671574</v>
      </c>
      <c r="F1118" s="16">
        <f>IFERROR(__xludf.DUMMYFUNCTION("""COMPUTED_VALUE"""),-0.47417525000113)</f>
        <v>-0.47417525</v>
      </c>
      <c r="G1118" s="16">
        <f>IFERROR(__xludf.DUMMYFUNCTION("""COMPUTED_VALUE"""),0.642225196588371)</f>
        <v>0.6422251966</v>
      </c>
    </row>
    <row r="1119">
      <c r="D1119" s="16">
        <f>IFERROR(__xludf.DUMMYFUNCTION("""COMPUTED_VALUE"""),-0.558935480427817)</f>
        <v>-0.5589354804</v>
      </c>
      <c r="E1119" s="16">
        <f>IFERROR(__xludf.DUMMYFUNCTION("""COMPUTED_VALUE"""),-0.224267157364384)</f>
        <v>-0.2242671574</v>
      </c>
      <c r="F1119" s="16">
        <f>IFERROR(__xludf.DUMMYFUNCTION("""COMPUTED_VALUE"""),-0.47417525000113)</f>
        <v>-0.47417525</v>
      </c>
      <c r="G1119" s="16">
        <f>IFERROR(__xludf.DUMMYFUNCTION("""COMPUTED_VALUE"""),0.642225196588371)</f>
        <v>0.6422251966</v>
      </c>
    </row>
    <row r="1120">
      <c r="D1120" s="16">
        <f>IFERROR(__xludf.DUMMYFUNCTION("""COMPUTED_VALUE"""),-0.556409164797588)</f>
        <v>-0.5564091648</v>
      </c>
      <c r="E1120" s="16">
        <f>IFERROR(__xludf.DUMMYFUNCTION("""COMPUTED_VALUE"""),-0.222403351114999)</f>
        <v>-0.2224033511</v>
      </c>
      <c r="F1120" s="16">
        <f>IFERROR(__xludf.DUMMYFUNCTION("""COMPUTED_VALUE"""),-0.475052286594595)</f>
        <v>-0.4750522866</v>
      </c>
      <c r="G1120" s="16">
        <f>IFERROR(__xludf.DUMMYFUNCTION("""COMPUTED_VALUE"""),0.644415173427269)</f>
        <v>0.6444151734</v>
      </c>
    </row>
    <row r="1121">
      <c r="D1121" s="16">
        <f>IFERROR(__xludf.DUMMYFUNCTION("""COMPUTED_VALUE"""),-0.543649662686433)</f>
        <v>-0.5436496627</v>
      </c>
      <c r="E1121" s="16">
        <f>IFERROR(__xludf.DUMMYFUNCTION("""COMPUTED_VALUE"""),-0.213033450534911)</f>
        <v>-0.2130334505</v>
      </c>
      <c r="F1121" s="16">
        <f>IFERROR(__xludf.DUMMYFUNCTION("""COMPUTED_VALUE"""),-0.479327314618231)</f>
        <v>-0.4793273146</v>
      </c>
      <c r="G1121" s="16">
        <f>IFERROR(__xludf.DUMMYFUNCTION("""COMPUTED_VALUE"""),0.655215322375)</f>
        <v>0.6552153224</v>
      </c>
    </row>
    <row r="1122">
      <c r="D1122" s="16">
        <f>IFERROR(__xludf.DUMMYFUNCTION("""COMPUTED_VALUE"""),-0.530680573293955)</f>
        <v>-0.5306805733</v>
      </c>
      <c r="E1122" s="16">
        <f>IFERROR(__xludf.DUMMYFUNCTION("""COMPUTED_VALUE"""),-0.203581421509257)</f>
        <v>-0.2035814215</v>
      </c>
      <c r="F1122" s="16">
        <f>IFERROR(__xludf.DUMMYFUNCTION("""COMPUTED_VALUE"""),-0.483417552848679)</f>
        <v>-0.4834175528</v>
      </c>
      <c r="G1122" s="16">
        <f>IFERROR(__xludf.DUMMYFUNCTION("""COMPUTED_VALUE"""),0.66576287335841)</f>
        <v>0.6657628734</v>
      </c>
    </row>
    <row r="1123">
      <c r="D1123" s="16">
        <f>IFERROR(__xludf.DUMMYFUNCTION("""COMPUTED_VALUE"""),-0.525435370389211)</f>
        <v>-0.5254353704</v>
      </c>
      <c r="E1123" s="16">
        <f>IFERROR(__xludf.DUMMYFUNCTION("""COMPUTED_VALUE"""),-0.199778429144281)</f>
        <v>-0.1997784291</v>
      </c>
      <c r="F1123" s="16">
        <f>IFERROR(__xludf.DUMMYFUNCTION("""COMPUTED_VALUE"""),-0.485001551373373)</f>
        <v>-0.4850015514</v>
      </c>
      <c r="G1123" s="16">
        <f>IFERROR(__xludf.DUMMYFUNCTION("""COMPUTED_VALUE"""),0.669910252166661)</f>
        <v>0.6699102522</v>
      </c>
    </row>
    <row r="1124">
      <c r="D1124" s="16">
        <f>IFERROR(__xludf.DUMMYFUNCTION("""COMPUTED_VALUE"""),-0.522800594389182)</f>
        <v>-0.5228005944</v>
      </c>
      <c r="E1124" s="16">
        <f>IFERROR(__xludf.DUMMYFUNCTION("""COMPUTED_VALUE"""),-0.197872297042595)</f>
        <v>-0.197872297</v>
      </c>
      <c r="F1124" s="16">
        <f>IFERROR(__xludf.DUMMYFUNCTION("""COMPUTED_VALUE"""),-0.485782337728557)</f>
        <v>-0.4857823377</v>
      </c>
      <c r="G1124" s="16">
        <f>IFERROR(__xludf.DUMMYFUNCTION("""COMPUTED_VALUE"""),0.671968461254221)</f>
        <v>0.6719684613</v>
      </c>
    </row>
    <row r="1125">
      <c r="D1125" s="16">
        <f>IFERROR(__xludf.DUMMYFUNCTION("""COMPUTED_VALUE"""),-0.517506896450694)</f>
        <v>-0.5175068965</v>
      </c>
      <c r="E1125" s="16">
        <f>IFERROR(__xludf.DUMMYFUNCTION("""COMPUTED_VALUE"""),-0.194050907974938)</f>
        <v>-0.194050908</v>
      </c>
      <c r="F1125" s="16">
        <f>IFERROR(__xludf.DUMMYFUNCTION("""COMPUTED_VALUE"""),-0.487321424421334)</f>
        <v>-0.4873214244</v>
      </c>
      <c r="G1125" s="16">
        <f>IFERROR(__xludf.DUMMYFUNCTION("""COMPUTED_VALUE"""),0.676053760096058)</f>
        <v>0.6760537601</v>
      </c>
    </row>
    <row r="1126">
      <c r="D1126" s="16">
        <f>IFERROR(__xludf.DUMMYFUNCTION("""COMPUTED_VALUE"""),-0.514090981749612)</f>
        <v>-0.5140909817</v>
      </c>
      <c r="E1126" s="16">
        <f>IFERROR(__xludf.DUMMYFUNCTION("""COMPUTED_VALUE"""),-0.187561239823019)</f>
        <v>-0.1875612398</v>
      </c>
      <c r="F1126" s="16">
        <f>IFERROR(__xludf.DUMMYFUNCTION("""COMPUTED_VALUE"""),-0.48679447075387)</f>
        <v>-0.4867944708</v>
      </c>
      <c r="G1126" s="16">
        <f>IFERROR(__xludf.DUMMYFUNCTION("""COMPUTED_VALUE"""),0.680854159892715)</f>
        <v>0.6808541599</v>
      </c>
    </row>
    <row r="1127">
      <c r="D1127" s="16">
        <f>IFERROR(__xludf.DUMMYFUNCTION("""COMPUTED_VALUE"""),-0.510635427660158)</f>
        <v>-0.5106354277</v>
      </c>
      <c r="E1127" s="16">
        <f>IFERROR(__xludf.DUMMYFUNCTION("""COMPUTED_VALUE"""),-0.181057109614591)</f>
        <v>-0.1810571096</v>
      </c>
      <c r="F1127" s="16">
        <f>IFERROR(__xludf.DUMMYFUNCTION("""COMPUTED_VALUE"""),-0.486229982416924)</f>
        <v>-0.4862299824</v>
      </c>
      <c r="G1127" s="16">
        <f>IFERROR(__xludf.DUMMYFUNCTION("""COMPUTED_VALUE"""),0.685602061895351)</f>
        <v>0.6856020619</v>
      </c>
    </row>
    <row r="1128">
      <c r="D1128" s="16">
        <f>IFERROR(__xludf.DUMMYFUNCTION("""COMPUTED_VALUE"""),-0.510635427660158)</f>
        <v>-0.5106354277</v>
      </c>
      <c r="E1128" s="16">
        <f>IFERROR(__xludf.DUMMYFUNCTION("""COMPUTED_VALUE"""),-0.181057109614591)</f>
        <v>-0.1810571096</v>
      </c>
      <c r="F1128" s="16">
        <f>IFERROR(__xludf.DUMMYFUNCTION("""COMPUTED_VALUE"""),-0.486229982416924)</f>
        <v>-0.4862299824</v>
      </c>
      <c r="G1128" s="16">
        <f>IFERROR(__xludf.DUMMYFUNCTION("""COMPUTED_VALUE"""),0.685602061895351)</f>
        <v>0.6856020619</v>
      </c>
    </row>
    <row r="1129">
      <c r="D1129" s="16">
        <f>IFERROR(__xludf.DUMMYFUNCTION("""COMPUTED_VALUE"""),-0.510635427660158)</f>
        <v>-0.5106354277</v>
      </c>
      <c r="E1129" s="16">
        <f>IFERROR(__xludf.DUMMYFUNCTION("""COMPUTED_VALUE"""),-0.181057109614591)</f>
        <v>-0.1810571096</v>
      </c>
      <c r="F1129" s="16">
        <f>IFERROR(__xludf.DUMMYFUNCTION("""COMPUTED_VALUE"""),-0.486229982416924)</f>
        <v>-0.4862299824</v>
      </c>
      <c r="G1129" s="16">
        <f>IFERROR(__xludf.DUMMYFUNCTION("""COMPUTED_VALUE"""),0.685602061895351)</f>
        <v>0.6856020619</v>
      </c>
    </row>
    <row r="1130">
      <c r="D1130" s="16">
        <f>IFERROR(__xludf.DUMMYFUNCTION("""COMPUTED_VALUE"""),-0.510635427660158)</f>
        <v>-0.5106354277</v>
      </c>
      <c r="E1130" s="16">
        <f>IFERROR(__xludf.DUMMYFUNCTION("""COMPUTED_VALUE"""),-0.181057109614591)</f>
        <v>-0.1810571096</v>
      </c>
      <c r="F1130" s="16">
        <f>IFERROR(__xludf.DUMMYFUNCTION("""COMPUTED_VALUE"""),-0.486229982416924)</f>
        <v>-0.4862299824</v>
      </c>
      <c r="G1130" s="16">
        <f>IFERROR(__xludf.DUMMYFUNCTION("""COMPUTED_VALUE"""),0.685602061895351)</f>
        <v>0.6856020619</v>
      </c>
    </row>
    <row r="1131">
      <c r="D1131" s="16">
        <f>IFERROR(__xludf.DUMMYFUNCTION("""COMPUTED_VALUE"""),-0.510635427660158)</f>
        <v>-0.5106354277</v>
      </c>
      <c r="E1131" s="16">
        <f>IFERROR(__xludf.DUMMYFUNCTION("""COMPUTED_VALUE"""),-0.181057109614591)</f>
        <v>-0.1810571096</v>
      </c>
      <c r="F1131" s="16">
        <f>IFERROR(__xludf.DUMMYFUNCTION("""COMPUTED_VALUE"""),-0.486229982416924)</f>
        <v>-0.4862299824</v>
      </c>
      <c r="G1131" s="16">
        <f>IFERROR(__xludf.DUMMYFUNCTION("""COMPUTED_VALUE"""),0.685602061895351)</f>
        <v>0.6856020619</v>
      </c>
    </row>
    <row r="1132">
      <c r="D1132" s="16">
        <f>IFERROR(__xludf.DUMMYFUNCTION("""COMPUTED_VALUE"""),-0.510635427660158)</f>
        <v>-0.5106354277</v>
      </c>
      <c r="E1132" s="16">
        <f>IFERROR(__xludf.DUMMYFUNCTION("""COMPUTED_VALUE"""),-0.181057109614591)</f>
        <v>-0.1810571096</v>
      </c>
      <c r="F1132" s="16">
        <f>IFERROR(__xludf.DUMMYFUNCTION("""COMPUTED_VALUE"""),-0.486229982416924)</f>
        <v>-0.4862299824</v>
      </c>
      <c r="G1132" s="16">
        <f>IFERROR(__xludf.DUMMYFUNCTION("""COMPUTED_VALUE"""),0.685602061895351)</f>
        <v>0.6856020619</v>
      </c>
    </row>
    <row r="1133">
      <c r="D1133" s="16">
        <f>IFERROR(__xludf.DUMMYFUNCTION("""COMPUTED_VALUE"""),-0.510635427660158)</f>
        <v>-0.5106354277</v>
      </c>
      <c r="E1133" s="16">
        <f>IFERROR(__xludf.DUMMYFUNCTION("""COMPUTED_VALUE"""),-0.181057109614591)</f>
        <v>-0.1810571096</v>
      </c>
      <c r="F1133" s="16">
        <f>IFERROR(__xludf.DUMMYFUNCTION("""COMPUTED_VALUE"""),-0.486229982416924)</f>
        <v>-0.4862299824</v>
      </c>
      <c r="G1133" s="16">
        <f>IFERROR(__xludf.DUMMYFUNCTION("""COMPUTED_VALUE"""),0.685602061895351)</f>
        <v>0.6856020619</v>
      </c>
    </row>
    <row r="1134">
      <c r="D1134" s="16">
        <f>IFERROR(__xludf.DUMMYFUNCTION("""COMPUTED_VALUE"""),-0.510635427660158)</f>
        <v>-0.5106354277</v>
      </c>
      <c r="E1134" s="16">
        <f>IFERROR(__xludf.DUMMYFUNCTION("""COMPUTED_VALUE"""),-0.181057109614591)</f>
        <v>-0.1810571096</v>
      </c>
      <c r="F1134" s="16">
        <f>IFERROR(__xludf.DUMMYFUNCTION("""COMPUTED_VALUE"""),-0.486229982416924)</f>
        <v>-0.4862299824</v>
      </c>
      <c r="G1134" s="16">
        <f>IFERROR(__xludf.DUMMYFUNCTION("""COMPUTED_VALUE"""),0.685602061895351)</f>
        <v>0.6856020619</v>
      </c>
    </row>
    <row r="1135">
      <c r="D1135" s="16">
        <f>IFERROR(__xludf.DUMMYFUNCTION("""COMPUTED_VALUE"""),-0.517129633982845)</f>
        <v>-0.517129634</v>
      </c>
      <c r="E1135" s="16">
        <f>IFERROR(__xludf.DUMMYFUNCTION("""COMPUTED_VALUE"""),-0.177567028045325)</f>
        <v>-0.177567028</v>
      </c>
      <c r="F1135" s="16">
        <f>IFERROR(__xludf.DUMMYFUNCTION("""COMPUTED_VALUE"""),-0.481500349874995)</f>
        <v>-0.4815003499</v>
      </c>
      <c r="G1135" s="16">
        <f>IFERROR(__xludf.DUMMYFUNCTION("""COMPUTED_VALUE"""),0.684984894197062)</f>
        <v>0.6849848942</v>
      </c>
    </row>
    <row r="1136">
      <c r="D1136" s="16">
        <f>IFERROR(__xludf.DUMMYFUNCTION("""COMPUTED_VALUE"""),-0.523575686865193)</f>
        <v>-0.5235756869</v>
      </c>
      <c r="E1136" s="16">
        <f>IFERROR(__xludf.DUMMYFUNCTION("""COMPUTED_VALUE"""),-0.174087154113609)</f>
        <v>-0.1740871541</v>
      </c>
      <c r="F1136" s="16">
        <f>IFERROR(__xludf.DUMMYFUNCTION("""COMPUTED_VALUE"""),-0.476701926113532)</f>
        <v>-0.4767019261</v>
      </c>
      <c r="G1136" s="16">
        <f>IFERROR(__xludf.DUMMYFUNCTION("""COMPUTED_VALUE"""),0.684337224280469)</f>
        <v>0.6843372243</v>
      </c>
    </row>
    <row r="1137">
      <c r="D1137" s="16">
        <f>IFERROR(__xludf.DUMMYFUNCTION("""COMPUTED_VALUE"""),-0.525443648992122)</f>
        <v>-0.525443649</v>
      </c>
      <c r="E1137" s="16">
        <f>IFERROR(__xludf.DUMMYFUNCTION("""COMPUTED_VALUE"""),-0.171398432785778)</f>
        <v>-0.1713984328</v>
      </c>
      <c r="F1137" s="16">
        <f>IFERROR(__xludf.DUMMYFUNCTION("""COMPUTED_VALUE"""),-0.474642178878524)</f>
        <v>-0.4746421789</v>
      </c>
      <c r="G1137" s="16">
        <f>IFERROR(__xludf.DUMMYFUNCTION("""COMPUTED_VALUE"""),0.685015584495602)</f>
        <v>0.6850155845</v>
      </c>
    </row>
    <row r="1138">
      <c r="D1138" s="16">
        <f>IFERROR(__xludf.DUMMYFUNCTION("""COMPUTED_VALUE"""),-0.525443648992122)</f>
        <v>-0.525443649</v>
      </c>
      <c r="E1138" s="16">
        <f>IFERROR(__xludf.DUMMYFUNCTION("""COMPUTED_VALUE"""),-0.171398432785778)</f>
        <v>-0.1713984328</v>
      </c>
      <c r="F1138" s="16">
        <f>IFERROR(__xludf.DUMMYFUNCTION("""COMPUTED_VALUE"""),-0.474642178878524)</f>
        <v>-0.4746421789</v>
      </c>
      <c r="G1138" s="16">
        <f>IFERROR(__xludf.DUMMYFUNCTION("""COMPUTED_VALUE"""),0.685015584495602)</f>
        <v>0.6850155845</v>
      </c>
    </row>
    <row r="1139">
      <c r="D1139" s="16">
        <f>IFERROR(__xludf.DUMMYFUNCTION("""COMPUTED_VALUE"""),-0.525443648992122)</f>
        <v>-0.525443649</v>
      </c>
      <c r="E1139" s="16">
        <f>IFERROR(__xludf.DUMMYFUNCTION("""COMPUTED_VALUE"""),-0.171398432785778)</f>
        <v>-0.1713984328</v>
      </c>
      <c r="F1139" s="16">
        <f>IFERROR(__xludf.DUMMYFUNCTION("""COMPUTED_VALUE"""),-0.474642178878524)</f>
        <v>-0.4746421789</v>
      </c>
      <c r="G1139" s="16">
        <f>IFERROR(__xludf.DUMMYFUNCTION("""COMPUTED_VALUE"""),0.685015584495602)</f>
        <v>0.6850155845</v>
      </c>
    </row>
    <row r="1140">
      <c r="D1140" s="16">
        <f>IFERROR(__xludf.DUMMYFUNCTION("""COMPUTED_VALUE"""),-0.525443648992122)</f>
        <v>-0.525443649</v>
      </c>
      <c r="E1140" s="16">
        <f>IFERROR(__xludf.DUMMYFUNCTION("""COMPUTED_VALUE"""),-0.171398432785778)</f>
        <v>-0.1713984328</v>
      </c>
      <c r="F1140" s="16">
        <f>IFERROR(__xludf.DUMMYFUNCTION("""COMPUTED_VALUE"""),-0.474642178878524)</f>
        <v>-0.4746421789</v>
      </c>
      <c r="G1140" s="16">
        <f>IFERROR(__xludf.DUMMYFUNCTION("""COMPUTED_VALUE"""),0.685015584495602)</f>
        <v>0.6850155845</v>
      </c>
    </row>
    <row r="1141">
      <c r="D1141" s="16">
        <f>IFERROR(__xludf.DUMMYFUNCTION("""COMPUTED_VALUE"""),-0.525443648992122)</f>
        <v>-0.525443649</v>
      </c>
      <c r="E1141" s="16">
        <f>IFERROR(__xludf.DUMMYFUNCTION("""COMPUTED_VALUE"""),-0.171398432785778)</f>
        <v>-0.1713984328</v>
      </c>
      <c r="F1141" s="16">
        <f>IFERROR(__xludf.DUMMYFUNCTION("""COMPUTED_VALUE"""),-0.474642178878524)</f>
        <v>-0.4746421789</v>
      </c>
      <c r="G1141" s="16">
        <f>IFERROR(__xludf.DUMMYFUNCTION("""COMPUTED_VALUE"""),0.685015584495602)</f>
        <v>0.6850155845</v>
      </c>
    </row>
    <row r="1142">
      <c r="D1142" s="16">
        <f>IFERROR(__xludf.DUMMYFUNCTION("""COMPUTED_VALUE"""),-0.525443648992122)</f>
        <v>-0.525443649</v>
      </c>
      <c r="E1142" s="16">
        <f>IFERROR(__xludf.DUMMYFUNCTION("""COMPUTED_VALUE"""),-0.171398432785778)</f>
        <v>-0.1713984328</v>
      </c>
      <c r="F1142" s="16">
        <f>IFERROR(__xludf.DUMMYFUNCTION("""COMPUTED_VALUE"""),-0.474642178878524)</f>
        <v>-0.4746421789</v>
      </c>
      <c r="G1142" s="16">
        <f>IFERROR(__xludf.DUMMYFUNCTION("""COMPUTED_VALUE"""),0.685015584495602)</f>
        <v>0.6850155845</v>
      </c>
    </row>
    <row r="1143">
      <c r="D1143" s="16">
        <f>IFERROR(__xludf.DUMMYFUNCTION("""COMPUTED_VALUE"""),-0.525443648992122)</f>
        <v>-0.525443649</v>
      </c>
      <c r="E1143" s="16">
        <f>IFERROR(__xludf.DUMMYFUNCTION("""COMPUTED_VALUE"""),-0.171398432785778)</f>
        <v>-0.1713984328</v>
      </c>
      <c r="F1143" s="16">
        <f>IFERROR(__xludf.DUMMYFUNCTION("""COMPUTED_VALUE"""),-0.474642178878524)</f>
        <v>-0.4746421789</v>
      </c>
      <c r="G1143" s="16">
        <f>IFERROR(__xludf.DUMMYFUNCTION("""COMPUTED_VALUE"""),0.685015584495602)</f>
        <v>0.6850155845</v>
      </c>
    </row>
    <row r="1144">
      <c r="D1144" s="16">
        <f>IFERROR(__xludf.DUMMYFUNCTION("""COMPUTED_VALUE"""),-0.525443648992122)</f>
        <v>-0.525443649</v>
      </c>
      <c r="E1144" s="16">
        <f>IFERROR(__xludf.DUMMYFUNCTION("""COMPUTED_VALUE"""),-0.171398432785778)</f>
        <v>-0.1713984328</v>
      </c>
      <c r="F1144" s="16">
        <f>IFERROR(__xludf.DUMMYFUNCTION("""COMPUTED_VALUE"""),-0.474642178878524)</f>
        <v>-0.4746421789</v>
      </c>
      <c r="G1144" s="16">
        <f>IFERROR(__xludf.DUMMYFUNCTION("""COMPUTED_VALUE"""),0.685015584495602)</f>
        <v>0.6850155845</v>
      </c>
    </row>
    <row r="1145">
      <c r="D1145" s="16">
        <f>IFERROR(__xludf.DUMMYFUNCTION("""COMPUTED_VALUE"""),-0.525443648992122)</f>
        <v>-0.525443649</v>
      </c>
      <c r="E1145" s="16">
        <f>IFERROR(__xludf.DUMMYFUNCTION("""COMPUTED_VALUE"""),-0.171398432785778)</f>
        <v>-0.1713984328</v>
      </c>
      <c r="F1145" s="16">
        <f>IFERROR(__xludf.DUMMYFUNCTION("""COMPUTED_VALUE"""),-0.474642178878524)</f>
        <v>-0.4746421789</v>
      </c>
      <c r="G1145" s="16">
        <f>IFERROR(__xludf.DUMMYFUNCTION("""COMPUTED_VALUE"""),0.685015584495602)</f>
        <v>0.6850155845</v>
      </c>
    </row>
    <row r="1146">
      <c r="D1146" s="16">
        <f>IFERROR(__xludf.DUMMYFUNCTION("""COMPUTED_VALUE"""),-0.525443648992122)</f>
        <v>-0.525443649</v>
      </c>
      <c r="E1146" s="16">
        <f>IFERROR(__xludf.DUMMYFUNCTION("""COMPUTED_VALUE"""),-0.171398432785778)</f>
        <v>-0.1713984328</v>
      </c>
      <c r="F1146" s="16">
        <f>IFERROR(__xludf.DUMMYFUNCTION("""COMPUTED_VALUE"""),-0.474642178878524)</f>
        <v>-0.4746421789</v>
      </c>
      <c r="G1146" s="16">
        <f>IFERROR(__xludf.DUMMYFUNCTION("""COMPUTED_VALUE"""),0.685015584495602)</f>
        <v>0.6850155845</v>
      </c>
    </row>
    <row r="1147">
      <c r="D1147" s="16">
        <f>IFERROR(__xludf.DUMMYFUNCTION("""COMPUTED_VALUE"""),-0.529989487854647)</f>
        <v>-0.5299894879</v>
      </c>
      <c r="E1147" s="16">
        <f>IFERROR(__xludf.DUMMYFUNCTION("""COMPUTED_VALUE"""),-0.170569659452754)</f>
        <v>-0.1705696595</v>
      </c>
      <c r="F1147" s="16">
        <f>IFERROR(__xludf.DUMMYFUNCTION("""COMPUTED_VALUE"""),-0.471898381010993)</f>
        <v>-0.471898381</v>
      </c>
      <c r="G1147" s="16">
        <f>IFERROR(__xludf.DUMMYFUNCTION("""COMPUTED_VALUE"""),0.683614695597547)</f>
        <v>0.6836146956</v>
      </c>
    </row>
    <row r="1148">
      <c r="D1148" s="16">
        <f>IFERROR(__xludf.DUMMYFUNCTION("""COMPUTED_VALUE"""),-0.529989487854647)</f>
        <v>-0.5299894879</v>
      </c>
      <c r="E1148" s="16">
        <f>IFERROR(__xludf.DUMMYFUNCTION("""COMPUTED_VALUE"""),-0.170569659452754)</f>
        <v>-0.1705696595</v>
      </c>
      <c r="F1148" s="16">
        <f>IFERROR(__xludf.DUMMYFUNCTION("""COMPUTED_VALUE"""),-0.471898381010993)</f>
        <v>-0.471898381</v>
      </c>
      <c r="G1148" s="16">
        <f>IFERROR(__xludf.DUMMYFUNCTION("""COMPUTED_VALUE"""),0.683614695597547)</f>
        <v>0.6836146956</v>
      </c>
    </row>
    <row r="1149">
      <c r="D1149" s="16">
        <f>IFERROR(__xludf.DUMMYFUNCTION("""COMPUTED_VALUE"""),-0.529989487854647)</f>
        <v>-0.5299894879</v>
      </c>
      <c r="E1149" s="16">
        <f>IFERROR(__xludf.DUMMYFUNCTION("""COMPUTED_VALUE"""),-0.170569659452754)</f>
        <v>-0.1705696595</v>
      </c>
      <c r="F1149" s="16">
        <f>IFERROR(__xludf.DUMMYFUNCTION("""COMPUTED_VALUE"""),-0.471898381010993)</f>
        <v>-0.471898381</v>
      </c>
      <c r="G1149" s="16">
        <f>IFERROR(__xludf.DUMMYFUNCTION("""COMPUTED_VALUE"""),0.683614695597547)</f>
        <v>0.6836146956</v>
      </c>
    </row>
    <row r="1150">
      <c r="D1150" s="16">
        <f>IFERROR(__xludf.DUMMYFUNCTION("""COMPUTED_VALUE"""),-0.529989487854647)</f>
        <v>-0.5299894879</v>
      </c>
      <c r="E1150" s="16">
        <f>IFERROR(__xludf.DUMMYFUNCTION("""COMPUTED_VALUE"""),-0.170569659452754)</f>
        <v>-0.1705696595</v>
      </c>
      <c r="F1150" s="16">
        <f>IFERROR(__xludf.DUMMYFUNCTION("""COMPUTED_VALUE"""),-0.471898381010993)</f>
        <v>-0.471898381</v>
      </c>
      <c r="G1150" s="16">
        <f>IFERROR(__xludf.DUMMYFUNCTION("""COMPUTED_VALUE"""),0.683614695597547)</f>
        <v>0.6836146956</v>
      </c>
    </row>
    <row r="1151">
      <c r="D1151" s="16">
        <f>IFERROR(__xludf.DUMMYFUNCTION("""COMPUTED_VALUE"""),-0.529989487854647)</f>
        <v>-0.5299894879</v>
      </c>
      <c r="E1151" s="16">
        <f>IFERROR(__xludf.DUMMYFUNCTION("""COMPUTED_VALUE"""),-0.170569659452754)</f>
        <v>-0.1705696595</v>
      </c>
      <c r="F1151" s="16">
        <f>IFERROR(__xludf.DUMMYFUNCTION("""COMPUTED_VALUE"""),-0.471898381010993)</f>
        <v>-0.471898381</v>
      </c>
      <c r="G1151" s="16">
        <f>IFERROR(__xludf.DUMMYFUNCTION("""COMPUTED_VALUE"""),0.683614695597547)</f>
        <v>0.6836146956</v>
      </c>
    </row>
    <row r="1152">
      <c r="D1152" s="16">
        <f>IFERROR(__xludf.DUMMYFUNCTION("""COMPUTED_VALUE"""),-0.529989487854647)</f>
        <v>-0.5299894879</v>
      </c>
      <c r="E1152" s="16">
        <f>IFERROR(__xludf.DUMMYFUNCTION("""COMPUTED_VALUE"""),-0.170569659452754)</f>
        <v>-0.1705696595</v>
      </c>
      <c r="F1152" s="16">
        <f>IFERROR(__xludf.DUMMYFUNCTION("""COMPUTED_VALUE"""),-0.471898381010993)</f>
        <v>-0.471898381</v>
      </c>
      <c r="G1152" s="16">
        <f>IFERROR(__xludf.DUMMYFUNCTION("""COMPUTED_VALUE"""),0.683614695597547)</f>
        <v>0.6836146956</v>
      </c>
    </row>
    <row r="1153">
      <c r="D1153" s="16">
        <f>IFERROR(__xludf.DUMMYFUNCTION("""COMPUTED_VALUE"""),-0.529989487854647)</f>
        <v>-0.5299894879</v>
      </c>
      <c r="E1153" s="16">
        <f>IFERROR(__xludf.DUMMYFUNCTION("""COMPUTED_VALUE"""),-0.170569659452754)</f>
        <v>-0.1705696595</v>
      </c>
      <c r="F1153" s="16">
        <f>IFERROR(__xludf.DUMMYFUNCTION("""COMPUTED_VALUE"""),-0.471898381010993)</f>
        <v>-0.471898381</v>
      </c>
      <c r="G1153" s="16">
        <f>IFERROR(__xludf.DUMMYFUNCTION("""COMPUTED_VALUE"""),0.683614695597547)</f>
        <v>0.6836146956</v>
      </c>
    </row>
    <row r="1154">
      <c r="D1154" s="16">
        <f>IFERROR(__xludf.DUMMYFUNCTION("""COMPUTED_VALUE"""),-0.529989487854647)</f>
        <v>-0.5299894879</v>
      </c>
      <c r="E1154" s="16">
        <f>IFERROR(__xludf.DUMMYFUNCTION("""COMPUTED_VALUE"""),-0.170569659452754)</f>
        <v>-0.1705696595</v>
      </c>
      <c r="F1154" s="16">
        <f>IFERROR(__xludf.DUMMYFUNCTION("""COMPUTED_VALUE"""),-0.471898381010993)</f>
        <v>-0.471898381</v>
      </c>
      <c r="G1154" s="16">
        <f>IFERROR(__xludf.DUMMYFUNCTION("""COMPUTED_VALUE"""),0.683614695597547)</f>
        <v>0.6836146956</v>
      </c>
    </row>
    <row r="1155">
      <c r="D1155" s="16">
        <f>IFERROR(__xludf.DUMMYFUNCTION("""COMPUTED_VALUE"""),-0.529989487854647)</f>
        <v>-0.5299894879</v>
      </c>
      <c r="E1155" s="16">
        <f>IFERROR(__xludf.DUMMYFUNCTION("""COMPUTED_VALUE"""),-0.170569659452754)</f>
        <v>-0.1705696595</v>
      </c>
      <c r="F1155" s="16">
        <f>IFERROR(__xludf.DUMMYFUNCTION("""COMPUTED_VALUE"""),-0.471898381010993)</f>
        <v>-0.471898381</v>
      </c>
      <c r="G1155" s="16">
        <f>IFERROR(__xludf.DUMMYFUNCTION("""COMPUTED_VALUE"""),0.683614695597547)</f>
        <v>0.6836146956</v>
      </c>
    </row>
    <row r="1156">
      <c r="D1156" s="16">
        <f>IFERROR(__xludf.DUMMYFUNCTION("""COMPUTED_VALUE"""),-0.529989487854647)</f>
        <v>-0.5299894879</v>
      </c>
      <c r="E1156" s="16">
        <f>IFERROR(__xludf.DUMMYFUNCTION("""COMPUTED_VALUE"""),-0.170569659452754)</f>
        <v>-0.1705696595</v>
      </c>
      <c r="F1156" s="16">
        <f>IFERROR(__xludf.DUMMYFUNCTION("""COMPUTED_VALUE"""),-0.471898381010993)</f>
        <v>-0.471898381</v>
      </c>
      <c r="G1156" s="16">
        <f>IFERROR(__xludf.DUMMYFUNCTION("""COMPUTED_VALUE"""),0.683614695597547)</f>
        <v>0.6836146956</v>
      </c>
    </row>
    <row r="1157">
      <c r="D1157" s="16">
        <f>IFERROR(__xludf.DUMMYFUNCTION("""COMPUTED_VALUE"""),-0.539029320998422)</f>
        <v>-0.539029321</v>
      </c>
      <c r="E1157" s="16">
        <f>IFERROR(__xludf.DUMMYFUNCTION("""COMPUTED_VALUE"""),-0.168904463427466)</f>
        <v>-0.1689044634</v>
      </c>
      <c r="F1157" s="16">
        <f>IFERROR(__xludf.DUMMYFUNCTION("""COMPUTED_VALUE"""),-0.466356657356648)</f>
        <v>-0.4663566574</v>
      </c>
      <c r="G1157" s="16">
        <f>IFERROR(__xludf.DUMMYFUNCTION("""COMPUTED_VALUE"""),0.680757035569502)</f>
        <v>0.6807570356</v>
      </c>
    </row>
    <row r="1158">
      <c r="D1158" s="16">
        <f>IFERROR(__xludf.DUMMYFUNCTION("""COMPUTED_VALUE"""),-0.543523062318419)</f>
        <v>-0.5435230623</v>
      </c>
      <c r="E1158" s="16">
        <f>IFERROR(__xludf.DUMMYFUNCTION("""COMPUTED_VALUE"""),-0.168068231552879)</f>
        <v>-0.1680682316</v>
      </c>
      <c r="F1158" s="16">
        <f>IFERROR(__xludf.DUMMYFUNCTION("""COMPUTED_VALUE"""),-0.463558946707201)</f>
        <v>-0.4635589467</v>
      </c>
      <c r="G1158" s="16">
        <f>IFERROR(__xludf.DUMMYFUNCTION("""COMPUTED_VALUE"""),0.679300267332781)</f>
        <v>0.6793002673</v>
      </c>
    </row>
    <row r="1159">
      <c r="D1159" s="16">
        <f>IFERROR(__xludf.DUMMYFUNCTION("""COMPUTED_VALUE"""),-0.54533925841351)</f>
        <v>-0.5453392584</v>
      </c>
      <c r="E1159" s="16">
        <f>IFERROR(__xludf.DUMMYFUNCTION("""COMPUTED_VALUE"""),-0.165399336666913)</f>
        <v>-0.1653993367</v>
      </c>
      <c r="F1159" s="16">
        <f>IFERROR(__xludf.DUMMYFUNCTION("""COMPUTED_VALUE"""),-0.461420967856127)</f>
        <v>-0.4614209679</v>
      </c>
      <c r="G1159" s="16">
        <f>IFERROR(__xludf.DUMMYFUNCTION("""COMPUTED_VALUE"""),0.679955030193795)</f>
        <v>0.6799550302</v>
      </c>
    </row>
    <row r="1160">
      <c r="D1160" s="16">
        <f>IFERROR(__xludf.DUMMYFUNCTION("""COMPUTED_VALUE"""),-0.54533925841351)</f>
        <v>-0.5453392584</v>
      </c>
      <c r="E1160" s="16">
        <f>IFERROR(__xludf.DUMMYFUNCTION("""COMPUTED_VALUE"""),-0.165399336666913)</f>
        <v>-0.1653993367</v>
      </c>
      <c r="F1160" s="16">
        <f>IFERROR(__xludf.DUMMYFUNCTION("""COMPUTED_VALUE"""),-0.461420967856127)</f>
        <v>-0.4614209679</v>
      </c>
      <c r="G1160" s="16">
        <f>IFERROR(__xludf.DUMMYFUNCTION("""COMPUTED_VALUE"""),0.679955030193795)</f>
        <v>0.6799550302</v>
      </c>
    </row>
    <row r="1161">
      <c r="D1161" s="16">
        <f>IFERROR(__xludf.DUMMYFUNCTION("""COMPUTED_VALUE"""),-0.547147044703121)</f>
        <v>-0.5471470447</v>
      </c>
      <c r="E1161" s="16">
        <f>IFERROR(__xludf.DUMMYFUNCTION("""COMPUTED_VALUE"""),-0.162727891118718)</f>
        <v>-0.1627278911</v>
      </c>
      <c r="F1161" s="16">
        <f>IFERROR(__xludf.DUMMYFUNCTION("""COMPUTED_VALUE"""),-0.459275873323347)</f>
        <v>-0.4592758733</v>
      </c>
      <c r="G1161" s="16">
        <f>IFERROR(__xludf.DUMMYFUNCTION("""COMPUTED_VALUE"""),0.680599307307725)</f>
        <v>0.6805993073</v>
      </c>
    </row>
    <row r="1162">
      <c r="D1162" s="16">
        <f>IFERROR(__xludf.DUMMYFUNCTION("""COMPUTED_VALUE"""),-0.544470125580419)</f>
        <v>-0.5444701256</v>
      </c>
      <c r="E1162" s="16">
        <f>IFERROR(__xludf.DUMMYFUNCTION("""COMPUTED_VALUE"""),-0.16092306893838)</f>
        <v>-0.1609230689</v>
      </c>
      <c r="F1162" s="16">
        <f>IFERROR(__xludf.DUMMYFUNCTION("""COMPUTED_VALUE"""),-0.459911361295111)</f>
        <v>-0.4599113613</v>
      </c>
      <c r="G1162" s="16">
        <f>IFERROR(__xludf.DUMMYFUNCTION("""COMPUTED_VALUE"""),0.682742695300035)</f>
        <v>0.6827426953</v>
      </c>
    </row>
    <row r="1163">
      <c r="D1163" s="16">
        <f>IFERROR(__xludf.DUMMYFUNCTION("""COMPUTED_VALUE"""),-0.530923782777942)</f>
        <v>-0.5309237828</v>
      </c>
      <c r="E1163" s="16">
        <f>IFERROR(__xludf.DUMMYFUNCTION("""COMPUTED_VALUE"""),-0.163559275673808)</f>
        <v>-0.1635592757</v>
      </c>
      <c r="F1163" s="16">
        <f>IFERROR(__xludf.DUMMYFUNCTION("""COMPUTED_VALUE"""),-0.468115156692697)</f>
        <v>-0.4681151567</v>
      </c>
      <c r="G1163" s="16">
        <f>IFERROR(__xludf.DUMMYFUNCTION("""COMPUTED_VALUE"""),0.687194659682665)</f>
        <v>0.6871946597</v>
      </c>
    </row>
    <row r="1164">
      <c r="D1164" s="16">
        <f>IFERROR(__xludf.DUMMYFUNCTION("""COMPUTED_VALUE"""),-0.518072634774605)</f>
        <v>-0.5180726348</v>
      </c>
      <c r="E1164" s="16">
        <f>IFERROR(__xludf.DUMMYFUNCTION("""COMPUTED_VALUE"""),-0.170717125537814)</f>
        <v>-0.1707171255</v>
      </c>
      <c r="F1164" s="16">
        <f>IFERROR(__xludf.DUMMYFUNCTION("""COMPUTED_VALUE"""),-0.47758174631583)</f>
        <v>-0.4775817463</v>
      </c>
      <c r="G1164" s="16">
        <f>IFERROR(__xludf.DUMMYFUNCTION("""COMPUTED_VALUE"""),0.688746748617886)</f>
        <v>0.6887467486</v>
      </c>
    </row>
    <row r="1165">
      <c r="D1165" s="16">
        <f>IFERROR(__xludf.DUMMYFUNCTION("""COMPUTED_VALUE"""),-0.516193185858433)</f>
        <v>-0.5161931859</v>
      </c>
      <c r="E1165" s="16">
        <f>IFERROR(__xludf.DUMMYFUNCTION("""COMPUTED_VALUE"""),-0.173420504328094)</f>
        <v>-0.1734205043</v>
      </c>
      <c r="F1165" s="16">
        <f>IFERROR(__xludf.DUMMYFUNCTION("""COMPUTED_VALUE"""),-0.479612525055071)</f>
        <v>-0.4796125251</v>
      </c>
      <c r="G1165" s="16">
        <f>IFERROR(__xludf.DUMMYFUNCTION("""COMPUTED_VALUE"""),0.688071035113521)</f>
        <v>0.6880710351</v>
      </c>
    </row>
    <row r="1166">
      <c r="D1166" s="16">
        <f>IFERROR(__xludf.DUMMYFUNCTION("""COMPUTED_VALUE"""),-0.516193185858433)</f>
        <v>-0.5161931859</v>
      </c>
      <c r="E1166" s="16">
        <f>IFERROR(__xludf.DUMMYFUNCTION("""COMPUTED_VALUE"""),-0.173420504328094)</f>
        <v>-0.1734205043</v>
      </c>
      <c r="F1166" s="16">
        <f>IFERROR(__xludf.DUMMYFUNCTION("""COMPUTED_VALUE"""),-0.479612525055071)</f>
        <v>-0.4796125251</v>
      </c>
      <c r="G1166" s="16">
        <f>IFERROR(__xludf.DUMMYFUNCTION("""COMPUTED_VALUE"""),0.688071035113521)</f>
        <v>0.6880710351</v>
      </c>
    </row>
    <row r="1167">
      <c r="D1167" s="16">
        <f>IFERROR(__xludf.DUMMYFUNCTION("""COMPUTED_VALUE"""),-0.516193185858433)</f>
        <v>-0.5161931859</v>
      </c>
      <c r="E1167" s="16">
        <f>IFERROR(__xludf.DUMMYFUNCTION("""COMPUTED_VALUE"""),-0.173420504328094)</f>
        <v>-0.1734205043</v>
      </c>
      <c r="F1167" s="16">
        <f>IFERROR(__xludf.DUMMYFUNCTION("""COMPUTED_VALUE"""),-0.479612525055071)</f>
        <v>-0.4796125251</v>
      </c>
      <c r="G1167" s="16">
        <f>IFERROR(__xludf.DUMMYFUNCTION("""COMPUTED_VALUE"""),0.688071035113521)</f>
        <v>0.6880710351</v>
      </c>
    </row>
    <row r="1168">
      <c r="D1168" s="16">
        <f>IFERROR(__xludf.DUMMYFUNCTION("""COMPUTED_VALUE"""),-0.516193185858433)</f>
        <v>-0.5161931859</v>
      </c>
      <c r="E1168" s="16">
        <f>IFERROR(__xludf.DUMMYFUNCTION("""COMPUTED_VALUE"""),-0.173420504328094)</f>
        <v>-0.1734205043</v>
      </c>
      <c r="F1168" s="16">
        <f>IFERROR(__xludf.DUMMYFUNCTION("""COMPUTED_VALUE"""),-0.479612525055071)</f>
        <v>-0.4796125251</v>
      </c>
      <c r="G1168" s="16">
        <f>IFERROR(__xludf.DUMMYFUNCTION("""COMPUTED_VALUE"""),0.688071035113521)</f>
        <v>0.6880710351</v>
      </c>
    </row>
    <row r="1169">
      <c r="D1169" s="16">
        <f>IFERROR(__xludf.DUMMYFUNCTION("""COMPUTED_VALUE"""),-0.516193185858433)</f>
        <v>-0.5161931859</v>
      </c>
      <c r="E1169" s="16">
        <f>IFERROR(__xludf.DUMMYFUNCTION("""COMPUTED_VALUE"""),-0.173420504328094)</f>
        <v>-0.1734205043</v>
      </c>
      <c r="F1169" s="16">
        <f>IFERROR(__xludf.DUMMYFUNCTION("""COMPUTED_VALUE"""),-0.479612525055071)</f>
        <v>-0.4796125251</v>
      </c>
      <c r="G1169" s="16">
        <f>IFERROR(__xludf.DUMMYFUNCTION("""COMPUTED_VALUE"""),0.688071035113521)</f>
        <v>0.6880710351</v>
      </c>
    </row>
    <row r="1170">
      <c r="D1170" s="16">
        <f>IFERROR(__xludf.DUMMYFUNCTION("""COMPUTED_VALUE"""),-0.516193185858433)</f>
        <v>-0.5161931859</v>
      </c>
      <c r="E1170" s="16">
        <f>IFERROR(__xludf.DUMMYFUNCTION("""COMPUTED_VALUE"""),-0.173420504328094)</f>
        <v>-0.1734205043</v>
      </c>
      <c r="F1170" s="16">
        <f>IFERROR(__xludf.DUMMYFUNCTION("""COMPUTED_VALUE"""),-0.479612525055071)</f>
        <v>-0.4796125251</v>
      </c>
      <c r="G1170" s="16">
        <f>IFERROR(__xludf.DUMMYFUNCTION("""COMPUTED_VALUE"""),0.688071035113521)</f>
        <v>0.6880710351</v>
      </c>
    </row>
    <row r="1171">
      <c r="D1171" s="16">
        <f>IFERROR(__xludf.DUMMYFUNCTION("""COMPUTED_VALUE"""),-0.516193185858433)</f>
        <v>-0.5161931859</v>
      </c>
      <c r="E1171" s="16">
        <f>IFERROR(__xludf.DUMMYFUNCTION("""COMPUTED_VALUE"""),-0.173420504328094)</f>
        <v>-0.1734205043</v>
      </c>
      <c r="F1171" s="16">
        <f>IFERROR(__xludf.DUMMYFUNCTION("""COMPUTED_VALUE"""),-0.479612525055071)</f>
        <v>-0.4796125251</v>
      </c>
      <c r="G1171" s="16">
        <f>IFERROR(__xludf.DUMMYFUNCTION("""COMPUTED_VALUE"""),0.688071035113521)</f>
        <v>0.6880710351</v>
      </c>
    </row>
    <row r="1172">
      <c r="D1172" s="16">
        <f>IFERROR(__xludf.DUMMYFUNCTION("""COMPUTED_VALUE"""),-0.516193185858433)</f>
        <v>-0.5161931859</v>
      </c>
      <c r="E1172" s="16">
        <f>IFERROR(__xludf.DUMMYFUNCTION("""COMPUTED_VALUE"""),-0.173420504328094)</f>
        <v>-0.1734205043</v>
      </c>
      <c r="F1172" s="16">
        <f>IFERROR(__xludf.DUMMYFUNCTION("""COMPUTED_VALUE"""),-0.479612525055071)</f>
        <v>-0.4796125251</v>
      </c>
      <c r="G1172" s="16">
        <f>IFERROR(__xludf.DUMMYFUNCTION("""COMPUTED_VALUE"""),0.688071035113521)</f>
        <v>0.6880710351</v>
      </c>
    </row>
    <row r="1173">
      <c r="D1173" s="16">
        <f>IFERROR(__xludf.DUMMYFUNCTION("""COMPUTED_VALUE"""),-0.514305776605247)</f>
        <v>-0.5143057766</v>
      </c>
      <c r="E1173" s="16">
        <f>IFERROR(__xludf.DUMMYFUNCTION("""COMPUTED_VALUE"""),-0.176121208759824)</f>
        <v>-0.1761212088</v>
      </c>
      <c r="F1173" s="16">
        <f>IFERROR(__xludf.DUMMYFUNCTION("""COMPUTED_VALUE"""),-0.481635907576307)</f>
        <v>-0.4816359076</v>
      </c>
      <c r="G1173" s="16">
        <f>IFERROR(__xludf.DUMMYFUNCTION("""COMPUTED_VALUE"""),0.687384710703243)</f>
        <v>0.6873847107</v>
      </c>
    </row>
    <row r="1174">
      <c r="D1174" s="16">
        <f>IFERROR(__xludf.DUMMYFUNCTION("""COMPUTED_VALUE"""),-0.519688565434197)</f>
        <v>-0.5196885654</v>
      </c>
      <c r="E1174" s="16">
        <f>IFERROR(__xludf.DUMMYFUNCTION("""COMPUTED_VALUE"""),-0.179898497337129)</f>
        <v>-0.1798984973</v>
      </c>
      <c r="F1174" s="16">
        <f>IFERROR(__xludf.DUMMYFUNCTION("""COMPUTED_VALUE"""),-0.480237814314655)</f>
        <v>-0.4802378143</v>
      </c>
      <c r="G1174" s="16">
        <f>IFERROR(__xludf.DUMMYFUNCTION("""COMPUTED_VALUE"""),0.683324203665474)</f>
        <v>0.6833242037</v>
      </c>
    </row>
    <row r="1175">
      <c r="D1175" s="16">
        <f>IFERROR(__xludf.DUMMYFUNCTION("""COMPUTED_VALUE"""),-0.523917559167003)</f>
        <v>-0.5239175592</v>
      </c>
      <c r="E1175" s="16">
        <f>IFERROR(__xludf.DUMMYFUNCTION("""COMPUTED_VALUE"""),-0.190896552573936)</f>
        <v>-0.1908965526</v>
      </c>
      <c r="F1175" s="16">
        <f>IFERROR(__xludf.DUMMYFUNCTION("""COMPUTED_VALUE"""),-0.482162383604057)</f>
        <v>-0.4821623836</v>
      </c>
      <c r="G1175" s="16">
        <f>IFERROR(__xludf.DUMMYFUNCTION("""COMPUTED_VALUE"""),0.675713203400017)</f>
        <v>0.6757132034</v>
      </c>
    </row>
    <row r="1176">
      <c r="D1176" s="16">
        <f>IFERROR(__xludf.DUMMYFUNCTION("""COMPUTED_VALUE"""),-0.530675265413975)</f>
        <v>-0.5306752654</v>
      </c>
      <c r="E1176" s="16">
        <f>IFERROR(__xludf.DUMMYFUNCTION("""COMPUTED_VALUE"""),-0.203714885671639)</f>
        <v>-0.2037148857</v>
      </c>
      <c r="F1176" s="16">
        <f>IFERROR(__xludf.DUMMYFUNCTION("""COMPUTED_VALUE"""),-0.483245926692431)</f>
        <v>-0.4832459267</v>
      </c>
      <c r="G1176" s="16">
        <f>IFERROR(__xludf.DUMMYFUNCTION("""COMPUTED_VALUE"""),0.665850870967932)</f>
        <v>0.665850871</v>
      </c>
    </row>
    <row r="1177">
      <c r="D1177" s="16">
        <f>IFERROR(__xludf.DUMMYFUNCTION("""COMPUTED_VALUE"""),-0.530675265413975)</f>
        <v>-0.5306752654</v>
      </c>
      <c r="E1177" s="16">
        <f>IFERROR(__xludf.DUMMYFUNCTION("""COMPUTED_VALUE"""),-0.203714885671639)</f>
        <v>-0.2037148857</v>
      </c>
      <c r="F1177" s="16">
        <f>IFERROR(__xludf.DUMMYFUNCTION("""COMPUTED_VALUE"""),-0.483245926692431)</f>
        <v>-0.4832459267</v>
      </c>
      <c r="G1177" s="16">
        <f>IFERROR(__xludf.DUMMYFUNCTION("""COMPUTED_VALUE"""),0.665850870967932)</f>
        <v>0.665850871</v>
      </c>
    </row>
    <row r="1178">
      <c r="D1178" s="16">
        <f>IFERROR(__xludf.DUMMYFUNCTION("""COMPUTED_VALUE"""),-0.530675265413975)</f>
        <v>-0.5306752654</v>
      </c>
      <c r="E1178" s="16">
        <f>IFERROR(__xludf.DUMMYFUNCTION("""COMPUTED_VALUE"""),-0.203714885671639)</f>
        <v>-0.2037148857</v>
      </c>
      <c r="F1178" s="16">
        <f>IFERROR(__xludf.DUMMYFUNCTION("""COMPUTED_VALUE"""),-0.483245926692431)</f>
        <v>-0.4832459267</v>
      </c>
      <c r="G1178" s="16">
        <f>IFERROR(__xludf.DUMMYFUNCTION("""COMPUTED_VALUE"""),0.665850870967932)</f>
        <v>0.665850871</v>
      </c>
    </row>
    <row r="1179">
      <c r="D1179" s="16">
        <f>IFERROR(__xludf.DUMMYFUNCTION("""COMPUTED_VALUE"""),-0.52687298147678)</f>
        <v>-0.5268729815</v>
      </c>
      <c r="E1179" s="16">
        <f>IFERROR(__xludf.DUMMYFUNCTION("""COMPUTED_VALUE"""),-0.208913432093194)</f>
        <v>-0.2089134321</v>
      </c>
      <c r="F1179" s="16">
        <f>IFERROR(__xludf.DUMMYFUNCTION("""COMPUTED_VALUE"""),-0.487429628153982)</f>
        <v>-0.4874296282</v>
      </c>
      <c r="G1179" s="16">
        <f>IFERROR(__xludf.DUMMYFUNCTION("""COMPUTED_VALUE"""),0.664208097570681)</f>
        <v>0.6642080976</v>
      </c>
    </row>
    <row r="1180">
      <c r="D1180" s="16">
        <f>IFERROR(__xludf.DUMMYFUNCTION("""COMPUTED_VALUE"""),-0.522342409063225)</f>
        <v>-0.5223424091</v>
      </c>
      <c r="E1180" s="16">
        <f>IFERROR(__xludf.DUMMYFUNCTION("""COMPUTED_VALUE"""),-0.209604414230813)</f>
        <v>-0.2096044142</v>
      </c>
      <c r="F1180" s="16">
        <f>IFERROR(__xludf.DUMMYFUNCTION("""COMPUTED_VALUE"""),-0.490311522946682)</f>
        <v>-0.4903115229</v>
      </c>
      <c r="G1180" s="16">
        <f>IFERROR(__xludf.DUMMYFUNCTION("""COMPUTED_VALUE"""),0.665446472448889)</f>
        <v>0.6654464724</v>
      </c>
    </row>
    <row r="1181">
      <c r="D1181" s="16">
        <f>IFERROR(__xludf.DUMMYFUNCTION("""COMPUTED_VALUE"""),-0.522342409063225)</f>
        <v>-0.5223424091</v>
      </c>
      <c r="E1181" s="16">
        <f>IFERROR(__xludf.DUMMYFUNCTION("""COMPUTED_VALUE"""),-0.209604414230813)</f>
        <v>-0.2096044142</v>
      </c>
      <c r="F1181" s="16">
        <f>IFERROR(__xludf.DUMMYFUNCTION("""COMPUTED_VALUE"""),-0.490311522946682)</f>
        <v>-0.4903115229</v>
      </c>
      <c r="G1181" s="16">
        <f>IFERROR(__xludf.DUMMYFUNCTION("""COMPUTED_VALUE"""),0.665446472448889)</f>
        <v>0.6654464724</v>
      </c>
    </row>
    <row r="1182">
      <c r="D1182" s="16">
        <f>IFERROR(__xludf.DUMMYFUNCTION("""COMPUTED_VALUE"""),-0.522342409063225)</f>
        <v>-0.5223424091</v>
      </c>
      <c r="E1182" s="16">
        <f>IFERROR(__xludf.DUMMYFUNCTION("""COMPUTED_VALUE"""),-0.209604414230813)</f>
        <v>-0.2096044142</v>
      </c>
      <c r="F1182" s="16">
        <f>IFERROR(__xludf.DUMMYFUNCTION("""COMPUTED_VALUE"""),-0.490311522946682)</f>
        <v>-0.4903115229</v>
      </c>
      <c r="G1182" s="16">
        <f>IFERROR(__xludf.DUMMYFUNCTION("""COMPUTED_VALUE"""),0.665446472448889)</f>
        <v>0.6654464724</v>
      </c>
    </row>
    <row r="1183">
      <c r="D1183" s="16">
        <f>IFERROR(__xludf.DUMMYFUNCTION("""COMPUTED_VALUE"""),-0.522342409063225)</f>
        <v>-0.5223424091</v>
      </c>
      <c r="E1183" s="16">
        <f>IFERROR(__xludf.DUMMYFUNCTION("""COMPUTED_VALUE"""),-0.209604414230813)</f>
        <v>-0.2096044142</v>
      </c>
      <c r="F1183" s="16">
        <f>IFERROR(__xludf.DUMMYFUNCTION("""COMPUTED_VALUE"""),-0.490311522946682)</f>
        <v>-0.4903115229</v>
      </c>
      <c r="G1183" s="16">
        <f>IFERROR(__xludf.DUMMYFUNCTION("""COMPUTED_VALUE"""),0.665446472448889)</f>
        <v>0.6654464724</v>
      </c>
    </row>
    <row r="1184">
      <c r="D1184" s="16">
        <f>IFERROR(__xludf.DUMMYFUNCTION("""COMPUTED_VALUE"""),-0.522342409063225)</f>
        <v>-0.5223424091</v>
      </c>
      <c r="E1184" s="16">
        <f>IFERROR(__xludf.DUMMYFUNCTION("""COMPUTED_VALUE"""),-0.209604414230813)</f>
        <v>-0.2096044142</v>
      </c>
      <c r="F1184" s="16">
        <f>IFERROR(__xludf.DUMMYFUNCTION("""COMPUTED_VALUE"""),-0.490311522946682)</f>
        <v>-0.4903115229</v>
      </c>
      <c r="G1184" s="16">
        <f>IFERROR(__xludf.DUMMYFUNCTION("""COMPUTED_VALUE"""),0.665446472448889)</f>
        <v>0.6654464724</v>
      </c>
    </row>
    <row r="1185">
      <c r="D1185" s="16">
        <f>IFERROR(__xludf.DUMMYFUNCTION("""COMPUTED_VALUE"""),-0.522342409063225)</f>
        <v>-0.5223424091</v>
      </c>
      <c r="E1185" s="16">
        <f>IFERROR(__xludf.DUMMYFUNCTION("""COMPUTED_VALUE"""),-0.209604414230813)</f>
        <v>-0.2096044142</v>
      </c>
      <c r="F1185" s="16">
        <f>IFERROR(__xludf.DUMMYFUNCTION("""COMPUTED_VALUE"""),-0.490311522946682)</f>
        <v>-0.4903115229</v>
      </c>
      <c r="G1185" s="16">
        <f>IFERROR(__xludf.DUMMYFUNCTION("""COMPUTED_VALUE"""),0.665446472448889)</f>
        <v>0.6654464724</v>
      </c>
    </row>
    <row r="1186">
      <c r="D1186" s="16">
        <f>IFERROR(__xludf.DUMMYFUNCTION("""COMPUTED_VALUE"""),-0.522342409063225)</f>
        <v>-0.5223424091</v>
      </c>
      <c r="E1186" s="16">
        <f>IFERROR(__xludf.DUMMYFUNCTION("""COMPUTED_VALUE"""),-0.209604414230813)</f>
        <v>-0.2096044142</v>
      </c>
      <c r="F1186" s="16">
        <f>IFERROR(__xludf.DUMMYFUNCTION("""COMPUTED_VALUE"""),-0.490311522946682)</f>
        <v>-0.4903115229</v>
      </c>
      <c r="G1186" s="16">
        <f>IFERROR(__xludf.DUMMYFUNCTION("""COMPUTED_VALUE"""),0.665446472448889)</f>
        <v>0.6654464724</v>
      </c>
    </row>
    <row r="1187">
      <c r="D1187" s="16">
        <f>IFERROR(__xludf.DUMMYFUNCTION("""COMPUTED_VALUE"""),-0.522342409063225)</f>
        <v>-0.5223424091</v>
      </c>
      <c r="E1187" s="16">
        <f>IFERROR(__xludf.DUMMYFUNCTION("""COMPUTED_VALUE"""),-0.209604414230813)</f>
        <v>-0.2096044142</v>
      </c>
      <c r="F1187" s="16">
        <f>IFERROR(__xludf.DUMMYFUNCTION("""COMPUTED_VALUE"""),-0.490311522946682)</f>
        <v>-0.4903115229</v>
      </c>
      <c r="G1187" s="16">
        <f>IFERROR(__xludf.DUMMYFUNCTION("""COMPUTED_VALUE"""),0.665446472448889)</f>
        <v>0.6654464724</v>
      </c>
    </row>
    <row r="1188">
      <c r="D1188" s="16">
        <f>IFERROR(__xludf.DUMMYFUNCTION("""COMPUTED_VALUE"""),-0.522342409063225)</f>
        <v>-0.5223424091</v>
      </c>
      <c r="E1188" s="16">
        <f>IFERROR(__xludf.DUMMYFUNCTION("""COMPUTED_VALUE"""),-0.209604414230813)</f>
        <v>-0.2096044142</v>
      </c>
      <c r="F1188" s="16">
        <f>IFERROR(__xludf.DUMMYFUNCTION("""COMPUTED_VALUE"""),-0.490311522946682)</f>
        <v>-0.4903115229</v>
      </c>
      <c r="G1188" s="16">
        <f>IFERROR(__xludf.DUMMYFUNCTION("""COMPUTED_VALUE"""),0.665446472448889)</f>
        <v>0.6654464724</v>
      </c>
    </row>
    <row r="1189">
      <c r="D1189" s="16">
        <f>IFERROR(__xludf.DUMMYFUNCTION("""COMPUTED_VALUE"""),-0.522342409063225)</f>
        <v>-0.5223424091</v>
      </c>
      <c r="E1189" s="16">
        <f>IFERROR(__xludf.DUMMYFUNCTION("""COMPUTED_VALUE"""),-0.209604414230813)</f>
        <v>-0.2096044142</v>
      </c>
      <c r="F1189" s="16">
        <f>IFERROR(__xludf.DUMMYFUNCTION("""COMPUTED_VALUE"""),-0.490311522946682)</f>
        <v>-0.4903115229</v>
      </c>
      <c r="G1189" s="16">
        <f>IFERROR(__xludf.DUMMYFUNCTION("""COMPUTED_VALUE"""),0.665446472448889)</f>
        <v>0.6654464724</v>
      </c>
    </row>
    <row r="1190">
      <c r="D1190" s="16">
        <f>IFERROR(__xludf.DUMMYFUNCTION("""COMPUTED_VALUE"""),-0.522342409063225)</f>
        <v>-0.5223424091</v>
      </c>
      <c r="E1190" s="16">
        <f>IFERROR(__xludf.DUMMYFUNCTION("""COMPUTED_VALUE"""),-0.209604414230813)</f>
        <v>-0.2096044142</v>
      </c>
      <c r="F1190" s="16">
        <f>IFERROR(__xludf.DUMMYFUNCTION("""COMPUTED_VALUE"""),-0.490311522946682)</f>
        <v>-0.4903115229</v>
      </c>
      <c r="G1190" s="16">
        <f>IFERROR(__xludf.DUMMYFUNCTION("""COMPUTED_VALUE"""),0.665446472448889)</f>
        <v>0.6654464724</v>
      </c>
    </row>
    <row r="1191">
      <c r="D1191" s="16">
        <f>IFERROR(__xludf.DUMMYFUNCTION("""COMPUTED_VALUE"""),-0.522342409063225)</f>
        <v>-0.5223424091</v>
      </c>
      <c r="E1191" s="16">
        <f>IFERROR(__xludf.DUMMYFUNCTION("""COMPUTED_VALUE"""),-0.209604414230813)</f>
        <v>-0.2096044142</v>
      </c>
      <c r="F1191" s="16">
        <f>IFERROR(__xludf.DUMMYFUNCTION("""COMPUTED_VALUE"""),-0.490311522946682)</f>
        <v>-0.4903115229</v>
      </c>
      <c r="G1191" s="16">
        <f>IFERROR(__xludf.DUMMYFUNCTION("""COMPUTED_VALUE"""),0.665446472448889)</f>
        <v>0.6654464724</v>
      </c>
    </row>
    <row r="1192">
      <c r="D1192" s="16">
        <f>IFERROR(__xludf.DUMMYFUNCTION("""COMPUTED_VALUE"""),-0.522342409063225)</f>
        <v>-0.5223424091</v>
      </c>
      <c r="E1192" s="16">
        <f>IFERROR(__xludf.DUMMYFUNCTION("""COMPUTED_VALUE"""),-0.209604414230813)</f>
        <v>-0.2096044142</v>
      </c>
      <c r="F1192" s="16">
        <f>IFERROR(__xludf.DUMMYFUNCTION("""COMPUTED_VALUE"""),-0.490311522946682)</f>
        <v>-0.4903115229</v>
      </c>
      <c r="G1192" s="16">
        <f>IFERROR(__xludf.DUMMYFUNCTION("""COMPUTED_VALUE"""),0.665446472448889)</f>
        <v>0.6654464724</v>
      </c>
    </row>
    <row r="1193">
      <c r="D1193" s="16">
        <f>IFERROR(__xludf.DUMMYFUNCTION("""COMPUTED_VALUE"""),-0.522342409063225)</f>
        <v>-0.5223424091</v>
      </c>
      <c r="E1193" s="16">
        <f>IFERROR(__xludf.DUMMYFUNCTION("""COMPUTED_VALUE"""),-0.209604414230813)</f>
        <v>-0.2096044142</v>
      </c>
      <c r="F1193" s="16">
        <f>IFERROR(__xludf.DUMMYFUNCTION("""COMPUTED_VALUE"""),-0.490311522946682)</f>
        <v>-0.4903115229</v>
      </c>
      <c r="G1193" s="16">
        <f>IFERROR(__xludf.DUMMYFUNCTION("""COMPUTED_VALUE"""),0.665446472448889)</f>
        <v>0.6654464724</v>
      </c>
    </row>
    <row r="1194">
      <c r="D1194" s="16">
        <f>IFERROR(__xludf.DUMMYFUNCTION("""COMPUTED_VALUE"""),-0.522342409063225)</f>
        <v>-0.5223424091</v>
      </c>
      <c r="E1194" s="16">
        <f>IFERROR(__xludf.DUMMYFUNCTION("""COMPUTED_VALUE"""),-0.209604414230813)</f>
        <v>-0.2096044142</v>
      </c>
      <c r="F1194" s="16">
        <f>IFERROR(__xludf.DUMMYFUNCTION("""COMPUTED_VALUE"""),-0.490311522946682)</f>
        <v>-0.4903115229</v>
      </c>
      <c r="G1194" s="16">
        <f>IFERROR(__xludf.DUMMYFUNCTION("""COMPUTED_VALUE"""),0.665446472448889)</f>
        <v>0.6654464724</v>
      </c>
    </row>
    <row r="1195">
      <c r="D1195" s="16">
        <f>IFERROR(__xludf.DUMMYFUNCTION("""COMPUTED_VALUE"""),-0.522342409063225)</f>
        <v>-0.5223424091</v>
      </c>
      <c r="E1195" s="16">
        <f>IFERROR(__xludf.DUMMYFUNCTION("""COMPUTED_VALUE"""),-0.209604414230813)</f>
        <v>-0.2096044142</v>
      </c>
      <c r="F1195" s="16">
        <f>IFERROR(__xludf.DUMMYFUNCTION("""COMPUTED_VALUE"""),-0.490311522946682)</f>
        <v>-0.4903115229</v>
      </c>
      <c r="G1195" s="16">
        <f>IFERROR(__xludf.DUMMYFUNCTION("""COMPUTED_VALUE"""),0.665446472448889)</f>
        <v>0.6654464724</v>
      </c>
    </row>
    <row r="1196">
      <c r="D1196" s="16">
        <f>IFERROR(__xludf.DUMMYFUNCTION("""COMPUTED_VALUE"""),-0.522342409063225)</f>
        <v>-0.5223424091</v>
      </c>
      <c r="E1196" s="16">
        <f>IFERROR(__xludf.DUMMYFUNCTION("""COMPUTED_VALUE"""),-0.209604414230813)</f>
        <v>-0.2096044142</v>
      </c>
      <c r="F1196" s="16">
        <f>IFERROR(__xludf.DUMMYFUNCTION("""COMPUTED_VALUE"""),-0.490311522946682)</f>
        <v>-0.4903115229</v>
      </c>
      <c r="G1196" s="16">
        <f>IFERROR(__xludf.DUMMYFUNCTION("""COMPUTED_VALUE"""),0.665446472448889)</f>
        <v>0.6654464724</v>
      </c>
    </row>
    <row r="1197">
      <c r="D1197" s="16">
        <f>IFERROR(__xludf.DUMMYFUNCTION("""COMPUTED_VALUE"""),-0.522342409063225)</f>
        <v>-0.5223424091</v>
      </c>
      <c r="E1197" s="16">
        <f>IFERROR(__xludf.DUMMYFUNCTION("""COMPUTED_VALUE"""),-0.209604414230813)</f>
        <v>-0.2096044142</v>
      </c>
      <c r="F1197" s="16">
        <f>IFERROR(__xludf.DUMMYFUNCTION("""COMPUTED_VALUE"""),-0.490311522946682)</f>
        <v>-0.4903115229</v>
      </c>
      <c r="G1197" s="16">
        <f>IFERROR(__xludf.DUMMYFUNCTION("""COMPUTED_VALUE"""),0.665446472448889)</f>
        <v>0.6654464724</v>
      </c>
    </row>
    <row r="1198">
      <c r="D1198" s="16">
        <f>IFERROR(__xludf.DUMMYFUNCTION("""COMPUTED_VALUE"""),-0.522342409063225)</f>
        <v>-0.5223424091</v>
      </c>
      <c r="E1198" s="16">
        <f>IFERROR(__xludf.DUMMYFUNCTION("""COMPUTED_VALUE"""),-0.209604414230813)</f>
        <v>-0.2096044142</v>
      </c>
      <c r="F1198" s="16">
        <f>IFERROR(__xludf.DUMMYFUNCTION("""COMPUTED_VALUE"""),-0.490311522946682)</f>
        <v>-0.4903115229</v>
      </c>
      <c r="G1198" s="16">
        <f>IFERROR(__xludf.DUMMYFUNCTION("""COMPUTED_VALUE"""),0.665446472448889)</f>
        <v>0.6654464724</v>
      </c>
    </row>
    <row r="1199">
      <c r="D1199" s="16">
        <f>IFERROR(__xludf.DUMMYFUNCTION("""COMPUTED_VALUE"""),-0.522342409063225)</f>
        <v>-0.5223424091</v>
      </c>
      <c r="E1199" s="16">
        <f>IFERROR(__xludf.DUMMYFUNCTION("""COMPUTED_VALUE"""),-0.209604414230813)</f>
        <v>-0.2096044142</v>
      </c>
      <c r="F1199" s="16">
        <f>IFERROR(__xludf.DUMMYFUNCTION("""COMPUTED_VALUE"""),-0.490311522946682)</f>
        <v>-0.4903115229</v>
      </c>
      <c r="G1199" s="16">
        <f>IFERROR(__xludf.DUMMYFUNCTION("""COMPUTED_VALUE"""),0.665446472448889)</f>
        <v>0.6654464724</v>
      </c>
    </row>
    <row r="1200">
      <c r="D1200" s="16">
        <f>IFERROR(__xludf.DUMMYFUNCTION("""COMPUTED_VALUE"""),-0.522342409063225)</f>
        <v>-0.5223424091</v>
      </c>
      <c r="E1200" s="16">
        <f>IFERROR(__xludf.DUMMYFUNCTION("""COMPUTED_VALUE"""),-0.209604414230813)</f>
        <v>-0.2096044142</v>
      </c>
      <c r="F1200" s="16">
        <f>IFERROR(__xludf.DUMMYFUNCTION("""COMPUTED_VALUE"""),-0.490311522946682)</f>
        <v>-0.4903115229</v>
      </c>
      <c r="G1200" s="16">
        <f>IFERROR(__xludf.DUMMYFUNCTION("""COMPUTED_VALUE"""),0.665446472448889)</f>
        <v>0.6654464724</v>
      </c>
    </row>
    <row r="1201">
      <c r="D1201" s="16">
        <f>IFERROR(__xludf.DUMMYFUNCTION("""COMPUTED_VALUE"""),-0.522342409063225)</f>
        <v>-0.5223424091</v>
      </c>
      <c r="E1201" s="16">
        <f>IFERROR(__xludf.DUMMYFUNCTION("""COMPUTED_VALUE"""),-0.209604414230813)</f>
        <v>-0.2096044142</v>
      </c>
      <c r="F1201" s="16">
        <f>IFERROR(__xludf.DUMMYFUNCTION("""COMPUTED_VALUE"""),-0.490311522946682)</f>
        <v>-0.4903115229</v>
      </c>
      <c r="G1201" s="16">
        <f>IFERROR(__xludf.DUMMYFUNCTION("""COMPUTED_VALUE"""),0.665446472448889)</f>
        <v>0.6654464724</v>
      </c>
    </row>
    <row r="1202">
      <c r="D1202" s="16">
        <f>IFERROR(__xludf.DUMMYFUNCTION("""COMPUTED_VALUE"""),-0.522342409063225)</f>
        <v>-0.5223424091</v>
      </c>
      <c r="E1202" s="16">
        <f>IFERROR(__xludf.DUMMYFUNCTION("""COMPUTED_VALUE"""),-0.209604414230813)</f>
        <v>-0.2096044142</v>
      </c>
      <c r="F1202" s="16">
        <f>IFERROR(__xludf.DUMMYFUNCTION("""COMPUTED_VALUE"""),-0.490311522946682)</f>
        <v>-0.4903115229</v>
      </c>
      <c r="G1202" s="16">
        <f>IFERROR(__xludf.DUMMYFUNCTION("""COMPUTED_VALUE"""),0.665446472448889)</f>
        <v>0.6654464724</v>
      </c>
    </row>
    <row r="1203">
      <c r="D1203" s="16">
        <f>IFERROR(__xludf.DUMMYFUNCTION("""COMPUTED_VALUE"""),-0.522342409063225)</f>
        <v>-0.5223424091</v>
      </c>
      <c r="E1203" s="16">
        <f>IFERROR(__xludf.DUMMYFUNCTION("""COMPUTED_VALUE"""),-0.209604414230813)</f>
        <v>-0.2096044142</v>
      </c>
      <c r="F1203" s="16">
        <f>IFERROR(__xludf.DUMMYFUNCTION("""COMPUTED_VALUE"""),-0.490311522946682)</f>
        <v>-0.4903115229</v>
      </c>
      <c r="G1203" s="16">
        <f>IFERROR(__xludf.DUMMYFUNCTION("""COMPUTED_VALUE"""),0.665446472448889)</f>
        <v>0.6654464724</v>
      </c>
    </row>
    <row r="1204">
      <c r="D1204" s="16">
        <f>IFERROR(__xludf.DUMMYFUNCTION("""COMPUTED_VALUE"""),-0.522342409063225)</f>
        <v>-0.5223424091</v>
      </c>
      <c r="E1204" s="16">
        <f>IFERROR(__xludf.DUMMYFUNCTION("""COMPUTED_VALUE"""),-0.209604414230813)</f>
        <v>-0.2096044142</v>
      </c>
      <c r="F1204" s="16">
        <f>IFERROR(__xludf.DUMMYFUNCTION("""COMPUTED_VALUE"""),-0.490311522946682)</f>
        <v>-0.4903115229</v>
      </c>
      <c r="G1204" s="16">
        <f>IFERROR(__xludf.DUMMYFUNCTION("""COMPUTED_VALUE"""),0.665446472448889)</f>
        <v>0.6654464724</v>
      </c>
    </row>
    <row r="1205">
      <c r="D1205" s="16">
        <f>IFERROR(__xludf.DUMMYFUNCTION("""COMPUTED_VALUE"""),-0.522342409063225)</f>
        <v>-0.5223424091</v>
      </c>
      <c r="E1205" s="16">
        <f>IFERROR(__xludf.DUMMYFUNCTION("""COMPUTED_VALUE"""),-0.209604414230813)</f>
        <v>-0.2096044142</v>
      </c>
      <c r="F1205" s="16">
        <f>IFERROR(__xludf.DUMMYFUNCTION("""COMPUTED_VALUE"""),-0.490311522946682)</f>
        <v>-0.4903115229</v>
      </c>
      <c r="G1205" s="16">
        <f>IFERROR(__xludf.DUMMYFUNCTION("""COMPUTED_VALUE"""),0.665446472448889)</f>
        <v>0.6654464724</v>
      </c>
    </row>
    <row r="1206">
      <c r="D1206" s="16">
        <f>IFERROR(__xludf.DUMMYFUNCTION("""COMPUTED_VALUE"""),-0.522342409063225)</f>
        <v>-0.5223424091</v>
      </c>
      <c r="E1206" s="16">
        <f>IFERROR(__xludf.DUMMYFUNCTION("""COMPUTED_VALUE"""),-0.209604414230813)</f>
        <v>-0.2096044142</v>
      </c>
      <c r="F1206" s="16">
        <f>IFERROR(__xludf.DUMMYFUNCTION("""COMPUTED_VALUE"""),-0.490311522946682)</f>
        <v>-0.4903115229</v>
      </c>
      <c r="G1206" s="16">
        <f>IFERROR(__xludf.DUMMYFUNCTION("""COMPUTED_VALUE"""),0.665446472448889)</f>
        <v>0.6654464724</v>
      </c>
    </row>
    <row r="1207">
      <c r="D1207" s="16">
        <f>IFERROR(__xludf.DUMMYFUNCTION("""COMPUTED_VALUE"""),-0.522342409063225)</f>
        <v>-0.5223424091</v>
      </c>
      <c r="E1207" s="16">
        <f>IFERROR(__xludf.DUMMYFUNCTION("""COMPUTED_VALUE"""),-0.209604414230813)</f>
        <v>-0.2096044142</v>
      </c>
      <c r="F1207" s="16">
        <f>IFERROR(__xludf.DUMMYFUNCTION("""COMPUTED_VALUE"""),-0.490311522946682)</f>
        <v>-0.4903115229</v>
      </c>
      <c r="G1207" s="16">
        <f>IFERROR(__xludf.DUMMYFUNCTION("""COMPUTED_VALUE"""),0.665446472448889)</f>
        <v>0.6654464724</v>
      </c>
    </row>
    <row r="1208">
      <c r="D1208" s="16">
        <f>IFERROR(__xludf.DUMMYFUNCTION("""COMPUTED_VALUE"""),-0.522342409063225)</f>
        <v>-0.5223424091</v>
      </c>
      <c r="E1208" s="16">
        <f>IFERROR(__xludf.DUMMYFUNCTION("""COMPUTED_VALUE"""),-0.209604414230813)</f>
        <v>-0.2096044142</v>
      </c>
      <c r="F1208" s="16">
        <f>IFERROR(__xludf.DUMMYFUNCTION("""COMPUTED_VALUE"""),-0.490311522946682)</f>
        <v>-0.4903115229</v>
      </c>
      <c r="G1208" s="16">
        <f>IFERROR(__xludf.DUMMYFUNCTION("""COMPUTED_VALUE"""),0.665446472448889)</f>
        <v>0.6654464724</v>
      </c>
    </row>
    <row r="1209">
      <c r="D1209" s="16">
        <f>IFERROR(__xludf.DUMMYFUNCTION("""COMPUTED_VALUE"""),-0.522342409063225)</f>
        <v>-0.5223424091</v>
      </c>
      <c r="E1209" s="16">
        <f>IFERROR(__xludf.DUMMYFUNCTION("""COMPUTED_VALUE"""),-0.209604414230813)</f>
        <v>-0.2096044142</v>
      </c>
      <c r="F1209" s="16">
        <f>IFERROR(__xludf.DUMMYFUNCTION("""COMPUTED_VALUE"""),-0.490311522946682)</f>
        <v>-0.4903115229</v>
      </c>
      <c r="G1209" s="16">
        <f>IFERROR(__xludf.DUMMYFUNCTION("""COMPUTED_VALUE"""),0.665446472448889)</f>
        <v>0.6654464724</v>
      </c>
    </row>
    <row r="1210">
      <c r="D1210" s="16">
        <f>IFERROR(__xludf.DUMMYFUNCTION("""COMPUTED_VALUE"""),-0.522342409063225)</f>
        <v>-0.5223424091</v>
      </c>
      <c r="E1210" s="16">
        <f>IFERROR(__xludf.DUMMYFUNCTION("""COMPUTED_VALUE"""),-0.209604414230813)</f>
        <v>-0.2096044142</v>
      </c>
      <c r="F1210" s="16">
        <f>IFERROR(__xludf.DUMMYFUNCTION("""COMPUTED_VALUE"""),-0.490311522946682)</f>
        <v>-0.4903115229</v>
      </c>
      <c r="G1210" s="16">
        <f>IFERROR(__xludf.DUMMYFUNCTION("""COMPUTED_VALUE"""),0.665446472448889)</f>
        <v>0.6654464724</v>
      </c>
    </row>
    <row r="1211">
      <c r="D1211" s="16">
        <f>IFERROR(__xludf.DUMMYFUNCTION("""COMPUTED_VALUE"""),-0.522342409063225)</f>
        <v>-0.5223424091</v>
      </c>
      <c r="E1211" s="16">
        <f>IFERROR(__xludf.DUMMYFUNCTION("""COMPUTED_VALUE"""),-0.209604414230813)</f>
        <v>-0.2096044142</v>
      </c>
      <c r="F1211" s="16">
        <f>IFERROR(__xludf.DUMMYFUNCTION("""COMPUTED_VALUE"""),-0.490311522946682)</f>
        <v>-0.4903115229</v>
      </c>
      <c r="G1211" s="16">
        <f>IFERROR(__xludf.DUMMYFUNCTION("""COMPUTED_VALUE"""),0.665446472448889)</f>
        <v>0.6654464724</v>
      </c>
    </row>
    <row r="1212">
      <c r="D1212" s="16">
        <f>IFERROR(__xludf.DUMMYFUNCTION("""COMPUTED_VALUE"""),-0.522342409063225)</f>
        <v>-0.5223424091</v>
      </c>
      <c r="E1212" s="16">
        <f>IFERROR(__xludf.DUMMYFUNCTION("""COMPUTED_VALUE"""),-0.209604414230813)</f>
        <v>-0.2096044142</v>
      </c>
      <c r="F1212" s="16">
        <f>IFERROR(__xludf.DUMMYFUNCTION("""COMPUTED_VALUE"""),-0.490311522946682)</f>
        <v>-0.4903115229</v>
      </c>
      <c r="G1212" s="16">
        <f>IFERROR(__xludf.DUMMYFUNCTION("""COMPUTED_VALUE"""),0.665446472448889)</f>
        <v>0.6654464724</v>
      </c>
    </row>
    <row r="1213">
      <c r="D1213" s="16">
        <f>IFERROR(__xludf.DUMMYFUNCTION("""COMPUTED_VALUE"""),-0.522342409063225)</f>
        <v>-0.5223424091</v>
      </c>
      <c r="E1213" s="16">
        <f>IFERROR(__xludf.DUMMYFUNCTION("""COMPUTED_VALUE"""),-0.209604414230813)</f>
        <v>-0.2096044142</v>
      </c>
      <c r="F1213" s="16">
        <f>IFERROR(__xludf.DUMMYFUNCTION("""COMPUTED_VALUE"""),-0.490311522946682)</f>
        <v>-0.4903115229</v>
      </c>
      <c r="G1213" s="16">
        <f>IFERROR(__xludf.DUMMYFUNCTION("""COMPUTED_VALUE"""),0.665446472448889)</f>
        <v>0.6654464724</v>
      </c>
    </row>
    <row r="1214">
      <c r="D1214" s="16">
        <f>IFERROR(__xludf.DUMMYFUNCTION("""COMPUTED_VALUE"""),-0.522342409063225)</f>
        <v>-0.5223424091</v>
      </c>
      <c r="E1214" s="16">
        <f>IFERROR(__xludf.DUMMYFUNCTION("""COMPUTED_VALUE"""),-0.209604414230813)</f>
        <v>-0.2096044142</v>
      </c>
      <c r="F1214" s="16">
        <f>IFERROR(__xludf.DUMMYFUNCTION("""COMPUTED_VALUE"""),-0.490311522946682)</f>
        <v>-0.4903115229</v>
      </c>
      <c r="G1214" s="16">
        <f>IFERROR(__xludf.DUMMYFUNCTION("""COMPUTED_VALUE"""),0.665446472448889)</f>
        <v>0.6654464724</v>
      </c>
    </row>
    <row r="1215">
      <c r="D1215" s="16">
        <f>IFERROR(__xludf.DUMMYFUNCTION("""COMPUTED_VALUE"""),-0.522342409063225)</f>
        <v>-0.5223424091</v>
      </c>
      <c r="E1215" s="16">
        <f>IFERROR(__xludf.DUMMYFUNCTION("""COMPUTED_VALUE"""),-0.209604414230813)</f>
        <v>-0.2096044142</v>
      </c>
      <c r="F1215" s="16">
        <f>IFERROR(__xludf.DUMMYFUNCTION("""COMPUTED_VALUE"""),-0.490311522946682)</f>
        <v>-0.4903115229</v>
      </c>
      <c r="G1215" s="16">
        <f>IFERROR(__xludf.DUMMYFUNCTION("""COMPUTED_VALUE"""),0.665446472448889)</f>
        <v>0.6654464724</v>
      </c>
    </row>
    <row r="1216">
      <c r="D1216" s="16">
        <f>IFERROR(__xludf.DUMMYFUNCTION("""COMPUTED_VALUE"""),-0.522342409063225)</f>
        <v>-0.5223424091</v>
      </c>
      <c r="E1216" s="16">
        <f>IFERROR(__xludf.DUMMYFUNCTION("""COMPUTED_VALUE"""),-0.209604414230813)</f>
        <v>-0.2096044142</v>
      </c>
      <c r="F1216" s="16">
        <f>IFERROR(__xludf.DUMMYFUNCTION("""COMPUTED_VALUE"""),-0.490311522946682)</f>
        <v>-0.4903115229</v>
      </c>
      <c r="G1216" s="16">
        <f>IFERROR(__xludf.DUMMYFUNCTION("""COMPUTED_VALUE"""),0.665446472448889)</f>
        <v>0.6654464724</v>
      </c>
    </row>
    <row r="1217">
      <c r="D1217" s="16">
        <f>IFERROR(__xludf.DUMMYFUNCTION("""COMPUTED_VALUE"""),-0.522342409063225)</f>
        <v>-0.5223424091</v>
      </c>
      <c r="E1217" s="16">
        <f>IFERROR(__xludf.DUMMYFUNCTION("""COMPUTED_VALUE"""),-0.209604414230813)</f>
        <v>-0.2096044142</v>
      </c>
      <c r="F1217" s="16">
        <f>IFERROR(__xludf.DUMMYFUNCTION("""COMPUTED_VALUE"""),-0.490311522946682)</f>
        <v>-0.4903115229</v>
      </c>
      <c r="G1217" s="16">
        <f>IFERROR(__xludf.DUMMYFUNCTION("""COMPUTED_VALUE"""),0.665446472448889)</f>
        <v>0.6654464724</v>
      </c>
    </row>
    <row r="1218">
      <c r="D1218" s="16">
        <f>IFERROR(__xludf.DUMMYFUNCTION("""COMPUTED_VALUE"""),-0.522342409063225)</f>
        <v>-0.5223424091</v>
      </c>
      <c r="E1218" s="16">
        <f>IFERROR(__xludf.DUMMYFUNCTION("""COMPUTED_VALUE"""),-0.209604414230813)</f>
        <v>-0.2096044142</v>
      </c>
      <c r="F1218" s="16">
        <f>IFERROR(__xludf.DUMMYFUNCTION("""COMPUTED_VALUE"""),-0.490311522946682)</f>
        <v>-0.4903115229</v>
      </c>
      <c r="G1218" s="16">
        <f>IFERROR(__xludf.DUMMYFUNCTION("""COMPUTED_VALUE"""),0.665446472448889)</f>
        <v>0.6654464724</v>
      </c>
    </row>
    <row r="1219">
      <c r="D1219" s="16">
        <f>IFERROR(__xludf.DUMMYFUNCTION("""COMPUTED_VALUE"""),-0.522342409063225)</f>
        <v>-0.5223424091</v>
      </c>
      <c r="E1219" s="16">
        <f>IFERROR(__xludf.DUMMYFUNCTION("""COMPUTED_VALUE"""),-0.209604414230813)</f>
        <v>-0.2096044142</v>
      </c>
      <c r="F1219" s="16">
        <f>IFERROR(__xludf.DUMMYFUNCTION("""COMPUTED_VALUE"""),-0.490311522946682)</f>
        <v>-0.4903115229</v>
      </c>
      <c r="G1219" s="16">
        <f>IFERROR(__xludf.DUMMYFUNCTION("""COMPUTED_VALUE"""),0.665446472448889)</f>
        <v>0.6654464724</v>
      </c>
    </row>
    <row r="1220">
      <c r="D1220" s="16">
        <f>IFERROR(__xludf.DUMMYFUNCTION("""COMPUTED_VALUE"""),-0.522342409063225)</f>
        <v>-0.5223424091</v>
      </c>
      <c r="E1220" s="16">
        <f>IFERROR(__xludf.DUMMYFUNCTION("""COMPUTED_VALUE"""),-0.209604414230813)</f>
        <v>-0.2096044142</v>
      </c>
      <c r="F1220" s="16">
        <f>IFERROR(__xludf.DUMMYFUNCTION("""COMPUTED_VALUE"""),-0.490311522946682)</f>
        <v>-0.4903115229</v>
      </c>
      <c r="G1220" s="16">
        <f>IFERROR(__xludf.DUMMYFUNCTION("""COMPUTED_VALUE"""),0.665446472448889)</f>
        <v>0.6654464724</v>
      </c>
    </row>
    <row r="1221">
      <c r="D1221" s="16">
        <f>IFERROR(__xludf.DUMMYFUNCTION("""COMPUTED_VALUE"""),-0.522342409063225)</f>
        <v>-0.5223424091</v>
      </c>
      <c r="E1221" s="16">
        <f>IFERROR(__xludf.DUMMYFUNCTION("""COMPUTED_VALUE"""),-0.209604414230813)</f>
        <v>-0.2096044142</v>
      </c>
      <c r="F1221" s="16">
        <f>IFERROR(__xludf.DUMMYFUNCTION("""COMPUTED_VALUE"""),-0.490311522946682)</f>
        <v>-0.4903115229</v>
      </c>
      <c r="G1221" s="16">
        <f>IFERROR(__xludf.DUMMYFUNCTION("""COMPUTED_VALUE"""),0.665446472448889)</f>
        <v>0.6654464724</v>
      </c>
    </row>
    <row r="1222">
      <c r="D1222" s="16">
        <f>IFERROR(__xludf.DUMMYFUNCTION("""COMPUTED_VALUE"""),-0.522342409063225)</f>
        <v>-0.5223424091</v>
      </c>
      <c r="E1222" s="16">
        <f>IFERROR(__xludf.DUMMYFUNCTION("""COMPUTED_VALUE"""),-0.209604414230813)</f>
        <v>-0.2096044142</v>
      </c>
      <c r="F1222" s="16">
        <f>IFERROR(__xludf.DUMMYFUNCTION("""COMPUTED_VALUE"""),-0.490311522946682)</f>
        <v>-0.4903115229</v>
      </c>
      <c r="G1222" s="16">
        <f>IFERROR(__xludf.DUMMYFUNCTION("""COMPUTED_VALUE"""),0.665446472448889)</f>
        <v>0.6654464724</v>
      </c>
    </row>
    <row r="1223">
      <c r="D1223" s="16">
        <f>IFERROR(__xludf.DUMMYFUNCTION("""COMPUTED_VALUE"""),-0.522342409063225)</f>
        <v>-0.5223424091</v>
      </c>
      <c r="E1223" s="16">
        <f>IFERROR(__xludf.DUMMYFUNCTION("""COMPUTED_VALUE"""),-0.209604414230813)</f>
        <v>-0.2096044142</v>
      </c>
      <c r="F1223" s="16">
        <f>IFERROR(__xludf.DUMMYFUNCTION("""COMPUTED_VALUE"""),-0.490311522946682)</f>
        <v>-0.4903115229</v>
      </c>
      <c r="G1223" s="16">
        <f>IFERROR(__xludf.DUMMYFUNCTION("""COMPUTED_VALUE"""),0.665446472448889)</f>
        <v>0.6654464724</v>
      </c>
    </row>
    <row r="1224">
      <c r="D1224" s="16">
        <f>IFERROR(__xludf.DUMMYFUNCTION("""COMPUTED_VALUE"""),-0.522342409063225)</f>
        <v>-0.5223424091</v>
      </c>
      <c r="E1224" s="16">
        <f>IFERROR(__xludf.DUMMYFUNCTION("""COMPUTED_VALUE"""),-0.209604414230813)</f>
        <v>-0.2096044142</v>
      </c>
      <c r="F1224" s="16">
        <f>IFERROR(__xludf.DUMMYFUNCTION("""COMPUTED_VALUE"""),-0.490311522946682)</f>
        <v>-0.4903115229</v>
      </c>
      <c r="G1224" s="16">
        <f>IFERROR(__xludf.DUMMYFUNCTION("""COMPUTED_VALUE"""),0.665446472448889)</f>
        <v>0.6654464724</v>
      </c>
    </row>
    <row r="1225">
      <c r="D1225" s="16">
        <f>IFERROR(__xludf.DUMMYFUNCTION("""COMPUTED_VALUE"""),-0.522342409063225)</f>
        <v>-0.5223424091</v>
      </c>
      <c r="E1225" s="16">
        <f>IFERROR(__xludf.DUMMYFUNCTION("""COMPUTED_VALUE"""),-0.209604414230813)</f>
        <v>-0.2096044142</v>
      </c>
      <c r="F1225" s="16">
        <f>IFERROR(__xludf.DUMMYFUNCTION("""COMPUTED_VALUE"""),-0.490311522946682)</f>
        <v>-0.4903115229</v>
      </c>
      <c r="G1225" s="16">
        <f>IFERROR(__xludf.DUMMYFUNCTION("""COMPUTED_VALUE"""),0.665446472448889)</f>
        <v>0.6654464724</v>
      </c>
    </row>
    <row r="1226">
      <c r="D1226" s="16">
        <f>IFERROR(__xludf.DUMMYFUNCTION("""COMPUTED_VALUE"""),-0.522342409063225)</f>
        <v>-0.5223424091</v>
      </c>
      <c r="E1226" s="16">
        <f>IFERROR(__xludf.DUMMYFUNCTION("""COMPUTED_VALUE"""),-0.209604414230813)</f>
        <v>-0.2096044142</v>
      </c>
      <c r="F1226" s="16">
        <f>IFERROR(__xludf.DUMMYFUNCTION("""COMPUTED_VALUE"""),-0.490311522946682)</f>
        <v>-0.4903115229</v>
      </c>
      <c r="G1226" s="16">
        <f>IFERROR(__xludf.DUMMYFUNCTION("""COMPUTED_VALUE"""),0.665446472448889)</f>
        <v>0.6654464724</v>
      </c>
    </row>
    <row r="1227">
      <c r="D1227" s="16">
        <f>IFERROR(__xludf.DUMMYFUNCTION("""COMPUTED_VALUE"""),-0.522342409063225)</f>
        <v>-0.5223424091</v>
      </c>
      <c r="E1227" s="16">
        <f>IFERROR(__xludf.DUMMYFUNCTION("""COMPUTED_VALUE"""),-0.209604414230813)</f>
        <v>-0.2096044142</v>
      </c>
      <c r="F1227" s="16">
        <f>IFERROR(__xludf.DUMMYFUNCTION("""COMPUTED_VALUE"""),-0.490311522946682)</f>
        <v>-0.4903115229</v>
      </c>
      <c r="G1227" s="16">
        <f>IFERROR(__xludf.DUMMYFUNCTION("""COMPUTED_VALUE"""),0.665446472448889)</f>
        <v>0.6654464724</v>
      </c>
    </row>
    <row r="1228">
      <c r="D1228" s="16">
        <f>IFERROR(__xludf.DUMMYFUNCTION("""COMPUTED_VALUE"""),-0.522342409063225)</f>
        <v>-0.5223424091</v>
      </c>
      <c r="E1228" s="16">
        <f>IFERROR(__xludf.DUMMYFUNCTION("""COMPUTED_VALUE"""),-0.209604414230813)</f>
        <v>-0.2096044142</v>
      </c>
      <c r="F1228" s="16">
        <f>IFERROR(__xludf.DUMMYFUNCTION("""COMPUTED_VALUE"""),-0.490311522946682)</f>
        <v>-0.4903115229</v>
      </c>
      <c r="G1228" s="16">
        <f>IFERROR(__xludf.DUMMYFUNCTION("""COMPUTED_VALUE"""),0.665446472448889)</f>
        <v>0.6654464724</v>
      </c>
    </row>
    <row r="1229">
      <c r="D1229" s="16">
        <f>IFERROR(__xludf.DUMMYFUNCTION("""COMPUTED_VALUE"""),-0.522342409063225)</f>
        <v>-0.5223424091</v>
      </c>
      <c r="E1229" s="16">
        <f>IFERROR(__xludf.DUMMYFUNCTION("""COMPUTED_VALUE"""),-0.209604414230813)</f>
        <v>-0.2096044142</v>
      </c>
      <c r="F1229" s="16">
        <f>IFERROR(__xludf.DUMMYFUNCTION("""COMPUTED_VALUE"""),-0.490311522946682)</f>
        <v>-0.4903115229</v>
      </c>
      <c r="G1229" s="16">
        <f>IFERROR(__xludf.DUMMYFUNCTION("""COMPUTED_VALUE"""),0.665446472448889)</f>
        <v>0.6654464724</v>
      </c>
    </row>
    <row r="1230">
      <c r="D1230" s="16">
        <f>IFERROR(__xludf.DUMMYFUNCTION("""COMPUTED_VALUE"""),-0.522342409063225)</f>
        <v>-0.5223424091</v>
      </c>
      <c r="E1230" s="16">
        <f>IFERROR(__xludf.DUMMYFUNCTION("""COMPUTED_VALUE"""),-0.209604414230813)</f>
        <v>-0.2096044142</v>
      </c>
      <c r="F1230" s="16">
        <f>IFERROR(__xludf.DUMMYFUNCTION("""COMPUTED_VALUE"""),-0.490311522946682)</f>
        <v>-0.4903115229</v>
      </c>
      <c r="G1230" s="16">
        <f>IFERROR(__xludf.DUMMYFUNCTION("""COMPUTED_VALUE"""),0.665446472448889)</f>
        <v>0.6654464724</v>
      </c>
    </row>
    <row r="1231">
      <c r="D1231" s="16">
        <f>IFERROR(__xludf.DUMMYFUNCTION("""COMPUTED_VALUE"""),-0.522342409063225)</f>
        <v>-0.5223424091</v>
      </c>
      <c r="E1231" s="16">
        <f>IFERROR(__xludf.DUMMYFUNCTION("""COMPUTED_VALUE"""),-0.209604414230813)</f>
        <v>-0.2096044142</v>
      </c>
      <c r="F1231" s="16">
        <f>IFERROR(__xludf.DUMMYFUNCTION("""COMPUTED_VALUE"""),-0.490311522946682)</f>
        <v>-0.4903115229</v>
      </c>
      <c r="G1231" s="16">
        <f>IFERROR(__xludf.DUMMYFUNCTION("""COMPUTED_VALUE"""),0.665446472448889)</f>
        <v>0.6654464724</v>
      </c>
    </row>
    <row r="1232">
      <c r="D1232" s="16">
        <f>IFERROR(__xludf.DUMMYFUNCTION("""COMPUTED_VALUE"""),-0.522342409063225)</f>
        <v>-0.5223424091</v>
      </c>
      <c r="E1232" s="16">
        <f>IFERROR(__xludf.DUMMYFUNCTION("""COMPUTED_VALUE"""),-0.209604414230813)</f>
        <v>-0.2096044142</v>
      </c>
      <c r="F1232" s="16">
        <f>IFERROR(__xludf.DUMMYFUNCTION("""COMPUTED_VALUE"""),-0.490311522946682)</f>
        <v>-0.4903115229</v>
      </c>
      <c r="G1232" s="16">
        <f>IFERROR(__xludf.DUMMYFUNCTION("""COMPUTED_VALUE"""),0.665446472448889)</f>
        <v>0.6654464724</v>
      </c>
    </row>
    <row r="1233">
      <c r="D1233" s="16">
        <f>IFERROR(__xludf.DUMMYFUNCTION("""COMPUTED_VALUE"""),-0.522342409063225)</f>
        <v>-0.5223424091</v>
      </c>
      <c r="E1233" s="16">
        <f>IFERROR(__xludf.DUMMYFUNCTION("""COMPUTED_VALUE"""),-0.209604414230813)</f>
        <v>-0.2096044142</v>
      </c>
      <c r="F1233" s="16">
        <f>IFERROR(__xludf.DUMMYFUNCTION("""COMPUTED_VALUE"""),-0.490311522946682)</f>
        <v>-0.4903115229</v>
      </c>
      <c r="G1233" s="16">
        <f>IFERROR(__xludf.DUMMYFUNCTION("""COMPUTED_VALUE"""),0.665446472448889)</f>
        <v>0.6654464724</v>
      </c>
    </row>
    <row r="1234">
      <c r="D1234" s="16">
        <f>IFERROR(__xludf.DUMMYFUNCTION("""COMPUTED_VALUE"""),-0.522342409063225)</f>
        <v>-0.5223424091</v>
      </c>
      <c r="E1234" s="16">
        <f>IFERROR(__xludf.DUMMYFUNCTION("""COMPUTED_VALUE"""),-0.209604414230813)</f>
        <v>-0.2096044142</v>
      </c>
      <c r="F1234" s="16">
        <f>IFERROR(__xludf.DUMMYFUNCTION("""COMPUTED_VALUE"""),-0.490311522946682)</f>
        <v>-0.4903115229</v>
      </c>
      <c r="G1234" s="16">
        <f>IFERROR(__xludf.DUMMYFUNCTION("""COMPUTED_VALUE"""),0.665446472448889)</f>
        <v>0.6654464724</v>
      </c>
    </row>
    <row r="1235">
      <c r="D1235" s="16">
        <f>IFERROR(__xludf.DUMMYFUNCTION("""COMPUTED_VALUE"""),-0.522342409063225)</f>
        <v>-0.5223424091</v>
      </c>
      <c r="E1235" s="16">
        <f>IFERROR(__xludf.DUMMYFUNCTION("""COMPUTED_VALUE"""),-0.209604414230813)</f>
        <v>-0.2096044142</v>
      </c>
      <c r="F1235" s="16">
        <f>IFERROR(__xludf.DUMMYFUNCTION("""COMPUTED_VALUE"""),-0.490311522946682)</f>
        <v>-0.4903115229</v>
      </c>
      <c r="G1235" s="16">
        <f>IFERROR(__xludf.DUMMYFUNCTION("""COMPUTED_VALUE"""),0.665446472448889)</f>
        <v>0.6654464724</v>
      </c>
    </row>
    <row r="1236">
      <c r="D1236" s="16">
        <f>IFERROR(__xludf.DUMMYFUNCTION("""COMPUTED_VALUE"""),-0.522342409063225)</f>
        <v>-0.5223424091</v>
      </c>
      <c r="E1236" s="16">
        <f>IFERROR(__xludf.DUMMYFUNCTION("""COMPUTED_VALUE"""),-0.209604414230813)</f>
        <v>-0.2096044142</v>
      </c>
      <c r="F1236" s="16">
        <f>IFERROR(__xludf.DUMMYFUNCTION("""COMPUTED_VALUE"""),-0.490311522946682)</f>
        <v>-0.4903115229</v>
      </c>
      <c r="G1236" s="16">
        <f>IFERROR(__xludf.DUMMYFUNCTION("""COMPUTED_VALUE"""),0.665446472448889)</f>
        <v>0.6654464724</v>
      </c>
    </row>
    <row r="1237">
      <c r="D1237" s="16">
        <f>IFERROR(__xludf.DUMMYFUNCTION("""COMPUTED_VALUE"""),-0.522342409063225)</f>
        <v>-0.5223424091</v>
      </c>
      <c r="E1237" s="16">
        <f>IFERROR(__xludf.DUMMYFUNCTION("""COMPUTED_VALUE"""),-0.209604414230813)</f>
        <v>-0.2096044142</v>
      </c>
      <c r="F1237" s="16">
        <f>IFERROR(__xludf.DUMMYFUNCTION("""COMPUTED_VALUE"""),-0.490311522946682)</f>
        <v>-0.4903115229</v>
      </c>
      <c r="G1237" s="16">
        <f>IFERROR(__xludf.DUMMYFUNCTION("""COMPUTED_VALUE"""),0.665446472448889)</f>
        <v>0.6654464724</v>
      </c>
    </row>
    <row r="1238">
      <c r="D1238" s="16">
        <f>IFERROR(__xludf.DUMMYFUNCTION("""COMPUTED_VALUE"""),-0.522342409063225)</f>
        <v>-0.5223424091</v>
      </c>
      <c r="E1238" s="16">
        <f>IFERROR(__xludf.DUMMYFUNCTION("""COMPUTED_VALUE"""),-0.209604414230813)</f>
        <v>-0.2096044142</v>
      </c>
      <c r="F1238" s="16">
        <f>IFERROR(__xludf.DUMMYFUNCTION("""COMPUTED_VALUE"""),-0.490311522946682)</f>
        <v>-0.4903115229</v>
      </c>
      <c r="G1238" s="16">
        <f>IFERROR(__xludf.DUMMYFUNCTION("""COMPUTED_VALUE"""),0.665446472448889)</f>
        <v>0.6654464724</v>
      </c>
    </row>
    <row r="1239">
      <c r="D1239" s="16">
        <f>IFERROR(__xludf.DUMMYFUNCTION("""COMPUTED_VALUE"""),-0.522342409063225)</f>
        <v>-0.5223424091</v>
      </c>
      <c r="E1239" s="16">
        <f>IFERROR(__xludf.DUMMYFUNCTION("""COMPUTED_VALUE"""),-0.209604414230813)</f>
        <v>-0.2096044142</v>
      </c>
      <c r="F1239" s="16">
        <f>IFERROR(__xludf.DUMMYFUNCTION("""COMPUTED_VALUE"""),-0.490311522946682)</f>
        <v>-0.4903115229</v>
      </c>
      <c r="G1239" s="16">
        <f>IFERROR(__xludf.DUMMYFUNCTION("""COMPUTED_VALUE"""),0.665446472448889)</f>
        <v>0.6654464724</v>
      </c>
    </row>
    <row r="1240">
      <c r="D1240" s="16">
        <f>IFERROR(__xludf.DUMMYFUNCTION("""COMPUTED_VALUE"""),-0.522342409063225)</f>
        <v>-0.5223424091</v>
      </c>
      <c r="E1240" s="16">
        <f>IFERROR(__xludf.DUMMYFUNCTION("""COMPUTED_VALUE"""),-0.209604414230813)</f>
        <v>-0.2096044142</v>
      </c>
      <c r="F1240" s="16">
        <f>IFERROR(__xludf.DUMMYFUNCTION("""COMPUTED_VALUE"""),-0.490311522946682)</f>
        <v>-0.4903115229</v>
      </c>
      <c r="G1240" s="16">
        <f>IFERROR(__xludf.DUMMYFUNCTION("""COMPUTED_VALUE"""),0.665446472448889)</f>
        <v>0.6654464724</v>
      </c>
    </row>
    <row r="1241">
      <c r="D1241" s="16">
        <f>IFERROR(__xludf.DUMMYFUNCTION("""COMPUTED_VALUE"""),-0.522342409063225)</f>
        <v>-0.5223424091</v>
      </c>
      <c r="E1241" s="16">
        <f>IFERROR(__xludf.DUMMYFUNCTION("""COMPUTED_VALUE"""),-0.209604414230813)</f>
        <v>-0.2096044142</v>
      </c>
      <c r="F1241" s="16">
        <f>IFERROR(__xludf.DUMMYFUNCTION("""COMPUTED_VALUE"""),-0.490311522946682)</f>
        <v>-0.4903115229</v>
      </c>
      <c r="G1241" s="16">
        <f>IFERROR(__xludf.DUMMYFUNCTION("""COMPUTED_VALUE"""),0.665446472448889)</f>
        <v>0.6654464724</v>
      </c>
    </row>
    <row r="1242">
      <c r="D1242" s="16">
        <f>IFERROR(__xludf.DUMMYFUNCTION("""COMPUTED_VALUE"""),-0.522342409063225)</f>
        <v>-0.5223424091</v>
      </c>
      <c r="E1242" s="16">
        <f>IFERROR(__xludf.DUMMYFUNCTION("""COMPUTED_VALUE"""),-0.209604414230813)</f>
        <v>-0.2096044142</v>
      </c>
      <c r="F1242" s="16">
        <f>IFERROR(__xludf.DUMMYFUNCTION("""COMPUTED_VALUE"""),-0.490311522946682)</f>
        <v>-0.4903115229</v>
      </c>
      <c r="G1242" s="16">
        <f>IFERROR(__xludf.DUMMYFUNCTION("""COMPUTED_VALUE"""),0.665446472448889)</f>
        <v>0.6654464724</v>
      </c>
    </row>
    <row r="1243">
      <c r="D1243" s="16">
        <f>IFERROR(__xludf.DUMMYFUNCTION("""COMPUTED_VALUE"""),-0.522342409063225)</f>
        <v>-0.5223424091</v>
      </c>
      <c r="E1243" s="16">
        <f>IFERROR(__xludf.DUMMYFUNCTION("""COMPUTED_VALUE"""),-0.209604414230813)</f>
        <v>-0.2096044142</v>
      </c>
      <c r="F1243" s="16">
        <f>IFERROR(__xludf.DUMMYFUNCTION("""COMPUTED_VALUE"""),-0.490311522946682)</f>
        <v>-0.4903115229</v>
      </c>
      <c r="G1243" s="16">
        <f>IFERROR(__xludf.DUMMYFUNCTION("""COMPUTED_VALUE"""),0.665446472448889)</f>
        <v>0.6654464724</v>
      </c>
    </row>
    <row r="1244">
      <c r="D1244" s="16">
        <f>IFERROR(__xludf.DUMMYFUNCTION("""COMPUTED_VALUE"""),-0.522342409063225)</f>
        <v>-0.5223424091</v>
      </c>
      <c r="E1244" s="16">
        <f>IFERROR(__xludf.DUMMYFUNCTION("""COMPUTED_VALUE"""),-0.209604414230813)</f>
        <v>-0.2096044142</v>
      </c>
      <c r="F1244" s="16">
        <f>IFERROR(__xludf.DUMMYFUNCTION("""COMPUTED_VALUE"""),-0.490311522946682)</f>
        <v>-0.4903115229</v>
      </c>
      <c r="G1244" s="16">
        <f>IFERROR(__xludf.DUMMYFUNCTION("""COMPUTED_VALUE"""),0.665446472448889)</f>
        <v>0.6654464724</v>
      </c>
    </row>
    <row r="1245">
      <c r="D1245" s="16">
        <f>IFERROR(__xludf.DUMMYFUNCTION("""COMPUTED_VALUE"""),-0.522342409063225)</f>
        <v>-0.5223424091</v>
      </c>
      <c r="E1245" s="16">
        <f>IFERROR(__xludf.DUMMYFUNCTION("""COMPUTED_VALUE"""),-0.209604414230813)</f>
        <v>-0.2096044142</v>
      </c>
      <c r="F1245" s="16">
        <f>IFERROR(__xludf.DUMMYFUNCTION("""COMPUTED_VALUE"""),-0.490311522946682)</f>
        <v>-0.4903115229</v>
      </c>
      <c r="G1245" s="16">
        <f>IFERROR(__xludf.DUMMYFUNCTION("""COMPUTED_VALUE"""),0.665446472448889)</f>
        <v>0.6654464724</v>
      </c>
    </row>
    <row r="1246">
      <c r="D1246" s="16">
        <f>IFERROR(__xludf.DUMMYFUNCTION("""COMPUTED_VALUE"""),-0.522342409063225)</f>
        <v>-0.5223424091</v>
      </c>
      <c r="E1246" s="16">
        <f>IFERROR(__xludf.DUMMYFUNCTION("""COMPUTED_VALUE"""),-0.209604414230813)</f>
        <v>-0.2096044142</v>
      </c>
      <c r="F1246" s="16">
        <f>IFERROR(__xludf.DUMMYFUNCTION("""COMPUTED_VALUE"""),-0.490311522946682)</f>
        <v>-0.4903115229</v>
      </c>
      <c r="G1246" s="16">
        <f>IFERROR(__xludf.DUMMYFUNCTION("""COMPUTED_VALUE"""),0.665446472448889)</f>
        <v>0.6654464724</v>
      </c>
    </row>
    <row r="1247">
      <c r="D1247" s="16">
        <f>IFERROR(__xludf.DUMMYFUNCTION("""COMPUTED_VALUE"""),-0.524263825322319)</f>
        <v>-0.5242638253</v>
      </c>
      <c r="E1247" s="16">
        <f>IFERROR(__xludf.DUMMYFUNCTION("""COMPUTED_VALUE"""),-0.206989602659046)</f>
        <v>-0.2069896027</v>
      </c>
      <c r="F1247" s="16">
        <f>IFERROR(__xludf.DUMMYFUNCTION("""COMPUTED_VALUE"""),-0.488256513831282)</f>
        <v>-0.4882565138</v>
      </c>
      <c r="G1247" s="16">
        <f>IFERROR(__xludf.DUMMYFUNCTION("""COMPUTED_VALUE"""),0.666264453915083)</f>
        <v>0.6662644539</v>
      </c>
    </row>
    <row r="1248">
      <c r="D1248" s="16">
        <f>IFERROR(__xludf.DUMMYFUNCTION("""COMPUTED_VALUE"""),-0.513733921319596)</f>
        <v>-0.5137339213</v>
      </c>
      <c r="E1248" s="16">
        <f>IFERROR(__xludf.DUMMYFUNCTION("""COMPUTED_VALUE"""),-0.199294867103105)</f>
        <v>-0.1992948671</v>
      </c>
      <c r="F1248" s="16">
        <f>IFERROR(__xludf.DUMMYFUNCTION("""COMPUTED_VALUE"""),-0.491447530112811)</f>
        <v>-0.4914475301</v>
      </c>
      <c r="G1248" s="16">
        <f>IFERROR(__xludf.DUMMYFUNCTION("""COMPUTED_VALUE"""),0.674417036541891)</f>
        <v>0.6744170365</v>
      </c>
    </row>
    <row r="1249">
      <c r="D1249" s="16">
        <f>IFERROR(__xludf.DUMMYFUNCTION("""COMPUTED_VALUE"""),-0.503077261166504)</f>
        <v>-0.5030772612</v>
      </c>
      <c r="E1249" s="16">
        <f>IFERROR(__xludf.DUMMYFUNCTION("""COMPUTED_VALUE"""),-0.191550958523749)</f>
        <v>-0.1915509585</v>
      </c>
      <c r="F1249" s="16">
        <f>IFERROR(__xludf.DUMMYFUNCTION("""COMPUTED_VALUE"""),-0.494517289077197)</f>
        <v>-0.4945172891</v>
      </c>
      <c r="G1249" s="16">
        <f>IFERROR(__xludf.DUMMYFUNCTION("""COMPUTED_VALUE"""),0.682403216866365)</f>
        <v>0.6824032169</v>
      </c>
    </row>
    <row r="1250">
      <c r="D1250" s="16">
        <f>IFERROR(__xludf.DUMMYFUNCTION("""COMPUTED_VALUE"""),-0.486860363296904)</f>
        <v>-0.4868603633</v>
      </c>
      <c r="E1250" s="16">
        <f>IFERROR(__xludf.DUMMYFUNCTION("""COMPUTED_VALUE"""),-0.179847079079321)</f>
        <v>-0.1798470791</v>
      </c>
      <c r="F1250" s="16">
        <f>IFERROR(__xludf.DUMMYFUNCTION("""COMPUTED_VALUE"""),-0.498892921431306)</f>
        <v>-0.4988929214</v>
      </c>
      <c r="G1250" s="16">
        <f>IFERROR(__xludf.DUMMYFUNCTION("""COMPUTED_VALUE"""),0.694066183978705)</f>
        <v>0.694066184</v>
      </c>
    </row>
    <row r="1251">
      <c r="D1251" s="16">
        <f>IFERROR(__xludf.DUMMYFUNCTION("""COMPUTED_VALUE"""),-0.48139422052075)</f>
        <v>-0.4813942205</v>
      </c>
      <c r="E1251" s="16">
        <f>IFERROR(__xludf.DUMMYFUNCTION("""COMPUTED_VALUE"""),-0.175923276729879)</f>
        <v>-0.1759232767</v>
      </c>
      <c r="F1251" s="16">
        <f>IFERROR(__xludf.DUMMYFUNCTION("""COMPUTED_VALUE"""),-0.500290035491663)</f>
        <v>-0.5002900355</v>
      </c>
      <c r="G1251" s="16">
        <f>IFERROR(__xludf.DUMMYFUNCTION("""COMPUTED_VALUE"""),0.697868530270261)</f>
        <v>0.6978685303</v>
      </c>
    </row>
    <row r="1252">
      <c r="D1252" s="16">
        <f>IFERROR(__xludf.DUMMYFUNCTION("""COMPUTED_VALUE"""),-0.48139422052075)</f>
        <v>-0.4813942205</v>
      </c>
      <c r="E1252" s="16">
        <f>IFERROR(__xludf.DUMMYFUNCTION("""COMPUTED_VALUE"""),-0.175923276729879)</f>
        <v>-0.1759232767</v>
      </c>
      <c r="F1252" s="16">
        <f>IFERROR(__xludf.DUMMYFUNCTION("""COMPUTED_VALUE"""),-0.500290035491663)</f>
        <v>-0.5002900355</v>
      </c>
      <c r="G1252" s="16">
        <f>IFERROR(__xludf.DUMMYFUNCTION("""COMPUTED_VALUE"""),0.697868530270261)</f>
        <v>0.6978685303</v>
      </c>
    </row>
    <row r="1253">
      <c r="D1253" s="16">
        <f>IFERROR(__xludf.DUMMYFUNCTION("""COMPUTED_VALUE"""),-0.48139422052075)</f>
        <v>-0.4813942205</v>
      </c>
      <c r="E1253" s="16">
        <f>IFERROR(__xludf.DUMMYFUNCTION("""COMPUTED_VALUE"""),-0.175923276729879)</f>
        <v>-0.1759232767</v>
      </c>
      <c r="F1253" s="16">
        <f>IFERROR(__xludf.DUMMYFUNCTION("""COMPUTED_VALUE"""),-0.500290035491663)</f>
        <v>-0.5002900355</v>
      </c>
      <c r="G1253" s="16">
        <f>IFERROR(__xludf.DUMMYFUNCTION("""COMPUTED_VALUE"""),0.697868530270261)</f>
        <v>0.6978685303</v>
      </c>
    </row>
    <row r="1254">
      <c r="D1254" s="16">
        <f>IFERROR(__xludf.DUMMYFUNCTION("""COMPUTED_VALUE"""),-0.48139422052075)</f>
        <v>-0.4813942205</v>
      </c>
      <c r="E1254" s="16">
        <f>IFERROR(__xludf.DUMMYFUNCTION("""COMPUTED_VALUE"""),-0.175923276729879)</f>
        <v>-0.1759232767</v>
      </c>
      <c r="F1254" s="16">
        <f>IFERROR(__xludf.DUMMYFUNCTION("""COMPUTED_VALUE"""),-0.500290035491663)</f>
        <v>-0.5002900355</v>
      </c>
      <c r="G1254" s="16">
        <f>IFERROR(__xludf.DUMMYFUNCTION("""COMPUTED_VALUE"""),0.697868530270261)</f>
        <v>0.6978685303</v>
      </c>
    </row>
    <row r="1255">
      <c r="D1255" s="16">
        <f>IFERROR(__xludf.DUMMYFUNCTION("""COMPUTED_VALUE"""),-0.48139422052075)</f>
        <v>-0.4813942205</v>
      </c>
      <c r="E1255" s="16">
        <f>IFERROR(__xludf.DUMMYFUNCTION("""COMPUTED_VALUE"""),-0.175923276729879)</f>
        <v>-0.1759232767</v>
      </c>
      <c r="F1255" s="16">
        <f>IFERROR(__xludf.DUMMYFUNCTION("""COMPUTED_VALUE"""),-0.500290035491663)</f>
        <v>-0.5002900355</v>
      </c>
      <c r="G1255" s="16">
        <f>IFERROR(__xludf.DUMMYFUNCTION("""COMPUTED_VALUE"""),0.697868530270261)</f>
        <v>0.6978685303</v>
      </c>
    </row>
    <row r="1256">
      <c r="D1256" s="16">
        <f>IFERROR(__xludf.DUMMYFUNCTION("""COMPUTED_VALUE"""),-0.48139422052075)</f>
        <v>-0.4813942205</v>
      </c>
      <c r="E1256" s="16">
        <f>IFERROR(__xludf.DUMMYFUNCTION("""COMPUTED_VALUE"""),-0.175923276729879)</f>
        <v>-0.1759232767</v>
      </c>
      <c r="F1256" s="16">
        <f>IFERROR(__xludf.DUMMYFUNCTION("""COMPUTED_VALUE"""),-0.500290035491663)</f>
        <v>-0.5002900355</v>
      </c>
      <c r="G1256" s="16">
        <f>IFERROR(__xludf.DUMMYFUNCTION("""COMPUTED_VALUE"""),0.697868530270261)</f>
        <v>0.6978685303</v>
      </c>
    </row>
    <row r="1257">
      <c r="D1257" s="16">
        <f>IFERROR(__xludf.DUMMYFUNCTION("""COMPUTED_VALUE"""),-0.480184228433782)</f>
        <v>-0.4801842284</v>
      </c>
      <c r="E1257" s="16">
        <f>IFERROR(__xludf.DUMMYFUNCTION("""COMPUTED_VALUE"""),-0.183369489033315)</f>
        <v>-0.183369489</v>
      </c>
      <c r="F1257" s="16">
        <f>IFERROR(__xludf.DUMMYFUNCTION("""COMPUTED_VALUE"""),-0.503349948712584)</f>
        <v>-0.5033499487</v>
      </c>
      <c r="G1257" s="16">
        <f>IFERROR(__xludf.DUMMYFUNCTION("""COMPUTED_VALUE"""),0.694577257319972)</f>
        <v>0.6945772573</v>
      </c>
    </row>
    <row r="1258">
      <c r="D1258" s="16">
        <f>IFERROR(__xludf.DUMMYFUNCTION("""COMPUTED_VALUE"""),-0.478942866935358)</f>
        <v>-0.4789428669</v>
      </c>
      <c r="E1258" s="16">
        <f>IFERROR(__xludf.DUMMYFUNCTION("""COMPUTED_VALUE"""),-0.190786752529419)</f>
        <v>-0.1907867525</v>
      </c>
      <c r="F1258" s="16">
        <f>IFERROR(__xludf.DUMMYFUNCTION("""COMPUTED_VALUE"""),-0.506392473122966)</f>
        <v>-0.5063924731</v>
      </c>
      <c r="G1258" s="16">
        <f>IFERROR(__xludf.DUMMYFUNCTION("""COMPUTED_VALUE"""),0.691216904043445)</f>
        <v>0.691216904</v>
      </c>
    </row>
    <row r="1259">
      <c r="D1259" s="16">
        <f>IFERROR(__xludf.DUMMYFUNCTION("""COMPUTED_VALUE"""),-0.46615492866964)</f>
        <v>-0.4661549287</v>
      </c>
      <c r="E1259" s="16">
        <f>IFERROR(__xludf.DUMMYFUNCTION("""COMPUTED_VALUE"""),-0.219084682163152)</f>
        <v>-0.2190846822</v>
      </c>
      <c r="F1259" s="16">
        <f>IFERROR(__xludf.DUMMYFUNCTION("""COMPUTED_VALUE"""),-0.521453825602669)</f>
        <v>-0.5214538256</v>
      </c>
      <c r="G1259" s="16">
        <f>IFERROR(__xludf.DUMMYFUNCTION("""COMPUTED_VALUE"""),0.680284787631471)</f>
        <v>0.6802847876</v>
      </c>
    </row>
    <row r="1260">
      <c r="D1260" s="16">
        <f>IFERROR(__xludf.DUMMYFUNCTION("""COMPUTED_VALUE"""),-0.46410359526653)</f>
        <v>-0.4641035953</v>
      </c>
      <c r="E1260" s="16">
        <f>IFERROR(__xludf.DUMMYFUNCTION("""COMPUTED_VALUE"""),-0.221754458052986)</f>
        <v>-0.2217544581</v>
      </c>
      <c r="F1260" s="16">
        <f>IFERROR(__xludf.DUMMYFUNCTION("""COMPUTED_VALUE"""),-0.523280386236038)</f>
        <v>-0.5232803862</v>
      </c>
      <c r="G1260" s="16">
        <f>IFERROR(__xludf.DUMMYFUNCTION("""COMPUTED_VALUE"""),0.679419200917189)</f>
        <v>0.6794192009</v>
      </c>
    </row>
    <row r="1261">
      <c r="D1261" s="16">
        <f>IFERROR(__xludf.DUMMYFUNCTION("""COMPUTED_VALUE"""),-0.46410359526653)</f>
        <v>-0.4641035953</v>
      </c>
      <c r="E1261" s="16">
        <f>IFERROR(__xludf.DUMMYFUNCTION("""COMPUTED_VALUE"""),-0.221754458052986)</f>
        <v>-0.2217544581</v>
      </c>
      <c r="F1261" s="16">
        <f>IFERROR(__xludf.DUMMYFUNCTION("""COMPUTED_VALUE"""),-0.523280386236038)</f>
        <v>-0.5232803862</v>
      </c>
      <c r="G1261" s="16">
        <f>IFERROR(__xludf.DUMMYFUNCTION("""COMPUTED_VALUE"""),0.679419200917189)</f>
        <v>0.6794192009</v>
      </c>
    </row>
    <row r="1262">
      <c r="D1262" s="16">
        <f>IFERROR(__xludf.DUMMYFUNCTION("""COMPUTED_VALUE"""),-0.46410359526653)</f>
        <v>-0.4641035953</v>
      </c>
      <c r="E1262" s="16">
        <f>IFERROR(__xludf.DUMMYFUNCTION("""COMPUTED_VALUE"""),-0.221754458052986)</f>
        <v>-0.2217544581</v>
      </c>
      <c r="F1262" s="16">
        <f>IFERROR(__xludf.DUMMYFUNCTION("""COMPUTED_VALUE"""),-0.523280386236038)</f>
        <v>-0.5232803862</v>
      </c>
      <c r="G1262" s="16">
        <f>IFERROR(__xludf.DUMMYFUNCTION("""COMPUTED_VALUE"""),0.679419200917189)</f>
        <v>0.6794192009</v>
      </c>
    </row>
    <row r="1263">
      <c r="D1263" s="16">
        <f>IFERROR(__xludf.DUMMYFUNCTION("""COMPUTED_VALUE"""),-0.46410359526653)</f>
        <v>-0.4641035953</v>
      </c>
      <c r="E1263" s="16">
        <f>IFERROR(__xludf.DUMMYFUNCTION("""COMPUTED_VALUE"""),-0.221754458052986)</f>
        <v>-0.2217544581</v>
      </c>
      <c r="F1263" s="16">
        <f>IFERROR(__xludf.DUMMYFUNCTION("""COMPUTED_VALUE"""),-0.523280386236038)</f>
        <v>-0.5232803862</v>
      </c>
      <c r="G1263" s="16">
        <f>IFERROR(__xludf.DUMMYFUNCTION("""COMPUTED_VALUE"""),0.679419200917189)</f>
        <v>0.6794192009</v>
      </c>
    </row>
    <row r="1264">
      <c r="D1264" s="16">
        <f>IFERROR(__xludf.DUMMYFUNCTION("""COMPUTED_VALUE"""),-0.46410359526653)</f>
        <v>-0.4641035953</v>
      </c>
      <c r="E1264" s="16">
        <f>IFERROR(__xludf.DUMMYFUNCTION("""COMPUTED_VALUE"""),-0.221754458052986)</f>
        <v>-0.2217544581</v>
      </c>
      <c r="F1264" s="16">
        <f>IFERROR(__xludf.DUMMYFUNCTION("""COMPUTED_VALUE"""),-0.523280386236038)</f>
        <v>-0.5232803862</v>
      </c>
      <c r="G1264" s="16">
        <f>IFERROR(__xludf.DUMMYFUNCTION("""COMPUTED_VALUE"""),0.679419200917189)</f>
        <v>0.6794192009</v>
      </c>
    </row>
    <row r="1265">
      <c r="D1265" s="16">
        <f>IFERROR(__xludf.DUMMYFUNCTION("""COMPUTED_VALUE"""),-0.46410359526653)</f>
        <v>-0.4641035953</v>
      </c>
      <c r="E1265" s="16">
        <f>IFERROR(__xludf.DUMMYFUNCTION("""COMPUTED_VALUE"""),-0.221754458052986)</f>
        <v>-0.2217544581</v>
      </c>
      <c r="F1265" s="16">
        <f>IFERROR(__xludf.DUMMYFUNCTION("""COMPUTED_VALUE"""),-0.523280386236038)</f>
        <v>-0.5232803862</v>
      </c>
      <c r="G1265" s="16">
        <f>IFERROR(__xludf.DUMMYFUNCTION("""COMPUTED_VALUE"""),0.679419200917189)</f>
        <v>0.6794192009</v>
      </c>
    </row>
    <row r="1266">
      <c r="D1266" s="16">
        <f>IFERROR(__xludf.DUMMYFUNCTION("""COMPUTED_VALUE"""),-0.46410359526653)</f>
        <v>-0.4641035953</v>
      </c>
      <c r="E1266" s="16">
        <f>IFERROR(__xludf.DUMMYFUNCTION("""COMPUTED_VALUE"""),-0.221754458052986)</f>
        <v>-0.2217544581</v>
      </c>
      <c r="F1266" s="16">
        <f>IFERROR(__xludf.DUMMYFUNCTION("""COMPUTED_VALUE"""),-0.523280386236038)</f>
        <v>-0.5232803862</v>
      </c>
      <c r="G1266" s="16">
        <f>IFERROR(__xludf.DUMMYFUNCTION("""COMPUTED_VALUE"""),0.679419200917189)</f>
        <v>0.6794192009</v>
      </c>
    </row>
    <row r="1267">
      <c r="D1267" s="16">
        <f>IFERROR(__xludf.DUMMYFUNCTION("""COMPUTED_VALUE"""),-0.46410359526653)</f>
        <v>-0.4641035953</v>
      </c>
      <c r="E1267" s="16">
        <f>IFERROR(__xludf.DUMMYFUNCTION("""COMPUTED_VALUE"""),-0.221754458052986)</f>
        <v>-0.2217544581</v>
      </c>
      <c r="F1267" s="16">
        <f>IFERROR(__xludf.DUMMYFUNCTION("""COMPUTED_VALUE"""),-0.523280386236038)</f>
        <v>-0.5232803862</v>
      </c>
      <c r="G1267" s="16">
        <f>IFERROR(__xludf.DUMMYFUNCTION("""COMPUTED_VALUE"""),0.679419200917189)</f>
        <v>0.6794192009</v>
      </c>
    </row>
    <row r="1268">
      <c r="D1268" s="16">
        <f>IFERROR(__xludf.DUMMYFUNCTION("""COMPUTED_VALUE"""),-0.46410359526653)</f>
        <v>-0.4641035953</v>
      </c>
      <c r="E1268" s="16">
        <f>IFERROR(__xludf.DUMMYFUNCTION("""COMPUTED_VALUE"""),-0.221754458052986)</f>
        <v>-0.2217544581</v>
      </c>
      <c r="F1268" s="16">
        <f>IFERROR(__xludf.DUMMYFUNCTION("""COMPUTED_VALUE"""),-0.523280386236038)</f>
        <v>-0.5232803862</v>
      </c>
      <c r="G1268" s="16">
        <f>IFERROR(__xludf.DUMMYFUNCTION("""COMPUTED_VALUE"""),0.679419200917189)</f>
        <v>0.6794192009</v>
      </c>
    </row>
    <row r="1269">
      <c r="D1269" s="16">
        <f>IFERROR(__xludf.DUMMYFUNCTION("""COMPUTED_VALUE"""),-0.46410359526653)</f>
        <v>-0.4641035953</v>
      </c>
      <c r="E1269" s="16">
        <f>IFERROR(__xludf.DUMMYFUNCTION("""COMPUTED_VALUE"""),-0.221754458052986)</f>
        <v>-0.2217544581</v>
      </c>
      <c r="F1269" s="16">
        <f>IFERROR(__xludf.DUMMYFUNCTION("""COMPUTED_VALUE"""),-0.523280386236038)</f>
        <v>-0.5232803862</v>
      </c>
      <c r="G1269" s="16">
        <f>IFERROR(__xludf.DUMMYFUNCTION("""COMPUTED_VALUE"""),0.679419200917189)</f>
        <v>0.6794192009</v>
      </c>
    </row>
    <row r="1270">
      <c r="D1270" s="16">
        <f>IFERROR(__xludf.DUMMYFUNCTION("""COMPUTED_VALUE"""),-0.462045104812284)</f>
        <v>-0.4620451048</v>
      </c>
      <c r="E1270" s="16">
        <f>IFERROR(__xludf.DUMMYFUNCTION("""COMPUTED_VALUE"""),-0.224420814214957)</f>
        <v>-0.2244208142</v>
      </c>
      <c r="F1270" s="16">
        <f>IFERROR(__xludf.DUMMYFUNCTION("""COMPUTED_VALUE"""),-0.525098877239003)</f>
        <v>-0.5250988772</v>
      </c>
      <c r="G1270" s="16">
        <f>IFERROR(__xludf.DUMMYFUNCTION("""COMPUTED_VALUE"""),0.678543136718971)</f>
        <v>0.6785431367</v>
      </c>
    </row>
    <row r="1271">
      <c r="D1271" s="16">
        <f>IFERROR(__xludf.DUMMYFUNCTION("""COMPUTED_VALUE"""),-0.45133001141702)</f>
        <v>-0.4513300114</v>
      </c>
      <c r="E1271" s="16">
        <f>IFERROR(__xludf.DUMMYFUNCTION("""COMPUTED_VALUE"""),-0.216145233538509)</f>
        <v>-0.2161452335</v>
      </c>
      <c r="F1271" s="16">
        <f>IFERROR(__xludf.DUMMYFUNCTION("""COMPUTED_VALUE"""),-0.528559145932742)</f>
        <v>-0.5285591459</v>
      </c>
      <c r="G1271" s="16">
        <f>IFERROR(__xludf.DUMMYFUNCTION("""COMPUTED_VALUE"""),0.685716915398568)</f>
        <v>0.6857169154</v>
      </c>
    </row>
    <row r="1272">
      <c r="D1272" s="16">
        <f>IFERROR(__xludf.DUMMYFUNCTION("""COMPUTED_VALUE"""),-0.445930538806502)</f>
        <v>-0.4459305388</v>
      </c>
      <c r="E1272" s="16">
        <f>IFERROR(__xludf.DUMMYFUNCTION("""COMPUTED_VALUE"""),-0.211987316088524)</f>
        <v>-0.2119873161</v>
      </c>
      <c r="F1272" s="16">
        <f>IFERROR(__xludf.DUMMYFUNCTION("""COMPUTED_VALUE"""),-0.530240427115992)</f>
        <v>-0.5302404271</v>
      </c>
      <c r="G1272" s="16">
        <f>IFERROR(__xludf.DUMMYFUNCTION("""COMPUTED_VALUE"""),0.689240467347324)</f>
        <v>0.6892404673</v>
      </c>
    </row>
    <row r="1273">
      <c r="D1273" s="16">
        <f>IFERROR(__xludf.DUMMYFUNCTION("""COMPUTED_VALUE"""),-0.445930538806502)</f>
        <v>-0.4459305388</v>
      </c>
      <c r="E1273" s="16">
        <f>IFERROR(__xludf.DUMMYFUNCTION("""COMPUTED_VALUE"""),-0.211987316088524)</f>
        <v>-0.2119873161</v>
      </c>
      <c r="F1273" s="16">
        <f>IFERROR(__xludf.DUMMYFUNCTION("""COMPUTED_VALUE"""),-0.530240427115992)</f>
        <v>-0.5302404271</v>
      </c>
      <c r="G1273" s="16">
        <f>IFERROR(__xludf.DUMMYFUNCTION("""COMPUTED_VALUE"""),0.689240467347324)</f>
        <v>0.6892404673</v>
      </c>
    </row>
    <row r="1274">
      <c r="D1274" s="16">
        <f>IFERROR(__xludf.DUMMYFUNCTION("""COMPUTED_VALUE"""),-0.445930538806502)</f>
        <v>-0.4459305388</v>
      </c>
      <c r="E1274" s="16">
        <f>IFERROR(__xludf.DUMMYFUNCTION("""COMPUTED_VALUE"""),-0.211987316088524)</f>
        <v>-0.2119873161</v>
      </c>
      <c r="F1274" s="16">
        <f>IFERROR(__xludf.DUMMYFUNCTION("""COMPUTED_VALUE"""),-0.530240427115992)</f>
        <v>-0.5302404271</v>
      </c>
      <c r="G1274" s="16">
        <f>IFERROR(__xludf.DUMMYFUNCTION("""COMPUTED_VALUE"""),0.689240467347324)</f>
        <v>0.6892404673</v>
      </c>
    </row>
    <row r="1275">
      <c r="D1275" s="16">
        <f>IFERROR(__xludf.DUMMYFUNCTION("""COMPUTED_VALUE"""),-0.445930538806502)</f>
        <v>-0.4459305388</v>
      </c>
      <c r="E1275" s="16">
        <f>IFERROR(__xludf.DUMMYFUNCTION("""COMPUTED_VALUE"""),-0.211987316088524)</f>
        <v>-0.2119873161</v>
      </c>
      <c r="F1275" s="16">
        <f>IFERROR(__xludf.DUMMYFUNCTION("""COMPUTED_VALUE"""),-0.530240427115992)</f>
        <v>-0.5302404271</v>
      </c>
      <c r="G1275" s="16">
        <f>IFERROR(__xludf.DUMMYFUNCTION("""COMPUTED_VALUE"""),0.689240467347324)</f>
        <v>0.6892404673</v>
      </c>
    </row>
    <row r="1276">
      <c r="D1276" s="16">
        <f>IFERROR(__xludf.DUMMYFUNCTION("""COMPUTED_VALUE"""),-0.445930538806502)</f>
        <v>-0.4459305388</v>
      </c>
      <c r="E1276" s="16">
        <f>IFERROR(__xludf.DUMMYFUNCTION("""COMPUTED_VALUE"""),-0.211987316088524)</f>
        <v>-0.2119873161</v>
      </c>
      <c r="F1276" s="16">
        <f>IFERROR(__xludf.DUMMYFUNCTION("""COMPUTED_VALUE"""),-0.530240427115992)</f>
        <v>-0.5302404271</v>
      </c>
      <c r="G1276" s="16">
        <f>IFERROR(__xludf.DUMMYFUNCTION("""COMPUTED_VALUE"""),0.689240467347324)</f>
        <v>0.6892404673</v>
      </c>
    </row>
    <row r="1277">
      <c r="D1277" s="16">
        <f>IFERROR(__xludf.DUMMYFUNCTION("""COMPUTED_VALUE"""),-0.445930538806502)</f>
        <v>-0.4459305388</v>
      </c>
      <c r="E1277" s="16">
        <f>IFERROR(__xludf.DUMMYFUNCTION("""COMPUTED_VALUE"""),-0.211987316088524)</f>
        <v>-0.2119873161</v>
      </c>
      <c r="F1277" s="16">
        <f>IFERROR(__xludf.DUMMYFUNCTION("""COMPUTED_VALUE"""),-0.530240427115992)</f>
        <v>-0.5302404271</v>
      </c>
      <c r="G1277" s="16">
        <f>IFERROR(__xludf.DUMMYFUNCTION("""COMPUTED_VALUE"""),0.689240467347324)</f>
        <v>0.6892404673</v>
      </c>
    </row>
    <row r="1278">
      <c r="D1278" s="16">
        <f>IFERROR(__xludf.DUMMYFUNCTION("""COMPUTED_VALUE"""),-0.445930538806502)</f>
        <v>-0.4459305388</v>
      </c>
      <c r="E1278" s="16">
        <f>IFERROR(__xludf.DUMMYFUNCTION("""COMPUTED_VALUE"""),-0.211987316088524)</f>
        <v>-0.2119873161</v>
      </c>
      <c r="F1278" s="16">
        <f>IFERROR(__xludf.DUMMYFUNCTION("""COMPUTED_VALUE"""),-0.530240427115992)</f>
        <v>-0.5302404271</v>
      </c>
      <c r="G1278" s="16">
        <f>IFERROR(__xludf.DUMMYFUNCTION("""COMPUTED_VALUE"""),0.689240467347324)</f>
        <v>0.6892404673</v>
      </c>
    </row>
    <row r="1279">
      <c r="D1279" s="16">
        <f>IFERROR(__xludf.DUMMYFUNCTION("""COMPUTED_VALUE"""),-0.44529927354554)</f>
        <v>-0.4452992735</v>
      </c>
      <c r="E1279" s="16">
        <f>IFERROR(__xludf.DUMMYFUNCTION("""COMPUTED_VALUE"""),-0.207195181471742)</f>
        <v>-0.2071951815</v>
      </c>
      <c r="F1279" s="16">
        <f>IFERROR(__xludf.DUMMYFUNCTION("""COMPUTED_VALUE"""),-0.52931356202618)</f>
        <v>-0.529313562</v>
      </c>
      <c r="G1279" s="16">
        <f>IFERROR(__xludf.DUMMYFUNCTION("""COMPUTED_VALUE"""),0.691813462437559)</f>
        <v>0.6918134624</v>
      </c>
    </row>
    <row r="1280">
      <c r="D1280" s="16">
        <f>IFERROR(__xludf.DUMMYFUNCTION("""COMPUTED_VALUE"""),-0.44529927354554)</f>
        <v>-0.4452992735</v>
      </c>
      <c r="E1280" s="16">
        <f>IFERROR(__xludf.DUMMYFUNCTION("""COMPUTED_VALUE"""),-0.207195181471742)</f>
        <v>-0.2071951815</v>
      </c>
      <c r="F1280" s="16">
        <f>IFERROR(__xludf.DUMMYFUNCTION("""COMPUTED_VALUE"""),-0.52931356202618)</f>
        <v>-0.529313562</v>
      </c>
      <c r="G1280" s="16">
        <f>IFERROR(__xludf.DUMMYFUNCTION("""COMPUTED_VALUE"""),0.691813462437559)</f>
        <v>0.6918134624</v>
      </c>
    </row>
    <row r="1281">
      <c r="D1281" s="16">
        <f>IFERROR(__xludf.DUMMYFUNCTION("""COMPUTED_VALUE"""),-0.447374444105919)</f>
        <v>-0.4473744441</v>
      </c>
      <c r="E1281" s="16">
        <f>IFERROR(__xludf.DUMMYFUNCTION("""COMPUTED_VALUE"""),-0.204476845818303)</f>
        <v>-0.2044768458</v>
      </c>
      <c r="F1281" s="16">
        <f>IFERROR(__xludf.DUMMYFUNCTION("""COMPUTED_VALUE"""),-0.52756079908002)</f>
        <v>-0.5275607991</v>
      </c>
      <c r="G1281" s="16">
        <f>IFERROR(__xludf.DUMMYFUNCTION("""COMPUTED_VALUE"""),0.69262177958764)</f>
        <v>0.6926217796</v>
      </c>
    </row>
    <row r="1282">
      <c r="D1282" s="16">
        <f>IFERROR(__xludf.DUMMYFUNCTION("""COMPUTED_VALUE"""),-0.456277974454178)</f>
        <v>-0.4562779745</v>
      </c>
      <c r="E1282" s="16">
        <f>IFERROR(__xludf.DUMMYFUNCTION("""COMPUTED_VALUE"""),-0.198366330205951)</f>
        <v>-0.1983663302</v>
      </c>
      <c r="F1282" s="16">
        <f>IFERROR(__xludf.DUMMYFUNCTION("""COMPUTED_VALUE"""),-0.521457478793168)</f>
        <v>-0.5214574788</v>
      </c>
      <c r="G1282" s="16">
        <f>IFERROR(__xludf.DUMMYFUNCTION("""COMPUTED_VALUE"""),0.693212310103672)</f>
        <v>0.6932123101</v>
      </c>
    </row>
    <row r="1283">
      <c r="D1283" s="16">
        <f>IFERROR(__xludf.DUMMYFUNCTION("""COMPUTED_VALUE"""),-0.463071856647324)</f>
        <v>-0.4630718566</v>
      </c>
      <c r="E1283" s="16">
        <f>IFERROR(__xludf.DUMMYFUNCTION("""COMPUTED_VALUE"""),-0.194976066832293)</f>
        <v>-0.1949760668</v>
      </c>
      <c r="F1283" s="16">
        <f>IFERROR(__xludf.DUMMYFUNCTION("""COMPUTED_VALUE"""),-0.517053504090714)</f>
        <v>-0.5170535041</v>
      </c>
      <c r="G1283" s="16">
        <f>IFERROR(__xludf.DUMMYFUNCTION("""COMPUTED_VALUE"""),0.69296786567005)</f>
        <v>0.6929678657</v>
      </c>
    </row>
    <row r="1284">
      <c r="D1284" s="16">
        <f>IFERROR(__xludf.DUMMYFUNCTION("""COMPUTED_VALUE"""),-0.469833106526035)</f>
        <v>-0.4698331065</v>
      </c>
      <c r="E1284" s="16">
        <f>IFERROR(__xludf.DUMMYFUNCTION("""COMPUTED_VALUE"""),-0.19156365645471)</f>
        <v>-0.1915636565</v>
      </c>
      <c r="F1284" s="16">
        <f>IFERROR(__xludf.DUMMYFUNCTION("""COMPUTED_VALUE"""),-0.512620322826455)</f>
        <v>-0.5126203228</v>
      </c>
      <c r="G1284" s="16">
        <f>IFERROR(__xludf.DUMMYFUNCTION("""COMPUTED_VALUE"""),0.692661982617119)</f>
        <v>0.6926619826</v>
      </c>
    </row>
    <row r="1285">
      <c r="D1285" s="16">
        <f>IFERROR(__xludf.DUMMYFUNCTION("""COMPUTED_VALUE"""),-0.479270195325264)</f>
        <v>-0.4792701953</v>
      </c>
      <c r="E1285" s="16">
        <f>IFERROR(__xludf.DUMMYFUNCTION("""COMPUTED_VALUE"""),-0.19013782519519)</f>
        <v>-0.1901378252</v>
      </c>
      <c r="F1285" s="16">
        <f>IFERROR(__xludf.DUMMYFUNCTION("""COMPUTED_VALUE"""),-0.507394211089216)</f>
        <v>-0.5073942111</v>
      </c>
      <c r="G1285" s="16">
        <f>IFERROR(__xludf.DUMMYFUNCTION("""COMPUTED_VALUE"""),0.690433778038169)</f>
        <v>0.690433778</v>
      </c>
    </row>
    <row r="1286">
      <c r="D1286" s="16">
        <f>IFERROR(__xludf.DUMMYFUNCTION("""COMPUTED_VALUE"""),-0.479270195325264)</f>
        <v>-0.4792701953</v>
      </c>
      <c r="E1286" s="16">
        <f>IFERROR(__xludf.DUMMYFUNCTION("""COMPUTED_VALUE"""),-0.19013782519519)</f>
        <v>-0.1901378252</v>
      </c>
      <c r="F1286" s="16">
        <f>IFERROR(__xludf.DUMMYFUNCTION("""COMPUTED_VALUE"""),-0.507394211089216)</f>
        <v>-0.5073942111</v>
      </c>
      <c r="G1286" s="16">
        <f>IFERROR(__xludf.DUMMYFUNCTION("""COMPUTED_VALUE"""),0.690433778038169)</f>
        <v>0.690433778</v>
      </c>
    </row>
    <row r="1287">
      <c r="D1287" s="16">
        <f>IFERROR(__xludf.DUMMYFUNCTION("""COMPUTED_VALUE"""),-0.479270195325264)</f>
        <v>-0.4792701953</v>
      </c>
      <c r="E1287" s="16">
        <f>IFERROR(__xludf.DUMMYFUNCTION("""COMPUTED_VALUE"""),-0.19013782519519)</f>
        <v>-0.1901378252</v>
      </c>
      <c r="F1287" s="16">
        <f>IFERROR(__xludf.DUMMYFUNCTION("""COMPUTED_VALUE"""),-0.507394211089216)</f>
        <v>-0.5073942111</v>
      </c>
      <c r="G1287" s="16">
        <f>IFERROR(__xludf.DUMMYFUNCTION("""COMPUTED_VALUE"""),0.690433778038169)</f>
        <v>0.690433778</v>
      </c>
    </row>
    <row r="1288">
      <c r="D1288" s="16">
        <f>IFERROR(__xludf.DUMMYFUNCTION("""COMPUTED_VALUE"""),-0.479270195325264)</f>
        <v>-0.4792701953</v>
      </c>
      <c r="E1288" s="16">
        <f>IFERROR(__xludf.DUMMYFUNCTION("""COMPUTED_VALUE"""),-0.19013782519519)</f>
        <v>-0.1901378252</v>
      </c>
      <c r="F1288" s="16">
        <f>IFERROR(__xludf.DUMMYFUNCTION("""COMPUTED_VALUE"""),-0.507394211089216)</f>
        <v>-0.5073942111</v>
      </c>
      <c r="G1288" s="16">
        <f>IFERROR(__xludf.DUMMYFUNCTION("""COMPUTED_VALUE"""),0.690433778038169)</f>
        <v>0.690433778</v>
      </c>
    </row>
    <row r="1289">
      <c r="D1289" s="16">
        <f>IFERROR(__xludf.DUMMYFUNCTION("""COMPUTED_VALUE"""),-0.48467801180593)</f>
        <v>-0.4846780118</v>
      </c>
      <c r="E1289" s="16">
        <f>IFERROR(__xludf.DUMMYFUNCTION("""COMPUTED_VALUE"""),-0.194116984623883)</f>
        <v>-0.1941169846</v>
      </c>
      <c r="F1289" s="16">
        <f>IFERROR(__xludf.DUMMYFUNCTION("""COMPUTED_VALUE"""),-0.505885238267866)</f>
        <v>-0.5058852383</v>
      </c>
      <c r="G1289" s="16">
        <f>IFERROR(__xludf.DUMMYFUNCTION("""COMPUTED_VALUE"""),0.686648342934742)</f>
        <v>0.6866483429</v>
      </c>
    </row>
    <row r="1290">
      <c r="D1290" s="16">
        <f>IFERROR(__xludf.DUMMYFUNCTION("""COMPUTED_VALUE"""),-0.490055931065572)</f>
        <v>-0.4900559311</v>
      </c>
      <c r="E1290" s="16">
        <f>IFERROR(__xludf.DUMMYFUNCTION("""COMPUTED_VALUE"""),-0.198084170003305)</f>
        <v>-0.19808417</v>
      </c>
      <c r="F1290" s="16">
        <f>IFERROR(__xludf.DUMMYFUNCTION("""COMPUTED_VALUE"""),-0.504345060063947)</f>
        <v>-0.5043450601</v>
      </c>
      <c r="G1290" s="16">
        <f>IFERROR(__xludf.DUMMYFUNCTION("""COMPUTED_VALUE"""),0.682820552129644)</f>
        <v>0.6828205521</v>
      </c>
    </row>
    <row r="1291">
      <c r="D1291" s="16">
        <f>IFERROR(__xludf.DUMMYFUNCTION("""COMPUTED_VALUE"""),-0.498066027503799)</f>
        <v>-0.4980660275</v>
      </c>
      <c r="E1291" s="16">
        <f>IFERROR(__xludf.DUMMYFUNCTION("""COMPUTED_VALUE"""),-0.204011961622402)</f>
        <v>-0.2040119616</v>
      </c>
      <c r="F1291" s="16">
        <f>IFERROR(__xludf.DUMMYFUNCTION("""COMPUTED_VALUE"""),-0.501976491015051)</f>
        <v>-0.501976491</v>
      </c>
      <c r="G1291" s="16">
        <f>IFERROR(__xludf.DUMMYFUNCTION("""COMPUTED_VALUE"""),0.676999966196278)</f>
        <v>0.6769999662</v>
      </c>
    </row>
    <row r="1292">
      <c r="D1292" s="16">
        <f>IFERROR(__xludf.DUMMYFUNCTION("""COMPUTED_VALUE"""),-0.498066027503799)</f>
        <v>-0.4980660275</v>
      </c>
      <c r="E1292" s="16">
        <f>IFERROR(__xludf.DUMMYFUNCTION("""COMPUTED_VALUE"""),-0.204011961622402)</f>
        <v>-0.2040119616</v>
      </c>
      <c r="F1292" s="16">
        <f>IFERROR(__xludf.DUMMYFUNCTION("""COMPUTED_VALUE"""),-0.501976491015051)</f>
        <v>-0.501976491</v>
      </c>
      <c r="G1292" s="16">
        <f>IFERROR(__xludf.DUMMYFUNCTION("""COMPUTED_VALUE"""),0.676999966196278)</f>
        <v>0.6769999662</v>
      </c>
    </row>
    <row r="1293">
      <c r="D1293" s="16">
        <f>IFERROR(__xludf.DUMMYFUNCTION("""COMPUTED_VALUE"""),-0.503367756453146)</f>
        <v>-0.5033677565</v>
      </c>
      <c r="E1293" s="16">
        <f>IFERROR(__xludf.DUMMYFUNCTION("""COMPUTED_VALUE"""),-0.207948142904839)</f>
        <v>-0.2079481429</v>
      </c>
      <c r="F1293" s="16">
        <f>IFERROR(__xludf.DUMMYFUNCTION("""COMPUTED_VALUE"""),-0.500358719199768)</f>
        <v>-0.5003587192</v>
      </c>
      <c r="G1293" s="16">
        <f>IFERROR(__xludf.DUMMYFUNCTION("""COMPUTED_VALUE"""),0.673067324824569)</f>
        <v>0.6730673248</v>
      </c>
    </row>
    <row r="1294">
      <c r="D1294" s="16">
        <f>IFERROR(__xludf.DUMMYFUNCTION("""COMPUTED_VALUE"""),-0.507971186522818)</f>
        <v>-0.5079711865</v>
      </c>
      <c r="E1294" s="16">
        <f>IFERROR(__xludf.DUMMYFUNCTION("""COMPUTED_VALUE"""),-0.207258955461277)</f>
        <v>-0.2072589555</v>
      </c>
      <c r="F1294" s="16">
        <f>IFERROR(__xludf.DUMMYFUNCTION("""COMPUTED_VALUE"""),-0.497568080365842)</f>
        <v>-0.4975680804</v>
      </c>
      <c r="G1294" s="16">
        <f>IFERROR(__xludf.DUMMYFUNCTION("""COMPUTED_VALUE"""),0.67188913106608)</f>
        <v>0.6718891311</v>
      </c>
    </row>
    <row r="1295">
      <c r="D1295" s="16">
        <f>IFERROR(__xludf.DUMMYFUNCTION("""COMPUTED_VALUE"""),-0.507971186522818)</f>
        <v>-0.5079711865</v>
      </c>
      <c r="E1295" s="16">
        <f>IFERROR(__xludf.DUMMYFUNCTION("""COMPUTED_VALUE"""),-0.207258955461277)</f>
        <v>-0.2072589555</v>
      </c>
      <c r="F1295" s="16">
        <f>IFERROR(__xludf.DUMMYFUNCTION("""COMPUTED_VALUE"""),-0.497568080365842)</f>
        <v>-0.4975680804</v>
      </c>
      <c r="G1295" s="16">
        <f>IFERROR(__xludf.DUMMYFUNCTION("""COMPUTED_VALUE"""),0.67188913106608)</f>
        <v>0.6718891311</v>
      </c>
    </row>
    <row r="1296">
      <c r="D1296" s="16">
        <f>IFERROR(__xludf.DUMMYFUNCTION("""COMPUTED_VALUE"""),-0.510605765338637)</f>
        <v>-0.5106057653</v>
      </c>
      <c r="E1296" s="16">
        <f>IFERROR(__xludf.DUMMYFUNCTION("""COMPUTED_VALUE"""),-0.209211297568799)</f>
        <v>-0.2092112976</v>
      </c>
      <c r="F1296" s="16">
        <f>IFERROR(__xludf.DUMMYFUNCTION("""COMPUTED_VALUE"""),-0.496750341909724)</f>
        <v>-0.4967503419</v>
      </c>
      <c r="G1296" s="16">
        <f>IFERROR(__xludf.DUMMYFUNCTION("""COMPUTED_VALUE"""),0.669889157387307)</f>
        <v>0.6698891574</v>
      </c>
    </row>
    <row r="1297">
      <c r="D1297" s="16">
        <f>IFERROR(__xludf.DUMMYFUNCTION("""COMPUTED_VALUE"""),-0.513232469982375)</f>
        <v>-0.51323247</v>
      </c>
      <c r="E1297" s="16">
        <f>IFERROR(__xludf.DUMMYFUNCTION("""COMPUTED_VALUE"""),-0.211160413379498)</f>
        <v>-0.2111604134</v>
      </c>
      <c r="F1297" s="16">
        <f>IFERROR(__xludf.DUMMYFUNCTION("""COMPUTED_VALUE"""),-0.495924942949282)</f>
        <v>-0.4959249429</v>
      </c>
      <c r="G1297" s="16">
        <f>IFERROR(__xludf.DUMMYFUNCTION("""COMPUTED_VALUE"""),0.66787885318965)</f>
        <v>0.6678788532</v>
      </c>
    </row>
    <row r="1298">
      <c r="D1298" s="16">
        <f>IFERROR(__xludf.DUMMYFUNCTION("""COMPUTED_VALUE"""),-0.513232469982375)</f>
        <v>-0.51323247</v>
      </c>
      <c r="E1298" s="16">
        <f>IFERROR(__xludf.DUMMYFUNCTION("""COMPUTED_VALUE"""),-0.211160413379498)</f>
        <v>-0.2111604134</v>
      </c>
      <c r="F1298" s="16">
        <f>IFERROR(__xludf.DUMMYFUNCTION("""COMPUTED_VALUE"""),-0.495924942949282)</f>
        <v>-0.4959249429</v>
      </c>
      <c r="G1298" s="16">
        <f>IFERROR(__xludf.DUMMYFUNCTION("""COMPUTED_VALUE"""),0.66787885318965)</f>
        <v>0.6678788532</v>
      </c>
    </row>
    <row r="1299">
      <c r="D1299" s="16">
        <f>IFERROR(__xludf.DUMMYFUNCTION("""COMPUTED_VALUE"""),-0.513232469982375)</f>
        <v>-0.51323247</v>
      </c>
      <c r="E1299" s="16">
        <f>IFERROR(__xludf.DUMMYFUNCTION("""COMPUTED_VALUE"""),-0.211160413379498)</f>
        <v>-0.2111604134</v>
      </c>
      <c r="F1299" s="16">
        <f>IFERROR(__xludf.DUMMYFUNCTION("""COMPUTED_VALUE"""),-0.495924942949282)</f>
        <v>-0.4959249429</v>
      </c>
      <c r="G1299" s="16">
        <f>IFERROR(__xludf.DUMMYFUNCTION("""COMPUTED_VALUE"""),0.66787885318965)</f>
        <v>0.6678788532</v>
      </c>
    </row>
    <row r="1300">
      <c r="D1300" s="16">
        <f>IFERROR(__xludf.DUMMYFUNCTION("""COMPUTED_VALUE"""),-0.513232469982375)</f>
        <v>-0.51323247</v>
      </c>
      <c r="E1300" s="16">
        <f>IFERROR(__xludf.DUMMYFUNCTION("""COMPUTED_VALUE"""),-0.211160413379498)</f>
        <v>-0.2111604134</v>
      </c>
      <c r="F1300" s="16">
        <f>IFERROR(__xludf.DUMMYFUNCTION("""COMPUTED_VALUE"""),-0.495924942949282)</f>
        <v>-0.4959249429</v>
      </c>
      <c r="G1300" s="16">
        <f>IFERROR(__xludf.DUMMYFUNCTION("""COMPUTED_VALUE"""),0.66787885318965)</f>
        <v>0.6678788532</v>
      </c>
    </row>
    <row r="1301">
      <c r="D1301" s="16">
        <f>IFERROR(__xludf.DUMMYFUNCTION("""COMPUTED_VALUE"""),-0.513232469982375)</f>
        <v>-0.51323247</v>
      </c>
      <c r="E1301" s="16">
        <f>IFERROR(__xludf.DUMMYFUNCTION("""COMPUTED_VALUE"""),-0.211160413379498)</f>
        <v>-0.2111604134</v>
      </c>
      <c r="F1301" s="16">
        <f>IFERROR(__xludf.DUMMYFUNCTION("""COMPUTED_VALUE"""),-0.495924942949282)</f>
        <v>-0.4959249429</v>
      </c>
      <c r="G1301" s="16">
        <f>IFERROR(__xludf.DUMMYFUNCTION("""COMPUTED_VALUE"""),0.66787885318965)</f>
        <v>0.6678788532</v>
      </c>
    </row>
    <row r="1302">
      <c r="D1302" s="16">
        <f>IFERROR(__xludf.DUMMYFUNCTION("""COMPUTED_VALUE"""),-0.513232469982375)</f>
        <v>-0.51323247</v>
      </c>
      <c r="E1302" s="16">
        <f>IFERROR(__xludf.DUMMYFUNCTION("""COMPUTED_VALUE"""),-0.211160413379498)</f>
        <v>-0.2111604134</v>
      </c>
      <c r="F1302" s="16">
        <f>IFERROR(__xludf.DUMMYFUNCTION("""COMPUTED_VALUE"""),-0.495924942949282)</f>
        <v>-0.4959249429</v>
      </c>
      <c r="G1302" s="16">
        <f>IFERROR(__xludf.DUMMYFUNCTION("""COMPUTED_VALUE"""),0.66787885318965)</f>
        <v>0.6678788532</v>
      </c>
    </row>
    <row r="1303">
      <c r="D1303" s="16">
        <f>IFERROR(__xludf.DUMMYFUNCTION("""COMPUTED_VALUE"""),-0.511281025009418)</f>
        <v>-0.511281025</v>
      </c>
      <c r="E1303" s="16">
        <f>IFERROR(__xludf.DUMMYFUNCTION("""COMPUTED_VALUE"""),-0.213781532506379)</f>
        <v>-0.2137815325</v>
      </c>
      <c r="F1303" s="16">
        <f>IFERROR(__xludf.DUMMYFUNCTION("""COMPUTED_VALUE"""),-0.497936573017866)</f>
        <v>-0.497936573</v>
      </c>
      <c r="G1303" s="16">
        <f>IFERROR(__xludf.DUMMYFUNCTION("""COMPUTED_VALUE"""),0.667044480582627)</f>
        <v>0.6670444806</v>
      </c>
    </row>
    <row r="1304">
      <c r="D1304" s="16">
        <f>IFERROR(__xludf.DUMMYFUNCTION("""COMPUTED_VALUE"""),-0.50932169545104)</f>
        <v>-0.5093216955</v>
      </c>
      <c r="E1304" s="16">
        <f>IFERROR(__xludf.DUMMYFUNCTION("""COMPUTED_VALUE"""),-0.216399354857766)</f>
        <v>-0.2163993549</v>
      </c>
      <c r="F1304" s="16">
        <f>IFERROR(__xludf.DUMMYFUNCTION("""COMPUTED_VALUE"""),-0.499940524288975)</f>
        <v>-0.4999405243</v>
      </c>
      <c r="G1304" s="16">
        <f>IFERROR(__xludf.DUMMYFUNCTION("""COMPUTED_VALUE"""),0.666199821325152)</f>
        <v>0.6661998213</v>
      </c>
    </row>
    <row r="1305">
      <c r="D1305" s="16">
        <f>IFERROR(__xludf.DUMMYFUNCTION("""COMPUTED_VALUE"""),-0.507354511522526)</f>
        <v>-0.5073545115</v>
      </c>
      <c r="E1305" s="16">
        <f>IFERROR(__xludf.DUMMYFUNCTION("""COMPUTED_VALUE"""),-0.219013840063601)</f>
        <v>-0.2190138401</v>
      </c>
      <c r="F1305" s="16">
        <f>IFERROR(__xludf.DUMMYFUNCTION("""COMPUTED_VALUE"""),-0.501936765859204)</f>
        <v>-0.5019367659</v>
      </c>
      <c r="G1305" s="16">
        <f>IFERROR(__xludf.DUMMYFUNCTION("""COMPUTED_VALUE"""),0.665344888442917)</f>
        <v>0.6653448884</v>
      </c>
    </row>
    <row r="1306">
      <c r="D1306" s="16">
        <f>IFERROR(__xludf.DUMMYFUNCTION("""COMPUTED_VALUE"""),-0.505998781560473)</f>
        <v>-0.5059987816</v>
      </c>
      <c r="E1306" s="16">
        <f>IFERROR(__xludf.DUMMYFUNCTION("""COMPUTED_VALUE"""),-0.22621759188271)</f>
        <v>-0.2262175919</v>
      </c>
      <c r="F1306" s="16">
        <f>IFERROR(__xludf.DUMMYFUNCTION("""COMPUTED_VALUE"""),-0.505021538810292)</f>
        <v>-0.5050215388</v>
      </c>
      <c r="G1306" s="16">
        <f>IFERROR(__xludf.DUMMYFUNCTION("""COMPUTED_VALUE"""),0.661622308813547)</f>
        <v>0.6616223088</v>
      </c>
    </row>
    <row r="1307">
      <c r="D1307" s="16">
        <f>IFERROR(__xludf.DUMMYFUNCTION("""COMPUTED_VALUE"""),-0.502016786372924)</f>
        <v>-0.5020167864</v>
      </c>
      <c r="E1307" s="16">
        <f>IFERROR(__xludf.DUMMYFUNCTION("""COMPUTED_VALUE"""),-0.231406930684186)</f>
        <v>-0.2314069307</v>
      </c>
      <c r="F1307" s="16">
        <f>IFERROR(__xludf.DUMMYFUNCTION("""COMPUTED_VALUE"""),-0.508980026919329)</f>
        <v>-0.5089800269</v>
      </c>
      <c r="G1307" s="16">
        <f>IFERROR(__xludf.DUMMYFUNCTION("""COMPUTED_VALUE"""),0.659825212331497)</f>
        <v>0.6598252123</v>
      </c>
    </row>
    <row r="1308">
      <c r="D1308" s="16">
        <f>IFERROR(__xludf.DUMMYFUNCTION("""COMPUTED_VALUE"""),-0.502016786372924)</f>
        <v>-0.5020167864</v>
      </c>
      <c r="E1308" s="16">
        <f>IFERROR(__xludf.DUMMYFUNCTION("""COMPUTED_VALUE"""),-0.231406930684186)</f>
        <v>-0.2314069307</v>
      </c>
      <c r="F1308" s="16">
        <f>IFERROR(__xludf.DUMMYFUNCTION("""COMPUTED_VALUE"""),-0.508980026919329)</f>
        <v>-0.5089800269</v>
      </c>
      <c r="G1308" s="16">
        <f>IFERROR(__xludf.DUMMYFUNCTION("""COMPUTED_VALUE"""),0.659825212331497)</f>
        <v>0.6598252123</v>
      </c>
    </row>
    <row r="1309">
      <c r="D1309" s="16">
        <f>IFERROR(__xludf.DUMMYFUNCTION("""COMPUTED_VALUE"""),-0.502016786372924)</f>
        <v>-0.5020167864</v>
      </c>
      <c r="E1309" s="16">
        <f>IFERROR(__xludf.DUMMYFUNCTION("""COMPUTED_VALUE"""),-0.231406930684186)</f>
        <v>-0.2314069307</v>
      </c>
      <c r="F1309" s="16">
        <f>IFERROR(__xludf.DUMMYFUNCTION("""COMPUTED_VALUE"""),-0.508980026919329)</f>
        <v>-0.5089800269</v>
      </c>
      <c r="G1309" s="16">
        <f>IFERROR(__xludf.DUMMYFUNCTION("""COMPUTED_VALUE"""),0.659825212331497)</f>
        <v>0.6598252123</v>
      </c>
    </row>
    <row r="1310">
      <c r="D1310" s="16">
        <f>IFERROR(__xludf.DUMMYFUNCTION("""COMPUTED_VALUE"""),-0.502016786372924)</f>
        <v>-0.5020167864</v>
      </c>
      <c r="E1310" s="16">
        <f>IFERROR(__xludf.DUMMYFUNCTION("""COMPUTED_VALUE"""),-0.231406930684186)</f>
        <v>-0.2314069307</v>
      </c>
      <c r="F1310" s="16">
        <f>IFERROR(__xludf.DUMMYFUNCTION("""COMPUTED_VALUE"""),-0.508980026919329)</f>
        <v>-0.5089800269</v>
      </c>
      <c r="G1310" s="16">
        <f>IFERROR(__xludf.DUMMYFUNCTION("""COMPUTED_VALUE"""),0.659825212331497)</f>
        <v>0.6598252123</v>
      </c>
    </row>
    <row r="1311">
      <c r="D1311" s="16">
        <f>IFERROR(__xludf.DUMMYFUNCTION("""COMPUTED_VALUE"""),-0.502016786372924)</f>
        <v>-0.5020167864</v>
      </c>
      <c r="E1311" s="16">
        <f>IFERROR(__xludf.DUMMYFUNCTION("""COMPUTED_VALUE"""),-0.231406930684186)</f>
        <v>-0.2314069307</v>
      </c>
      <c r="F1311" s="16">
        <f>IFERROR(__xludf.DUMMYFUNCTION("""COMPUTED_VALUE"""),-0.508980026919329)</f>
        <v>-0.5089800269</v>
      </c>
      <c r="G1311" s="16">
        <f>IFERROR(__xludf.DUMMYFUNCTION("""COMPUTED_VALUE"""),0.659825212331497)</f>
        <v>0.6598252123</v>
      </c>
    </row>
    <row r="1312">
      <c r="D1312" s="16">
        <f>IFERROR(__xludf.DUMMYFUNCTION("""COMPUTED_VALUE"""),-0.502016786372924)</f>
        <v>-0.5020167864</v>
      </c>
      <c r="E1312" s="16">
        <f>IFERROR(__xludf.DUMMYFUNCTION("""COMPUTED_VALUE"""),-0.231406930684186)</f>
        <v>-0.2314069307</v>
      </c>
      <c r="F1312" s="16">
        <f>IFERROR(__xludf.DUMMYFUNCTION("""COMPUTED_VALUE"""),-0.508980026919329)</f>
        <v>-0.5089800269</v>
      </c>
      <c r="G1312" s="16">
        <f>IFERROR(__xludf.DUMMYFUNCTION("""COMPUTED_VALUE"""),0.659825212331497)</f>
        <v>0.6598252123</v>
      </c>
    </row>
    <row r="1313">
      <c r="D1313" s="16">
        <f>IFERROR(__xludf.DUMMYFUNCTION("""COMPUTED_VALUE"""),-0.502016786372924)</f>
        <v>-0.5020167864</v>
      </c>
      <c r="E1313" s="16">
        <f>IFERROR(__xludf.DUMMYFUNCTION("""COMPUTED_VALUE"""),-0.231406930684186)</f>
        <v>-0.2314069307</v>
      </c>
      <c r="F1313" s="16">
        <f>IFERROR(__xludf.DUMMYFUNCTION("""COMPUTED_VALUE"""),-0.508980026919329)</f>
        <v>-0.5089800269</v>
      </c>
      <c r="G1313" s="16">
        <f>IFERROR(__xludf.DUMMYFUNCTION("""COMPUTED_VALUE"""),0.659825212331497)</f>
        <v>0.6598252123</v>
      </c>
    </row>
    <row r="1314">
      <c r="D1314" s="16">
        <f>IFERROR(__xludf.DUMMYFUNCTION("""COMPUTED_VALUE"""),-0.502016786372924)</f>
        <v>-0.5020167864</v>
      </c>
      <c r="E1314" s="16">
        <f>IFERROR(__xludf.DUMMYFUNCTION("""COMPUTED_VALUE"""),-0.231406930684186)</f>
        <v>-0.2314069307</v>
      </c>
      <c r="F1314" s="16">
        <f>IFERROR(__xludf.DUMMYFUNCTION("""COMPUTED_VALUE"""),-0.508980026919329)</f>
        <v>-0.5089800269</v>
      </c>
      <c r="G1314" s="16">
        <f>IFERROR(__xludf.DUMMYFUNCTION("""COMPUTED_VALUE"""),0.659825212331497)</f>
        <v>0.6598252123</v>
      </c>
    </row>
    <row r="1315">
      <c r="D1315" s="16">
        <f>IFERROR(__xludf.DUMMYFUNCTION("""COMPUTED_VALUE"""),-0.502016786372924)</f>
        <v>-0.5020167864</v>
      </c>
      <c r="E1315" s="16">
        <f>IFERROR(__xludf.DUMMYFUNCTION("""COMPUTED_VALUE"""),-0.231406930684186)</f>
        <v>-0.2314069307</v>
      </c>
      <c r="F1315" s="16">
        <f>IFERROR(__xludf.DUMMYFUNCTION("""COMPUTED_VALUE"""),-0.508980026919329)</f>
        <v>-0.5089800269</v>
      </c>
      <c r="G1315" s="16">
        <f>IFERROR(__xludf.DUMMYFUNCTION("""COMPUTED_VALUE"""),0.659825212331497)</f>
        <v>0.6598252123</v>
      </c>
    </row>
    <row r="1316">
      <c r="D1316" s="16">
        <f>IFERROR(__xludf.DUMMYFUNCTION("""COMPUTED_VALUE"""),-0.502016786372924)</f>
        <v>-0.5020167864</v>
      </c>
      <c r="E1316" s="16">
        <f>IFERROR(__xludf.DUMMYFUNCTION("""COMPUTED_VALUE"""),-0.231406930684186)</f>
        <v>-0.2314069307</v>
      </c>
      <c r="F1316" s="16">
        <f>IFERROR(__xludf.DUMMYFUNCTION("""COMPUTED_VALUE"""),-0.508980026919329)</f>
        <v>-0.5089800269</v>
      </c>
      <c r="G1316" s="16">
        <f>IFERROR(__xludf.DUMMYFUNCTION("""COMPUTED_VALUE"""),0.659825212331497)</f>
        <v>0.6598252123</v>
      </c>
    </row>
    <row r="1317">
      <c r="D1317" s="16">
        <f>IFERROR(__xludf.DUMMYFUNCTION("""COMPUTED_VALUE"""),-0.502016786372924)</f>
        <v>-0.5020167864</v>
      </c>
      <c r="E1317" s="16">
        <f>IFERROR(__xludf.DUMMYFUNCTION("""COMPUTED_VALUE"""),-0.231406930684186)</f>
        <v>-0.2314069307</v>
      </c>
      <c r="F1317" s="16">
        <f>IFERROR(__xludf.DUMMYFUNCTION("""COMPUTED_VALUE"""),-0.508980026919329)</f>
        <v>-0.5089800269</v>
      </c>
      <c r="G1317" s="16">
        <f>IFERROR(__xludf.DUMMYFUNCTION("""COMPUTED_VALUE"""),0.659825212331497)</f>
        <v>0.6598252123</v>
      </c>
    </row>
    <row r="1318">
      <c r="D1318" s="16">
        <f>IFERROR(__xludf.DUMMYFUNCTION("""COMPUTED_VALUE"""),-0.502016786372924)</f>
        <v>-0.5020167864</v>
      </c>
      <c r="E1318" s="16">
        <f>IFERROR(__xludf.DUMMYFUNCTION("""COMPUTED_VALUE"""),-0.231406930684186)</f>
        <v>-0.2314069307</v>
      </c>
      <c r="F1318" s="16">
        <f>IFERROR(__xludf.DUMMYFUNCTION("""COMPUTED_VALUE"""),-0.508980026919329)</f>
        <v>-0.5089800269</v>
      </c>
      <c r="G1318" s="16">
        <f>IFERROR(__xludf.DUMMYFUNCTION("""COMPUTED_VALUE"""),0.659825212331497)</f>
        <v>0.6598252123</v>
      </c>
    </row>
    <row r="1319">
      <c r="D1319" s="16">
        <f>IFERROR(__xludf.DUMMYFUNCTION("""COMPUTED_VALUE"""),-0.502016786372924)</f>
        <v>-0.5020167864</v>
      </c>
      <c r="E1319" s="16">
        <f>IFERROR(__xludf.DUMMYFUNCTION("""COMPUTED_VALUE"""),-0.231406930684186)</f>
        <v>-0.2314069307</v>
      </c>
      <c r="F1319" s="16">
        <f>IFERROR(__xludf.DUMMYFUNCTION("""COMPUTED_VALUE"""),-0.508980026919329)</f>
        <v>-0.5089800269</v>
      </c>
      <c r="G1319" s="16">
        <f>IFERROR(__xludf.DUMMYFUNCTION("""COMPUTED_VALUE"""),0.659825212331497)</f>
        <v>0.6598252123</v>
      </c>
    </row>
    <row r="1320">
      <c r="D1320" s="16">
        <f>IFERROR(__xludf.DUMMYFUNCTION("""COMPUTED_VALUE"""),-0.502016786372924)</f>
        <v>-0.5020167864</v>
      </c>
      <c r="E1320" s="16">
        <f>IFERROR(__xludf.DUMMYFUNCTION("""COMPUTED_VALUE"""),-0.231406930684186)</f>
        <v>-0.2314069307</v>
      </c>
      <c r="F1320" s="16">
        <f>IFERROR(__xludf.DUMMYFUNCTION("""COMPUTED_VALUE"""),-0.508980026919329)</f>
        <v>-0.5089800269</v>
      </c>
      <c r="G1320" s="16">
        <f>IFERROR(__xludf.DUMMYFUNCTION("""COMPUTED_VALUE"""),0.659825212331497)</f>
        <v>0.6598252123</v>
      </c>
    </row>
    <row r="1321">
      <c r="D1321" s="16">
        <f>IFERROR(__xludf.DUMMYFUNCTION("""COMPUTED_VALUE"""),-0.502016786372924)</f>
        <v>-0.5020167864</v>
      </c>
      <c r="E1321" s="16">
        <f>IFERROR(__xludf.DUMMYFUNCTION("""COMPUTED_VALUE"""),-0.231406930684186)</f>
        <v>-0.2314069307</v>
      </c>
      <c r="F1321" s="16">
        <f>IFERROR(__xludf.DUMMYFUNCTION("""COMPUTED_VALUE"""),-0.508980026919329)</f>
        <v>-0.5089800269</v>
      </c>
      <c r="G1321" s="16">
        <f>IFERROR(__xludf.DUMMYFUNCTION("""COMPUTED_VALUE"""),0.659825212331497)</f>
        <v>0.6598252123</v>
      </c>
    </row>
    <row r="1322">
      <c r="D1322" s="16">
        <f>IFERROR(__xludf.DUMMYFUNCTION("""COMPUTED_VALUE"""),-0.502016786372924)</f>
        <v>-0.5020167864</v>
      </c>
      <c r="E1322" s="16">
        <f>IFERROR(__xludf.DUMMYFUNCTION("""COMPUTED_VALUE"""),-0.231406930684186)</f>
        <v>-0.2314069307</v>
      </c>
      <c r="F1322" s="16">
        <f>IFERROR(__xludf.DUMMYFUNCTION("""COMPUTED_VALUE"""),-0.508980026919329)</f>
        <v>-0.5089800269</v>
      </c>
      <c r="G1322" s="16">
        <f>IFERROR(__xludf.DUMMYFUNCTION("""COMPUTED_VALUE"""),0.659825212331497)</f>
        <v>0.6598252123</v>
      </c>
    </row>
    <row r="1323">
      <c r="D1323" s="16">
        <f>IFERROR(__xludf.DUMMYFUNCTION("""COMPUTED_VALUE"""),-0.502016786372924)</f>
        <v>-0.5020167864</v>
      </c>
      <c r="E1323" s="16">
        <f>IFERROR(__xludf.DUMMYFUNCTION("""COMPUTED_VALUE"""),-0.231406930684186)</f>
        <v>-0.2314069307</v>
      </c>
      <c r="F1323" s="16">
        <f>IFERROR(__xludf.DUMMYFUNCTION("""COMPUTED_VALUE"""),-0.508980026919329)</f>
        <v>-0.5089800269</v>
      </c>
      <c r="G1323" s="16">
        <f>IFERROR(__xludf.DUMMYFUNCTION("""COMPUTED_VALUE"""),0.659825212331497)</f>
        <v>0.6598252123</v>
      </c>
    </row>
    <row r="1324">
      <c r="D1324" s="16">
        <f>IFERROR(__xludf.DUMMYFUNCTION("""COMPUTED_VALUE"""),-0.502016786372924)</f>
        <v>-0.5020167864</v>
      </c>
      <c r="E1324" s="16">
        <f>IFERROR(__xludf.DUMMYFUNCTION("""COMPUTED_VALUE"""),-0.231406930684186)</f>
        <v>-0.2314069307</v>
      </c>
      <c r="F1324" s="16">
        <f>IFERROR(__xludf.DUMMYFUNCTION("""COMPUTED_VALUE"""),-0.508980026919329)</f>
        <v>-0.5089800269</v>
      </c>
      <c r="G1324" s="16">
        <f>IFERROR(__xludf.DUMMYFUNCTION("""COMPUTED_VALUE"""),0.659825212331497)</f>
        <v>0.6598252123</v>
      </c>
    </row>
    <row r="1325">
      <c r="D1325" s="16">
        <f>IFERROR(__xludf.DUMMYFUNCTION("""COMPUTED_VALUE"""),-0.502016786372924)</f>
        <v>-0.5020167864</v>
      </c>
      <c r="E1325" s="16">
        <f>IFERROR(__xludf.DUMMYFUNCTION("""COMPUTED_VALUE"""),-0.231406930684186)</f>
        <v>-0.2314069307</v>
      </c>
      <c r="F1325" s="16">
        <f>IFERROR(__xludf.DUMMYFUNCTION("""COMPUTED_VALUE"""),-0.508980026919329)</f>
        <v>-0.5089800269</v>
      </c>
      <c r="G1325" s="16">
        <f>IFERROR(__xludf.DUMMYFUNCTION("""COMPUTED_VALUE"""),0.659825212331497)</f>
        <v>0.6598252123</v>
      </c>
    </row>
    <row r="1326">
      <c r="D1326" s="16">
        <f>IFERROR(__xludf.DUMMYFUNCTION("""COMPUTED_VALUE"""),-0.502016786372924)</f>
        <v>-0.5020167864</v>
      </c>
      <c r="E1326" s="16">
        <f>IFERROR(__xludf.DUMMYFUNCTION("""COMPUTED_VALUE"""),-0.231406930684186)</f>
        <v>-0.2314069307</v>
      </c>
      <c r="F1326" s="16">
        <f>IFERROR(__xludf.DUMMYFUNCTION("""COMPUTED_VALUE"""),-0.508980026919329)</f>
        <v>-0.5089800269</v>
      </c>
      <c r="G1326" s="16">
        <f>IFERROR(__xludf.DUMMYFUNCTION("""COMPUTED_VALUE"""),0.659825212331497)</f>
        <v>0.6598252123</v>
      </c>
    </row>
    <row r="1327">
      <c r="D1327" s="16">
        <f>IFERROR(__xludf.DUMMYFUNCTION("""COMPUTED_VALUE"""),-0.502016786372924)</f>
        <v>-0.5020167864</v>
      </c>
      <c r="E1327" s="16">
        <f>IFERROR(__xludf.DUMMYFUNCTION("""COMPUTED_VALUE"""),-0.231406930684186)</f>
        <v>-0.2314069307</v>
      </c>
      <c r="F1327" s="16">
        <f>IFERROR(__xludf.DUMMYFUNCTION("""COMPUTED_VALUE"""),-0.508980026919329)</f>
        <v>-0.5089800269</v>
      </c>
      <c r="G1327" s="16">
        <f>IFERROR(__xludf.DUMMYFUNCTION("""COMPUTED_VALUE"""),0.659825212331497)</f>
        <v>0.6598252123</v>
      </c>
    </row>
    <row r="1328">
      <c r="D1328" s="16">
        <f>IFERROR(__xludf.DUMMYFUNCTION("""COMPUTED_VALUE"""),-0.502016786372924)</f>
        <v>-0.5020167864</v>
      </c>
      <c r="E1328" s="16">
        <f>IFERROR(__xludf.DUMMYFUNCTION("""COMPUTED_VALUE"""),-0.231406930684186)</f>
        <v>-0.2314069307</v>
      </c>
      <c r="F1328" s="16">
        <f>IFERROR(__xludf.DUMMYFUNCTION("""COMPUTED_VALUE"""),-0.508980026919329)</f>
        <v>-0.5089800269</v>
      </c>
      <c r="G1328" s="16">
        <f>IFERROR(__xludf.DUMMYFUNCTION("""COMPUTED_VALUE"""),0.659825212331497)</f>
        <v>0.6598252123</v>
      </c>
    </row>
    <row r="1329">
      <c r="D1329" s="16">
        <f>IFERROR(__xludf.DUMMYFUNCTION("""COMPUTED_VALUE"""),-0.502016786372924)</f>
        <v>-0.5020167864</v>
      </c>
      <c r="E1329" s="16">
        <f>IFERROR(__xludf.DUMMYFUNCTION("""COMPUTED_VALUE"""),-0.231406930684186)</f>
        <v>-0.2314069307</v>
      </c>
      <c r="F1329" s="16">
        <f>IFERROR(__xludf.DUMMYFUNCTION("""COMPUTED_VALUE"""),-0.508980026919329)</f>
        <v>-0.5089800269</v>
      </c>
      <c r="G1329" s="16">
        <f>IFERROR(__xludf.DUMMYFUNCTION("""COMPUTED_VALUE"""),0.659825212331497)</f>
        <v>0.6598252123</v>
      </c>
    </row>
    <row r="1330">
      <c r="D1330" s="16">
        <f>IFERROR(__xludf.DUMMYFUNCTION("""COMPUTED_VALUE"""),-0.502016786372924)</f>
        <v>-0.5020167864</v>
      </c>
      <c r="E1330" s="16">
        <f>IFERROR(__xludf.DUMMYFUNCTION("""COMPUTED_VALUE"""),-0.231406930684186)</f>
        <v>-0.2314069307</v>
      </c>
      <c r="F1330" s="16">
        <f>IFERROR(__xludf.DUMMYFUNCTION("""COMPUTED_VALUE"""),-0.508980026919329)</f>
        <v>-0.5089800269</v>
      </c>
      <c r="G1330" s="16">
        <f>IFERROR(__xludf.DUMMYFUNCTION("""COMPUTED_VALUE"""),0.659825212331497)</f>
        <v>0.6598252123</v>
      </c>
    </row>
    <row r="1331">
      <c r="D1331" s="16">
        <f>IFERROR(__xludf.DUMMYFUNCTION("""COMPUTED_VALUE"""),-0.502016786372924)</f>
        <v>-0.5020167864</v>
      </c>
      <c r="E1331" s="16">
        <f>IFERROR(__xludf.DUMMYFUNCTION("""COMPUTED_VALUE"""),-0.231406930684186)</f>
        <v>-0.2314069307</v>
      </c>
      <c r="F1331" s="16">
        <f>IFERROR(__xludf.DUMMYFUNCTION("""COMPUTED_VALUE"""),-0.508980026919329)</f>
        <v>-0.5089800269</v>
      </c>
      <c r="G1331" s="16">
        <f>IFERROR(__xludf.DUMMYFUNCTION("""COMPUTED_VALUE"""),0.659825212331497)</f>
        <v>0.6598252123</v>
      </c>
    </row>
    <row r="1332">
      <c r="D1332" s="16">
        <f>IFERROR(__xludf.DUMMYFUNCTION("""COMPUTED_VALUE"""),-0.502016786372924)</f>
        <v>-0.5020167864</v>
      </c>
      <c r="E1332" s="16">
        <f>IFERROR(__xludf.DUMMYFUNCTION("""COMPUTED_VALUE"""),-0.231406930684186)</f>
        <v>-0.2314069307</v>
      </c>
      <c r="F1332" s="16">
        <f>IFERROR(__xludf.DUMMYFUNCTION("""COMPUTED_VALUE"""),-0.508980026919329)</f>
        <v>-0.5089800269</v>
      </c>
      <c r="G1332" s="16">
        <f>IFERROR(__xludf.DUMMYFUNCTION("""COMPUTED_VALUE"""),0.659825212331497)</f>
        <v>0.6598252123</v>
      </c>
    </row>
    <row r="1333">
      <c r="D1333" s="16">
        <f>IFERROR(__xludf.DUMMYFUNCTION("""COMPUTED_VALUE"""),-0.502016786372924)</f>
        <v>-0.5020167864</v>
      </c>
      <c r="E1333" s="16">
        <f>IFERROR(__xludf.DUMMYFUNCTION("""COMPUTED_VALUE"""),-0.231406930684186)</f>
        <v>-0.2314069307</v>
      </c>
      <c r="F1333" s="16">
        <f>IFERROR(__xludf.DUMMYFUNCTION("""COMPUTED_VALUE"""),-0.508980026919329)</f>
        <v>-0.5089800269</v>
      </c>
      <c r="G1333" s="16">
        <f>IFERROR(__xludf.DUMMYFUNCTION("""COMPUTED_VALUE"""),0.659825212331497)</f>
        <v>0.6598252123</v>
      </c>
    </row>
    <row r="1334">
      <c r="D1334" s="16">
        <f>IFERROR(__xludf.DUMMYFUNCTION("""COMPUTED_VALUE"""),-0.502016786372924)</f>
        <v>-0.5020167864</v>
      </c>
      <c r="E1334" s="16">
        <f>IFERROR(__xludf.DUMMYFUNCTION("""COMPUTED_VALUE"""),-0.231406930684186)</f>
        <v>-0.2314069307</v>
      </c>
      <c r="F1334" s="16">
        <f>IFERROR(__xludf.DUMMYFUNCTION("""COMPUTED_VALUE"""),-0.508980026919329)</f>
        <v>-0.5089800269</v>
      </c>
      <c r="G1334" s="16">
        <f>IFERROR(__xludf.DUMMYFUNCTION("""COMPUTED_VALUE"""),0.659825212331497)</f>
        <v>0.6598252123</v>
      </c>
    </row>
    <row r="1335">
      <c r="D1335" s="16">
        <f>IFERROR(__xludf.DUMMYFUNCTION("""COMPUTED_VALUE"""),-0.502016786372924)</f>
        <v>-0.5020167864</v>
      </c>
      <c r="E1335" s="16">
        <f>IFERROR(__xludf.DUMMYFUNCTION("""COMPUTED_VALUE"""),-0.231406930684186)</f>
        <v>-0.2314069307</v>
      </c>
      <c r="F1335" s="16">
        <f>IFERROR(__xludf.DUMMYFUNCTION("""COMPUTED_VALUE"""),-0.508980026919329)</f>
        <v>-0.5089800269</v>
      </c>
      <c r="G1335" s="16">
        <f>IFERROR(__xludf.DUMMYFUNCTION("""COMPUTED_VALUE"""),0.659825212331497)</f>
        <v>0.6598252123</v>
      </c>
    </row>
    <row r="1336">
      <c r="D1336" s="16">
        <f>IFERROR(__xludf.DUMMYFUNCTION("""COMPUTED_VALUE"""),-0.502016786372924)</f>
        <v>-0.5020167864</v>
      </c>
      <c r="E1336" s="16">
        <f>IFERROR(__xludf.DUMMYFUNCTION("""COMPUTED_VALUE"""),-0.231406930684186)</f>
        <v>-0.2314069307</v>
      </c>
      <c r="F1336" s="16">
        <f>IFERROR(__xludf.DUMMYFUNCTION("""COMPUTED_VALUE"""),-0.508980026919329)</f>
        <v>-0.5089800269</v>
      </c>
      <c r="G1336" s="16">
        <f>IFERROR(__xludf.DUMMYFUNCTION("""COMPUTED_VALUE"""),0.659825212331497)</f>
        <v>0.6598252123</v>
      </c>
    </row>
    <row r="1337">
      <c r="D1337" s="16">
        <f>IFERROR(__xludf.DUMMYFUNCTION("""COMPUTED_VALUE"""),-0.502016786372924)</f>
        <v>-0.5020167864</v>
      </c>
      <c r="E1337" s="16">
        <f>IFERROR(__xludf.DUMMYFUNCTION("""COMPUTED_VALUE"""),-0.231406930684186)</f>
        <v>-0.2314069307</v>
      </c>
      <c r="F1337" s="16">
        <f>IFERROR(__xludf.DUMMYFUNCTION("""COMPUTED_VALUE"""),-0.508980026919329)</f>
        <v>-0.5089800269</v>
      </c>
      <c r="G1337" s="16">
        <f>IFERROR(__xludf.DUMMYFUNCTION("""COMPUTED_VALUE"""),0.659825212331497)</f>
        <v>0.6598252123</v>
      </c>
    </row>
    <row r="1338">
      <c r="D1338" s="16">
        <f>IFERROR(__xludf.DUMMYFUNCTION("""COMPUTED_VALUE"""),-0.502016786372924)</f>
        <v>-0.5020167864</v>
      </c>
      <c r="E1338" s="16">
        <f>IFERROR(__xludf.DUMMYFUNCTION("""COMPUTED_VALUE"""),-0.231406930684186)</f>
        <v>-0.2314069307</v>
      </c>
      <c r="F1338" s="16">
        <f>IFERROR(__xludf.DUMMYFUNCTION("""COMPUTED_VALUE"""),-0.508980026919329)</f>
        <v>-0.5089800269</v>
      </c>
      <c r="G1338" s="16">
        <f>IFERROR(__xludf.DUMMYFUNCTION("""COMPUTED_VALUE"""),0.659825212331497)</f>
        <v>0.6598252123</v>
      </c>
    </row>
    <row r="1339">
      <c r="D1339" s="16">
        <f>IFERROR(__xludf.DUMMYFUNCTION("""COMPUTED_VALUE"""),-0.502016786372924)</f>
        <v>-0.5020167864</v>
      </c>
      <c r="E1339" s="16">
        <f>IFERROR(__xludf.DUMMYFUNCTION("""COMPUTED_VALUE"""),-0.231406930684186)</f>
        <v>-0.2314069307</v>
      </c>
      <c r="F1339" s="16">
        <f>IFERROR(__xludf.DUMMYFUNCTION("""COMPUTED_VALUE"""),-0.508980026919329)</f>
        <v>-0.5089800269</v>
      </c>
      <c r="G1339" s="16">
        <f>IFERROR(__xludf.DUMMYFUNCTION("""COMPUTED_VALUE"""),0.659825212331497)</f>
        <v>0.6598252123</v>
      </c>
    </row>
    <row r="1340">
      <c r="D1340" s="16">
        <f>IFERROR(__xludf.DUMMYFUNCTION("""COMPUTED_VALUE"""),-0.502016786372924)</f>
        <v>-0.5020167864</v>
      </c>
      <c r="E1340" s="16">
        <f>IFERROR(__xludf.DUMMYFUNCTION("""COMPUTED_VALUE"""),-0.231406930684186)</f>
        <v>-0.2314069307</v>
      </c>
      <c r="F1340" s="16">
        <f>IFERROR(__xludf.DUMMYFUNCTION("""COMPUTED_VALUE"""),-0.508980026919329)</f>
        <v>-0.5089800269</v>
      </c>
      <c r="G1340" s="16">
        <f>IFERROR(__xludf.DUMMYFUNCTION("""COMPUTED_VALUE"""),0.659825212331497)</f>
        <v>0.6598252123</v>
      </c>
    </row>
    <row r="1341">
      <c r="D1341" s="16">
        <f>IFERROR(__xludf.DUMMYFUNCTION("""COMPUTED_VALUE"""),-0.502016786372924)</f>
        <v>-0.5020167864</v>
      </c>
      <c r="E1341" s="16">
        <f>IFERROR(__xludf.DUMMYFUNCTION("""COMPUTED_VALUE"""),-0.231406930684186)</f>
        <v>-0.2314069307</v>
      </c>
      <c r="F1341" s="16">
        <f>IFERROR(__xludf.DUMMYFUNCTION("""COMPUTED_VALUE"""),-0.508980026919329)</f>
        <v>-0.5089800269</v>
      </c>
      <c r="G1341" s="16">
        <f>IFERROR(__xludf.DUMMYFUNCTION("""COMPUTED_VALUE"""),0.659825212331497)</f>
        <v>0.6598252123</v>
      </c>
    </row>
    <row r="1342">
      <c r="D1342" s="16">
        <f>IFERROR(__xludf.DUMMYFUNCTION("""COMPUTED_VALUE"""),-0.502016786372924)</f>
        <v>-0.5020167864</v>
      </c>
      <c r="E1342" s="16">
        <f>IFERROR(__xludf.DUMMYFUNCTION("""COMPUTED_VALUE"""),-0.231406930684186)</f>
        <v>-0.2314069307</v>
      </c>
      <c r="F1342" s="16">
        <f>IFERROR(__xludf.DUMMYFUNCTION("""COMPUTED_VALUE"""),-0.508980026919329)</f>
        <v>-0.5089800269</v>
      </c>
      <c r="G1342" s="16">
        <f>IFERROR(__xludf.DUMMYFUNCTION("""COMPUTED_VALUE"""),0.659825212331497)</f>
        <v>0.6598252123</v>
      </c>
    </row>
    <row r="1343">
      <c r="D1343" s="16">
        <f>IFERROR(__xludf.DUMMYFUNCTION("""COMPUTED_VALUE"""),-0.502016786372924)</f>
        <v>-0.5020167864</v>
      </c>
      <c r="E1343" s="16">
        <f>IFERROR(__xludf.DUMMYFUNCTION("""COMPUTED_VALUE"""),-0.231406930684186)</f>
        <v>-0.2314069307</v>
      </c>
      <c r="F1343" s="16">
        <f>IFERROR(__xludf.DUMMYFUNCTION("""COMPUTED_VALUE"""),-0.508980026919329)</f>
        <v>-0.5089800269</v>
      </c>
      <c r="G1343" s="16">
        <f>IFERROR(__xludf.DUMMYFUNCTION("""COMPUTED_VALUE"""),0.659825212331497)</f>
        <v>0.6598252123</v>
      </c>
    </row>
    <row r="1344">
      <c r="D1344" s="16">
        <f>IFERROR(__xludf.DUMMYFUNCTION("""COMPUTED_VALUE"""),-0.502016786372924)</f>
        <v>-0.5020167864</v>
      </c>
      <c r="E1344" s="16">
        <f>IFERROR(__xludf.DUMMYFUNCTION("""COMPUTED_VALUE"""),-0.231406930684186)</f>
        <v>-0.2314069307</v>
      </c>
      <c r="F1344" s="16">
        <f>IFERROR(__xludf.DUMMYFUNCTION("""COMPUTED_VALUE"""),-0.508980026919329)</f>
        <v>-0.5089800269</v>
      </c>
      <c r="G1344" s="16">
        <f>IFERROR(__xludf.DUMMYFUNCTION("""COMPUTED_VALUE"""),0.659825212331497)</f>
        <v>0.6598252123</v>
      </c>
    </row>
    <row r="1345">
      <c r="D1345" s="16">
        <f>IFERROR(__xludf.DUMMYFUNCTION("""COMPUTED_VALUE"""),-0.502016786372924)</f>
        <v>-0.5020167864</v>
      </c>
      <c r="E1345" s="16">
        <f>IFERROR(__xludf.DUMMYFUNCTION("""COMPUTED_VALUE"""),-0.231406930684186)</f>
        <v>-0.2314069307</v>
      </c>
      <c r="F1345" s="16">
        <f>IFERROR(__xludf.DUMMYFUNCTION("""COMPUTED_VALUE"""),-0.508980026919329)</f>
        <v>-0.5089800269</v>
      </c>
      <c r="G1345" s="16">
        <f>IFERROR(__xludf.DUMMYFUNCTION("""COMPUTED_VALUE"""),0.659825212331497)</f>
        <v>0.6598252123</v>
      </c>
    </row>
    <row r="1346">
      <c r="D1346" s="16">
        <f>IFERROR(__xludf.DUMMYFUNCTION("""COMPUTED_VALUE"""),-0.502016786372924)</f>
        <v>-0.5020167864</v>
      </c>
      <c r="E1346" s="16">
        <f>IFERROR(__xludf.DUMMYFUNCTION("""COMPUTED_VALUE"""),-0.231406930684186)</f>
        <v>-0.2314069307</v>
      </c>
      <c r="F1346" s="16">
        <f>IFERROR(__xludf.DUMMYFUNCTION("""COMPUTED_VALUE"""),-0.508980026919329)</f>
        <v>-0.5089800269</v>
      </c>
      <c r="G1346" s="16">
        <f>IFERROR(__xludf.DUMMYFUNCTION("""COMPUTED_VALUE"""),0.659825212331497)</f>
        <v>0.6598252123</v>
      </c>
    </row>
    <row r="1347">
      <c r="D1347" s="16">
        <f>IFERROR(__xludf.DUMMYFUNCTION("""COMPUTED_VALUE"""),-0.502016786372924)</f>
        <v>-0.5020167864</v>
      </c>
      <c r="E1347" s="16">
        <f>IFERROR(__xludf.DUMMYFUNCTION("""COMPUTED_VALUE"""),-0.231406930684186)</f>
        <v>-0.2314069307</v>
      </c>
      <c r="F1347" s="16">
        <f>IFERROR(__xludf.DUMMYFUNCTION("""COMPUTED_VALUE"""),-0.508980026919329)</f>
        <v>-0.5089800269</v>
      </c>
      <c r="G1347" s="16">
        <f>IFERROR(__xludf.DUMMYFUNCTION("""COMPUTED_VALUE"""),0.659825212331497)</f>
        <v>0.6598252123</v>
      </c>
    </row>
    <row r="1348">
      <c r="D1348" s="16">
        <f>IFERROR(__xludf.DUMMYFUNCTION("""COMPUTED_VALUE"""),-0.502016786372924)</f>
        <v>-0.5020167864</v>
      </c>
      <c r="E1348" s="16">
        <f>IFERROR(__xludf.DUMMYFUNCTION("""COMPUTED_VALUE"""),-0.231406930684186)</f>
        <v>-0.2314069307</v>
      </c>
      <c r="F1348" s="16">
        <f>IFERROR(__xludf.DUMMYFUNCTION("""COMPUTED_VALUE"""),-0.508980026919329)</f>
        <v>-0.5089800269</v>
      </c>
      <c r="G1348" s="16">
        <f>IFERROR(__xludf.DUMMYFUNCTION("""COMPUTED_VALUE"""),0.659825212331497)</f>
        <v>0.6598252123</v>
      </c>
    </row>
    <row r="1349">
      <c r="D1349" s="16">
        <f>IFERROR(__xludf.DUMMYFUNCTION("""COMPUTED_VALUE"""),-0.502016786372924)</f>
        <v>-0.5020167864</v>
      </c>
      <c r="E1349" s="16">
        <f>IFERROR(__xludf.DUMMYFUNCTION("""COMPUTED_VALUE"""),-0.231406930684186)</f>
        <v>-0.2314069307</v>
      </c>
      <c r="F1349" s="16">
        <f>IFERROR(__xludf.DUMMYFUNCTION("""COMPUTED_VALUE"""),-0.508980026919329)</f>
        <v>-0.5089800269</v>
      </c>
      <c r="G1349" s="16">
        <f>IFERROR(__xludf.DUMMYFUNCTION("""COMPUTED_VALUE"""),0.659825212331497)</f>
        <v>0.6598252123</v>
      </c>
    </row>
    <row r="1350">
      <c r="D1350" s="16">
        <f>IFERROR(__xludf.DUMMYFUNCTION("""COMPUTED_VALUE"""),-0.502016786372924)</f>
        <v>-0.5020167864</v>
      </c>
      <c r="E1350" s="16">
        <f>IFERROR(__xludf.DUMMYFUNCTION("""COMPUTED_VALUE"""),-0.231406930684186)</f>
        <v>-0.2314069307</v>
      </c>
      <c r="F1350" s="16">
        <f>IFERROR(__xludf.DUMMYFUNCTION("""COMPUTED_VALUE"""),-0.508980026919329)</f>
        <v>-0.5089800269</v>
      </c>
      <c r="G1350" s="16">
        <f>IFERROR(__xludf.DUMMYFUNCTION("""COMPUTED_VALUE"""),0.659825212331497)</f>
        <v>0.6598252123</v>
      </c>
    </row>
    <row r="1351">
      <c r="D1351" s="16">
        <f>IFERROR(__xludf.DUMMYFUNCTION("""COMPUTED_VALUE"""),-0.502016786372924)</f>
        <v>-0.5020167864</v>
      </c>
      <c r="E1351" s="16">
        <f>IFERROR(__xludf.DUMMYFUNCTION("""COMPUTED_VALUE"""),-0.231406930684186)</f>
        <v>-0.2314069307</v>
      </c>
      <c r="F1351" s="16">
        <f>IFERROR(__xludf.DUMMYFUNCTION("""COMPUTED_VALUE"""),-0.508980026919329)</f>
        <v>-0.5089800269</v>
      </c>
      <c r="G1351" s="16">
        <f>IFERROR(__xludf.DUMMYFUNCTION("""COMPUTED_VALUE"""),0.659825212331497)</f>
        <v>0.6598252123</v>
      </c>
    </row>
    <row r="1352">
      <c r="D1352" s="16">
        <f>IFERROR(__xludf.DUMMYFUNCTION("""COMPUTED_VALUE"""),-0.502016786372924)</f>
        <v>-0.5020167864</v>
      </c>
      <c r="E1352" s="16">
        <f>IFERROR(__xludf.DUMMYFUNCTION("""COMPUTED_VALUE"""),-0.231406930684186)</f>
        <v>-0.2314069307</v>
      </c>
      <c r="F1352" s="16">
        <f>IFERROR(__xludf.DUMMYFUNCTION("""COMPUTED_VALUE"""),-0.508980026919329)</f>
        <v>-0.5089800269</v>
      </c>
      <c r="G1352" s="16">
        <f>IFERROR(__xludf.DUMMYFUNCTION("""COMPUTED_VALUE"""),0.659825212331497)</f>
        <v>0.6598252123</v>
      </c>
    </row>
    <row r="1353">
      <c r="D1353" s="16">
        <f>IFERROR(__xludf.DUMMYFUNCTION("""COMPUTED_VALUE"""),-0.502016786372924)</f>
        <v>-0.5020167864</v>
      </c>
      <c r="E1353" s="16">
        <f>IFERROR(__xludf.DUMMYFUNCTION("""COMPUTED_VALUE"""),-0.231406930684186)</f>
        <v>-0.2314069307</v>
      </c>
      <c r="F1353" s="16">
        <f>IFERROR(__xludf.DUMMYFUNCTION("""COMPUTED_VALUE"""),-0.508980026919329)</f>
        <v>-0.5089800269</v>
      </c>
      <c r="G1353" s="16">
        <f>IFERROR(__xludf.DUMMYFUNCTION("""COMPUTED_VALUE"""),0.659825212331497)</f>
        <v>0.6598252123</v>
      </c>
    </row>
    <row r="1354">
      <c r="D1354" s="16">
        <f>IFERROR(__xludf.DUMMYFUNCTION("""COMPUTED_VALUE"""),-0.502016786372924)</f>
        <v>-0.5020167864</v>
      </c>
      <c r="E1354" s="16">
        <f>IFERROR(__xludf.DUMMYFUNCTION("""COMPUTED_VALUE"""),-0.231406930684186)</f>
        <v>-0.2314069307</v>
      </c>
      <c r="F1354" s="16">
        <f>IFERROR(__xludf.DUMMYFUNCTION("""COMPUTED_VALUE"""),-0.508980026919329)</f>
        <v>-0.5089800269</v>
      </c>
      <c r="G1354" s="16">
        <f>IFERROR(__xludf.DUMMYFUNCTION("""COMPUTED_VALUE"""),0.659825212331497)</f>
        <v>0.6598252123</v>
      </c>
    </row>
    <row r="1355">
      <c r="D1355" s="16">
        <f>IFERROR(__xludf.DUMMYFUNCTION("""COMPUTED_VALUE"""),-0.502016786372924)</f>
        <v>-0.5020167864</v>
      </c>
      <c r="E1355" s="16">
        <f>IFERROR(__xludf.DUMMYFUNCTION("""COMPUTED_VALUE"""),-0.231406930684186)</f>
        <v>-0.2314069307</v>
      </c>
      <c r="F1355" s="16">
        <f>IFERROR(__xludf.DUMMYFUNCTION("""COMPUTED_VALUE"""),-0.508980026919329)</f>
        <v>-0.5089800269</v>
      </c>
      <c r="G1355" s="16">
        <f>IFERROR(__xludf.DUMMYFUNCTION("""COMPUTED_VALUE"""),0.659825212331497)</f>
        <v>0.6598252123</v>
      </c>
    </row>
    <row r="1356">
      <c r="D1356" s="16">
        <f>IFERROR(__xludf.DUMMYFUNCTION("""COMPUTED_VALUE"""),-0.502016786372924)</f>
        <v>-0.5020167864</v>
      </c>
      <c r="E1356" s="16">
        <f>IFERROR(__xludf.DUMMYFUNCTION("""COMPUTED_VALUE"""),-0.231406930684186)</f>
        <v>-0.2314069307</v>
      </c>
      <c r="F1356" s="16">
        <f>IFERROR(__xludf.DUMMYFUNCTION("""COMPUTED_VALUE"""),-0.508980026919329)</f>
        <v>-0.5089800269</v>
      </c>
      <c r="G1356" s="16">
        <f>IFERROR(__xludf.DUMMYFUNCTION("""COMPUTED_VALUE"""),0.659825212331497)</f>
        <v>0.6598252123</v>
      </c>
    </row>
    <row r="1357">
      <c r="D1357" s="16">
        <f>IFERROR(__xludf.DUMMYFUNCTION("""COMPUTED_VALUE"""),-0.502016786372924)</f>
        <v>-0.5020167864</v>
      </c>
      <c r="E1357" s="16">
        <f>IFERROR(__xludf.DUMMYFUNCTION("""COMPUTED_VALUE"""),-0.231406930684186)</f>
        <v>-0.2314069307</v>
      </c>
      <c r="F1357" s="16">
        <f>IFERROR(__xludf.DUMMYFUNCTION("""COMPUTED_VALUE"""),-0.508980026919329)</f>
        <v>-0.5089800269</v>
      </c>
      <c r="G1357" s="16">
        <f>IFERROR(__xludf.DUMMYFUNCTION("""COMPUTED_VALUE"""),0.659825212331497)</f>
        <v>0.6598252123</v>
      </c>
    </row>
    <row r="1358">
      <c r="D1358" s="16">
        <f>IFERROR(__xludf.DUMMYFUNCTION("""COMPUTED_VALUE"""),-0.502016786372924)</f>
        <v>-0.5020167864</v>
      </c>
      <c r="E1358" s="16">
        <f>IFERROR(__xludf.DUMMYFUNCTION("""COMPUTED_VALUE"""),-0.231406930684186)</f>
        <v>-0.2314069307</v>
      </c>
      <c r="F1358" s="16">
        <f>IFERROR(__xludf.DUMMYFUNCTION("""COMPUTED_VALUE"""),-0.508980026919329)</f>
        <v>-0.5089800269</v>
      </c>
      <c r="G1358" s="16">
        <f>IFERROR(__xludf.DUMMYFUNCTION("""COMPUTED_VALUE"""),0.659825212331497)</f>
        <v>0.6598252123</v>
      </c>
    </row>
    <row r="1359">
      <c r="D1359" s="16">
        <f>IFERROR(__xludf.DUMMYFUNCTION("""COMPUTED_VALUE"""),-0.502016786372924)</f>
        <v>-0.5020167864</v>
      </c>
      <c r="E1359" s="16">
        <f>IFERROR(__xludf.DUMMYFUNCTION("""COMPUTED_VALUE"""),-0.231406930684186)</f>
        <v>-0.2314069307</v>
      </c>
      <c r="F1359" s="16">
        <f>IFERROR(__xludf.DUMMYFUNCTION("""COMPUTED_VALUE"""),-0.508980026919329)</f>
        <v>-0.5089800269</v>
      </c>
      <c r="G1359" s="16">
        <f>IFERROR(__xludf.DUMMYFUNCTION("""COMPUTED_VALUE"""),0.659825212331497)</f>
        <v>0.6598252123</v>
      </c>
    </row>
    <row r="1360">
      <c r="D1360" s="16">
        <f>IFERROR(__xludf.DUMMYFUNCTION("""COMPUTED_VALUE"""),-0.502016786372924)</f>
        <v>-0.5020167864</v>
      </c>
      <c r="E1360" s="16">
        <f>IFERROR(__xludf.DUMMYFUNCTION("""COMPUTED_VALUE"""),-0.231406930684186)</f>
        <v>-0.2314069307</v>
      </c>
      <c r="F1360" s="16">
        <f>IFERROR(__xludf.DUMMYFUNCTION("""COMPUTED_VALUE"""),-0.508980026919329)</f>
        <v>-0.5089800269</v>
      </c>
      <c r="G1360" s="16">
        <f>IFERROR(__xludf.DUMMYFUNCTION("""COMPUTED_VALUE"""),0.659825212331497)</f>
        <v>0.6598252123</v>
      </c>
    </row>
    <row r="1361">
      <c r="D1361" s="16">
        <f>IFERROR(__xludf.DUMMYFUNCTION("""COMPUTED_VALUE"""),-0.502016786372924)</f>
        <v>-0.5020167864</v>
      </c>
      <c r="E1361" s="16">
        <f>IFERROR(__xludf.DUMMYFUNCTION("""COMPUTED_VALUE"""),-0.231406930684186)</f>
        <v>-0.2314069307</v>
      </c>
      <c r="F1361" s="16">
        <f>IFERROR(__xludf.DUMMYFUNCTION("""COMPUTED_VALUE"""),-0.508980026919329)</f>
        <v>-0.5089800269</v>
      </c>
      <c r="G1361" s="16">
        <f>IFERROR(__xludf.DUMMYFUNCTION("""COMPUTED_VALUE"""),0.659825212331497)</f>
        <v>0.6598252123</v>
      </c>
    </row>
    <row r="1362">
      <c r="D1362" s="16">
        <f>IFERROR(__xludf.DUMMYFUNCTION("""COMPUTED_VALUE"""),-0.502016786372924)</f>
        <v>-0.5020167864</v>
      </c>
      <c r="E1362" s="16">
        <f>IFERROR(__xludf.DUMMYFUNCTION("""COMPUTED_VALUE"""),-0.231406930684186)</f>
        <v>-0.2314069307</v>
      </c>
      <c r="F1362" s="16">
        <f>IFERROR(__xludf.DUMMYFUNCTION("""COMPUTED_VALUE"""),-0.508980026919329)</f>
        <v>-0.5089800269</v>
      </c>
      <c r="G1362" s="16">
        <f>IFERROR(__xludf.DUMMYFUNCTION("""COMPUTED_VALUE"""),0.659825212331497)</f>
        <v>0.6598252123</v>
      </c>
    </row>
    <row r="1363">
      <c r="D1363" s="16">
        <f>IFERROR(__xludf.DUMMYFUNCTION("""COMPUTED_VALUE"""),-0.502016786372924)</f>
        <v>-0.5020167864</v>
      </c>
      <c r="E1363" s="16">
        <f>IFERROR(__xludf.DUMMYFUNCTION("""COMPUTED_VALUE"""),-0.231406930684186)</f>
        <v>-0.2314069307</v>
      </c>
      <c r="F1363" s="16">
        <f>IFERROR(__xludf.DUMMYFUNCTION("""COMPUTED_VALUE"""),-0.508980026919329)</f>
        <v>-0.5089800269</v>
      </c>
      <c r="G1363" s="16">
        <f>IFERROR(__xludf.DUMMYFUNCTION("""COMPUTED_VALUE"""),0.659825212331497)</f>
        <v>0.6598252123</v>
      </c>
    </row>
    <row r="1364">
      <c r="D1364" s="16">
        <f>IFERROR(__xludf.DUMMYFUNCTION("""COMPUTED_VALUE"""),-0.502016786372924)</f>
        <v>-0.5020167864</v>
      </c>
      <c r="E1364" s="16">
        <f>IFERROR(__xludf.DUMMYFUNCTION("""COMPUTED_VALUE"""),-0.231406930684186)</f>
        <v>-0.2314069307</v>
      </c>
      <c r="F1364" s="16">
        <f>IFERROR(__xludf.DUMMYFUNCTION("""COMPUTED_VALUE"""),-0.508980026919329)</f>
        <v>-0.5089800269</v>
      </c>
      <c r="G1364" s="16">
        <f>IFERROR(__xludf.DUMMYFUNCTION("""COMPUTED_VALUE"""),0.659825212331497)</f>
        <v>0.6598252123</v>
      </c>
    </row>
    <row r="1365">
      <c r="D1365" s="16">
        <f>IFERROR(__xludf.DUMMYFUNCTION("""COMPUTED_VALUE"""),-0.502016786372924)</f>
        <v>-0.5020167864</v>
      </c>
      <c r="E1365" s="16">
        <f>IFERROR(__xludf.DUMMYFUNCTION("""COMPUTED_VALUE"""),-0.231406930684186)</f>
        <v>-0.2314069307</v>
      </c>
      <c r="F1365" s="16">
        <f>IFERROR(__xludf.DUMMYFUNCTION("""COMPUTED_VALUE"""),-0.508980026919329)</f>
        <v>-0.5089800269</v>
      </c>
      <c r="G1365" s="16">
        <f>IFERROR(__xludf.DUMMYFUNCTION("""COMPUTED_VALUE"""),0.659825212331497)</f>
        <v>0.6598252123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9.0"/>
    <col customWidth="1" min="2" max="5" width="17.75"/>
    <col customWidth="1" min="6" max="6" width="2.63"/>
    <col customWidth="1" min="7" max="10" width="14.38"/>
    <col customWidth="1" min="11" max="11" width="3.63"/>
    <col customWidth="1" min="12" max="12" width="10.63"/>
    <col customWidth="1" min="13" max="13" width="9.38"/>
    <col customWidth="1" min="14" max="14" width="8.38"/>
    <col customWidth="1" min="15" max="15" width="10.88"/>
    <col customWidth="1" min="16" max="16" width="11.5"/>
    <col customWidth="1" min="17" max="17" width="8.13"/>
    <col customWidth="1" min="18" max="18" width="16.5"/>
  </cols>
  <sheetData>
    <row r="1">
      <c r="A1" s="19"/>
      <c r="B1" s="20" t="s">
        <v>387</v>
      </c>
      <c r="F1" s="21"/>
      <c r="G1" s="20" t="s">
        <v>388</v>
      </c>
      <c r="L1" s="22" t="s">
        <v>389</v>
      </c>
      <c r="M1" s="23" t="s">
        <v>390</v>
      </c>
      <c r="N1" s="24" t="s">
        <v>391</v>
      </c>
      <c r="O1" s="24" t="s">
        <v>392</v>
      </c>
      <c r="P1" s="24" t="s">
        <v>393</v>
      </c>
      <c r="Q1" s="24" t="s">
        <v>394</v>
      </c>
      <c r="R1" s="24" t="s">
        <v>395</v>
      </c>
    </row>
    <row r="2">
      <c r="A2" s="13" t="s">
        <v>396</v>
      </c>
      <c r="B2" s="21">
        <f t="shared" ref="B2:E2" si="1">sumproduct(B3:B161&lt;&gt;B4:B162)</f>
        <v>51</v>
      </c>
      <c r="C2" s="21">
        <f t="shared" si="1"/>
        <v>51</v>
      </c>
      <c r="D2" s="21">
        <f t="shared" si="1"/>
        <v>51</v>
      </c>
      <c r="E2" s="21">
        <f t="shared" si="1"/>
        <v>51</v>
      </c>
      <c r="F2" s="21"/>
      <c r="G2" s="21">
        <f t="shared" ref="G2:J2" si="2">sumproduct(G3:G161&lt;&gt;G4:G162)</f>
        <v>51</v>
      </c>
      <c r="H2" s="21">
        <f t="shared" si="2"/>
        <v>51</v>
      </c>
      <c r="I2" s="21">
        <f t="shared" si="2"/>
        <v>51</v>
      </c>
      <c r="J2" s="21">
        <f t="shared" si="2"/>
        <v>51</v>
      </c>
      <c r="L2" s="25">
        <f t="shared" ref="L2:L5" si="3">1/(10^M2)</f>
        <v>0.000001</v>
      </c>
      <c r="M2" s="24">
        <v>6.0</v>
      </c>
      <c r="N2" s="24">
        <v>4.0</v>
      </c>
      <c r="O2" s="24">
        <v>50000.0</v>
      </c>
      <c r="P2" s="19">
        <f t="shared" ref="P2:P5" si="4">M2+N2</f>
        <v>10</v>
      </c>
      <c r="Q2" s="21">
        <f t="shared" ref="Q2:Q5" si="5">O2/P2</f>
        <v>5000</v>
      </c>
      <c r="R2" s="26">
        <f t="shared" ref="R2:R5" si="6">Q2/10/60</f>
        <v>8.333333333</v>
      </c>
    </row>
    <row r="3">
      <c r="A3" s="13" t="s">
        <v>385</v>
      </c>
      <c r="B3" s="17" t="s">
        <v>182</v>
      </c>
      <c r="C3" s="17" t="s">
        <v>183</v>
      </c>
      <c r="D3" s="17" t="s">
        <v>184</v>
      </c>
      <c r="E3" s="17" t="s">
        <v>185</v>
      </c>
      <c r="F3" s="13" t="s">
        <v>397</v>
      </c>
      <c r="G3" s="19"/>
      <c r="H3" s="19"/>
      <c r="I3" s="19"/>
      <c r="J3" s="19"/>
      <c r="L3" s="27">
        <f t="shared" si="3"/>
        <v>0</v>
      </c>
      <c r="M3" s="24">
        <v>15.0</v>
      </c>
      <c r="N3" s="24">
        <v>4.0</v>
      </c>
      <c r="O3" s="24">
        <v>50000.0</v>
      </c>
      <c r="P3" s="19">
        <f t="shared" si="4"/>
        <v>19</v>
      </c>
      <c r="Q3" s="21">
        <f t="shared" si="5"/>
        <v>2631.578947</v>
      </c>
      <c r="R3" s="26">
        <f t="shared" si="6"/>
        <v>4.385964912</v>
      </c>
    </row>
    <row r="4">
      <c r="A4" s="13" t="s">
        <v>386</v>
      </c>
      <c r="B4" s="15">
        <f>IFERROR(__xludf.DUMMYFUNCTION("transpose(split(B3,"",""))"),0.624883987936306)</f>
        <v>0.6248839879</v>
      </c>
      <c r="C4" s="15">
        <f>IFERROR(__xludf.DUMMYFUNCTION("transpose(split(C3,"",""))"),-0.0365923055998737)</f>
        <v>-0.0365923056</v>
      </c>
      <c r="D4" s="15">
        <f>IFERROR(__xludf.DUMMYFUNCTION("transpose(split(D3,"",""))"),-0.699006863382204)</f>
        <v>-0.6990068634</v>
      </c>
      <c r="E4" s="15">
        <f>IFERROR(__xludf.DUMMYFUNCTION("transpose(split(E3,"",""))"),-0.345789545440976)</f>
        <v>-0.3457895454</v>
      </c>
      <c r="F4" s="28"/>
      <c r="G4" s="29">
        <f t="array" ref="G4:G163">B4:B163-mod(B4:B163,$L$2)</f>
        <v>0.624883</v>
      </c>
      <c r="H4" s="29">
        <f t="array" ref="H4:H163">C4:C163-mod(C4:C163,$L$2)</f>
        <v>-0.036593</v>
      </c>
      <c r="I4" s="29">
        <f t="array" ref="I4:I163">D4:D163-mod(D4:D163,$L$2)</f>
        <v>-0.699007</v>
      </c>
      <c r="J4" s="29">
        <f t="array" ref="J4:J163">E4:E163-mod(E4:E163,$L$2)</f>
        <v>-0.34579</v>
      </c>
      <c r="L4" s="27">
        <f t="shared" si="3"/>
        <v>0.000001</v>
      </c>
      <c r="M4" s="24">
        <v>6.0</v>
      </c>
      <c r="N4" s="24">
        <v>4.0</v>
      </c>
      <c r="O4" s="24">
        <v>32767.0</v>
      </c>
      <c r="P4" s="19">
        <f t="shared" si="4"/>
        <v>10</v>
      </c>
      <c r="Q4" s="21">
        <f t="shared" si="5"/>
        <v>3276.7</v>
      </c>
      <c r="R4" s="26">
        <f t="shared" si="6"/>
        <v>5.461166667</v>
      </c>
    </row>
    <row r="5">
      <c r="A5" s="19"/>
      <c r="B5" s="15">
        <f>IFERROR(__xludf.DUMMYFUNCTION("""COMPUTED_VALUE"""),0.624883987936306)</f>
        <v>0.6248839879</v>
      </c>
      <c r="C5" s="15">
        <f>IFERROR(__xludf.DUMMYFUNCTION("""COMPUTED_VALUE"""),-0.0365923055998737)</f>
        <v>-0.0365923056</v>
      </c>
      <c r="D5" s="15">
        <f>IFERROR(__xludf.DUMMYFUNCTION("""COMPUTED_VALUE"""),-0.699006863382204)</f>
        <v>-0.6990068634</v>
      </c>
      <c r="E5" s="15">
        <f>IFERROR(__xludf.DUMMYFUNCTION("""COMPUTED_VALUE"""),-0.345789545440976)</f>
        <v>-0.3457895454</v>
      </c>
      <c r="F5" s="15"/>
      <c r="G5" s="29">
        <v>0.624883</v>
      </c>
      <c r="H5" s="29">
        <v>-0.036593</v>
      </c>
      <c r="I5" s="29">
        <v>-0.6990069999999999</v>
      </c>
      <c r="J5" s="29">
        <v>-0.34579</v>
      </c>
      <c r="L5" s="27">
        <f t="shared" si="3"/>
        <v>0</v>
      </c>
      <c r="M5" s="24">
        <v>15.0</v>
      </c>
      <c r="N5" s="24">
        <v>4.0</v>
      </c>
      <c r="O5" s="24">
        <v>32767.0</v>
      </c>
      <c r="P5" s="19">
        <f t="shared" si="4"/>
        <v>19</v>
      </c>
      <c r="Q5" s="21">
        <f t="shared" si="5"/>
        <v>1724.578947</v>
      </c>
      <c r="R5" s="26">
        <f t="shared" si="6"/>
        <v>2.874298246</v>
      </c>
    </row>
    <row r="6">
      <c r="A6" s="19"/>
      <c r="B6" s="15">
        <f>IFERROR(__xludf.DUMMYFUNCTION("""COMPUTED_VALUE"""),0.624883987936306)</f>
        <v>0.6248839879</v>
      </c>
      <c r="C6" s="15">
        <f>IFERROR(__xludf.DUMMYFUNCTION("""COMPUTED_VALUE"""),-0.0365923055998737)</f>
        <v>-0.0365923056</v>
      </c>
      <c r="D6" s="15">
        <f>IFERROR(__xludf.DUMMYFUNCTION("""COMPUTED_VALUE"""),-0.699006863382204)</f>
        <v>-0.6990068634</v>
      </c>
      <c r="E6" s="15">
        <f>IFERROR(__xludf.DUMMYFUNCTION("""COMPUTED_VALUE"""),-0.345789545440976)</f>
        <v>-0.3457895454</v>
      </c>
      <c r="F6" s="15"/>
      <c r="G6" s="29">
        <v>0.624883</v>
      </c>
      <c r="H6" s="29">
        <v>-0.036593</v>
      </c>
      <c r="I6" s="29">
        <v>-0.6990069999999999</v>
      </c>
      <c r="J6" s="29">
        <v>-0.34579</v>
      </c>
      <c r="L6" s="30"/>
    </row>
    <row r="7">
      <c r="A7" s="19"/>
      <c r="B7" s="15">
        <f>IFERROR(__xludf.DUMMYFUNCTION("""COMPUTED_VALUE"""),0.624883987936306)</f>
        <v>0.6248839879</v>
      </c>
      <c r="C7" s="15">
        <f>IFERROR(__xludf.DUMMYFUNCTION("""COMPUTED_VALUE"""),-0.0365923055998737)</f>
        <v>-0.0365923056</v>
      </c>
      <c r="D7" s="15">
        <f>IFERROR(__xludf.DUMMYFUNCTION("""COMPUTED_VALUE"""),-0.699006863382204)</f>
        <v>-0.6990068634</v>
      </c>
      <c r="E7" s="15">
        <f>IFERROR(__xludf.DUMMYFUNCTION("""COMPUTED_VALUE"""),-0.345789545440976)</f>
        <v>-0.3457895454</v>
      </c>
      <c r="F7" s="15"/>
      <c r="G7" s="29">
        <v>0.624883</v>
      </c>
      <c r="H7" s="29">
        <v>-0.036593</v>
      </c>
      <c r="I7" s="29">
        <v>-0.6990069999999999</v>
      </c>
      <c r="J7" s="29">
        <v>-0.34579</v>
      </c>
      <c r="L7" s="30"/>
    </row>
    <row r="8">
      <c r="A8" s="19"/>
      <c r="B8" s="15">
        <f>IFERROR(__xludf.DUMMYFUNCTION("""COMPUTED_VALUE"""),0.624883987936306)</f>
        <v>0.6248839879</v>
      </c>
      <c r="C8" s="15">
        <f>IFERROR(__xludf.DUMMYFUNCTION("""COMPUTED_VALUE"""),-0.0365923055998737)</f>
        <v>-0.0365923056</v>
      </c>
      <c r="D8" s="15">
        <f>IFERROR(__xludf.DUMMYFUNCTION("""COMPUTED_VALUE"""),-0.699006863382204)</f>
        <v>-0.6990068634</v>
      </c>
      <c r="E8" s="15">
        <f>IFERROR(__xludf.DUMMYFUNCTION("""COMPUTED_VALUE"""),-0.345789545440976)</f>
        <v>-0.3457895454</v>
      </c>
      <c r="F8" s="15"/>
      <c r="G8" s="29">
        <v>0.624883</v>
      </c>
      <c r="H8" s="29">
        <v>-0.036593</v>
      </c>
      <c r="I8" s="29">
        <v>-0.6990069999999999</v>
      </c>
      <c r="J8" s="29">
        <v>-0.34579</v>
      </c>
      <c r="L8" s="31" t="s">
        <v>392</v>
      </c>
    </row>
    <row r="9">
      <c r="A9" s="19"/>
      <c r="B9" s="15">
        <f>IFERROR(__xludf.DUMMYFUNCTION("""COMPUTED_VALUE"""),0.624883987936306)</f>
        <v>0.6248839879</v>
      </c>
      <c r="C9" s="15">
        <f>IFERROR(__xludf.DUMMYFUNCTION("""COMPUTED_VALUE"""),-0.0365923055998737)</f>
        <v>-0.0365923056</v>
      </c>
      <c r="D9" s="15">
        <f>IFERROR(__xludf.DUMMYFUNCTION("""COMPUTED_VALUE"""),-0.699006863382204)</f>
        <v>-0.6990068634</v>
      </c>
      <c r="E9" s="15">
        <f>IFERROR(__xludf.DUMMYFUNCTION("""COMPUTED_VALUE"""),-0.345789545440976)</f>
        <v>-0.3457895454</v>
      </c>
      <c r="F9" s="15"/>
      <c r="G9" s="29">
        <v>0.624883</v>
      </c>
      <c r="H9" s="29">
        <v>-0.036593</v>
      </c>
      <c r="I9" s="29">
        <v>-0.6990069999999999</v>
      </c>
      <c r="J9" s="29">
        <v>-0.34579</v>
      </c>
      <c r="L9" s="31" t="s">
        <v>398</v>
      </c>
    </row>
    <row r="10">
      <c r="A10" s="19"/>
      <c r="B10" s="15">
        <f>IFERROR(__xludf.DUMMYFUNCTION("""COMPUTED_VALUE"""),0.624883987936306)</f>
        <v>0.6248839879</v>
      </c>
      <c r="C10" s="15">
        <f>IFERROR(__xludf.DUMMYFUNCTION("""COMPUTED_VALUE"""),-0.0365923055998737)</f>
        <v>-0.0365923056</v>
      </c>
      <c r="D10" s="15">
        <f>IFERROR(__xludf.DUMMYFUNCTION("""COMPUTED_VALUE"""),-0.699006863382204)</f>
        <v>-0.6990068634</v>
      </c>
      <c r="E10" s="15">
        <f>IFERROR(__xludf.DUMMYFUNCTION("""COMPUTED_VALUE"""),-0.345789545440976)</f>
        <v>-0.3457895454</v>
      </c>
      <c r="F10" s="15"/>
      <c r="G10" s="29">
        <v>0.624883</v>
      </c>
      <c r="H10" s="29">
        <v>-0.036593</v>
      </c>
      <c r="I10" s="29">
        <v>-0.6990069999999999</v>
      </c>
      <c r="J10" s="29">
        <v>-0.34579</v>
      </c>
      <c r="L10" s="24" t="s">
        <v>399</v>
      </c>
    </row>
    <row r="11">
      <c r="A11" s="19"/>
      <c r="B11" s="15">
        <f>IFERROR(__xludf.DUMMYFUNCTION("""COMPUTED_VALUE"""),0.624883987936306)</f>
        <v>0.6248839879</v>
      </c>
      <c r="C11" s="15">
        <f>IFERROR(__xludf.DUMMYFUNCTION("""COMPUTED_VALUE"""),-0.0365923055998737)</f>
        <v>-0.0365923056</v>
      </c>
      <c r="D11" s="15">
        <f>IFERROR(__xludf.DUMMYFUNCTION("""COMPUTED_VALUE"""),-0.699006863382204)</f>
        <v>-0.6990068634</v>
      </c>
      <c r="E11" s="15">
        <f>IFERROR(__xludf.DUMMYFUNCTION("""COMPUTED_VALUE"""),-0.345789545440976)</f>
        <v>-0.3457895454</v>
      </c>
      <c r="F11" s="15"/>
      <c r="G11" s="29">
        <v>0.624883</v>
      </c>
      <c r="H11" s="29">
        <v>-0.036593</v>
      </c>
      <c r="I11" s="29">
        <v>-0.6990069999999999</v>
      </c>
      <c r="J11" s="29">
        <v>-0.34579</v>
      </c>
    </row>
    <row r="12">
      <c r="A12" s="19"/>
      <c r="B12" s="15">
        <f>IFERROR(__xludf.DUMMYFUNCTION("""COMPUTED_VALUE"""),0.624883987936306)</f>
        <v>0.6248839879</v>
      </c>
      <c r="C12" s="15">
        <f>IFERROR(__xludf.DUMMYFUNCTION("""COMPUTED_VALUE"""),-0.0365923055998737)</f>
        <v>-0.0365923056</v>
      </c>
      <c r="D12" s="15">
        <f>IFERROR(__xludf.DUMMYFUNCTION("""COMPUTED_VALUE"""),-0.699006863382204)</f>
        <v>-0.6990068634</v>
      </c>
      <c r="E12" s="15">
        <f>IFERROR(__xludf.DUMMYFUNCTION("""COMPUTED_VALUE"""),-0.345789545440976)</f>
        <v>-0.3457895454</v>
      </c>
      <c r="F12" s="15"/>
      <c r="G12" s="29">
        <v>0.624883</v>
      </c>
      <c r="H12" s="29">
        <v>-0.036593</v>
      </c>
      <c r="I12" s="29">
        <v>-0.6990069999999999</v>
      </c>
      <c r="J12" s="29">
        <v>-0.34579</v>
      </c>
      <c r="L12" s="24" t="s">
        <v>400</v>
      </c>
    </row>
    <row r="13">
      <c r="A13" s="19"/>
      <c r="B13" s="15">
        <f>IFERROR(__xludf.DUMMYFUNCTION("""COMPUTED_VALUE"""),0.624883987936306)</f>
        <v>0.6248839879</v>
      </c>
      <c r="C13" s="15">
        <f>IFERROR(__xludf.DUMMYFUNCTION("""COMPUTED_VALUE"""),-0.0365923055998737)</f>
        <v>-0.0365923056</v>
      </c>
      <c r="D13" s="15">
        <f>IFERROR(__xludf.DUMMYFUNCTION("""COMPUTED_VALUE"""),-0.699006863382204)</f>
        <v>-0.6990068634</v>
      </c>
      <c r="E13" s="15">
        <f>IFERROR(__xludf.DUMMYFUNCTION("""COMPUTED_VALUE"""),-0.345789545440976)</f>
        <v>-0.3457895454</v>
      </c>
      <c r="F13" s="15"/>
      <c r="G13" s="29">
        <v>0.624883</v>
      </c>
      <c r="H13" s="29">
        <v>-0.036593</v>
      </c>
      <c r="I13" s="29">
        <v>-0.6990069999999999</v>
      </c>
      <c r="J13" s="29">
        <v>-0.34579</v>
      </c>
      <c r="L13" s="24" t="s">
        <v>401</v>
      </c>
    </row>
    <row r="14">
      <c r="A14" s="19"/>
      <c r="B14" s="15">
        <f>IFERROR(__xludf.DUMMYFUNCTION("""COMPUTED_VALUE"""),0.624883987936306)</f>
        <v>0.6248839879</v>
      </c>
      <c r="C14" s="15">
        <f>IFERROR(__xludf.DUMMYFUNCTION("""COMPUTED_VALUE"""),-0.0365923055998737)</f>
        <v>-0.0365923056</v>
      </c>
      <c r="D14" s="15">
        <f>IFERROR(__xludf.DUMMYFUNCTION("""COMPUTED_VALUE"""),-0.699006863382204)</f>
        <v>-0.6990068634</v>
      </c>
      <c r="E14" s="15">
        <f>IFERROR(__xludf.DUMMYFUNCTION("""COMPUTED_VALUE"""),-0.345789545440976)</f>
        <v>-0.3457895454</v>
      </c>
      <c r="F14" s="15"/>
      <c r="G14" s="29">
        <v>0.624883</v>
      </c>
      <c r="H14" s="29">
        <v>-0.036593</v>
      </c>
      <c r="I14" s="29">
        <v>-0.6990069999999999</v>
      </c>
      <c r="J14" s="29">
        <v>-0.34579</v>
      </c>
      <c r="L14" s="24" t="s">
        <v>402</v>
      </c>
    </row>
    <row r="15">
      <c r="A15" s="19"/>
      <c r="B15" s="15">
        <f>IFERROR(__xludf.DUMMYFUNCTION("""COMPUTED_VALUE"""),0.624883987936306)</f>
        <v>0.6248839879</v>
      </c>
      <c r="C15" s="15">
        <f>IFERROR(__xludf.DUMMYFUNCTION("""COMPUTED_VALUE"""),-0.0365923055998737)</f>
        <v>-0.0365923056</v>
      </c>
      <c r="D15" s="15">
        <f>IFERROR(__xludf.DUMMYFUNCTION("""COMPUTED_VALUE"""),-0.699006863382204)</f>
        <v>-0.6990068634</v>
      </c>
      <c r="E15" s="15">
        <f>IFERROR(__xludf.DUMMYFUNCTION("""COMPUTED_VALUE"""),-0.345789545440976)</f>
        <v>-0.3457895454</v>
      </c>
      <c r="F15" s="15"/>
      <c r="G15" s="29">
        <v>0.624883</v>
      </c>
      <c r="H15" s="29">
        <v>-0.036593</v>
      </c>
      <c r="I15" s="29">
        <v>-0.6990069999999999</v>
      </c>
      <c r="J15" s="29">
        <v>-0.34579</v>
      </c>
      <c r="L15" s="24" t="s">
        <v>403</v>
      </c>
    </row>
    <row r="16">
      <c r="A16" s="19"/>
      <c r="B16" s="15">
        <f>IFERROR(__xludf.DUMMYFUNCTION("""COMPUTED_VALUE"""),0.624883987936306)</f>
        <v>0.6248839879</v>
      </c>
      <c r="C16" s="15">
        <f>IFERROR(__xludf.DUMMYFUNCTION("""COMPUTED_VALUE"""),-0.0365923055998737)</f>
        <v>-0.0365923056</v>
      </c>
      <c r="D16" s="15">
        <f>IFERROR(__xludf.DUMMYFUNCTION("""COMPUTED_VALUE"""),-0.699006863382204)</f>
        <v>-0.6990068634</v>
      </c>
      <c r="E16" s="15">
        <f>IFERROR(__xludf.DUMMYFUNCTION("""COMPUTED_VALUE"""),-0.345789545440976)</f>
        <v>-0.3457895454</v>
      </c>
      <c r="F16" s="15"/>
      <c r="G16" s="29">
        <v>0.624883</v>
      </c>
      <c r="H16" s="29">
        <v>-0.036593</v>
      </c>
      <c r="I16" s="29">
        <v>-0.6990069999999999</v>
      </c>
      <c r="J16" s="29">
        <v>-0.34579</v>
      </c>
      <c r="L16" s="24" t="s">
        <v>404</v>
      </c>
    </row>
    <row r="17">
      <c r="A17" s="19"/>
      <c r="B17" s="15">
        <f>IFERROR(__xludf.DUMMYFUNCTION("""COMPUTED_VALUE"""),0.624883987936306)</f>
        <v>0.6248839879</v>
      </c>
      <c r="C17" s="15">
        <f>IFERROR(__xludf.DUMMYFUNCTION("""COMPUTED_VALUE"""),-0.0365923055998737)</f>
        <v>-0.0365923056</v>
      </c>
      <c r="D17" s="15">
        <f>IFERROR(__xludf.DUMMYFUNCTION("""COMPUTED_VALUE"""),-0.699006863382204)</f>
        <v>-0.6990068634</v>
      </c>
      <c r="E17" s="15">
        <f>IFERROR(__xludf.DUMMYFUNCTION("""COMPUTED_VALUE"""),-0.345789545440976)</f>
        <v>-0.3457895454</v>
      </c>
      <c r="F17" s="15"/>
      <c r="G17" s="29">
        <v>0.624883</v>
      </c>
      <c r="H17" s="29">
        <v>-0.036593</v>
      </c>
      <c r="I17" s="29">
        <v>-0.6990069999999999</v>
      </c>
      <c r="J17" s="29">
        <v>-0.34579</v>
      </c>
      <c r="L17" s="32" t="s">
        <v>405</v>
      </c>
    </row>
    <row r="18">
      <c r="A18" s="19"/>
      <c r="B18" s="15">
        <f>IFERROR(__xludf.DUMMYFUNCTION("""COMPUTED_VALUE"""),0.624883987936306)</f>
        <v>0.6248839879</v>
      </c>
      <c r="C18" s="15">
        <f>IFERROR(__xludf.DUMMYFUNCTION("""COMPUTED_VALUE"""),-0.0365923055998737)</f>
        <v>-0.0365923056</v>
      </c>
      <c r="D18" s="15">
        <f>IFERROR(__xludf.DUMMYFUNCTION("""COMPUTED_VALUE"""),-0.699006863382204)</f>
        <v>-0.6990068634</v>
      </c>
      <c r="E18" s="15">
        <f>IFERROR(__xludf.DUMMYFUNCTION("""COMPUTED_VALUE"""),-0.345789545440976)</f>
        <v>-0.3457895454</v>
      </c>
      <c r="F18" s="15"/>
      <c r="G18" s="29">
        <v>0.624883</v>
      </c>
      <c r="H18" s="29">
        <v>-0.036593</v>
      </c>
      <c r="I18" s="29">
        <v>-0.6990069999999999</v>
      </c>
      <c r="J18" s="29">
        <v>-0.34579</v>
      </c>
    </row>
    <row r="19">
      <c r="A19" s="19"/>
      <c r="B19" s="15">
        <f>IFERROR(__xludf.DUMMYFUNCTION("""COMPUTED_VALUE"""),0.624883987936306)</f>
        <v>0.6248839879</v>
      </c>
      <c r="C19" s="15">
        <f>IFERROR(__xludf.DUMMYFUNCTION("""COMPUTED_VALUE"""),-0.0365923055998737)</f>
        <v>-0.0365923056</v>
      </c>
      <c r="D19" s="15">
        <f>IFERROR(__xludf.DUMMYFUNCTION("""COMPUTED_VALUE"""),-0.699006863382204)</f>
        <v>-0.6990068634</v>
      </c>
      <c r="E19" s="15">
        <f>IFERROR(__xludf.DUMMYFUNCTION("""COMPUTED_VALUE"""),-0.345789545440976)</f>
        <v>-0.3457895454</v>
      </c>
      <c r="F19" s="15"/>
      <c r="G19" s="29">
        <v>0.624883</v>
      </c>
      <c r="H19" s="29">
        <v>-0.036593</v>
      </c>
      <c r="I19" s="29">
        <v>-0.6990069999999999</v>
      </c>
      <c r="J19" s="29">
        <v>-0.34579</v>
      </c>
    </row>
    <row r="20">
      <c r="A20" s="19"/>
      <c r="B20" s="15">
        <f>IFERROR(__xludf.DUMMYFUNCTION("""COMPUTED_VALUE"""),0.624883987936306)</f>
        <v>0.6248839879</v>
      </c>
      <c r="C20" s="15">
        <f>IFERROR(__xludf.DUMMYFUNCTION("""COMPUTED_VALUE"""),-0.0365923055998737)</f>
        <v>-0.0365923056</v>
      </c>
      <c r="D20" s="15">
        <f>IFERROR(__xludf.DUMMYFUNCTION("""COMPUTED_VALUE"""),-0.699006863382204)</f>
        <v>-0.6990068634</v>
      </c>
      <c r="E20" s="15">
        <f>IFERROR(__xludf.DUMMYFUNCTION("""COMPUTED_VALUE"""),-0.345789545440976)</f>
        <v>-0.3457895454</v>
      </c>
      <c r="F20" s="15"/>
      <c r="G20" s="29">
        <v>0.624883</v>
      </c>
      <c r="H20" s="29">
        <v>-0.036593</v>
      </c>
      <c r="I20" s="29">
        <v>-0.6990069999999999</v>
      </c>
      <c r="J20" s="29">
        <v>-0.34579</v>
      </c>
      <c r="L20" s="24" t="s">
        <v>406</v>
      </c>
    </row>
    <row r="21">
      <c r="A21" s="19"/>
      <c r="B21" s="15">
        <f>IFERROR(__xludf.DUMMYFUNCTION("""COMPUTED_VALUE"""),0.624883987936306)</f>
        <v>0.6248839879</v>
      </c>
      <c r="C21" s="15">
        <f>IFERROR(__xludf.DUMMYFUNCTION("""COMPUTED_VALUE"""),-0.0365923055998737)</f>
        <v>-0.0365923056</v>
      </c>
      <c r="D21" s="15">
        <f>IFERROR(__xludf.DUMMYFUNCTION("""COMPUTED_VALUE"""),-0.699006863382204)</f>
        <v>-0.6990068634</v>
      </c>
      <c r="E21" s="15">
        <f>IFERROR(__xludf.DUMMYFUNCTION("""COMPUTED_VALUE"""),-0.345789545440976)</f>
        <v>-0.3457895454</v>
      </c>
      <c r="F21" s="15"/>
      <c r="G21" s="29">
        <v>0.624883</v>
      </c>
      <c r="H21" s="29">
        <v>-0.036593</v>
      </c>
      <c r="I21" s="29">
        <v>-0.6990069999999999</v>
      </c>
      <c r="J21" s="29">
        <v>-0.34579</v>
      </c>
      <c r="L21" s="24" t="s">
        <v>407</v>
      </c>
    </row>
    <row r="22">
      <c r="A22" s="19"/>
      <c r="B22" s="15">
        <f>IFERROR(__xludf.DUMMYFUNCTION("""COMPUTED_VALUE"""),0.619374784581544)</f>
        <v>0.6193747846</v>
      </c>
      <c r="C22" s="15">
        <f>IFERROR(__xludf.DUMMYFUNCTION("""COMPUTED_VALUE"""),-0.0393069737443962)</f>
        <v>-0.03930697374</v>
      </c>
      <c r="D22" s="15">
        <f>IFERROR(__xludf.DUMMYFUNCTION("""COMPUTED_VALUE"""),-0.703893081127505)</f>
        <v>-0.7038930811</v>
      </c>
      <c r="E22" s="15">
        <f>IFERROR(__xludf.DUMMYFUNCTION("""COMPUTED_VALUE"""),-0.345491488144713)</f>
        <v>-0.3454914881</v>
      </c>
      <c r="F22" s="15"/>
      <c r="G22" s="29">
        <v>0.619374</v>
      </c>
      <c r="H22" s="29">
        <v>-0.039307</v>
      </c>
      <c r="I22" s="29">
        <v>-0.703894</v>
      </c>
      <c r="J22" s="29">
        <v>-0.34549199999999997</v>
      </c>
      <c r="L22" s="24" t="s">
        <v>408</v>
      </c>
    </row>
    <row r="23">
      <c r="A23" s="19"/>
      <c r="B23" s="15">
        <f>IFERROR(__xludf.DUMMYFUNCTION("""COMPUTED_VALUE"""),0.616605834340276)</f>
        <v>0.6166058343</v>
      </c>
      <c r="C23" s="15">
        <f>IFERROR(__xludf.DUMMYFUNCTION("""COMPUTED_VALUE"""),-0.0406634090370997)</f>
        <v>-0.04066340904</v>
      </c>
      <c r="D23" s="15">
        <f>IFERROR(__xludf.DUMMYFUNCTION("""COMPUTED_VALUE"""),-0.706319926444199)</f>
        <v>-0.7063199264</v>
      </c>
      <c r="E23" s="15">
        <f>IFERROR(__xludf.DUMMYFUNCTION("""COMPUTED_VALUE"""),-0.345334466468195)</f>
        <v>-0.3453344665</v>
      </c>
      <c r="F23" s="15"/>
      <c r="G23" s="29">
        <v>0.616605</v>
      </c>
      <c r="H23" s="29">
        <v>-0.040664</v>
      </c>
      <c r="I23" s="29">
        <v>-0.70632</v>
      </c>
      <c r="J23" s="29">
        <v>-0.345335</v>
      </c>
      <c r="L23" s="30"/>
    </row>
    <row r="24">
      <c r="A24" s="19"/>
      <c r="B24" s="15">
        <f>IFERROR(__xludf.DUMMYFUNCTION("""COMPUTED_VALUE"""),0.616605834340276)</f>
        <v>0.6166058343</v>
      </c>
      <c r="C24" s="15">
        <f>IFERROR(__xludf.DUMMYFUNCTION("""COMPUTED_VALUE"""),-0.0406634090370997)</f>
        <v>-0.04066340904</v>
      </c>
      <c r="D24" s="15">
        <f>IFERROR(__xludf.DUMMYFUNCTION("""COMPUTED_VALUE"""),-0.706319926444199)</f>
        <v>-0.7063199264</v>
      </c>
      <c r="E24" s="15">
        <f>IFERROR(__xludf.DUMMYFUNCTION("""COMPUTED_VALUE"""),-0.345334466468195)</f>
        <v>-0.3453344665</v>
      </c>
      <c r="F24" s="15"/>
      <c r="G24" s="29">
        <v>0.616605</v>
      </c>
      <c r="H24" s="29">
        <v>-0.040664</v>
      </c>
      <c r="I24" s="29">
        <v>-0.70632</v>
      </c>
      <c r="J24" s="29">
        <v>-0.345335</v>
      </c>
      <c r="L24" s="30"/>
    </row>
    <row r="25">
      <c r="A25" s="19"/>
      <c r="B25" s="15">
        <f>IFERROR(__xludf.DUMMYFUNCTION("""COMPUTED_VALUE"""),0.616605834340276)</f>
        <v>0.6166058343</v>
      </c>
      <c r="C25" s="15">
        <f>IFERROR(__xludf.DUMMYFUNCTION("""COMPUTED_VALUE"""),-0.0406634090370997)</f>
        <v>-0.04066340904</v>
      </c>
      <c r="D25" s="15">
        <f>IFERROR(__xludf.DUMMYFUNCTION("""COMPUTED_VALUE"""),-0.706319926444199)</f>
        <v>-0.7063199264</v>
      </c>
      <c r="E25" s="15">
        <f>IFERROR(__xludf.DUMMYFUNCTION("""COMPUTED_VALUE"""),-0.345334466468195)</f>
        <v>-0.3453344665</v>
      </c>
      <c r="F25" s="15"/>
      <c r="G25" s="29">
        <v>0.616605</v>
      </c>
      <c r="H25" s="29">
        <v>-0.040664</v>
      </c>
      <c r="I25" s="29">
        <v>-0.70632</v>
      </c>
      <c r="J25" s="29">
        <v>-0.345335</v>
      </c>
      <c r="L25" s="30"/>
    </row>
    <row r="26">
      <c r="A26" s="19"/>
      <c r="B26" s="15">
        <f>IFERROR(__xludf.DUMMYFUNCTION("""COMPUTED_VALUE"""),0.616605834340276)</f>
        <v>0.6166058343</v>
      </c>
      <c r="C26" s="15">
        <f>IFERROR(__xludf.DUMMYFUNCTION("""COMPUTED_VALUE"""),-0.0406634090370997)</f>
        <v>-0.04066340904</v>
      </c>
      <c r="D26" s="15">
        <f>IFERROR(__xludf.DUMMYFUNCTION("""COMPUTED_VALUE"""),-0.706319926444199)</f>
        <v>-0.7063199264</v>
      </c>
      <c r="E26" s="15">
        <f>IFERROR(__xludf.DUMMYFUNCTION("""COMPUTED_VALUE"""),-0.345334466468195)</f>
        <v>-0.3453344665</v>
      </c>
      <c r="F26" s="15"/>
      <c r="G26" s="29">
        <v>0.616605</v>
      </c>
      <c r="H26" s="29">
        <v>-0.040664</v>
      </c>
      <c r="I26" s="29">
        <v>-0.70632</v>
      </c>
      <c r="J26" s="29">
        <v>-0.345335</v>
      </c>
      <c r="L26" s="30"/>
    </row>
    <row r="27">
      <c r="A27" s="19"/>
      <c r="B27" s="15">
        <f>IFERROR(__xludf.DUMMYFUNCTION("""COMPUTED_VALUE"""),0.616605834340276)</f>
        <v>0.6166058343</v>
      </c>
      <c r="C27" s="15">
        <f>IFERROR(__xludf.DUMMYFUNCTION("""COMPUTED_VALUE"""),-0.0406634090370997)</f>
        <v>-0.04066340904</v>
      </c>
      <c r="D27" s="15">
        <f>IFERROR(__xludf.DUMMYFUNCTION("""COMPUTED_VALUE"""),-0.706319926444199)</f>
        <v>-0.7063199264</v>
      </c>
      <c r="E27" s="15">
        <f>IFERROR(__xludf.DUMMYFUNCTION("""COMPUTED_VALUE"""),-0.345334466468195)</f>
        <v>-0.3453344665</v>
      </c>
      <c r="F27" s="15"/>
      <c r="G27" s="29">
        <v>0.616605</v>
      </c>
      <c r="H27" s="29">
        <v>-0.040664</v>
      </c>
      <c r="I27" s="29">
        <v>-0.70632</v>
      </c>
      <c r="J27" s="29">
        <v>-0.345335</v>
      </c>
      <c r="L27" s="30"/>
    </row>
    <row r="28">
      <c r="A28" s="19"/>
      <c r="B28" s="15">
        <f>IFERROR(__xludf.DUMMYFUNCTION("""COMPUTED_VALUE"""),0.616605834340276)</f>
        <v>0.6166058343</v>
      </c>
      <c r="C28" s="15">
        <f>IFERROR(__xludf.DUMMYFUNCTION("""COMPUTED_VALUE"""),-0.0406634090370997)</f>
        <v>-0.04066340904</v>
      </c>
      <c r="D28" s="15">
        <f>IFERROR(__xludf.DUMMYFUNCTION("""COMPUTED_VALUE"""),-0.706319926444199)</f>
        <v>-0.7063199264</v>
      </c>
      <c r="E28" s="15">
        <f>IFERROR(__xludf.DUMMYFUNCTION("""COMPUTED_VALUE"""),-0.345334466468195)</f>
        <v>-0.3453344665</v>
      </c>
      <c r="F28" s="15"/>
      <c r="G28" s="29">
        <v>0.616605</v>
      </c>
      <c r="H28" s="29">
        <v>-0.040664</v>
      </c>
      <c r="I28" s="29">
        <v>-0.70632</v>
      </c>
      <c r="J28" s="29">
        <v>-0.345335</v>
      </c>
      <c r="L28" s="30"/>
    </row>
    <row r="29">
      <c r="A29" s="19"/>
      <c r="B29" s="15">
        <f>IFERROR(__xludf.DUMMYFUNCTION("""COMPUTED_VALUE"""),0.616605834340276)</f>
        <v>0.6166058343</v>
      </c>
      <c r="C29" s="15">
        <f>IFERROR(__xludf.DUMMYFUNCTION("""COMPUTED_VALUE"""),-0.0406634090370997)</f>
        <v>-0.04066340904</v>
      </c>
      <c r="D29" s="15">
        <f>IFERROR(__xludf.DUMMYFUNCTION("""COMPUTED_VALUE"""),-0.706319926444199)</f>
        <v>-0.7063199264</v>
      </c>
      <c r="E29" s="15">
        <f>IFERROR(__xludf.DUMMYFUNCTION("""COMPUTED_VALUE"""),-0.345334466468195)</f>
        <v>-0.3453344665</v>
      </c>
      <c r="F29" s="15"/>
      <c r="G29" s="29">
        <v>0.616605</v>
      </c>
      <c r="H29" s="29">
        <v>-0.040664</v>
      </c>
      <c r="I29" s="29">
        <v>-0.70632</v>
      </c>
      <c r="J29" s="29">
        <v>-0.345335</v>
      </c>
      <c r="L29" s="30"/>
    </row>
    <row r="30">
      <c r="A30" s="19"/>
      <c r="B30" s="15">
        <f>IFERROR(__xludf.DUMMYFUNCTION("""COMPUTED_VALUE"""),0.613827375274831)</f>
        <v>0.6138273753</v>
      </c>
      <c r="C30" s="15">
        <f>IFERROR(__xludf.DUMMYFUNCTION("""COMPUTED_VALUE"""),-0.0420192172497702)</f>
        <v>-0.04201921725</v>
      </c>
      <c r="D30" s="15">
        <f>IFERROR(__xludf.DUMMYFUNCTION("""COMPUTED_VALUE"""),-0.708735879434517)</f>
        <v>-0.7087358794</v>
      </c>
      <c r="E30" s="15">
        <f>IFERROR(__xludf.DUMMYFUNCTION("""COMPUTED_VALUE"""),-0.345172119307321)</f>
        <v>-0.3451721193</v>
      </c>
      <c r="F30" s="15"/>
      <c r="G30" s="29">
        <v>0.613827</v>
      </c>
      <c r="H30" s="29">
        <v>-0.042019999999999995</v>
      </c>
      <c r="I30" s="29">
        <v>-0.7087359999999999</v>
      </c>
      <c r="J30" s="29">
        <v>-0.345173</v>
      </c>
      <c r="L30" s="30"/>
    </row>
    <row r="31">
      <c r="A31" s="19"/>
      <c r="B31" s="15">
        <f>IFERROR(__xludf.DUMMYFUNCTION("""COMPUTED_VALUE"""),0.613827375274831)</f>
        <v>0.6138273753</v>
      </c>
      <c r="C31" s="15">
        <f>IFERROR(__xludf.DUMMYFUNCTION("""COMPUTED_VALUE"""),-0.0420192172497702)</f>
        <v>-0.04201921725</v>
      </c>
      <c r="D31" s="15">
        <f>IFERROR(__xludf.DUMMYFUNCTION("""COMPUTED_VALUE"""),-0.708735879434517)</f>
        <v>-0.7087358794</v>
      </c>
      <c r="E31" s="15">
        <f>IFERROR(__xludf.DUMMYFUNCTION("""COMPUTED_VALUE"""),-0.345172119307321)</f>
        <v>-0.3451721193</v>
      </c>
      <c r="F31" s="15"/>
      <c r="G31" s="29">
        <v>0.613827</v>
      </c>
      <c r="H31" s="29">
        <v>-0.042019999999999995</v>
      </c>
      <c r="I31" s="29">
        <v>-0.7087359999999999</v>
      </c>
      <c r="J31" s="29">
        <v>-0.345173</v>
      </c>
      <c r="L31" s="30"/>
    </row>
    <row r="32">
      <c r="A32" s="19"/>
      <c r="B32" s="15">
        <f>IFERROR(__xludf.DUMMYFUNCTION("""COMPUTED_VALUE"""),0.612467158067845)</f>
        <v>0.6124671581</v>
      </c>
      <c r="C32" s="15">
        <f>IFERROR(__xludf.DUMMYFUNCTION("""COMPUTED_VALUE"""),-0.0392357012017377)</f>
        <v>-0.0392357012</v>
      </c>
      <c r="D32" s="15">
        <f>IFERROR(__xludf.DUMMYFUNCTION("""COMPUTED_VALUE"""),-0.708895423294092)</f>
        <v>-0.7088954233</v>
      </c>
      <c r="E32" s="15">
        <f>IFERROR(__xludf.DUMMYFUNCTION("""COMPUTED_VALUE"""),-0.34757994601558)</f>
        <v>-0.347579946</v>
      </c>
      <c r="F32" s="15"/>
      <c r="G32" s="29">
        <v>0.612467</v>
      </c>
      <c r="H32" s="29">
        <v>-0.039236</v>
      </c>
      <c r="I32" s="29">
        <v>-0.708896</v>
      </c>
      <c r="J32" s="29">
        <v>-0.34758</v>
      </c>
      <c r="L32" s="30"/>
    </row>
    <row r="33">
      <c r="A33" s="19"/>
      <c r="B33" s="15">
        <f>IFERROR(__xludf.DUMMYFUNCTION("""COMPUTED_VALUE"""),0.612467158067845)</f>
        <v>0.6124671581</v>
      </c>
      <c r="C33" s="15">
        <f>IFERROR(__xludf.DUMMYFUNCTION("""COMPUTED_VALUE"""),-0.0392357012017377)</f>
        <v>-0.0392357012</v>
      </c>
      <c r="D33" s="15">
        <f>IFERROR(__xludf.DUMMYFUNCTION("""COMPUTED_VALUE"""),-0.708895423294092)</f>
        <v>-0.7088954233</v>
      </c>
      <c r="E33" s="15">
        <f>IFERROR(__xludf.DUMMYFUNCTION("""COMPUTED_VALUE"""),-0.34757994601558)</f>
        <v>-0.347579946</v>
      </c>
      <c r="F33" s="15"/>
      <c r="G33" s="29">
        <v>0.612467</v>
      </c>
      <c r="H33" s="29">
        <v>-0.039236</v>
      </c>
      <c r="I33" s="29">
        <v>-0.708896</v>
      </c>
      <c r="J33" s="29">
        <v>-0.34758</v>
      </c>
      <c r="L33" s="30"/>
    </row>
    <row r="34">
      <c r="A34" s="19"/>
      <c r="B34" s="15">
        <f>IFERROR(__xludf.DUMMYFUNCTION("""COMPUTED_VALUE"""),0.612467158067845)</f>
        <v>0.6124671581</v>
      </c>
      <c r="C34" s="15">
        <f>IFERROR(__xludf.DUMMYFUNCTION("""COMPUTED_VALUE"""),-0.0392357012017377)</f>
        <v>-0.0392357012</v>
      </c>
      <c r="D34" s="15">
        <f>IFERROR(__xludf.DUMMYFUNCTION("""COMPUTED_VALUE"""),-0.708895423294092)</f>
        <v>-0.7088954233</v>
      </c>
      <c r="E34" s="15">
        <f>IFERROR(__xludf.DUMMYFUNCTION("""COMPUTED_VALUE"""),-0.34757994601558)</f>
        <v>-0.347579946</v>
      </c>
      <c r="F34" s="15"/>
      <c r="G34" s="29">
        <v>0.612467</v>
      </c>
      <c r="H34" s="29">
        <v>-0.039236</v>
      </c>
      <c r="I34" s="29">
        <v>-0.708896</v>
      </c>
      <c r="J34" s="29">
        <v>-0.34758</v>
      </c>
      <c r="L34" s="30"/>
    </row>
    <row r="35">
      <c r="A35" s="19"/>
      <c r="B35" s="15">
        <f>IFERROR(__xludf.DUMMYFUNCTION("""COMPUTED_VALUE"""),-0.611097495860186)</f>
        <v>-0.6110974959</v>
      </c>
      <c r="C35" s="15">
        <f>IFERROR(__xludf.DUMMYFUNCTION("""COMPUTED_VALUE"""),0.0364515800906921)</f>
        <v>0.03645158009</v>
      </c>
      <c r="D35" s="15">
        <f>IFERROR(__xludf.DUMMYFUNCTION("""COMPUTED_VALUE"""),0.709044035109946)</f>
        <v>0.7090440351</v>
      </c>
      <c r="E35" s="15">
        <f>IFERROR(__xludf.DUMMYFUNCTION("""COMPUTED_VALUE"""),0.349982412611414)</f>
        <v>0.3499824126</v>
      </c>
      <c r="F35" s="15"/>
      <c r="G35" s="29">
        <v>-0.6110979999999999</v>
      </c>
      <c r="H35" s="29">
        <v>0.036451</v>
      </c>
      <c r="I35" s="29">
        <v>0.709044</v>
      </c>
      <c r="J35" s="29">
        <v>0.34998199999999996</v>
      </c>
      <c r="L35" s="30"/>
    </row>
    <row r="36">
      <c r="A36" s="19"/>
      <c r="B36" s="15">
        <f>IFERROR(__xludf.DUMMYFUNCTION("""COMPUTED_VALUE"""),-0.608308381745534)</f>
        <v>-0.6083083817</v>
      </c>
      <c r="C36" s="15">
        <f>IFERROR(__xludf.DUMMYFUNCTION("""COMPUTED_VALUE"""),0.0378256731735329)</f>
        <v>0.03782567317</v>
      </c>
      <c r="D36" s="15">
        <f>IFERROR(__xludf.DUMMYFUNCTION("""COMPUTED_VALUE"""),0.711438335957315)</f>
        <v>0.711438336</v>
      </c>
      <c r="E36" s="15">
        <f>IFERROR(__xludf.DUMMYFUNCTION("""COMPUTED_VALUE"""),0.349836569382595)</f>
        <v>0.3498365694</v>
      </c>
      <c r="F36" s="15"/>
      <c r="G36" s="29">
        <v>-0.608309</v>
      </c>
      <c r="H36" s="29">
        <v>0.037825</v>
      </c>
      <c r="I36" s="29">
        <v>0.711438</v>
      </c>
      <c r="J36" s="29">
        <v>0.349836</v>
      </c>
      <c r="L36" s="30"/>
    </row>
    <row r="37">
      <c r="A37" s="19"/>
      <c r="B37" s="15">
        <f>IFERROR(__xludf.DUMMYFUNCTION("""COMPUTED_VALUE"""),-0.608308381745534)</f>
        <v>-0.6083083817</v>
      </c>
      <c r="C37" s="15">
        <f>IFERROR(__xludf.DUMMYFUNCTION("""COMPUTED_VALUE"""),0.0378256731735329)</f>
        <v>0.03782567317</v>
      </c>
      <c r="D37" s="15">
        <f>IFERROR(__xludf.DUMMYFUNCTION("""COMPUTED_VALUE"""),0.711438335957315)</f>
        <v>0.711438336</v>
      </c>
      <c r="E37" s="15">
        <f>IFERROR(__xludf.DUMMYFUNCTION("""COMPUTED_VALUE"""),0.349836569382595)</f>
        <v>0.3498365694</v>
      </c>
      <c r="F37" s="15"/>
      <c r="G37" s="29">
        <v>-0.608309</v>
      </c>
      <c r="H37" s="29">
        <v>0.037825</v>
      </c>
      <c r="I37" s="29">
        <v>0.711438</v>
      </c>
      <c r="J37" s="29">
        <v>0.349836</v>
      </c>
      <c r="L37" s="30"/>
    </row>
    <row r="38">
      <c r="A38" s="19"/>
      <c r="B38" s="15">
        <f>IFERROR(__xludf.DUMMYFUNCTION("""COMPUTED_VALUE"""),-0.606929889888412)</f>
        <v>-0.6069298899</v>
      </c>
      <c r="C38" s="15">
        <f>IFERROR(__xludf.DUMMYFUNCTION("""COMPUTED_VALUE"""),0.0350315769659614)</f>
        <v>0.03503157697</v>
      </c>
      <c r="D38" s="15">
        <f>IFERROR(__xludf.DUMMYFUNCTION("""COMPUTED_VALUE"""),0.711581391013019)</f>
        <v>0.711581391</v>
      </c>
      <c r="E38" s="15">
        <f>IFERROR(__xludf.DUMMYFUNCTION("""COMPUTED_VALUE"""),0.352222687144502)</f>
        <v>0.3522226871</v>
      </c>
      <c r="F38" s="15"/>
      <c r="G38" s="29">
        <v>-0.60693</v>
      </c>
      <c r="H38" s="29">
        <v>0.035031</v>
      </c>
      <c r="I38" s="29">
        <v>0.711581</v>
      </c>
      <c r="J38" s="29">
        <v>0.352222</v>
      </c>
      <c r="L38" s="30"/>
    </row>
    <row r="39">
      <c r="A39" s="19"/>
      <c r="B39" s="15">
        <f>IFERROR(__xludf.DUMMYFUNCTION("""COMPUTED_VALUE"""),-0.606929889888412)</f>
        <v>-0.6069298899</v>
      </c>
      <c r="C39" s="15">
        <f>IFERROR(__xludf.DUMMYFUNCTION("""COMPUTED_VALUE"""),0.0350315769659614)</f>
        <v>0.03503157697</v>
      </c>
      <c r="D39" s="15">
        <f>IFERROR(__xludf.DUMMYFUNCTION("""COMPUTED_VALUE"""),0.711581391013019)</f>
        <v>0.711581391</v>
      </c>
      <c r="E39" s="15">
        <f>IFERROR(__xludf.DUMMYFUNCTION("""COMPUTED_VALUE"""),0.352222687144502)</f>
        <v>0.3522226871</v>
      </c>
      <c r="F39" s="15"/>
      <c r="G39" s="29">
        <v>-0.60693</v>
      </c>
      <c r="H39" s="29">
        <v>0.035031</v>
      </c>
      <c r="I39" s="29">
        <v>0.711581</v>
      </c>
      <c r="J39" s="29">
        <v>0.352222</v>
      </c>
      <c r="L39" s="30"/>
    </row>
    <row r="40">
      <c r="A40" s="19"/>
      <c r="B40" s="15">
        <f>IFERROR(__xludf.DUMMYFUNCTION("""COMPUTED_VALUE"""),-0.606929889888412)</f>
        <v>-0.6069298899</v>
      </c>
      <c r="C40" s="15">
        <f>IFERROR(__xludf.DUMMYFUNCTION("""COMPUTED_VALUE"""),0.0350315769659614)</f>
        <v>0.03503157697</v>
      </c>
      <c r="D40" s="15">
        <f>IFERROR(__xludf.DUMMYFUNCTION("""COMPUTED_VALUE"""),0.711581391013019)</f>
        <v>0.711581391</v>
      </c>
      <c r="E40" s="15">
        <f>IFERROR(__xludf.DUMMYFUNCTION("""COMPUTED_VALUE"""),0.352222687144502)</f>
        <v>0.3522226871</v>
      </c>
      <c r="F40" s="15"/>
      <c r="G40" s="29">
        <v>-0.60693</v>
      </c>
      <c r="H40" s="29">
        <v>0.035031</v>
      </c>
      <c r="I40" s="29">
        <v>0.711581</v>
      </c>
      <c r="J40" s="29">
        <v>0.352222</v>
      </c>
      <c r="L40" s="30"/>
    </row>
    <row r="41">
      <c r="A41" s="19"/>
      <c r="B41" s="15">
        <f>IFERROR(__xludf.DUMMYFUNCTION("""COMPUTED_VALUE"""),-0.606929889888412)</f>
        <v>-0.6069298899</v>
      </c>
      <c r="C41" s="15">
        <f>IFERROR(__xludf.DUMMYFUNCTION("""COMPUTED_VALUE"""),0.0350315769659614)</f>
        <v>0.03503157697</v>
      </c>
      <c r="D41" s="15">
        <f>IFERROR(__xludf.DUMMYFUNCTION("""COMPUTED_VALUE"""),0.711581391013019)</f>
        <v>0.711581391</v>
      </c>
      <c r="E41" s="15">
        <f>IFERROR(__xludf.DUMMYFUNCTION("""COMPUTED_VALUE"""),0.352222687144502)</f>
        <v>0.3522226871</v>
      </c>
      <c r="F41" s="15"/>
      <c r="G41" s="29">
        <v>-0.60693</v>
      </c>
      <c r="H41" s="29">
        <v>0.035031</v>
      </c>
      <c r="I41" s="29">
        <v>0.711581</v>
      </c>
      <c r="J41" s="29">
        <v>0.352222</v>
      </c>
      <c r="L41" s="30"/>
    </row>
    <row r="42">
      <c r="A42" s="19"/>
      <c r="B42" s="15">
        <f>IFERROR(__xludf.DUMMYFUNCTION("""COMPUTED_VALUE"""),-0.602742484314225)</f>
        <v>-0.6027424843</v>
      </c>
      <c r="C42" s="15">
        <f>IFERROR(__xludf.DUMMYFUNCTION("""COMPUTED_VALUE"""),0.0336292125310912)</f>
        <v>0.03362921253</v>
      </c>
      <c r="D42" s="15">
        <f>IFERROR(__xludf.DUMMYFUNCTION("""COMPUTED_VALUE"""),0.714085936694794)</f>
        <v>0.7140859367</v>
      </c>
      <c r="E42" s="15">
        <f>IFERROR(__xludf.DUMMYFUNCTION("""COMPUTED_VALUE"""),0.354474045145723)</f>
        <v>0.3544740451</v>
      </c>
      <c r="F42" s="15"/>
      <c r="G42" s="29">
        <v>-0.6027429999999999</v>
      </c>
      <c r="H42" s="29">
        <v>0.033629</v>
      </c>
      <c r="I42" s="29">
        <v>0.714085</v>
      </c>
      <c r="J42" s="29">
        <v>0.354474</v>
      </c>
      <c r="L42" s="30"/>
    </row>
    <row r="43">
      <c r="A43" s="19"/>
      <c r="B43" s="15">
        <f>IFERROR(__xludf.DUMMYFUNCTION("""COMPUTED_VALUE"""),-0.601345824096226)</f>
        <v>-0.6013458241</v>
      </c>
      <c r="C43" s="15">
        <f>IFERROR(__xludf.DUMMYFUNCTION("""COMPUTED_VALUE"""),0.0308247516040742)</f>
        <v>0.0308247516</v>
      </c>
      <c r="D43" s="15">
        <f>IFERROR(__xludf.DUMMYFUNCTION("""COMPUTED_VALUE"""),0.714212491916299)</f>
        <v>0.7142124919</v>
      </c>
      <c r="E43" s="15">
        <f>IFERROR(__xludf.DUMMYFUNCTION("""COMPUTED_VALUE"""),0.356838269978553)</f>
        <v>0.35683827</v>
      </c>
      <c r="F43" s="15"/>
      <c r="G43" s="29">
        <v>-0.6013459999999999</v>
      </c>
      <c r="H43" s="29">
        <v>0.030823999999999997</v>
      </c>
      <c r="I43" s="29">
        <v>0.714212</v>
      </c>
      <c r="J43" s="29">
        <v>0.356838</v>
      </c>
      <c r="L43" s="30"/>
    </row>
    <row r="44">
      <c r="A44" s="19"/>
      <c r="B44" s="15">
        <f>IFERROR(__xludf.DUMMYFUNCTION("""COMPUTED_VALUE"""),-0.601345824096226)</f>
        <v>-0.6013458241</v>
      </c>
      <c r="C44" s="15">
        <f>IFERROR(__xludf.DUMMYFUNCTION("""COMPUTED_VALUE"""),0.0308247516040742)</f>
        <v>0.0308247516</v>
      </c>
      <c r="D44" s="15">
        <f>IFERROR(__xludf.DUMMYFUNCTION("""COMPUTED_VALUE"""),0.714212491916299)</f>
        <v>0.7142124919</v>
      </c>
      <c r="E44" s="15">
        <f>IFERROR(__xludf.DUMMYFUNCTION("""COMPUTED_VALUE"""),0.356838269978553)</f>
        <v>0.35683827</v>
      </c>
      <c r="F44" s="15"/>
      <c r="G44" s="29">
        <v>-0.6013459999999999</v>
      </c>
      <c r="H44" s="29">
        <v>0.030823999999999997</v>
      </c>
      <c r="I44" s="29">
        <v>0.714212</v>
      </c>
      <c r="J44" s="29">
        <v>0.356838</v>
      </c>
      <c r="L44" s="30"/>
    </row>
    <row r="45">
      <c r="A45" s="19"/>
      <c r="B45" s="15">
        <f>IFERROR(__xludf.DUMMYFUNCTION("""COMPUTED_VALUE"""),-0.601345824096226)</f>
        <v>-0.6013458241</v>
      </c>
      <c r="C45" s="15">
        <f>IFERROR(__xludf.DUMMYFUNCTION("""COMPUTED_VALUE"""),0.0308247516040742)</f>
        <v>0.0308247516</v>
      </c>
      <c r="D45" s="15">
        <f>IFERROR(__xludf.DUMMYFUNCTION("""COMPUTED_VALUE"""),0.714212491916299)</f>
        <v>0.7142124919</v>
      </c>
      <c r="E45" s="15">
        <f>IFERROR(__xludf.DUMMYFUNCTION("""COMPUTED_VALUE"""),0.356838269978553)</f>
        <v>0.35683827</v>
      </c>
      <c r="F45" s="15"/>
      <c r="G45" s="29">
        <v>-0.6013459999999999</v>
      </c>
      <c r="H45" s="29">
        <v>0.030823999999999997</v>
      </c>
      <c r="I45" s="29">
        <v>0.714212</v>
      </c>
      <c r="J45" s="29">
        <v>0.356838</v>
      </c>
      <c r="L45" s="30"/>
    </row>
    <row r="46">
      <c r="A46" s="19"/>
      <c r="B46" s="15">
        <f>IFERROR(__xludf.DUMMYFUNCTION("""COMPUTED_VALUE"""),-0.601345824096226)</f>
        <v>-0.6013458241</v>
      </c>
      <c r="C46" s="15">
        <f>IFERROR(__xludf.DUMMYFUNCTION("""COMPUTED_VALUE"""),0.0308247516040742)</f>
        <v>0.0308247516</v>
      </c>
      <c r="D46" s="15">
        <f>IFERROR(__xludf.DUMMYFUNCTION("""COMPUTED_VALUE"""),0.714212491916299)</f>
        <v>0.7142124919</v>
      </c>
      <c r="E46" s="15">
        <f>IFERROR(__xludf.DUMMYFUNCTION("""COMPUTED_VALUE"""),0.356838269978553)</f>
        <v>0.35683827</v>
      </c>
      <c r="F46" s="15"/>
      <c r="G46" s="29">
        <v>-0.6013459999999999</v>
      </c>
      <c r="H46" s="29">
        <v>0.030823999999999997</v>
      </c>
      <c r="I46" s="29">
        <v>0.714212</v>
      </c>
      <c r="J46" s="29">
        <v>0.356838</v>
      </c>
      <c r="L46" s="30"/>
    </row>
    <row r="47">
      <c r="A47" s="19"/>
      <c r="B47" s="15">
        <f>IFERROR(__xludf.DUMMYFUNCTION("""COMPUTED_VALUE"""),-0.601345824096226)</f>
        <v>-0.6013458241</v>
      </c>
      <c r="C47" s="15">
        <f>IFERROR(__xludf.DUMMYFUNCTION("""COMPUTED_VALUE"""),0.0308247516040742)</f>
        <v>0.0308247516</v>
      </c>
      <c r="D47" s="15">
        <f>IFERROR(__xludf.DUMMYFUNCTION("""COMPUTED_VALUE"""),0.714212491916299)</f>
        <v>0.7142124919</v>
      </c>
      <c r="E47" s="15">
        <f>IFERROR(__xludf.DUMMYFUNCTION("""COMPUTED_VALUE"""),0.356838269978553)</f>
        <v>0.35683827</v>
      </c>
      <c r="F47" s="15"/>
      <c r="G47" s="29">
        <v>-0.6013459999999999</v>
      </c>
      <c r="H47" s="29">
        <v>0.030823999999999997</v>
      </c>
      <c r="I47" s="29">
        <v>0.714212</v>
      </c>
      <c r="J47" s="29">
        <v>0.356838</v>
      </c>
      <c r="L47" s="30"/>
    </row>
    <row r="48">
      <c r="A48" s="19"/>
      <c r="B48" s="15">
        <f>IFERROR(__xludf.DUMMYFUNCTION("""COMPUTED_VALUE"""),-0.601345824096226)</f>
        <v>-0.6013458241</v>
      </c>
      <c r="C48" s="15">
        <f>IFERROR(__xludf.DUMMYFUNCTION("""COMPUTED_VALUE"""),0.0308247516040742)</f>
        <v>0.0308247516</v>
      </c>
      <c r="D48" s="15">
        <f>IFERROR(__xludf.DUMMYFUNCTION("""COMPUTED_VALUE"""),0.714212491916299)</f>
        <v>0.7142124919</v>
      </c>
      <c r="E48" s="15">
        <f>IFERROR(__xludf.DUMMYFUNCTION("""COMPUTED_VALUE"""),0.356838269978553)</f>
        <v>0.35683827</v>
      </c>
      <c r="F48" s="15"/>
      <c r="G48" s="29">
        <v>-0.6013459999999999</v>
      </c>
      <c r="H48" s="29">
        <v>0.030823999999999997</v>
      </c>
      <c r="I48" s="29">
        <v>0.714212</v>
      </c>
      <c r="J48" s="29">
        <v>0.356838</v>
      </c>
      <c r="L48" s="30"/>
    </row>
    <row r="49">
      <c r="A49" s="19"/>
      <c r="B49" s="15">
        <f>IFERROR(__xludf.DUMMYFUNCTION("""COMPUTED_VALUE"""),-0.601345824096226)</f>
        <v>-0.6013458241</v>
      </c>
      <c r="C49" s="15">
        <f>IFERROR(__xludf.DUMMYFUNCTION("""COMPUTED_VALUE"""),0.0308247516040742)</f>
        <v>0.0308247516</v>
      </c>
      <c r="D49" s="15">
        <f>IFERROR(__xludf.DUMMYFUNCTION("""COMPUTED_VALUE"""),0.714212491916299)</f>
        <v>0.7142124919</v>
      </c>
      <c r="E49" s="15">
        <f>IFERROR(__xludf.DUMMYFUNCTION("""COMPUTED_VALUE"""),0.356838269978553)</f>
        <v>0.35683827</v>
      </c>
      <c r="F49" s="15"/>
      <c r="G49" s="29">
        <v>-0.6013459999999999</v>
      </c>
      <c r="H49" s="29">
        <v>0.030823999999999997</v>
      </c>
      <c r="I49" s="29">
        <v>0.714212</v>
      </c>
      <c r="J49" s="29">
        <v>0.356838</v>
      </c>
      <c r="L49" s="30"/>
    </row>
    <row r="50">
      <c r="A50" s="19"/>
      <c r="B50" s="15">
        <f>IFERROR(__xludf.DUMMYFUNCTION("""COMPUTED_VALUE"""),-0.598536488743345)</f>
        <v>-0.5985364887</v>
      </c>
      <c r="C50" s="15">
        <f>IFERROR(__xludf.DUMMYFUNCTION("""COMPUTED_VALUE"""),0.0322258108921644)</f>
        <v>0.03222581089</v>
      </c>
      <c r="D50" s="15">
        <f>IFERROR(__xludf.DUMMYFUNCTION("""COMPUTED_VALUE"""),0.716568458285771)</f>
        <v>0.7165684583</v>
      </c>
      <c r="E50" s="15">
        <f>IFERROR(__xludf.DUMMYFUNCTION("""COMPUTED_VALUE"""),0.356714470333182)</f>
        <v>0.3567144703</v>
      </c>
      <c r="F50" s="15"/>
      <c r="G50" s="29">
        <v>-0.598537</v>
      </c>
      <c r="H50" s="29">
        <v>0.032225</v>
      </c>
      <c r="I50" s="29">
        <v>0.716568</v>
      </c>
      <c r="J50" s="29">
        <v>0.356714</v>
      </c>
      <c r="L50" s="30"/>
    </row>
    <row r="51">
      <c r="A51" s="19"/>
      <c r="B51" s="15">
        <f>IFERROR(__xludf.DUMMYFUNCTION("""COMPUTED_VALUE"""),-0.598536488743345)</f>
        <v>-0.5985364887</v>
      </c>
      <c r="C51" s="15">
        <f>IFERROR(__xludf.DUMMYFUNCTION("""COMPUTED_VALUE"""),0.0322258108921644)</f>
        <v>0.03222581089</v>
      </c>
      <c r="D51" s="15">
        <f>IFERROR(__xludf.DUMMYFUNCTION("""COMPUTED_VALUE"""),0.716568458285771)</f>
        <v>0.7165684583</v>
      </c>
      <c r="E51" s="15">
        <f>IFERROR(__xludf.DUMMYFUNCTION("""COMPUTED_VALUE"""),0.356714470333182)</f>
        <v>0.3567144703</v>
      </c>
      <c r="F51" s="15"/>
      <c r="G51" s="29">
        <v>-0.598537</v>
      </c>
      <c r="H51" s="29">
        <v>0.032225</v>
      </c>
      <c r="I51" s="29">
        <v>0.716568</v>
      </c>
      <c r="J51" s="29">
        <v>0.356714</v>
      </c>
      <c r="L51" s="30"/>
    </row>
    <row r="52">
      <c r="A52" s="19"/>
      <c r="B52" s="15">
        <f>IFERROR(__xludf.DUMMYFUNCTION("""COMPUTED_VALUE"""),-0.598536488743345)</f>
        <v>-0.5985364887</v>
      </c>
      <c r="C52" s="15">
        <f>IFERROR(__xludf.DUMMYFUNCTION("""COMPUTED_VALUE"""),0.0322258108921644)</f>
        <v>0.03222581089</v>
      </c>
      <c r="D52" s="15">
        <f>IFERROR(__xludf.DUMMYFUNCTION("""COMPUTED_VALUE"""),0.716568458285771)</f>
        <v>0.7165684583</v>
      </c>
      <c r="E52" s="15">
        <f>IFERROR(__xludf.DUMMYFUNCTION("""COMPUTED_VALUE"""),0.356714470333182)</f>
        <v>0.3567144703</v>
      </c>
      <c r="F52" s="15"/>
      <c r="G52" s="29">
        <v>-0.598537</v>
      </c>
      <c r="H52" s="29">
        <v>0.032225</v>
      </c>
      <c r="I52" s="29">
        <v>0.716568</v>
      </c>
      <c r="J52" s="29">
        <v>0.356714</v>
      </c>
      <c r="L52" s="30"/>
    </row>
    <row r="53">
      <c r="A53" s="19"/>
      <c r="B53" s="15">
        <f>IFERROR(__xludf.DUMMYFUNCTION("""COMPUTED_VALUE"""),-0.598536488743345)</f>
        <v>-0.5985364887</v>
      </c>
      <c r="C53" s="15">
        <f>IFERROR(__xludf.DUMMYFUNCTION("""COMPUTED_VALUE"""),0.0322258108921644)</f>
        <v>0.03222581089</v>
      </c>
      <c r="D53" s="15">
        <f>IFERROR(__xludf.DUMMYFUNCTION("""COMPUTED_VALUE"""),0.716568458285771)</f>
        <v>0.7165684583</v>
      </c>
      <c r="E53" s="15">
        <f>IFERROR(__xludf.DUMMYFUNCTION("""COMPUTED_VALUE"""),0.356714470333182)</f>
        <v>0.3567144703</v>
      </c>
      <c r="F53" s="15"/>
      <c r="G53" s="29">
        <v>-0.598537</v>
      </c>
      <c r="H53" s="29">
        <v>0.032225</v>
      </c>
      <c r="I53" s="29">
        <v>0.716568</v>
      </c>
      <c r="J53" s="29">
        <v>0.356714</v>
      </c>
      <c r="L53" s="30"/>
    </row>
    <row r="54">
      <c r="A54" s="19"/>
      <c r="B54" s="15">
        <f>IFERROR(__xludf.DUMMYFUNCTION("""COMPUTED_VALUE"""),-0.591474074492025)</f>
        <v>-0.5914740745</v>
      </c>
      <c r="C54" s="15">
        <f>IFERROR(__xludf.DUMMYFUNCTION("""COMPUTED_VALUE"""),0.0251825062102426)</f>
        <v>0.02518250621</v>
      </c>
      <c r="D54" s="15">
        <f>IFERROR(__xludf.DUMMYFUNCTION("""COMPUTED_VALUE"""),0.719243282644267)</f>
        <v>0.7192432826</v>
      </c>
      <c r="E54" s="15">
        <f>IFERROR(__xludf.DUMMYFUNCTION("""COMPUTED_VALUE"""),0.363611552286049)</f>
        <v>0.3636115523</v>
      </c>
      <c r="F54" s="15"/>
      <c r="G54" s="29">
        <v>-0.591475</v>
      </c>
      <c r="H54" s="29">
        <v>0.025182</v>
      </c>
      <c r="I54" s="29">
        <v>0.719243</v>
      </c>
      <c r="J54" s="29">
        <v>0.36361099999999996</v>
      </c>
      <c r="L54" s="30"/>
    </row>
    <row r="55">
      <c r="A55" s="19"/>
      <c r="B55" s="15">
        <f>IFERROR(__xludf.DUMMYFUNCTION("""COMPUTED_VALUE"""),-0.591474074492025)</f>
        <v>-0.5914740745</v>
      </c>
      <c r="C55" s="15">
        <f>IFERROR(__xludf.DUMMYFUNCTION("""COMPUTED_VALUE"""),0.0251825062102426)</f>
        <v>0.02518250621</v>
      </c>
      <c r="D55" s="15">
        <f>IFERROR(__xludf.DUMMYFUNCTION("""COMPUTED_VALUE"""),0.719243282644267)</f>
        <v>0.7192432826</v>
      </c>
      <c r="E55" s="15">
        <f>IFERROR(__xludf.DUMMYFUNCTION("""COMPUTED_VALUE"""),0.363611552286049)</f>
        <v>0.3636115523</v>
      </c>
      <c r="F55" s="15"/>
      <c r="G55" s="29">
        <v>-0.591475</v>
      </c>
      <c r="H55" s="29">
        <v>0.025182</v>
      </c>
      <c r="I55" s="29">
        <v>0.719243</v>
      </c>
      <c r="J55" s="29">
        <v>0.36361099999999996</v>
      </c>
      <c r="L55" s="30"/>
    </row>
    <row r="56">
      <c r="A56" s="19"/>
      <c r="B56" s="15">
        <f>IFERROR(__xludf.DUMMYFUNCTION("""COMPUTED_VALUE"""),-0.591474074492025)</f>
        <v>-0.5914740745</v>
      </c>
      <c r="C56" s="15">
        <f>IFERROR(__xludf.DUMMYFUNCTION("""COMPUTED_VALUE"""),0.0251825062102426)</f>
        <v>0.02518250621</v>
      </c>
      <c r="D56" s="15">
        <f>IFERROR(__xludf.DUMMYFUNCTION("""COMPUTED_VALUE"""),0.719243282644267)</f>
        <v>0.7192432826</v>
      </c>
      <c r="E56" s="15">
        <f>IFERROR(__xludf.DUMMYFUNCTION("""COMPUTED_VALUE"""),0.363611552286049)</f>
        <v>0.3636115523</v>
      </c>
      <c r="F56" s="15"/>
      <c r="G56" s="29">
        <v>-0.591475</v>
      </c>
      <c r="H56" s="29">
        <v>0.025182</v>
      </c>
      <c r="I56" s="29">
        <v>0.719243</v>
      </c>
      <c r="J56" s="29">
        <v>0.36361099999999996</v>
      </c>
      <c r="L56" s="30"/>
    </row>
    <row r="57">
      <c r="A57" s="19"/>
      <c r="B57" s="15">
        <f>IFERROR(__xludf.DUMMYFUNCTION("""COMPUTED_VALUE"""),-0.591474074492025)</f>
        <v>-0.5914740745</v>
      </c>
      <c r="C57" s="15">
        <f>IFERROR(__xludf.DUMMYFUNCTION("""COMPUTED_VALUE"""),0.0251825062102426)</f>
        <v>0.02518250621</v>
      </c>
      <c r="D57" s="15">
        <f>IFERROR(__xludf.DUMMYFUNCTION("""COMPUTED_VALUE"""),0.719243282644267)</f>
        <v>0.7192432826</v>
      </c>
      <c r="E57" s="15">
        <f>IFERROR(__xludf.DUMMYFUNCTION("""COMPUTED_VALUE"""),0.363611552286049)</f>
        <v>0.3636115523</v>
      </c>
      <c r="F57" s="15"/>
      <c r="G57" s="29">
        <v>-0.591475</v>
      </c>
      <c r="H57" s="29">
        <v>0.025182</v>
      </c>
      <c r="I57" s="29">
        <v>0.719243</v>
      </c>
      <c r="J57" s="29">
        <v>0.36361099999999996</v>
      </c>
      <c r="L57" s="30"/>
    </row>
    <row r="58">
      <c r="A58" s="19"/>
      <c r="B58" s="15">
        <f>IFERROR(__xludf.DUMMYFUNCTION("""COMPUTED_VALUE"""),-0.591474074492025)</f>
        <v>-0.5914740745</v>
      </c>
      <c r="C58" s="15">
        <f>IFERROR(__xludf.DUMMYFUNCTION("""COMPUTED_VALUE"""),0.0251825062102426)</f>
        <v>0.02518250621</v>
      </c>
      <c r="D58" s="15">
        <f>IFERROR(__xludf.DUMMYFUNCTION("""COMPUTED_VALUE"""),0.719243282644267)</f>
        <v>0.7192432826</v>
      </c>
      <c r="E58" s="15">
        <f>IFERROR(__xludf.DUMMYFUNCTION("""COMPUTED_VALUE"""),0.363611552286049)</f>
        <v>0.3636115523</v>
      </c>
      <c r="F58" s="15"/>
      <c r="G58" s="29">
        <v>-0.591475</v>
      </c>
      <c r="H58" s="29">
        <v>0.025182</v>
      </c>
      <c r="I58" s="29">
        <v>0.719243</v>
      </c>
      <c r="J58" s="29">
        <v>0.36361099999999996</v>
      </c>
      <c r="L58" s="30"/>
    </row>
    <row r="59">
      <c r="A59" s="19"/>
      <c r="B59" s="15">
        <f>IFERROR(__xludf.DUMMYFUNCTION("""COMPUTED_VALUE"""),-0.591474074492025)</f>
        <v>-0.5914740745</v>
      </c>
      <c r="C59" s="15">
        <f>IFERROR(__xludf.DUMMYFUNCTION("""COMPUTED_VALUE"""),0.0251825062102426)</f>
        <v>0.02518250621</v>
      </c>
      <c r="D59" s="15">
        <f>IFERROR(__xludf.DUMMYFUNCTION("""COMPUTED_VALUE"""),0.719243282644267)</f>
        <v>0.7192432826</v>
      </c>
      <c r="E59" s="15">
        <f>IFERROR(__xludf.DUMMYFUNCTION("""COMPUTED_VALUE"""),0.363611552286049)</f>
        <v>0.3636115523</v>
      </c>
      <c r="F59" s="15"/>
      <c r="G59" s="29">
        <v>-0.591475</v>
      </c>
      <c r="H59" s="29">
        <v>0.025182</v>
      </c>
      <c r="I59" s="29">
        <v>0.719243</v>
      </c>
      <c r="J59" s="29">
        <v>0.36361099999999996</v>
      </c>
      <c r="L59" s="30"/>
    </row>
    <row r="60">
      <c r="A60" s="19"/>
      <c r="B60" s="15">
        <f>IFERROR(__xludf.DUMMYFUNCTION("""COMPUTED_VALUE"""),-0.591474074492025)</f>
        <v>-0.5914740745</v>
      </c>
      <c r="C60" s="15">
        <f>IFERROR(__xludf.DUMMYFUNCTION("""COMPUTED_VALUE"""),0.0251825062102426)</f>
        <v>0.02518250621</v>
      </c>
      <c r="D60" s="15">
        <f>IFERROR(__xludf.DUMMYFUNCTION("""COMPUTED_VALUE"""),0.719243282644267)</f>
        <v>0.7192432826</v>
      </c>
      <c r="E60" s="15">
        <f>IFERROR(__xludf.DUMMYFUNCTION("""COMPUTED_VALUE"""),0.363611552286049)</f>
        <v>0.3636115523</v>
      </c>
      <c r="F60" s="15"/>
      <c r="G60" s="29">
        <v>-0.591475</v>
      </c>
      <c r="H60" s="29">
        <v>0.025182</v>
      </c>
      <c r="I60" s="29">
        <v>0.719243</v>
      </c>
      <c r="J60" s="29">
        <v>0.36361099999999996</v>
      </c>
      <c r="L60" s="30"/>
    </row>
    <row r="61">
      <c r="A61" s="19"/>
      <c r="B61" s="15">
        <f>IFERROR(__xludf.DUMMYFUNCTION("""COMPUTED_VALUE"""),-0.591474074492025)</f>
        <v>-0.5914740745</v>
      </c>
      <c r="C61" s="15">
        <f>IFERROR(__xludf.DUMMYFUNCTION("""COMPUTED_VALUE"""),0.0251825062102426)</f>
        <v>0.02518250621</v>
      </c>
      <c r="D61" s="15">
        <f>IFERROR(__xludf.DUMMYFUNCTION("""COMPUTED_VALUE"""),0.719243282644267)</f>
        <v>0.7192432826</v>
      </c>
      <c r="E61" s="15">
        <f>IFERROR(__xludf.DUMMYFUNCTION("""COMPUTED_VALUE"""),0.363611552286049)</f>
        <v>0.3636115523</v>
      </c>
      <c r="F61" s="15"/>
      <c r="G61" s="29">
        <v>-0.591475</v>
      </c>
      <c r="H61" s="29">
        <v>0.025182</v>
      </c>
      <c r="I61" s="29">
        <v>0.719243</v>
      </c>
      <c r="J61" s="29">
        <v>0.36361099999999996</v>
      </c>
      <c r="L61" s="30"/>
    </row>
    <row r="62">
      <c r="A62" s="19"/>
      <c r="B62" s="15">
        <f>IFERROR(__xludf.DUMMYFUNCTION("""COMPUTED_VALUE"""),-0.591474074492025)</f>
        <v>-0.5914740745</v>
      </c>
      <c r="C62" s="15">
        <f>IFERROR(__xludf.DUMMYFUNCTION("""COMPUTED_VALUE"""),0.0251825062102426)</f>
        <v>0.02518250621</v>
      </c>
      <c r="D62" s="15">
        <f>IFERROR(__xludf.DUMMYFUNCTION("""COMPUTED_VALUE"""),0.719243282644267)</f>
        <v>0.7192432826</v>
      </c>
      <c r="E62" s="15">
        <f>IFERROR(__xludf.DUMMYFUNCTION("""COMPUTED_VALUE"""),0.363611552286049)</f>
        <v>0.3636115523</v>
      </c>
      <c r="F62" s="15"/>
      <c r="G62" s="29">
        <v>-0.591475</v>
      </c>
      <c r="H62" s="29">
        <v>0.025182</v>
      </c>
      <c r="I62" s="29">
        <v>0.719243</v>
      </c>
      <c r="J62" s="29">
        <v>0.36361099999999996</v>
      </c>
      <c r="L62" s="30"/>
    </row>
    <row r="63">
      <c r="A63" s="19"/>
      <c r="B63" s="15">
        <f>IFERROR(__xludf.DUMMYFUNCTION("""COMPUTED_VALUE"""),-0.591474074492025)</f>
        <v>-0.5914740745</v>
      </c>
      <c r="C63" s="15">
        <f>IFERROR(__xludf.DUMMYFUNCTION("""COMPUTED_VALUE"""),0.0251825062102426)</f>
        <v>0.02518250621</v>
      </c>
      <c r="D63" s="15">
        <f>IFERROR(__xludf.DUMMYFUNCTION("""COMPUTED_VALUE"""),0.719243282644267)</f>
        <v>0.7192432826</v>
      </c>
      <c r="E63" s="15">
        <f>IFERROR(__xludf.DUMMYFUNCTION("""COMPUTED_VALUE"""),0.363611552286049)</f>
        <v>0.3636115523</v>
      </c>
      <c r="F63" s="15"/>
      <c r="G63" s="29">
        <v>-0.591475</v>
      </c>
      <c r="H63" s="29">
        <v>0.025182</v>
      </c>
      <c r="I63" s="29">
        <v>0.719243</v>
      </c>
      <c r="J63" s="29">
        <v>0.36361099999999996</v>
      </c>
      <c r="L63" s="30"/>
    </row>
    <row r="64">
      <c r="A64" s="19"/>
      <c r="B64" s="15">
        <f>IFERROR(__xludf.DUMMYFUNCTION("""COMPUTED_VALUE"""),-0.591474074492025)</f>
        <v>-0.5914740745</v>
      </c>
      <c r="C64" s="15">
        <f>IFERROR(__xludf.DUMMYFUNCTION("""COMPUTED_VALUE"""),0.0251825062102426)</f>
        <v>0.02518250621</v>
      </c>
      <c r="D64" s="15">
        <f>IFERROR(__xludf.DUMMYFUNCTION("""COMPUTED_VALUE"""),0.719243282644267)</f>
        <v>0.7192432826</v>
      </c>
      <c r="E64" s="15">
        <f>IFERROR(__xludf.DUMMYFUNCTION("""COMPUTED_VALUE"""),0.363611552286049)</f>
        <v>0.3636115523</v>
      </c>
      <c r="F64" s="15"/>
      <c r="G64" s="29">
        <v>-0.591475</v>
      </c>
      <c r="H64" s="29">
        <v>0.025182</v>
      </c>
      <c r="I64" s="29">
        <v>0.719243</v>
      </c>
      <c r="J64" s="29">
        <v>0.36361099999999996</v>
      </c>
      <c r="L64" s="30"/>
    </row>
    <row r="65">
      <c r="A65" s="19"/>
      <c r="B65" s="15">
        <f>IFERROR(__xludf.DUMMYFUNCTION("""COMPUTED_VALUE"""),-0.587213024461169)</f>
        <v>-0.5872130245</v>
      </c>
      <c r="C65" s="15">
        <f>IFERROR(__xludf.DUMMYFUNCTION("""COMPUTED_VALUE"""),0.0237764485002027)</f>
        <v>0.0237764485</v>
      </c>
      <c r="D65" s="15">
        <f>IFERROR(__xludf.DUMMYFUNCTION("""COMPUTED_VALUE"""),0.721659378145983)</f>
        <v>0.7216593781</v>
      </c>
      <c r="E65" s="15">
        <f>IFERROR(__xludf.DUMMYFUNCTION("""COMPUTED_VALUE"""),0.365818652249766)</f>
        <v>0.3658186522</v>
      </c>
      <c r="F65" s="15"/>
      <c r="G65" s="29">
        <v>-0.587214</v>
      </c>
      <c r="H65" s="29">
        <v>0.023776</v>
      </c>
      <c r="I65" s="29">
        <v>0.7216589999999999</v>
      </c>
      <c r="J65" s="29">
        <v>0.365818</v>
      </c>
      <c r="L65" s="30"/>
    </row>
    <row r="66">
      <c r="A66" s="19"/>
      <c r="B66" s="15">
        <f>IFERROR(__xludf.DUMMYFUNCTION("""COMPUTED_VALUE"""),-0.587213024461169)</f>
        <v>-0.5872130245</v>
      </c>
      <c r="C66" s="15">
        <f>IFERROR(__xludf.DUMMYFUNCTION("""COMPUTED_VALUE"""),0.0237764485002027)</f>
        <v>0.0237764485</v>
      </c>
      <c r="D66" s="15">
        <f>IFERROR(__xludf.DUMMYFUNCTION("""COMPUTED_VALUE"""),0.721659378145983)</f>
        <v>0.7216593781</v>
      </c>
      <c r="E66" s="15">
        <f>IFERROR(__xludf.DUMMYFUNCTION("""COMPUTED_VALUE"""),0.365818652249766)</f>
        <v>0.3658186522</v>
      </c>
      <c r="F66" s="15"/>
      <c r="G66" s="29">
        <v>-0.587214</v>
      </c>
      <c r="H66" s="29">
        <v>0.023776</v>
      </c>
      <c r="I66" s="29">
        <v>0.7216589999999999</v>
      </c>
      <c r="J66" s="29">
        <v>0.365818</v>
      </c>
      <c r="L66" s="30"/>
    </row>
    <row r="67">
      <c r="A67" s="19"/>
      <c r="B67" s="15">
        <f>IFERROR(__xludf.DUMMYFUNCTION("""COMPUTED_VALUE"""),-0.587213024461169)</f>
        <v>-0.5872130245</v>
      </c>
      <c r="C67" s="15">
        <f>IFERROR(__xludf.DUMMYFUNCTION("""COMPUTED_VALUE"""),0.0237764485002027)</f>
        <v>0.0237764485</v>
      </c>
      <c r="D67" s="15">
        <f>IFERROR(__xludf.DUMMYFUNCTION("""COMPUTED_VALUE"""),0.721659378145983)</f>
        <v>0.7216593781</v>
      </c>
      <c r="E67" s="15">
        <f>IFERROR(__xludf.DUMMYFUNCTION("""COMPUTED_VALUE"""),0.365818652249766)</f>
        <v>0.3658186522</v>
      </c>
      <c r="F67" s="15"/>
      <c r="G67" s="29">
        <v>-0.587214</v>
      </c>
      <c r="H67" s="29">
        <v>0.023776</v>
      </c>
      <c r="I67" s="29">
        <v>0.7216589999999999</v>
      </c>
      <c r="J67" s="29">
        <v>0.365818</v>
      </c>
      <c r="L67" s="30"/>
    </row>
    <row r="68">
      <c r="A68" s="19"/>
      <c r="B68" s="15">
        <f>IFERROR(__xludf.DUMMYFUNCTION("""COMPUTED_VALUE"""),-0.587213024461169)</f>
        <v>-0.5872130245</v>
      </c>
      <c r="C68" s="15">
        <f>IFERROR(__xludf.DUMMYFUNCTION("""COMPUTED_VALUE"""),0.0237764485002027)</f>
        <v>0.0237764485</v>
      </c>
      <c r="D68" s="15">
        <f>IFERROR(__xludf.DUMMYFUNCTION("""COMPUTED_VALUE"""),0.721659378145983)</f>
        <v>0.7216593781</v>
      </c>
      <c r="E68" s="15">
        <f>IFERROR(__xludf.DUMMYFUNCTION("""COMPUTED_VALUE"""),0.365818652249766)</f>
        <v>0.3658186522</v>
      </c>
      <c r="F68" s="15"/>
      <c r="G68" s="29">
        <v>-0.587214</v>
      </c>
      <c r="H68" s="29">
        <v>0.023776</v>
      </c>
      <c r="I68" s="29">
        <v>0.7216589999999999</v>
      </c>
      <c r="J68" s="29">
        <v>0.365818</v>
      </c>
      <c r="L68" s="30"/>
    </row>
    <row r="69">
      <c r="A69" s="19"/>
      <c r="B69" s="15">
        <f>IFERROR(__xludf.DUMMYFUNCTION("""COMPUTED_VALUE"""),-0.58293313007708)</f>
        <v>-0.5829331301</v>
      </c>
      <c r="C69" s="15">
        <f>IFERROR(__xludf.DUMMYFUNCTION("""COMPUTED_VALUE"""),0.0223877685001417)</f>
        <v>0.0223877685</v>
      </c>
      <c r="D69" s="15">
        <f>IFERROR(__xludf.DUMMYFUNCTION("""COMPUTED_VALUE"""),0.724041933266)</f>
        <v>0.7240419333</v>
      </c>
      <c r="E69" s="15">
        <f>IFERROR(__xludf.DUMMYFUNCTION("""COMPUTED_VALUE"""),0.368036727178896)</f>
        <v>0.3680367272</v>
      </c>
      <c r="F69" s="15"/>
      <c r="G69" s="29">
        <v>-0.582934</v>
      </c>
      <c r="H69" s="29">
        <v>0.022387</v>
      </c>
      <c r="I69" s="29">
        <v>0.7240409999999999</v>
      </c>
      <c r="J69" s="29">
        <v>0.368036</v>
      </c>
      <c r="L69" s="30"/>
    </row>
    <row r="70">
      <c r="A70" s="19"/>
      <c r="B70" s="15">
        <f>IFERROR(__xludf.DUMMYFUNCTION("""COMPUTED_VALUE"""),-0.58293313007708)</f>
        <v>-0.5829331301</v>
      </c>
      <c r="C70" s="15">
        <f>IFERROR(__xludf.DUMMYFUNCTION("""COMPUTED_VALUE"""),0.0223877685001417)</f>
        <v>0.0223877685</v>
      </c>
      <c r="D70" s="15">
        <f>IFERROR(__xludf.DUMMYFUNCTION("""COMPUTED_VALUE"""),0.724041933266)</f>
        <v>0.7240419333</v>
      </c>
      <c r="E70" s="15">
        <f>IFERROR(__xludf.DUMMYFUNCTION("""COMPUTED_VALUE"""),0.368036727178896)</f>
        <v>0.3680367272</v>
      </c>
      <c r="F70" s="15"/>
      <c r="G70" s="29">
        <v>-0.582934</v>
      </c>
      <c r="H70" s="29">
        <v>0.022387</v>
      </c>
      <c r="I70" s="29">
        <v>0.7240409999999999</v>
      </c>
      <c r="J70" s="29">
        <v>0.368036</v>
      </c>
      <c r="L70" s="30"/>
    </row>
    <row r="71">
      <c r="A71" s="19"/>
      <c r="B71" s="15">
        <f>IFERROR(__xludf.DUMMYFUNCTION("""COMPUTED_VALUE"""),-0.581483362212125)</f>
        <v>-0.5814833622</v>
      </c>
      <c r="C71" s="15">
        <f>IFERROR(__xludf.DUMMYFUNCTION("""COMPUTED_VALUE"""),0.0195442972461496)</f>
        <v>0.01954429725</v>
      </c>
      <c r="D71" s="15">
        <f>IFERROR(__xludf.DUMMYFUNCTION("""COMPUTED_VALUE"""),0.724124266787916)</f>
        <v>0.7241242668</v>
      </c>
      <c r="E71" s="15">
        <f>IFERROR(__xludf.DUMMYFUNCTION("""COMPUTED_VALUE"""),0.370323056485142)</f>
        <v>0.3703230565</v>
      </c>
      <c r="F71" s="15"/>
      <c r="G71" s="29">
        <v>-0.581484</v>
      </c>
      <c r="H71" s="29">
        <v>0.019544</v>
      </c>
      <c r="I71" s="29">
        <v>0.724124</v>
      </c>
      <c r="J71" s="29">
        <v>0.37032299999999996</v>
      </c>
      <c r="L71" s="30"/>
    </row>
    <row r="72">
      <c r="A72" s="19"/>
      <c r="B72" s="15">
        <f>IFERROR(__xludf.DUMMYFUNCTION("""COMPUTED_VALUE"""),-0.577176856176099)</f>
        <v>-0.5771768562</v>
      </c>
      <c r="C72" s="15">
        <f>IFERROR(__xludf.DUMMYFUNCTION("""COMPUTED_VALUE"""),0.0181456689137966)</f>
        <v>0.01814566891</v>
      </c>
      <c r="D72" s="15">
        <f>IFERROR(__xludf.DUMMYFUNCTION("""COMPUTED_VALUE"""),0.726479016521009)</f>
        <v>0.7264790165</v>
      </c>
      <c r="E72" s="15">
        <f>IFERROR(__xludf.DUMMYFUNCTION("""COMPUTED_VALUE"""),0.372512885614728)</f>
        <v>0.3725128856</v>
      </c>
      <c r="F72" s="15"/>
      <c r="G72" s="29">
        <v>-0.5771769999999999</v>
      </c>
      <c r="H72" s="29">
        <v>0.018144999999999998</v>
      </c>
      <c r="I72" s="29">
        <v>0.726479</v>
      </c>
      <c r="J72" s="29">
        <v>0.372512</v>
      </c>
      <c r="L72" s="30"/>
    </row>
    <row r="73">
      <c r="A73" s="19"/>
      <c r="B73" s="15">
        <f>IFERROR(__xludf.DUMMYFUNCTION("""COMPUTED_VALUE"""),-0.577176856176099)</f>
        <v>-0.5771768562</v>
      </c>
      <c r="C73" s="15">
        <f>IFERROR(__xludf.DUMMYFUNCTION("""COMPUTED_VALUE"""),0.0181456689137966)</f>
        <v>0.01814566891</v>
      </c>
      <c r="D73" s="15">
        <f>IFERROR(__xludf.DUMMYFUNCTION("""COMPUTED_VALUE"""),0.726479016521009)</f>
        <v>0.7264790165</v>
      </c>
      <c r="E73" s="15">
        <f>IFERROR(__xludf.DUMMYFUNCTION("""COMPUTED_VALUE"""),0.372512885614728)</f>
        <v>0.3725128856</v>
      </c>
      <c r="F73" s="15"/>
      <c r="G73" s="29">
        <v>-0.5771769999999999</v>
      </c>
      <c r="H73" s="29">
        <v>0.018144999999999998</v>
      </c>
      <c r="I73" s="29">
        <v>0.726479</v>
      </c>
      <c r="J73" s="29">
        <v>0.372512</v>
      </c>
      <c r="L73" s="30"/>
    </row>
    <row r="74">
      <c r="A74" s="19"/>
      <c r="B74" s="15">
        <f>IFERROR(__xludf.DUMMYFUNCTION("""COMPUTED_VALUE"""),-0.577176856176099)</f>
        <v>-0.5771768562</v>
      </c>
      <c r="C74" s="15">
        <f>IFERROR(__xludf.DUMMYFUNCTION("""COMPUTED_VALUE"""),0.0181456689137966)</f>
        <v>0.01814566891</v>
      </c>
      <c r="D74" s="15">
        <f>IFERROR(__xludf.DUMMYFUNCTION("""COMPUTED_VALUE"""),0.726479016521009)</f>
        <v>0.7264790165</v>
      </c>
      <c r="E74" s="15">
        <f>IFERROR(__xludf.DUMMYFUNCTION("""COMPUTED_VALUE"""),0.372512885614728)</f>
        <v>0.3725128856</v>
      </c>
      <c r="F74" s="15"/>
      <c r="G74" s="29">
        <v>-0.5771769999999999</v>
      </c>
      <c r="H74" s="29">
        <v>0.018144999999999998</v>
      </c>
      <c r="I74" s="29">
        <v>0.726479</v>
      </c>
      <c r="J74" s="29">
        <v>0.372512</v>
      </c>
      <c r="L74" s="30"/>
    </row>
    <row r="75">
      <c r="A75" s="19"/>
      <c r="B75" s="15">
        <f>IFERROR(__xludf.DUMMYFUNCTION("""COMPUTED_VALUE"""),-0.574319536776662)</f>
        <v>-0.5743195368</v>
      </c>
      <c r="C75" s="15">
        <f>IFERROR(__xludf.DUMMYFUNCTION("""COMPUTED_VALUE"""),0.0196083798770735)</f>
        <v>0.01960837988</v>
      </c>
      <c r="D75" s="15">
        <f>IFERROR(__xludf.DUMMYFUNCTION("""COMPUTED_VALUE"""),0.728739977239686)</f>
        <v>0.7287399772</v>
      </c>
      <c r="E75" s="15">
        <f>IFERROR(__xludf.DUMMYFUNCTION("""COMPUTED_VALUE"""),0.372438755620218)</f>
        <v>0.3724387556</v>
      </c>
      <c r="F75" s="15"/>
      <c r="G75" s="29">
        <v>-0.5743199999999999</v>
      </c>
      <c r="H75" s="29">
        <v>0.019608</v>
      </c>
      <c r="I75" s="29">
        <v>0.7287389999999999</v>
      </c>
      <c r="J75" s="29">
        <v>0.372438</v>
      </c>
      <c r="L75" s="30"/>
    </row>
    <row r="76">
      <c r="A76" s="19"/>
      <c r="B76" s="15">
        <f>IFERROR(__xludf.DUMMYFUNCTION("""COMPUTED_VALUE"""),-0.569986103523821)</f>
        <v>-0.5699861035</v>
      </c>
      <c r="C76" s="15">
        <f>IFERROR(__xludf.DUMMYFUNCTION("""COMPUTED_VALUE"""),0.0182177569769523)</f>
        <v>0.01821775698</v>
      </c>
      <c r="D76" s="15">
        <f>IFERROR(__xludf.DUMMYFUNCTION("""COMPUTED_VALUE"""),0.731055321194622)</f>
        <v>0.7310553212</v>
      </c>
      <c r="E76" s="15">
        <f>IFERROR(__xludf.DUMMYFUNCTION("""COMPUTED_VALUE"""),0.374622573363494)</f>
        <v>0.3746225734</v>
      </c>
      <c r="F76" s="15"/>
      <c r="G76" s="29">
        <v>-0.569987</v>
      </c>
      <c r="H76" s="29">
        <v>0.018217</v>
      </c>
      <c r="I76" s="29">
        <v>0.731055</v>
      </c>
      <c r="J76" s="29">
        <v>0.374622</v>
      </c>
      <c r="L76" s="30"/>
    </row>
    <row r="77">
      <c r="A77" s="19"/>
      <c r="B77" s="15">
        <f>IFERROR(__xludf.DUMMYFUNCTION("""COMPUTED_VALUE"""),-0.569986103523821)</f>
        <v>-0.5699861035</v>
      </c>
      <c r="C77" s="15">
        <f>IFERROR(__xludf.DUMMYFUNCTION("""COMPUTED_VALUE"""),0.0182177569769523)</f>
        <v>0.01821775698</v>
      </c>
      <c r="D77" s="15">
        <f>IFERROR(__xludf.DUMMYFUNCTION("""COMPUTED_VALUE"""),0.731055321194622)</f>
        <v>0.7310553212</v>
      </c>
      <c r="E77" s="15">
        <f>IFERROR(__xludf.DUMMYFUNCTION("""COMPUTED_VALUE"""),0.374622573363494)</f>
        <v>0.3746225734</v>
      </c>
      <c r="F77" s="15"/>
      <c r="G77" s="29">
        <v>-0.569987</v>
      </c>
      <c r="H77" s="29">
        <v>0.018217</v>
      </c>
      <c r="I77" s="29">
        <v>0.731055</v>
      </c>
      <c r="J77" s="29">
        <v>0.374622</v>
      </c>
      <c r="L77" s="30"/>
    </row>
    <row r="78">
      <c r="A78" s="19"/>
      <c r="B78" s="15">
        <f>IFERROR(__xludf.DUMMYFUNCTION("""COMPUTED_VALUE"""),-0.569986103523821)</f>
        <v>-0.5699861035</v>
      </c>
      <c r="C78" s="15">
        <f>IFERROR(__xludf.DUMMYFUNCTION("""COMPUTED_VALUE"""),0.0182177569769523)</f>
        <v>0.01821775698</v>
      </c>
      <c r="D78" s="15">
        <f>IFERROR(__xludf.DUMMYFUNCTION("""COMPUTED_VALUE"""),0.731055321194622)</f>
        <v>0.7310553212</v>
      </c>
      <c r="E78" s="15">
        <f>IFERROR(__xludf.DUMMYFUNCTION("""COMPUTED_VALUE"""),0.374622573363494)</f>
        <v>0.3746225734</v>
      </c>
      <c r="F78" s="15"/>
      <c r="G78" s="29">
        <v>-0.569987</v>
      </c>
      <c r="H78" s="29">
        <v>0.018217</v>
      </c>
      <c r="I78" s="29">
        <v>0.731055</v>
      </c>
      <c r="J78" s="29">
        <v>0.374622</v>
      </c>
      <c r="L78" s="30"/>
    </row>
    <row r="79">
      <c r="A79" s="19"/>
      <c r="B79" s="15">
        <f>IFERROR(__xludf.DUMMYFUNCTION("""COMPUTED_VALUE"""),-0.565635090558158)</f>
        <v>-0.5656350906</v>
      </c>
      <c r="C79" s="15">
        <f>IFERROR(__xludf.DUMMYFUNCTION("""COMPUTED_VALUE"""),0.0168265721983328)</f>
        <v>0.0168265722</v>
      </c>
      <c r="D79" s="15">
        <f>IFERROR(__xludf.DUMMYFUNCTION("""COMPUTED_VALUE"""),0.733348117683007)</f>
        <v>0.7333481177</v>
      </c>
      <c r="E79" s="15">
        <f>IFERROR(__xludf.DUMMYFUNCTION("""COMPUTED_VALUE"""),0.376794836864981)</f>
        <v>0.3767948369</v>
      </c>
      <c r="F79" s="15"/>
      <c r="G79" s="29">
        <v>-0.565636</v>
      </c>
      <c r="H79" s="29">
        <v>0.016826</v>
      </c>
      <c r="I79" s="29">
        <v>0.733348</v>
      </c>
      <c r="J79" s="29">
        <v>0.37679399999999996</v>
      </c>
      <c r="L79" s="30"/>
    </row>
    <row r="80">
      <c r="A80" s="19"/>
      <c r="B80" s="15">
        <f>IFERROR(__xludf.DUMMYFUNCTION("""COMPUTED_VALUE"""),-0.565635090558158)</f>
        <v>-0.5656350906</v>
      </c>
      <c r="C80" s="15">
        <f>IFERROR(__xludf.DUMMYFUNCTION("""COMPUTED_VALUE"""),0.0168265721983328)</f>
        <v>0.0168265722</v>
      </c>
      <c r="D80" s="15">
        <f>IFERROR(__xludf.DUMMYFUNCTION("""COMPUTED_VALUE"""),0.733348117683007)</f>
        <v>0.7333481177</v>
      </c>
      <c r="E80" s="15">
        <f>IFERROR(__xludf.DUMMYFUNCTION("""COMPUTED_VALUE"""),0.376794836864981)</f>
        <v>0.3767948369</v>
      </c>
      <c r="F80" s="15"/>
      <c r="G80" s="29">
        <v>-0.565636</v>
      </c>
      <c r="H80" s="29">
        <v>0.016826</v>
      </c>
      <c r="I80" s="29">
        <v>0.733348</v>
      </c>
      <c r="J80" s="29">
        <v>0.37679399999999996</v>
      </c>
      <c r="L80" s="30"/>
    </row>
    <row r="81">
      <c r="A81" s="19"/>
      <c r="B81" s="15">
        <f>IFERROR(__xludf.DUMMYFUNCTION("""COMPUTED_VALUE"""),-0.562750885325819)</f>
        <v>-0.5627508853</v>
      </c>
      <c r="C81" s="15">
        <f>IFERROR(__xludf.DUMMYFUNCTION("""COMPUTED_VALUE"""),0.0183061084721797)</f>
        <v>0.01830610847</v>
      </c>
      <c r="D81" s="15">
        <f>IFERROR(__xludf.DUMMYFUNCTION("""COMPUTED_VALUE"""),0.735563701146918)</f>
        <v>0.7355637011</v>
      </c>
      <c r="E81" s="15">
        <f>IFERROR(__xludf.DUMMYFUNCTION("""COMPUTED_VALUE"""),0.376725853921201)</f>
        <v>0.3767258539</v>
      </c>
      <c r="F81" s="15"/>
      <c r="G81" s="29">
        <v>-0.562751</v>
      </c>
      <c r="H81" s="29">
        <v>0.018306</v>
      </c>
      <c r="I81" s="29">
        <v>0.735563</v>
      </c>
      <c r="J81" s="29">
        <v>0.376725</v>
      </c>
      <c r="L81" s="30"/>
    </row>
    <row r="82">
      <c r="A82" s="19"/>
      <c r="B82" s="15">
        <f>IFERROR(__xludf.DUMMYFUNCTION("""COMPUTED_VALUE"""),-0.561267151046237)</f>
        <v>-0.561267151</v>
      </c>
      <c r="C82" s="15">
        <f>IFERROR(__xludf.DUMMYFUNCTION("""COMPUTED_VALUE"""),0.0154174229312845)</f>
        <v>0.01541742293</v>
      </c>
      <c r="D82" s="15">
        <f>IFERROR(__xludf.DUMMYFUNCTION("""COMPUTED_VALUE"""),0.735629917229109)</f>
        <v>0.7356299172</v>
      </c>
      <c r="E82" s="15">
        <f>IFERROR(__xludf.DUMMYFUNCTION("""COMPUTED_VALUE"""),0.378932860945169)</f>
        <v>0.3789328609</v>
      </c>
      <c r="F82" s="15"/>
      <c r="G82" s="29">
        <v>-0.561268</v>
      </c>
      <c r="H82" s="29">
        <v>0.015417</v>
      </c>
      <c r="I82" s="29">
        <v>0.735629</v>
      </c>
      <c r="J82" s="29">
        <v>0.378932</v>
      </c>
      <c r="L82" s="30"/>
    </row>
    <row r="83">
      <c r="A83" s="19"/>
      <c r="B83" s="15">
        <f>IFERROR(__xludf.DUMMYFUNCTION("""COMPUTED_VALUE"""),-0.561267151046237)</f>
        <v>-0.561267151</v>
      </c>
      <c r="C83" s="15">
        <f>IFERROR(__xludf.DUMMYFUNCTION("""COMPUTED_VALUE"""),0.0154174229312845)</f>
        <v>0.01541742293</v>
      </c>
      <c r="D83" s="15">
        <f>IFERROR(__xludf.DUMMYFUNCTION("""COMPUTED_VALUE"""),0.735629917229109)</f>
        <v>0.7356299172</v>
      </c>
      <c r="E83" s="15">
        <f>IFERROR(__xludf.DUMMYFUNCTION("""COMPUTED_VALUE"""),0.378932860945169)</f>
        <v>0.3789328609</v>
      </c>
      <c r="F83" s="15"/>
      <c r="G83" s="29">
        <v>-0.561268</v>
      </c>
      <c r="H83" s="29">
        <v>0.015417</v>
      </c>
      <c r="I83" s="29">
        <v>0.735629</v>
      </c>
      <c r="J83" s="29">
        <v>0.378932</v>
      </c>
      <c r="L83" s="30"/>
    </row>
    <row r="84">
      <c r="A84" s="19"/>
      <c r="B84" s="15">
        <f>IFERROR(__xludf.DUMMYFUNCTION("""COMPUTED_VALUE"""),-0.556881900734508)</f>
        <v>-0.5568819007</v>
      </c>
      <c r="C84" s="15">
        <f>IFERROR(__xludf.DUMMYFUNCTION("""COMPUTED_VALUE"""),0.01400779815463)</f>
        <v>0.01400779815</v>
      </c>
      <c r="D84" s="15">
        <f>IFERROR(__xludf.DUMMYFUNCTION("""COMPUTED_VALUE"""),0.737889028217351)</f>
        <v>0.7378890282</v>
      </c>
      <c r="E84" s="15">
        <f>IFERROR(__xludf.DUMMYFUNCTION("""COMPUTED_VALUE"""),0.381059197844156)</f>
        <v>0.3810591978</v>
      </c>
      <c r="F84" s="15"/>
      <c r="G84" s="29">
        <v>-0.556882</v>
      </c>
      <c r="H84" s="29">
        <v>0.014006999999999999</v>
      </c>
      <c r="I84" s="29">
        <v>0.737889</v>
      </c>
      <c r="J84" s="29">
        <v>0.381059</v>
      </c>
      <c r="L84" s="30"/>
    </row>
    <row r="85">
      <c r="A85" s="19"/>
      <c r="B85" s="15">
        <f>IFERROR(__xludf.DUMMYFUNCTION("""COMPUTED_VALUE"""),-0.553979930927067)</f>
        <v>-0.5539799309</v>
      </c>
      <c r="C85" s="15">
        <f>IFERROR(__xludf.DUMMYFUNCTION("""COMPUTED_VALUE"""),0.0155041022258327)</f>
        <v>0.01550410223</v>
      </c>
      <c r="D85" s="15">
        <f>IFERROR(__xludf.DUMMYFUNCTION("""COMPUTED_VALUE"""),0.74007020306135)</f>
        <v>0.7400702031</v>
      </c>
      <c r="E85" s="15">
        <f>IFERROR(__xludf.DUMMYFUNCTION("""COMPUTED_VALUE"""),0.381001251290522)</f>
        <v>0.3810012513</v>
      </c>
      <c r="F85" s="15"/>
      <c r="G85" s="29">
        <v>-0.55398</v>
      </c>
      <c r="H85" s="29">
        <v>0.015503999999999999</v>
      </c>
      <c r="I85" s="29">
        <v>0.74007</v>
      </c>
      <c r="J85" s="29">
        <v>0.381001</v>
      </c>
      <c r="L85" s="30"/>
    </row>
    <row r="86">
      <c r="A86" s="19"/>
      <c r="B86" s="15">
        <f>IFERROR(__xludf.DUMMYFUNCTION("""COMPUTED_VALUE"""),-0.552479474874409)</f>
        <v>-0.5524794749</v>
      </c>
      <c r="C86" s="15">
        <f>IFERROR(__xludf.DUMMYFUNCTION("""COMPUTED_VALUE"""),0.0125977413445149)</f>
        <v>0.01259774134</v>
      </c>
      <c r="D86" s="15">
        <f>IFERROR(__xludf.DUMMYFUNCTION("""COMPUTED_VALUE"""),0.740125380971436)</f>
        <v>0.740125381</v>
      </c>
      <c r="E86" s="15">
        <f>IFERROR(__xludf.DUMMYFUNCTION("""COMPUTED_VALUE"""),0.383173781980707)</f>
        <v>0.383173782</v>
      </c>
      <c r="F86" s="15"/>
      <c r="G86" s="29">
        <v>-0.55248</v>
      </c>
      <c r="H86" s="29">
        <v>0.012596999999999999</v>
      </c>
      <c r="I86" s="29">
        <v>0.7401249999999999</v>
      </c>
      <c r="J86" s="29">
        <v>0.383173</v>
      </c>
      <c r="L86" s="30"/>
    </row>
    <row r="87">
      <c r="A87" s="19"/>
      <c r="B87" s="15">
        <f>IFERROR(__xludf.DUMMYFUNCTION("""COMPUTED_VALUE"""),-0.552479474874409)</f>
        <v>-0.5524794749</v>
      </c>
      <c r="C87" s="15">
        <f>IFERROR(__xludf.DUMMYFUNCTION("""COMPUTED_VALUE"""),0.0125977413445149)</f>
        <v>0.01259774134</v>
      </c>
      <c r="D87" s="15">
        <f>IFERROR(__xludf.DUMMYFUNCTION("""COMPUTED_VALUE"""),0.740125380971436)</f>
        <v>0.740125381</v>
      </c>
      <c r="E87" s="15">
        <f>IFERROR(__xludf.DUMMYFUNCTION("""COMPUTED_VALUE"""),0.383173781980707)</f>
        <v>0.383173782</v>
      </c>
      <c r="F87" s="15"/>
      <c r="G87" s="29">
        <v>-0.55248</v>
      </c>
      <c r="H87" s="29">
        <v>0.012596999999999999</v>
      </c>
      <c r="I87" s="29">
        <v>0.7401249999999999</v>
      </c>
      <c r="J87" s="29">
        <v>0.383173</v>
      </c>
      <c r="L87" s="30"/>
    </row>
    <row r="88">
      <c r="A88" s="19"/>
      <c r="B88" s="15">
        <f>IFERROR(__xludf.DUMMYFUNCTION("""COMPUTED_VALUE"""),-0.552479474874409)</f>
        <v>-0.5524794749</v>
      </c>
      <c r="C88" s="15">
        <f>IFERROR(__xludf.DUMMYFUNCTION("""COMPUTED_VALUE"""),0.0125977413445149)</f>
        <v>0.01259774134</v>
      </c>
      <c r="D88" s="15">
        <f>IFERROR(__xludf.DUMMYFUNCTION("""COMPUTED_VALUE"""),0.740125380971436)</f>
        <v>0.740125381</v>
      </c>
      <c r="E88" s="15">
        <f>IFERROR(__xludf.DUMMYFUNCTION("""COMPUTED_VALUE"""),0.383173781980707)</f>
        <v>0.383173782</v>
      </c>
      <c r="F88" s="15"/>
      <c r="G88" s="29">
        <v>-0.55248</v>
      </c>
      <c r="H88" s="29">
        <v>0.012596999999999999</v>
      </c>
      <c r="I88" s="29">
        <v>0.7401249999999999</v>
      </c>
      <c r="J88" s="29">
        <v>0.383173</v>
      </c>
      <c r="L88" s="30"/>
    </row>
    <row r="89">
      <c r="A89" s="19"/>
      <c r="B89" s="15">
        <f>IFERROR(__xludf.DUMMYFUNCTION("""COMPUTED_VALUE"""),-0.552479474874409)</f>
        <v>-0.5524794749</v>
      </c>
      <c r="C89" s="15">
        <f>IFERROR(__xludf.DUMMYFUNCTION("""COMPUTED_VALUE"""),0.0125977413445149)</f>
        <v>0.01259774134</v>
      </c>
      <c r="D89" s="15">
        <f>IFERROR(__xludf.DUMMYFUNCTION("""COMPUTED_VALUE"""),0.740125380971436)</f>
        <v>0.740125381</v>
      </c>
      <c r="E89" s="15">
        <f>IFERROR(__xludf.DUMMYFUNCTION("""COMPUTED_VALUE"""),0.383173781980707)</f>
        <v>0.383173782</v>
      </c>
      <c r="F89" s="15"/>
      <c r="G89" s="29">
        <v>-0.55248</v>
      </c>
      <c r="H89" s="29">
        <v>0.012596999999999999</v>
      </c>
      <c r="I89" s="29">
        <v>0.7401249999999999</v>
      </c>
      <c r="J89" s="29">
        <v>0.383173</v>
      </c>
      <c r="L89" s="30"/>
    </row>
    <row r="90">
      <c r="A90" s="19"/>
      <c r="B90" s="15">
        <f>IFERROR(__xludf.DUMMYFUNCTION("""COMPUTED_VALUE"""),-0.548060009247115)</f>
        <v>-0.5480600092</v>
      </c>
      <c r="C90" s="15">
        <f>IFERROR(__xludf.DUMMYFUNCTION("""COMPUTED_VALUE"""),0.0111872959904095)</f>
        <v>0.01118729599</v>
      </c>
      <c r="D90" s="15">
        <f>IFERROR(__xludf.DUMMYFUNCTION("""COMPUTED_VALUE"""),0.742338906516981)</f>
        <v>0.7423389065</v>
      </c>
      <c r="E90" s="15">
        <f>IFERROR(__xludf.DUMMYFUNCTION("""COMPUTED_VALUE"""),0.385276548136071)</f>
        <v>0.3852765481</v>
      </c>
      <c r="F90" s="15"/>
      <c r="G90" s="29">
        <v>-0.548061</v>
      </c>
      <c r="H90" s="29">
        <v>0.011186999999999999</v>
      </c>
      <c r="I90" s="29">
        <v>0.7423379999999999</v>
      </c>
      <c r="J90" s="29">
        <v>0.385276</v>
      </c>
      <c r="L90" s="30"/>
    </row>
    <row r="91">
      <c r="A91" s="19"/>
      <c r="B91" s="15">
        <f>IFERROR(__xludf.DUMMYFUNCTION("""COMPUTED_VALUE"""),-0.545140632876124)</f>
        <v>-0.5451406329</v>
      </c>
      <c r="C91" s="15">
        <f>IFERROR(__xludf.DUMMYFUNCTION("""COMPUTED_VALUE"""),0.0127001832622357)</f>
        <v>0.01270018326</v>
      </c>
      <c r="D91" s="15">
        <f>IFERROR(__xludf.DUMMYFUNCTION("""COMPUTED_VALUE"""),0.744485403652881)</f>
        <v>0.7444854037</v>
      </c>
      <c r="E91" s="15">
        <f>IFERROR(__xludf.DUMMYFUNCTION("""COMPUTED_VALUE"""),0.38522964512136)</f>
        <v>0.3852296451</v>
      </c>
      <c r="F91" s="15"/>
      <c r="G91" s="29">
        <v>-0.545141</v>
      </c>
      <c r="H91" s="29">
        <v>0.0127</v>
      </c>
      <c r="I91" s="29">
        <v>0.744485</v>
      </c>
      <c r="J91" s="29">
        <v>0.385229</v>
      </c>
      <c r="L91" s="30"/>
    </row>
    <row r="92">
      <c r="A92" s="19"/>
      <c r="B92" s="15">
        <f>IFERROR(__xludf.DUMMYFUNCTION("""COMPUTED_VALUE"""),-0.545140632876124)</f>
        <v>-0.5451406329</v>
      </c>
      <c r="C92" s="15">
        <f>IFERROR(__xludf.DUMMYFUNCTION("""COMPUTED_VALUE"""),0.0127001832622357)</f>
        <v>0.01270018326</v>
      </c>
      <c r="D92" s="15">
        <f>IFERROR(__xludf.DUMMYFUNCTION("""COMPUTED_VALUE"""),0.744485403652881)</f>
        <v>0.7444854037</v>
      </c>
      <c r="E92" s="15">
        <f>IFERROR(__xludf.DUMMYFUNCTION("""COMPUTED_VALUE"""),0.38522964512136)</f>
        <v>0.3852296451</v>
      </c>
      <c r="F92" s="15"/>
      <c r="G92" s="29">
        <v>-0.545141</v>
      </c>
      <c r="H92" s="29">
        <v>0.0127</v>
      </c>
      <c r="I92" s="29">
        <v>0.744485</v>
      </c>
      <c r="J92" s="29">
        <v>0.385229</v>
      </c>
      <c r="L92" s="30"/>
    </row>
    <row r="93">
      <c r="A93" s="19"/>
      <c r="B93" s="15">
        <f>IFERROR(__xludf.DUMMYFUNCTION("""COMPUTED_VALUE"""),-0.545140632876124)</f>
        <v>-0.5451406329</v>
      </c>
      <c r="C93" s="15">
        <f>IFERROR(__xludf.DUMMYFUNCTION("""COMPUTED_VALUE"""),0.0127001832622357)</f>
        <v>0.01270018326</v>
      </c>
      <c r="D93" s="15">
        <f>IFERROR(__xludf.DUMMYFUNCTION("""COMPUTED_VALUE"""),0.744485403652881)</f>
        <v>0.7444854037</v>
      </c>
      <c r="E93" s="15">
        <f>IFERROR(__xludf.DUMMYFUNCTION("""COMPUTED_VALUE"""),0.38522964512136)</f>
        <v>0.3852296451</v>
      </c>
      <c r="F93" s="15"/>
      <c r="G93" s="29">
        <v>-0.545141</v>
      </c>
      <c r="H93" s="29">
        <v>0.0127</v>
      </c>
      <c r="I93" s="29">
        <v>0.744485</v>
      </c>
      <c r="J93" s="29">
        <v>0.385229</v>
      </c>
      <c r="L93" s="30"/>
    </row>
    <row r="94">
      <c r="A94" s="19"/>
      <c r="B94" s="15">
        <f>IFERROR(__xludf.DUMMYFUNCTION("""COMPUTED_VALUE"""),-0.543623640159346)</f>
        <v>-0.5436236402</v>
      </c>
      <c r="C94" s="15">
        <f>IFERROR(__xludf.DUMMYFUNCTION("""COMPUTED_VALUE"""),0.00977650559376796)</f>
        <v>0.009776505594</v>
      </c>
      <c r="D94" s="15">
        <f>IFERROR(__xludf.DUMMYFUNCTION("""COMPUTED_VALUE"""),0.744529536583649)</f>
        <v>0.7445295366</v>
      </c>
      <c r="E94" s="15">
        <f>IFERROR(__xludf.DUMMYFUNCTION("""COMPUTED_VALUE"""),0.387367431455991)</f>
        <v>0.3873674315</v>
      </c>
      <c r="F94" s="15"/>
      <c r="G94" s="29">
        <v>-0.543624</v>
      </c>
      <c r="H94" s="29">
        <v>0.009776</v>
      </c>
      <c r="I94" s="29">
        <v>0.744529</v>
      </c>
      <c r="J94" s="29">
        <v>0.38736699999999996</v>
      </c>
      <c r="L94" s="30"/>
    </row>
    <row r="95">
      <c r="A95" s="19"/>
      <c r="B95" s="15">
        <f>IFERROR(__xludf.DUMMYFUNCTION("""COMPUTED_VALUE"""),-0.540695695433715)</f>
        <v>-0.5406956954</v>
      </c>
      <c r="C95" s="15">
        <f>IFERROR(__xludf.DUMMYFUNCTION("""COMPUTED_VALUE"""),0.0112976146019084)</f>
        <v>0.0112976146</v>
      </c>
      <c r="D95" s="15">
        <f>IFERROR(__xludf.DUMMYFUNCTION("""COMPUTED_VALUE"""),0.746658595293065)</f>
        <v>0.7466585953</v>
      </c>
      <c r="E95" s="15">
        <f>IFERROR(__xludf.DUMMYFUNCTION("""COMPUTED_VALUE"""),0.387326052465805)</f>
        <v>0.3873260525</v>
      </c>
      <c r="F95" s="15"/>
      <c r="G95" s="29">
        <v>-0.540696</v>
      </c>
      <c r="H95" s="29">
        <v>0.011297</v>
      </c>
      <c r="I95" s="29">
        <v>0.7466579999999999</v>
      </c>
      <c r="J95" s="29">
        <v>0.387326</v>
      </c>
      <c r="L95" s="30"/>
    </row>
    <row r="96">
      <c r="A96" s="19"/>
      <c r="B96" s="15">
        <f>IFERROR(__xludf.DUMMYFUNCTION("""COMPUTED_VALUE"""),-0.540695695433715)</f>
        <v>-0.5406956954</v>
      </c>
      <c r="C96" s="15">
        <f>IFERROR(__xludf.DUMMYFUNCTION("""COMPUTED_VALUE"""),0.0112976146019084)</f>
        <v>0.0112976146</v>
      </c>
      <c r="D96" s="15">
        <f>IFERROR(__xludf.DUMMYFUNCTION("""COMPUTED_VALUE"""),0.746658595293065)</f>
        <v>0.7466585953</v>
      </c>
      <c r="E96" s="15">
        <f>IFERROR(__xludf.DUMMYFUNCTION("""COMPUTED_VALUE"""),0.387326052465805)</f>
        <v>0.3873260525</v>
      </c>
      <c r="F96" s="15"/>
      <c r="G96" s="29">
        <v>-0.540696</v>
      </c>
      <c r="H96" s="29">
        <v>0.011297</v>
      </c>
      <c r="I96" s="29">
        <v>0.7466579999999999</v>
      </c>
      <c r="J96" s="29">
        <v>0.387326</v>
      </c>
      <c r="L96" s="30"/>
    </row>
    <row r="97">
      <c r="A97" s="19"/>
      <c r="B97" s="15">
        <f>IFERROR(__xludf.DUMMYFUNCTION("""COMPUTED_VALUE"""),-0.539170504439166)</f>
        <v>-0.5391705044</v>
      </c>
      <c r="C97" s="15">
        <f>IFERROR(__xludf.DUMMYFUNCTION("""COMPUTED_VALUE"""),0.00836541366668613)</f>
        <v>0.008365413667</v>
      </c>
      <c r="D97" s="15">
        <f>IFERROR(__xludf.DUMMYFUNCTION("""COMPUTED_VALUE"""),0.746697203607253)</f>
        <v>0.7466972036</v>
      </c>
      <c r="E97" s="15">
        <f>IFERROR(__xludf.DUMMYFUNCTION("""COMPUTED_VALUE"""),0.389446367452705)</f>
        <v>0.3894463675</v>
      </c>
      <c r="F97" s="15"/>
      <c r="G97" s="29">
        <v>-0.539171</v>
      </c>
      <c r="H97" s="29">
        <v>0.008365</v>
      </c>
      <c r="I97" s="29">
        <v>0.7466969999999999</v>
      </c>
      <c r="J97" s="29">
        <v>0.38944599999999996</v>
      </c>
      <c r="L97" s="30"/>
    </row>
    <row r="98">
      <c r="A98" s="19"/>
      <c r="B98" s="15">
        <f>IFERROR(__xludf.DUMMYFUNCTION("""COMPUTED_VALUE"""),-0.539170504439166)</f>
        <v>-0.5391705044</v>
      </c>
      <c r="C98" s="15">
        <f>IFERROR(__xludf.DUMMYFUNCTION("""COMPUTED_VALUE"""),0.00836541366668613)</f>
        <v>0.008365413667</v>
      </c>
      <c r="D98" s="15">
        <f>IFERROR(__xludf.DUMMYFUNCTION("""COMPUTED_VALUE"""),0.746697203607253)</f>
        <v>0.7466972036</v>
      </c>
      <c r="E98" s="15">
        <f>IFERROR(__xludf.DUMMYFUNCTION("""COMPUTED_VALUE"""),0.389446367452705)</f>
        <v>0.3894463675</v>
      </c>
      <c r="F98" s="15"/>
      <c r="G98" s="29">
        <v>-0.539171</v>
      </c>
      <c r="H98" s="29">
        <v>0.008365</v>
      </c>
      <c r="I98" s="29">
        <v>0.7466969999999999</v>
      </c>
      <c r="J98" s="29">
        <v>0.38944599999999996</v>
      </c>
      <c r="L98" s="30"/>
    </row>
    <row r="99">
      <c r="A99" s="19"/>
      <c r="B99" s="15">
        <f>IFERROR(__xludf.DUMMYFUNCTION("""COMPUTED_VALUE"""),-0.539170504439166)</f>
        <v>-0.5391705044</v>
      </c>
      <c r="C99" s="15">
        <f>IFERROR(__xludf.DUMMYFUNCTION("""COMPUTED_VALUE"""),0.00836541366668613)</f>
        <v>0.008365413667</v>
      </c>
      <c r="D99" s="15">
        <f>IFERROR(__xludf.DUMMYFUNCTION("""COMPUTED_VALUE"""),0.746697203607253)</f>
        <v>0.7466972036</v>
      </c>
      <c r="E99" s="15">
        <f>IFERROR(__xludf.DUMMYFUNCTION("""COMPUTED_VALUE"""),0.389446367452705)</f>
        <v>0.3894463675</v>
      </c>
      <c r="F99" s="15"/>
      <c r="G99" s="29">
        <v>-0.539171</v>
      </c>
      <c r="H99" s="29">
        <v>0.008365</v>
      </c>
      <c r="I99" s="29">
        <v>0.7466969999999999</v>
      </c>
      <c r="J99" s="29">
        <v>0.38944599999999996</v>
      </c>
      <c r="L99" s="30"/>
    </row>
    <row r="100">
      <c r="A100" s="19"/>
      <c r="B100" s="15">
        <f>IFERROR(__xludf.DUMMYFUNCTION("""COMPUTED_VALUE"""),-0.536234081663599)</f>
        <v>-0.5362340817</v>
      </c>
      <c r="C100" s="15">
        <f>IFERROR(__xludf.DUMMYFUNCTION("""COMPUTED_VALUE"""),0.00989469749655948)</f>
        <v>0.009894697497</v>
      </c>
      <c r="D100" s="15">
        <f>IFERROR(__xludf.DUMMYFUNCTION("""COMPUTED_VALUE"""),0.748808758225004)</f>
        <v>0.7488087582</v>
      </c>
      <c r="E100" s="15">
        <f>IFERROR(__xludf.DUMMYFUNCTION("""COMPUTED_VALUE"""),0.38941051376327)</f>
        <v>0.3894105138</v>
      </c>
      <c r="F100" s="15"/>
      <c r="G100" s="29">
        <v>-0.536235</v>
      </c>
      <c r="H100" s="29">
        <v>0.009894</v>
      </c>
      <c r="I100" s="29">
        <v>0.7488079999999999</v>
      </c>
      <c r="J100" s="29">
        <v>0.38941</v>
      </c>
      <c r="L100" s="30"/>
    </row>
    <row r="101">
      <c r="A101" s="19"/>
      <c r="B101" s="15">
        <f>IFERROR(__xludf.DUMMYFUNCTION("""COMPUTED_VALUE"""),-0.534700739431759)</f>
        <v>-0.5347007394</v>
      </c>
      <c r="C101" s="15">
        <f>IFERROR(__xludf.DUMMYFUNCTION("""COMPUTED_VALUE"""),0.00695406373055986)</f>
        <v>0.006954063731</v>
      </c>
      <c r="D101" s="15">
        <f>IFERROR(__xludf.DUMMYFUNCTION("""COMPUTED_VALUE"""),0.748841840731841)</f>
        <v>0.7488418407</v>
      </c>
      <c r="E101" s="15">
        <f>IFERROR(__xludf.DUMMYFUNCTION("""COMPUTED_VALUE"""),0.391513292006934)</f>
        <v>0.391513292</v>
      </c>
      <c r="F101" s="15"/>
      <c r="G101" s="29">
        <v>-0.534701</v>
      </c>
      <c r="H101" s="29">
        <v>0.006954</v>
      </c>
      <c r="I101" s="29">
        <v>0.748841</v>
      </c>
      <c r="J101" s="29">
        <v>0.391513</v>
      </c>
      <c r="L101" s="30"/>
    </row>
    <row r="102">
      <c r="A102" s="19"/>
      <c r="B102" s="15">
        <f>IFERROR(__xludf.DUMMYFUNCTION("""COMPUTED_VALUE"""),-0.534700739431759)</f>
        <v>-0.5347007394</v>
      </c>
      <c r="C102" s="15">
        <f>IFERROR(__xludf.DUMMYFUNCTION("""COMPUTED_VALUE"""),0.00695406373055986)</f>
        <v>0.006954063731</v>
      </c>
      <c r="D102" s="15">
        <f>IFERROR(__xludf.DUMMYFUNCTION("""COMPUTED_VALUE"""),0.748841840731841)</f>
        <v>0.7488418407</v>
      </c>
      <c r="E102" s="15">
        <f>IFERROR(__xludf.DUMMYFUNCTION("""COMPUTED_VALUE"""),0.391513292006934)</f>
        <v>0.391513292</v>
      </c>
      <c r="F102" s="15"/>
      <c r="G102" s="29">
        <v>-0.534701</v>
      </c>
      <c r="H102" s="29">
        <v>0.006954</v>
      </c>
      <c r="I102" s="29">
        <v>0.748841</v>
      </c>
      <c r="J102" s="29">
        <v>0.391513</v>
      </c>
      <c r="L102" s="30"/>
    </row>
    <row r="103">
      <c r="A103" s="19"/>
      <c r="B103" s="15">
        <f>IFERROR(__xludf.DUMMYFUNCTION("""COMPUTED_VALUE"""),-0.534700739431759)</f>
        <v>-0.5347007394</v>
      </c>
      <c r="C103" s="15">
        <f>IFERROR(__xludf.DUMMYFUNCTION("""COMPUTED_VALUE"""),0.00695406373055986)</f>
        <v>0.006954063731</v>
      </c>
      <c r="D103" s="15">
        <f>IFERROR(__xludf.DUMMYFUNCTION("""COMPUTED_VALUE"""),0.748841840731841)</f>
        <v>0.7488418407</v>
      </c>
      <c r="E103" s="15">
        <f>IFERROR(__xludf.DUMMYFUNCTION("""COMPUTED_VALUE"""),0.391513292006934)</f>
        <v>0.391513292</v>
      </c>
      <c r="F103" s="15"/>
      <c r="G103" s="29">
        <v>-0.534701</v>
      </c>
      <c r="H103" s="29">
        <v>0.006954</v>
      </c>
      <c r="I103" s="29">
        <v>0.748841</v>
      </c>
      <c r="J103" s="29">
        <v>0.391513</v>
      </c>
      <c r="L103" s="30"/>
    </row>
    <row r="104">
      <c r="A104" s="19"/>
      <c r="B104" s="15">
        <f>IFERROR(__xludf.DUMMYFUNCTION("""COMPUTED_VALUE"""),-0.534700739431759)</f>
        <v>-0.5347007394</v>
      </c>
      <c r="C104" s="15">
        <f>IFERROR(__xludf.DUMMYFUNCTION("""COMPUTED_VALUE"""),0.00695406373055986)</f>
        <v>0.006954063731</v>
      </c>
      <c r="D104" s="15">
        <f>IFERROR(__xludf.DUMMYFUNCTION("""COMPUTED_VALUE"""),0.748841840731841)</f>
        <v>0.7488418407</v>
      </c>
      <c r="E104" s="15">
        <f>IFERROR(__xludf.DUMMYFUNCTION("""COMPUTED_VALUE"""),0.391513292006934)</f>
        <v>0.391513292</v>
      </c>
      <c r="F104" s="15"/>
      <c r="G104" s="29">
        <v>-0.534701</v>
      </c>
      <c r="H104" s="29">
        <v>0.006954</v>
      </c>
      <c r="I104" s="29">
        <v>0.748841</v>
      </c>
      <c r="J104" s="29">
        <v>0.391513</v>
      </c>
      <c r="L104" s="30"/>
    </row>
    <row r="105">
      <c r="A105" s="19"/>
      <c r="B105" s="15">
        <f>IFERROR(__xludf.DUMMYFUNCTION("""COMPUTED_VALUE"""),-0.534700739431759)</f>
        <v>-0.5347007394</v>
      </c>
      <c r="C105" s="15">
        <f>IFERROR(__xludf.DUMMYFUNCTION("""COMPUTED_VALUE"""),0.00695406373055986)</f>
        <v>0.006954063731</v>
      </c>
      <c r="D105" s="15">
        <f>IFERROR(__xludf.DUMMYFUNCTION("""COMPUTED_VALUE"""),0.748841840731841)</f>
        <v>0.7488418407</v>
      </c>
      <c r="E105" s="15">
        <f>IFERROR(__xludf.DUMMYFUNCTION("""COMPUTED_VALUE"""),0.391513292006934)</f>
        <v>0.391513292</v>
      </c>
      <c r="F105" s="15"/>
      <c r="G105" s="29">
        <v>-0.534701</v>
      </c>
      <c r="H105" s="29">
        <v>0.006954</v>
      </c>
      <c r="I105" s="29">
        <v>0.748841</v>
      </c>
      <c r="J105" s="29">
        <v>0.391513</v>
      </c>
      <c r="L105" s="30"/>
    </row>
    <row r="106">
      <c r="A106" s="19"/>
      <c r="B106" s="15">
        <f>IFERROR(__xludf.DUMMYFUNCTION("""COMPUTED_VALUE"""),-0.534700739431759)</f>
        <v>-0.5347007394</v>
      </c>
      <c r="C106" s="15">
        <f>IFERROR(__xludf.DUMMYFUNCTION("""COMPUTED_VALUE"""),0.00695406373055986)</f>
        <v>0.006954063731</v>
      </c>
      <c r="D106" s="15">
        <f>IFERROR(__xludf.DUMMYFUNCTION("""COMPUTED_VALUE"""),0.748841840731841)</f>
        <v>0.7488418407</v>
      </c>
      <c r="E106" s="15">
        <f>IFERROR(__xludf.DUMMYFUNCTION("""COMPUTED_VALUE"""),0.391513292006934)</f>
        <v>0.391513292</v>
      </c>
      <c r="F106" s="15"/>
      <c r="G106" s="29">
        <v>-0.534701</v>
      </c>
      <c r="H106" s="29">
        <v>0.006954</v>
      </c>
      <c r="I106" s="29">
        <v>0.748841</v>
      </c>
      <c r="J106" s="29">
        <v>0.391513</v>
      </c>
      <c r="L106" s="30"/>
    </row>
    <row r="107">
      <c r="A107" s="19"/>
      <c r="B107" s="15">
        <f>IFERROR(__xludf.DUMMYFUNCTION("""COMPUTED_VALUE"""),-0.534700739431759)</f>
        <v>-0.5347007394</v>
      </c>
      <c r="C107" s="15">
        <f>IFERROR(__xludf.DUMMYFUNCTION("""COMPUTED_VALUE"""),0.00695406373055986)</f>
        <v>0.006954063731</v>
      </c>
      <c r="D107" s="15">
        <f>IFERROR(__xludf.DUMMYFUNCTION("""COMPUTED_VALUE"""),0.748841840731841)</f>
        <v>0.7488418407</v>
      </c>
      <c r="E107" s="15">
        <f>IFERROR(__xludf.DUMMYFUNCTION("""COMPUTED_VALUE"""),0.391513292006934)</f>
        <v>0.391513292</v>
      </c>
      <c r="F107" s="15"/>
      <c r="G107" s="29">
        <v>-0.534701</v>
      </c>
      <c r="H107" s="29">
        <v>0.006954</v>
      </c>
      <c r="I107" s="29">
        <v>0.748841</v>
      </c>
      <c r="J107" s="29">
        <v>0.391513</v>
      </c>
      <c r="L107" s="30"/>
    </row>
    <row r="108">
      <c r="A108" s="19"/>
      <c r="B108" s="15">
        <f>IFERROR(__xludf.DUMMYFUNCTION("""COMPUTED_VALUE"""),-0.534700739431759)</f>
        <v>-0.5347007394</v>
      </c>
      <c r="C108" s="15">
        <f>IFERROR(__xludf.DUMMYFUNCTION("""COMPUTED_VALUE"""),0.00695406373055986)</f>
        <v>0.006954063731</v>
      </c>
      <c r="D108" s="15">
        <f>IFERROR(__xludf.DUMMYFUNCTION("""COMPUTED_VALUE"""),0.748841840731841)</f>
        <v>0.7488418407</v>
      </c>
      <c r="E108" s="15">
        <f>IFERROR(__xludf.DUMMYFUNCTION("""COMPUTED_VALUE"""),0.391513292006934)</f>
        <v>0.391513292</v>
      </c>
      <c r="F108" s="15"/>
      <c r="G108" s="29">
        <v>-0.534701</v>
      </c>
      <c r="H108" s="29">
        <v>0.006954</v>
      </c>
      <c r="I108" s="29">
        <v>0.748841</v>
      </c>
      <c r="J108" s="29">
        <v>0.391513</v>
      </c>
      <c r="L108" s="30"/>
    </row>
    <row r="109">
      <c r="A109" s="19"/>
      <c r="B109" s="15">
        <f>IFERROR(__xludf.DUMMYFUNCTION("""COMPUTED_VALUE"""),-0.531755929172447)</f>
        <v>-0.5317559292</v>
      </c>
      <c r="C109" s="15">
        <f>IFERROR(__xludf.DUMMYFUNCTION("""COMPUTED_VALUE"""),0.00849147521545378)</f>
        <v>0.008491475215</v>
      </c>
      <c r="D109" s="15">
        <f>IFERROR(__xludf.DUMMYFUNCTION("""COMPUTED_VALUE"""),0.750935826132613)</f>
        <v>0.7509358261</v>
      </c>
      <c r="E109" s="15">
        <f>IFERROR(__xludf.DUMMYFUNCTION("""COMPUTED_VALUE"""),0.391482964724062)</f>
        <v>0.3914829647</v>
      </c>
      <c r="F109" s="15"/>
      <c r="G109" s="29">
        <v>-0.531756</v>
      </c>
      <c r="H109" s="29">
        <v>0.008491</v>
      </c>
      <c r="I109" s="29">
        <v>0.750935</v>
      </c>
      <c r="J109" s="29">
        <v>0.391482</v>
      </c>
      <c r="L109" s="30"/>
    </row>
    <row r="110">
      <c r="A110" s="19"/>
      <c r="B110" s="15">
        <f>IFERROR(__xludf.DUMMYFUNCTION("""COMPUTED_VALUE"""),-0.531755929172447)</f>
        <v>-0.5317559292</v>
      </c>
      <c r="C110" s="15">
        <f>IFERROR(__xludf.DUMMYFUNCTION("""COMPUTED_VALUE"""),0.00849147521545378)</f>
        <v>0.008491475215</v>
      </c>
      <c r="D110" s="15">
        <f>IFERROR(__xludf.DUMMYFUNCTION("""COMPUTED_VALUE"""),0.750935826132613)</f>
        <v>0.7509358261</v>
      </c>
      <c r="E110" s="15">
        <f>IFERROR(__xludf.DUMMYFUNCTION("""COMPUTED_VALUE"""),0.391482964724062)</f>
        <v>0.3914829647</v>
      </c>
      <c r="F110" s="15"/>
      <c r="G110" s="29">
        <v>-0.531756</v>
      </c>
      <c r="H110" s="29">
        <v>0.008491</v>
      </c>
      <c r="I110" s="29">
        <v>0.750935</v>
      </c>
      <c r="J110" s="29">
        <v>0.391482</v>
      </c>
      <c r="L110" s="30"/>
    </row>
    <row r="111">
      <c r="A111" s="19"/>
      <c r="B111" s="15">
        <f>IFERROR(__xludf.DUMMYFUNCTION("""COMPUTED_VALUE"""),-0.531755929172447)</f>
        <v>-0.5317559292</v>
      </c>
      <c r="C111" s="15">
        <f>IFERROR(__xludf.DUMMYFUNCTION("""COMPUTED_VALUE"""),0.00849147521545378)</f>
        <v>0.008491475215</v>
      </c>
      <c r="D111" s="15">
        <f>IFERROR(__xludf.DUMMYFUNCTION("""COMPUTED_VALUE"""),0.750935826132613)</f>
        <v>0.7509358261</v>
      </c>
      <c r="E111" s="15">
        <f>IFERROR(__xludf.DUMMYFUNCTION("""COMPUTED_VALUE"""),0.391482964724062)</f>
        <v>0.3914829647</v>
      </c>
      <c r="F111" s="15"/>
      <c r="G111" s="29">
        <v>-0.531756</v>
      </c>
      <c r="H111" s="29">
        <v>0.008491</v>
      </c>
      <c r="I111" s="29">
        <v>0.750935</v>
      </c>
      <c r="J111" s="29">
        <v>0.391482</v>
      </c>
      <c r="L111" s="30"/>
    </row>
    <row r="112">
      <c r="A112" s="19"/>
      <c r="B112" s="15">
        <f>IFERROR(__xludf.DUMMYFUNCTION("""COMPUTED_VALUE"""),-0.531755929172447)</f>
        <v>-0.5317559292</v>
      </c>
      <c r="C112" s="15">
        <f>IFERROR(__xludf.DUMMYFUNCTION("""COMPUTED_VALUE"""),0.00849147521545378)</f>
        <v>0.008491475215</v>
      </c>
      <c r="D112" s="15">
        <f>IFERROR(__xludf.DUMMYFUNCTION("""COMPUTED_VALUE"""),0.750935826132613)</f>
        <v>0.7509358261</v>
      </c>
      <c r="E112" s="15">
        <f>IFERROR(__xludf.DUMMYFUNCTION("""COMPUTED_VALUE"""),0.391482964724062)</f>
        <v>0.3914829647</v>
      </c>
      <c r="F112" s="15"/>
      <c r="G112" s="29">
        <v>-0.531756</v>
      </c>
      <c r="H112" s="29">
        <v>0.008491</v>
      </c>
      <c r="I112" s="29">
        <v>0.750935</v>
      </c>
      <c r="J112" s="29">
        <v>0.391482</v>
      </c>
      <c r="L112" s="30"/>
    </row>
    <row r="113">
      <c r="A113" s="19"/>
      <c r="B113" s="15">
        <f>IFERROR(__xludf.DUMMYFUNCTION("""COMPUTED_VALUE"""),-0.531755929172447)</f>
        <v>-0.5317559292</v>
      </c>
      <c r="C113" s="15">
        <f>IFERROR(__xludf.DUMMYFUNCTION("""COMPUTED_VALUE"""),0.00849147521545378)</f>
        <v>0.008491475215</v>
      </c>
      <c r="D113" s="15">
        <f>IFERROR(__xludf.DUMMYFUNCTION("""COMPUTED_VALUE"""),0.750935826132613)</f>
        <v>0.7509358261</v>
      </c>
      <c r="E113" s="15">
        <f>IFERROR(__xludf.DUMMYFUNCTION("""COMPUTED_VALUE"""),0.391482964724062)</f>
        <v>0.3914829647</v>
      </c>
      <c r="F113" s="15"/>
      <c r="G113" s="29">
        <v>-0.531756</v>
      </c>
      <c r="H113" s="29">
        <v>0.008491</v>
      </c>
      <c r="I113" s="29">
        <v>0.750935</v>
      </c>
      <c r="J113" s="29">
        <v>0.391482</v>
      </c>
      <c r="L113" s="30"/>
    </row>
    <row r="114">
      <c r="A114" s="19"/>
      <c r="B114" s="15">
        <f>IFERROR(__xludf.DUMMYFUNCTION("""COMPUTED_VALUE"""),-0.527261637974098)</f>
        <v>-0.527261638</v>
      </c>
      <c r="C114" s="15">
        <f>IFERROR(__xludf.DUMMYFUNCTION("""COMPUTED_VALUE"""),0.00707159043299327)</f>
        <v>0.007071590433</v>
      </c>
      <c r="D114" s="15">
        <f>IFERROR(__xludf.DUMMYFUNCTION("""COMPUTED_VALUE"""),0.75305180766805)</f>
        <v>0.7530518077</v>
      </c>
      <c r="E114" s="15">
        <f>IFERROR(__xludf.DUMMYFUNCTION("""COMPUTED_VALUE"""),0.393520180800807)</f>
        <v>0.3935201808</v>
      </c>
      <c r="F114" s="15"/>
      <c r="G114" s="29">
        <v>-0.527262</v>
      </c>
      <c r="H114" s="29">
        <v>0.007071</v>
      </c>
      <c r="I114" s="29">
        <v>0.7530509999999999</v>
      </c>
      <c r="J114" s="29">
        <v>0.39352</v>
      </c>
      <c r="L114" s="30"/>
    </row>
    <row r="115">
      <c r="A115" s="19"/>
      <c r="B115" s="15">
        <f>IFERROR(__xludf.DUMMYFUNCTION("""COMPUTED_VALUE"""),-0.527261637974098)</f>
        <v>-0.527261638</v>
      </c>
      <c r="C115" s="15">
        <f>IFERROR(__xludf.DUMMYFUNCTION("""COMPUTED_VALUE"""),0.00707159043299327)</f>
        <v>0.007071590433</v>
      </c>
      <c r="D115" s="15">
        <f>IFERROR(__xludf.DUMMYFUNCTION("""COMPUTED_VALUE"""),0.75305180766805)</f>
        <v>0.7530518077</v>
      </c>
      <c r="E115" s="15">
        <f>IFERROR(__xludf.DUMMYFUNCTION("""COMPUTED_VALUE"""),0.393520180800807)</f>
        <v>0.3935201808</v>
      </c>
      <c r="F115" s="15"/>
      <c r="G115" s="29">
        <v>-0.527262</v>
      </c>
      <c r="H115" s="29">
        <v>0.007071</v>
      </c>
      <c r="I115" s="29">
        <v>0.7530509999999999</v>
      </c>
      <c r="J115" s="29">
        <v>0.39352</v>
      </c>
      <c r="L115" s="30"/>
    </row>
    <row r="116">
      <c r="A116" s="19"/>
      <c r="B116" s="15">
        <f>IFERROR(__xludf.DUMMYFUNCTION("""COMPUTED_VALUE"""),-0.527261637974098)</f>
        <v>-0.527261638</v>
      </c>
      <c r="C116" s="15">
        <f>IFERROR(__xludf.DUMMYFUNCTION("""COMPUTED_VALUE"""),0.00707159043299327)</f>
        <v>0.007071590433</v>
      </c>
      <c r="D116" s="15">
        <f>IFERROR(__xludf.DUMMYFUNCTION("""COMPUTED_VALUE"""),0.75305180766805)</f>
        <v>0.7530518077</v>
      </c>
      <c r="E116" s="15">
        <f>IFERROR(__xludf.DUMMYFUNCTION("""COMPUTED_VALUE"""),0.393520180800807)</f>
        <v>0.3935201808</v>
      </c>
      <c r="F116" s="15"/>
      <c r="G116" s="29">
        <v>-0.527262</v>
      </c>
      <c r="H116" s="29">
        <v>0.007071</v>
      </c>
      <c r="I116" s="29">
        <v>0.7530509999999999</v>
      </c>
      <c r="J116" s="29">
        <v>0.39352</v>
      </c>
      <c r="L116" s="30"/>
    </row>
    <row r="117">
      <c r="A117" s="19"/>
      <c r="B117" s="15">
        <f>IFERROR(__xludf.DUMMYFUNCTION("""COMPUTED_VALUE"""),-0.527261637974098)</f>
        <v>-0.527261638</v>
      </c>
      <c r="C117" s="15">
        <f>IFERROR(__xludf.DUMMYFUNCTION("""COMPUTED_VALUE"""),0.00707159043299327)</f>
        <v>0.007071590433</v>
      </c>
      <c r="D117" s="15">
        <f>IFERROR(__xludf.DUMMYFUNCTION("""COMPUTED_VALUE"""),0.75305180766805)</f>
        <v>0.7530518077</v>
      </c>
      <c r="E117" s="15">
        <f>IFERROR(__xludf.DUMMYFUNCTION("""COMPUTED_VALUE"""),0.393520180800807)</f>
        <v>0.3935201808</v>
      </c>
      <c r="F117" s="15"/>
      <c r="G117" s="29">
        <v>-0.527262</v>
      </c>
      <c r="H117" s="29">
        <v>0.007071</v>
      </c>
      <c r="I117" s="29">
        <v>0.7530509999999999</v>
      </c>
      <c r="J117" s="29">
        <v>0.39352</v>
      </c>
      <c r="L117" s="30"/>
    </row>
    <row r="118">
      <c r="A118" s="19"/>
      <c r="B118" s="15">
        <f>IFERROR(__xludf.DUMMYFUNCTION("""COMPUTED_VALUE"""),-0.527261637974098)</f>
        <v>-0.527261638</v>
      </c>
      <c r="C118" s="15">
        <f>IFERROR(__xludf.DUMMYFUNCTION("""COMPUTED_VALUE"""),0.00707159043299327)</f>
        <v>0.007071590433</v>
      </c>
      <c r="D118" s="15">
        <f>IFERROR(__xludf.DUMMYFUNCTION("""COMPUTED_VALUE"""),0.75305180766805)</f>
        <v>0.7530518077</v>
      </c>
      <c r="E118" s="15">
        <f>IFERROR(__xludf.DUMMYFUNCTION("""COMPUTED_VALUE"""),0.393520180800807)</f>
        <v>0.3935201808</v>
      </c>
      <c r="F118" s="15"/>
      <c r="G118" s="29">
        <v>-0.527262</v>
      </c>
      <c r="H118" s="29">
        <v>0.007071</v>
      </c>
      <c r="I118" s="29">
        <v>0.7530509999999999</v>
      </c>
      <c r="J118" s="29">
        <v>0.39352</v>
      </c>
      <c r="L118" s="30"/>
    </row>
    <row r="119">
      <c r="A119" s="19"/>
      <c r="B119" s="15">
        <f>IFERROR(__xludf.DUMMYFUNCTION("""COMPUTED_VALUE"""),-0.527261637974098)</f>
        <v>-0.527261638</v>
      </c>
      <c r="C119" s="15">
        <f>IFERROR(__xludf.DUMMYFUNCTION("""COMPUTED_VALUE"""),0.00707159043299327)</f>
        <v>0.007071590433</v>
      </c>
      <c r="D119" s="15">
        <f>IFERROR(__xludf.DUMMYFUNCTION("""COMPUTED_VALUE"""),0.75305180766805)</f>
        <v>0.7530518077</v>
      </c>
      <c r="E119" s="15">
        <f>IFERROR(__xludf.DUMMYFUNCTION("""COMPUTED_VALUE"""),0.393520180800807)</f>
        <v>0.3935201808</v>
      </c>
      <c r="F119" s="15"/>
      <c r="G119" s="29">
        <v>-0.527262</v>
      </c>
      <c r="H119" s="29">
        <v>0.007071</v>
      </c>
      <c r="I119" s="29">
        <v>0.7530509999999999</v>
      </c>
      <c r="J119" s="29">
        <v>0.39352</v>
      </c>
      <c r="L119" s="30"/>
    </row>
    <row r="120">
      <c r="A120" s="19"/>
      <c r="B120" s="15">
        <f>IFERROR(__xludf.DUMMYFUNCTION("""COMPUTED_VALUE"""),-0.525712226342588)</f>
        <v>-0.5257122263</v>
      </c>
      <c r="C120" s="15">
        <f>IFERROR(__xludf.DUMMYFUNCTION("""COMPUTED_VALUE"""),0.00411431606201737)</f>
        <v>0.004114316062</v>
      </c>
      <c r="D120" s="15">
        <f>IFERROR(__xludf.DUMMYFUNCTION("""COMPUTED_VALUE"""),0.753073771171664)</f>
        <v>0.7530737712</v>
      </c>
      <c r="E120" s="15">
        <f>IFERROR(__xludf.DUMMYFUNCTION("""COMPUTED_VALUE"""),0.395587692744034)</f>
        <v>0.3955876927</v>
      </c>
      <c r="F120" s="15"/>
      <c r="G120" s="29">
        <v>-0.525713</v>
      </c>
      <c r="H120" s="29">
        <v>0.004114</v>
      </c>
      <c r="I120" s="29">
        <v>0.753073</v>
      </c>
      <c r="J120" s="29">
        <v>0.39558699999999997</v>
      </c>
      <c r="L120" s="30"/>
    </row>
    <row r="121">
      <c r="A121" s="19"/>
      <c r="B121" s="15">
        <f>IFERROR(__xludf.DUMMYFUNCTION("""COMPUTED_VALUE"""),-0.525712226342588)</f>
        <v>-0.5257122263</v>
      </c>
      <c r="C121" s="15">
        <f>IFERROR(__xludf.DUMMYFUNCTION("""COMPUTED_VALUE"""),0.00411431606201737)</f>
        <v>0.004114316062</v>
      </c>
      <c r="D121" s="15">
        <f>IFERROR(__xludf.DUMMYFUNCTION("""COMPUTED_VALUE"""),0.753073771171664)</f>
        <v>0.7530737712</v>
      </c>
      <c r="E121" s="15">
        <f>IFERROR(__xludf.DUMMYFUNCTION("""COMPUTED_VALUE"""),0.395587692744034)</f>
        <v>0.3955876927</v>
      </c>
      <c r="F121" s="15"/>
      <c r="G121" s="29">
        <v>-0.525713</v>
      </c>
      <c r="H121" s="29">
        <v>0.004114</v>
      </c>
      <c r="I121" s="29">
        <v>0.753073</v>
      </c>
      <c r="J121" s="29">
        <v>0.39558699999999997</v>
      </c>
      <c r="L121" s="30"/>
    </row>
    <row r="122">
      <c r="A122" s="19"/>
      <c r="B122" s="15">
        <f>IFERROR(__xludf.DUMMYFUNCTION("""COMPUTED_VALUE"""),-0.521193319282101)</f>
        <v>-0.5211933193</v>
      </c>
      <c r="C122" s="15">
        <f>IFERROR(__xludf.DUMMYFUNCTION("""COMPUTED_VALUE"""),0.00271852964283869)</f>
        <v>0.002718529643</v>
      </c>
      <c r="D122" s="15">
        <f>IFERROR(__xludf.DUMMYFUNCTION("""COMPUTED_VALUE"""),0.755136659974422)</f>
        <v>0.75513666</v>
      </c>
      <c r="E122" s="15">
        <f>IFERROR(__xludf.DUMMYFUNCTION("""COMPUTED_VALUE"""),0.397641494684545)</f>
        <v>0.3976414947</v>
      </c>
      <c r="F122" s="15"/>
      <c r="G122" s="29">
        <v>-0.5211939999999999</v>
      </c>
      <c r="H122" s="29">
        <v>0.002718</v>
      </c>
      <c r="I122" s="29">
        <v>0.7551359999999999</v>
      </c>
      <c r="J122" s="29">
        <v>0.39764099999999997</v>
      </c>
      <c r="L122" s="30"/>
    </row>
    <row r="123">
      <c r="A123" s="19"/>
      <c r="B123" s="15">
        <f>IFERROR(__xludf.DUMMYFUNCTION("""COMPUTED_VALUE"""),-0.519627770121382)</f>
        <v>-0.5196277701</v>
      </c>
      <c r="C123" s="15">
        <f>IFERROR(__xludf.DUMMYFUNCTION("""COMPUTED_VALUE"""),-2.4689833792323E-4)</f>
        <v>-0.0002468983379</v>
      </c>
      <c r="D123" s="15">
        <f>IFERROR(__xludf.DUMMYFUNCTION("""COMPUTED_VALUE"""),0.755141513017233)</f>
        <v>0.755141513</v>
      </c>
      <c r="E123" s="15">
        <f>IFERROR(__xludf.DUMMYFUNCTION("""COMPUTED_VALUE"""),0.399685144680076)</f>
        <v>0.3996851447</v>
      </c>
      <c r="F123" s="15"/>
      <c r="G123" s="29">
        <v>-0.519628</v>
      </c>
      <c r="H123" s="29">
        <v>-2.47E-4</v>
      </c>
      <c r="I123" s="29">
        <v>0.755141</v>
      </c>
      <c r="J123" s="29">
        <v>0.39968499999999996</v>
      </c>
      <c r="L123" s="30"/>
    </row>
    <row r="124">
      <c r="A124" s="19"/>
      <c r="B124" s="15">
        <f>IFERROR(__xludf.DUMMYFUNCTION("""COMPUTED_VALUE"""),-0.516658337393085)</f>
        <v>-0.5166583374</v>
      </c>
      <c r="C124" s="15">
        <f>IFERROR(__xludf.DUMMYFUNCTION("""COMPUTED_VALUE"""),0.00132265937780811)</f>
        <v>0.001322659378</v>
      </c>
      <c r="D124" s="15">
        <f>IFERROR(__xludf.DUMMYFUNCTION("""COMPUTED_VALUE"""),0.757176258585469)</f>
        <v>0.7571762586</v>
      </c>
      <c r="E124" s="15">
        <f>IFERROR(__xludf.DUMMYFUNCTION("""COMPUTED_VALUE"""),0.399683032425562)</f>
        <v>0.3996830324</v>
      </c>
      <c r="F124" s="15"/>
      <c r="G124" s="29">
        <v>-0.516659</v>
      </c>
      <c r="H124" s="29">
        <v>0.001322</v>
      </c>
      <c r="I124" s="29">
        <v>0.757176</v>
      </c>
      <c r="J124" s="29">
        <v>0.39968299999999995</v>
      </c>
      <c r="K124" s="33" t="s">
        <v>409</v>
      </c>
      <c r="L124" s="31" t="s">
        <v>410</v>
      </c>
    </row>
    <row r="125">
      <c r="A125" s="19"/>
      <c r="B125" s="15">
        <f>IFERROR(__xludf.DUMMYFUNCTION("""COMPUTED_VALUE"""),-0.516658337393085)</f>
        <v>-0.5166583374</v>
      </c>
      <c r="C125" s="15">
        <f>IFERROR(__xludf.DUMMYFUNCTION("""COMPUTED_VALUE"""),0.00132265937780811)</f>
        <v>0.001322659378</v>
      </c>
      <c r="D125" s="15">
        <f>IFERROR(__xludf.DUMMYFUNCTION("""COMPUTED_VALUE"""),0.757176258585469)</f>
        <v>0.7571762586</v>
      </c>
      <c r="E125" s="15">
        <f>IFERROR(__xludf.DUMMYFUNCTION("""COMPUTED_VALUE"""),0.399683032425562)</f>
        <v>0.3996830324</v>
      </c>
      <c r="F125" s="15"/>
      <c r="G125" s="29">
        <v>-0.516659</v>
      </c>
      <c r="H125" s="29">
        <v>0.001322</v>
      </c>
      <c r="I125" s="29">
        <v>0.757176</v>
      </c>
      <c r="J125" s="29">
        <v>0.39968299999999995</v>
      </c>
      <c r="L125" s="30"/>
    </row>
    <row r="126">
      <c r="A126" s="19"/>
      <c r="B126" s="15">
        <f>IFERROR(__xludf.DUMMYFUNCTION("""COMPUTED_VALUE"""),-0.516658337393085)</f>
        <v>-0.5166583374</v>
      </c>
      <c r="C126" s="15">
        <f>IFERROR(__xludf.DUMMYFUNCTION("""COMPUTED_VALUE"""),0.00132265937780811)</f>
        <v>0.001322659378</v>
      </c>
      <c r="D126" s="15">
        <f>IFERROR(__xludf.DUMMYFUNCTION("""COMPUTED_VALUE"""),0.757176258585469)</f>
        <v>0.7571762586</v>
      </c>
      <c r="E126" s="15">
        <f>IFERROR(__xludf.DUMMYFUNCTION("""COMPUTED_VALUE"""),0.399683032425562)</f>
        <v>0.3996830324</v>
      </c>
      <c r="F126" s="15"/>
      <c r="G126" s="29">
        <v>-0.516659</v>
      </c>
      <c r="H126" s="29">
        <v>0.001322</v>
      </c>
      <c r="I126" s="29">
        <v>0.757176</v>
      </c>
      <c r="J126" s="29">
        <v>0.39968299999999995</v>
      </c>
      <c r="L126" s="30"/>
    </row>
    <row r="127">
      <c r="A127" s="19"/>
      <c r="B127" s="15">
        <f>IFERROR(__xludf.DUMMYFUNCTION("""COMPUTED_VALUE"""),-0.513680937154563)</f>
        <v>-0.5136809372</v>
      </c>
      <c r="C127" s="15">
        <f>IFERROR(__xludf.DUMMYFUNCTION("""COMPUTED_VALUE"""),0.00289219669649688)</f>
        <v>0.002892196696</v>
      </c>
      <c r="D127" s="15">
        <f>IFERROR(__xludf.DUMMYFUNCTION("""COMPUTED_VALUE"""),0.759199327559821)</f>
        <v>0.7591993276</v>
      </c>
      <c r="E127" s="15">
        <f>IFERROR(__xludf.DUMMYFUNCTION("""COMPUTED_VALUE"""),0.399674756564624)</f>
        <v>0.3996747566</v>
      </c>
      <c r="F127" s="15"/>
      <c r="G127" s="29">
        <v>-0.5136809999999999</v>
      </c>
      <c r="H127" s="29">
        <v>0.002892</v>
      </c>
      <c r="I127" s="29">
        <v>0.759199</v>
      </c>
      <c r="J127" s="29">
        <v>0.399674</v>
      </c>
      <c r="L127" s="30"/>
    </row>
    <row r="128">
      <c r="A128" s="19"/>
      <c r="B128" s="15">
        <f>IFERROR(__xludf.DUMMYFUNCTION("""COMPUTED_VALUE"""),-0.513680937154563)</f>
        <v>-0.5136809372</v>
      </c>
      <c r="C128" s="15">
        <f>IFERROR(__xludf.DUMMYFUNCTION("""COMPUTED_VALUE"""),0.00289219669649688)</f>
        <v>0.002892196696</v>
      </c>
      <c r="D128" s="15">
        <f>IFERROR(__xludf.DUMMYFUNCTION("""COMPUTED_VALUE"""),0.759199327559821)</f>
        <v>0.7591993276</v>
      </c>
      <c r="E128" s="15">
        <f>IFERROR(__xludf.DUMMYFUNCTION("""COMPUTED_VALUE"""),0.399674756564624)</f>
        <v>0.3996747566</v>
      </c>
      <c r="F128" s="15"/>
      <c r="G128" s="29">
        <v>-0.5136809999999999</v>
      </c>
      <c r="H128" s="29">
        <v>0.002892</v>
      </c>
      <c r="I128" s="29">
        <v>0.759199</v>
      </c>
      <c r="J128" s="29">
        <v>0.399674</v>
      </c>
      <c r="L128" s="30"/>
    </row>
    <row r="129">
      <c r="A129" s="19"/>
      <c r="B129" s="15">
        <f>IFERROR(__xludf.DUMMYFUNCTION("""COMPUTED_VALUE"""),-0.510695615321009)</f>
        <v>-0.5106956153</v>
      </c>
      <c r="C129" s="15">
        <f>IFERROR(__xludf.DUMMYFUNCTION("""COMPUTED_VALUE"""),0.00446168941393742)</f>
        <v>0.004461689414</v>
      </c>
      <c r="D129" s="15">
        <f>IFERROR(__xludf.DUMMYFUNCTION("""COMPUTED_VALUE"""),0.761210688742067)</f>
        <v>0.7612106887</v>
      </c>
      <c r="E129" s="15">
        <f>IFERROR(__xludf.DUMMYFUNCTION("""COMPUTED_VALUE"""),0.399660317224885)</f>
        <v>0.3996603172</v>
      </c>
      <c r="F129" s="15"/>
      <c r="G129" s="29">
        <v>-0.5106959999999999</v>
      </c>
      <c r="H129" s="29">
        <v>0.004461</v>
      </c>
      <c r="I129" s="29">
        <v>0.7612099999999999</v>
      </c>
      <c r="J129" s="29">
        <v>0.39965999999999996</v>
      </c>
      <c r="L129" s="30"/>
    </row>
    <row r="130">
      <c r="A130" s="19"/>
      <c r="B130" s="15">
        <f>IFERROR(__xludf.DUMMYFUNCTION("""COMPUTED_VALUE"""),-0.510695615321009)</f>
        <v>-0.5106956153</v>
      </c>
      <c r="C130" s="15">
        <f>IFERROR(__xludf.DUMMYFUNCTION("""COMPUTED_VALUE"""),0.00446168941393742)</f>
        <v>0.004461689414</v>
      </c>
      <c r="D130" s="15">
        <f>IFERROR(__xludf.DUMMYFUNCTION("""COMPUTED_VALUE"""),0.761210688742067)</f>
        <v>0.7612106887</v>
      </c>
      <c r="E130" s="15">
        <f>IFERROR(__xludf.DUMMYFUNCTION("""COMPUTED_VALUE"""),0.399660317224885)</f>
        <v>0.3996603172</v>
      </c>
      <c r="F130" s="15"/>
      <c r="G130" s="29">
        <v>-0.5106959999999999</v>
      </c>
      <c r="H130" s="29">
        <v>0.004461</v>
      </c>
      <c r="I130" s="29">
        <v>0.7612099999999999</v>
      </c>
      <c r="J130" s="29">
        <v>0.39965999999999996</v>
      </c>
      <c r="L130" s="30"/>
    </row>
    <row r="131">
      <c r="A131" s="19"/>
      <c r="B131" s="15">
        <f>IFERROR(__xludf.DUMMYFUNCTION("""COMPUTED_VALUE"""),-0.507702417929775)</f>
        <v>-0.5077024179</v>
      </c>
      <c r="C131" s="15">
        <f>IFERROR(__xludf.DUMMYFUNCTION("""COMPUTED_VALUE"""),0.00603111332661194)</f>
        <v>0.006031113327</v>
      </c>
      <c r="D131" s="15">
        <f>IFERROR(__xludf.DUMMYFUNCTION("""COMPUTED_VALUE"""),0.763210311114528)</f>
        <v>0.7632103111</v>
      </c>
      <c r="E131" s="15">
        <f>IFERROR(__xludf.DUMMYFUNCTION("""COMPUTED_VALUE"""),0.399639714629019)</f>
        <v>0.3996397146</v>
      </c>
      <c r="F131" s="15"/>
      <c r="G131" s="29">
        <v>-0.507703</v>
      </c>
      <c r="H131" s="29">
        <v>0.006031</v>
      </c>
      <c r="I131" s="29">
        <v>0.7632099999999999</v>
      </c>
      <c r="J131" s="29">
        <v>0.39963899999999997</v>
      </c>
      <c r="L131" s="30"/>
    </row>
    <row r="132">
      <c r="A132" s="19"/>
      <c r="B132" s="15">
        <f>IFERROR(__xludf.DUMMYFUNCTION("""COMPUTED_VALUE"""),-0.507702417929775)</f>
        <v>-0.5077024179</v>
      </c>
      <c r="C132" s="15">
        <f>IFERROR(__xludf.DUMMYFUNCTION("""COMPUTED_VALUE"""),0.00603111332661194)</f>
        <v>0.006031113327</v>
      </c>
      <c r="D132" s="15">
        <f>IFERROR(__xludf.DUMMYFUNCTION("""COMPUTED_VALUE"""),0.763210311114528)</f>
        <v>0.7632103111</v>
      </c>
      <c r="E132" s="15">
        <f>IFERROR(__xludf.DUMMYFUNCTION("""COMPUTED_VALUE"""),0.399639714629019)</f>
        <v>0.3996397146</v>
      </c>
      <c r="F132" s="15"/>
      <c r="G132" s="29">
        <v>-0.507703</v>
      </c>
      <c r="H132" s="29">
        <v>0.006031</v>
      </c>
      <c r="I132" s="29">
        <v>0.7632099999999999</v>
      </c>
      <c r="J132" s="29">
        <v>0.39963899999999997</v>
      </c>
      <c r="L132" s="30"/>
    </row>
    <row r="133">
      <c r="A133" s="19"/>
      <c r="B133" s="15">
        <f>IFERROR(__xludf.DUMMYFUNCTION("""COMPUTED_VALUE"""),-0.507702417929775)</f>
        <v>-0.5077024179</v>
      </c>
      <c r="C133" s="15">
        <f>IFERROR(__xludf.DUMMYFUNCTION("""COMPUTED_VALUE"""),0.00603111332661194)</f>
        <v>0.006031113327</v>
      </c>
      <c r="D133" s="15">
        <f>IFERROR(__xludf.DUMMYFUNCTION("""COMPUTED_VALUE"""),0.763210311114528)</f>
        <v>0.7632103111</v>
      </c>
      <c r="E133" s="15">
        <f>IFERROR(__xludf.DUMMYFUNCTION("""COMPUTED_VALUE"""),0.399639714629019)</f>
        <v>0.3996397146</v>
      </c>
      <c r="F133" s="15"/>
      <c r="G133" s="29">
        <v>-0.507703</v>
      </c>
      <c r="H133" s="29">
        <v>0.006031</v>
      </c>
      <c r="I133" s="29">
        <v>0.7632099999999999</v>
      </c>
      <c r="J133" s="29">
        <v>0.39963899999999997</v>
      </c>
      <c r="L133" s="30"/>
    </row>
    <row r="134">
      <c r="A134" s="19"/>
      <c r="B134" s="15">
        <f>IFERROR(__xludf.DUMMYFUNCTION("""COMPUTED_VALUE"""),-0.507702417929775)</f>
        <v>-0.5077024179</v>
      </c>
      <c r="C134" s="15">
        <f>IFERROR(__xludf.DUMMYFUNCTION("""COMPUTED_VALUE"""),0.00603111332661194)</f>
        <v>0.006031113327</v>
      </c>
      <c r="D134" s="15">
        <f>IFERROR(__xludf.DUMMYFUNCTION("""COMPUTED_VALUE"""),0.763210311114528)</f>
        <v>0.7632103111</v>
      </c>
      <c r="E134" s="15">
        <f>IFERROR(__xludf.DUMMYFUNCTION("""COMPUTED_VALUE"""),0.399639714629019)</f>
        <v>0.3996397146</v>
      </c>
      <c r="F134" s="15"/>
      <c r="G134" s="29">
        <v>-0.507703</v>
      </c>
      <c r="H134" s="29">
        <v>0.006031</v>
      </c>
      <c r="I134" s="29">
        <v>0.7632099999999999</v>
      </c>
      <c r="J134" s="29">
        <v>0.39963899999999997</v>
      </c>
      <c r="L134" s="30"/>
    </row>
    <row r="135">
      <c r="A135" s="19"/>
      <c r="B135" s="15">
        <f>IFERROR(__xludf.DUMMYFUNCTION("""COMPUTED_VALUE"""),-0.504701391139666)</f>
        <v>-0.5047013911</v>
      </c>
      <c r="C135" s="15">
        <f>IFERROR(__xludf.DUMMYFUNCTION("""COMPUTED_VALUE"""),0.00760044423206366)</f>
        <v>0.007600444232</v>
      </c>
      <c r="D135" s="15">
        <f>IFERROR(__xludf.DUMMYFUNCTION("""COMPUTED_VALUE"""),0.765198163840558)</f>
        <v>0.7651981638</v>
      </c>
      <c r="E135" s="15">
        <f>IFERROR(__xludf.DUMMYFUNCTION("""COMPUTED_VALUE"""),0.399612949094743)</f>
        <v>0.3996129491</v>
      </c>
      <c r="F135" s="15"/>
      <c r="G135" s="29">
        <v>-0.504702</v>
      </c>
      <c r="H135" s="29">
        <v>0.0076</v>
      </c>
      <c r="I135" s="29">
        <v>0.7651979999999999</v>
      </c>
      <c r="J135" s="29">
        <v>0.39961199999999997</v>
      </c>
      <c r="L135" s="30"/>
    </row>
    <row r="136">
      <c r="A136" s="19"/>
      <c r="B136" s="15">
        <f>IFERROR(__xludf.DUMMYFUNCTION("""COMPUTED_VALUE"""),-0.504701391139666)</f>
        <v>-0.5047013911</v>
      </c>
      <c r="C136" s="15">
        <f>IFERROR(__xludf.DUMMYFUNCTION("""COMPUTED_VALUE"""),0.00760044423206366)</f>
        <v>0.007600444232</v>
      </c>
      <c r="D136" s="15">
        <f>IFERROR(__xludf.DUMMYFUNCTION("""COMPUTED_VALUE"""),0.765198163840558)</f>
        <v>0.7651981638</v>
      </c>
      <c r="E136" s="15">
        <f>IFERROR(__xludf.DUMMYFUNCTION("""COMPUTED_VALUE"""),0.399612949094743)</f>
        <v>0.3996129491</v>
      </c>
      <c r="F136" s="15"/>
      <c r="G136" s="29">
        <v>-0.504702</v>
      </c>
      <c r="H136" s="29">
        <v>0.0076</v>
      </c>
      <c r="I136" s="29">
        <v>0.7651979999999999</v>
      </c>
      <c r="J136" s="29">
        <v>0.39961199999999997</v>
      </c>
      <c r="L136" s="30"/>
    </row>
    <row r="137">
      <c r="A137" s="19"/>
      <c r="B137" s="15">
        <f>IFERROR(__xludf.DUMMYFUNCTION("""COMPUTED_VALUE"""),-0.501692581230224)</f>
        <v>-0.5016925812</v>
      </c>
      <c r="C137" s="15">
        <f>IFERROR(__xludf.DUMMYFUNCTION("""COMPUTED_VALUE"""),0.0091696579292701)</f>
        <v>0.009169657929</v>
      </c>
      <c r="D137" s="15">
        <f>IFERROR(__xludf.DUMMYFUNCTION("""COMPUTED_VALUE"""),0.767174216265009)</f>
        <v>0.7671742163</v>
      </c>
      <c r="E137" s="15">
        <f>IFERROR(__xludf.DUMMYFUNCTION("""COMPUTED_VALUE"""),0.399580021034814)</f>
        <v>0.399580021</v>
      </c>
      <c r="F137" s="15"/>
      <c r="G137" s="29">
        <v>-0.501693</v>
      </c>
      <c r="H137" s="29">
        <v>0.009169</v>
      </c>
      <c r="I137" s="29">
        <v>0.7671739999999999</v>
      </c>
      <c r="J137" s="29">
        <v>0.39958</v>
      </c>
      <c r="L137" s="30"/>
    </row>
    <row r="138">
      <c r="A138" s="19"/>
      <c r="B138" s="15">
        <f>IFERROR(__xludf.DUMMYFUNCTION("""COMPUTED_VALUE"""),-0.498676034601016)</f>
        <v>-0.4986760346</v>
      </c>
      <c r="C138" s="15">
        <f>IFERROR(__xludf.DUMMYFUNCTION("""COMPUTED_VALUE"""),0.0107387302190162)</f>
        <v>0.01073873022</v>
      </c>
      <c r="D138" s="15">
        <f>IFERROR(__xludf.DUMMYFUNCTION("""COMPUTED_VALUE"""),0.769138437914711)</f>
        <v>0.7691384379</v>
      </c>
      <c r="E138" s="15">
        <f>IFERROR(__xludf.DUMMYFUNCTION("""COMPUTED_VALUE"""),0.399540930957024)</f>
        <v>0.399540931</v>
      </c>
      <c r="F138" s="15"/>
      <c r="G138" s="29">
        <v>-0.498677</v>
      </c>
      <c r="H138" s="29">
        <v>0.010738</v>
      </c>
      <c r="I138" s="29">
        <v>0.769138</v>
      </c>
      <c r="J138" s="29">
        <v>0.39954</v>
      </c>
      <c r="L138" s="30"/>
    </row>
    <row r="139">
      <c r="A139" s="19"/>
      <c r="B139" s="15">
        <f>IFERROR(__xludf.DUMMYFUNCTION("""COMPUTED_VALUE"""),-0.498676034601016)</f>
        <v>-0.4986760346</v>
      </c>
      <c r="C139" s="15">
        <f>IFERROR(__xludf.DUMMYFUNCTION("""COMPUTED_VALUE"""),0.0107387302190162)</f>
        <v>0.01073873022</v>
      </c>
      <c r="D139" s="15">
        <f>IFERROR(__xludf.DUMMYFUNCTION("""COMPUTED_VALUE"""),0.769138437914711)</f>
        <v>0.7691384379</v>
      </c>
      <c r="E139" s="15">
        <f>IFERROR(__xludf.DUMMYFUNCTION("""COMPUTED_VALUE"""),0.399540930957024)</f>
        <v>0.399540931</v>
      </c>
      <c r="F139" s="15"/>
      <c r="G139" s="29">
        <v>-0.498677</v>
      </c>
      <c r="H139" s="29">
        <v>0.010738</v>
      </c>
      <c r="I139" s="29">
        <v>0.769138</v>
      </c>
      <c r="J139" s="29">
        <v>0.39954</v>
      </c>
      <c r="L139" s="30"/>
    </row>
    <row r="140">
      <c r="A140" s="19"/>
      <c r="B140" s="15">
        <f>IFERROR(__xludf.DUMMYFUNCTION("""COMPUTED_VALUE"""),-0.498676034601016)</f>
        <v>-0.4986760346</v>
      </c>
      <c r="C140" s="15">
        <f>IFERROR(__xludf.DUMMYFUNCTION("""COMPUTED_VALUE"""),0.0107387302190162)</f>
        <v>0.01073873022</v>
      </c>
      <c r="D140" s="15">
        <f>IFERROR(__xludf.DUMMYFUNCTION("""COMPUTED_VALUE"""),0.769138437914711)</f>
        <v>0.7691384379</v>
      </c>
      <c r="E140" s="15">
        <f>IFERROR(__xludf.DUMMYFUNCTION("""COMPUTED_VALUE"""),0.399540930957024)</f>
        <v>0.399540931</v>
      </c>
      <c r="F140" s="15"/>
      <c r="G140" s="29">
        <v>-0.498677</v>
      </c>
      <c r="H140" s="29">
        <v>0.010738</v>
      </c>
      <c r="I140" s="29">
        <v>0.769138</v>
      </c>
      <c r="J140" s="29">
        <v>0.39954</v>
      </c>
      <c r="L140" s="30"/>
    </row>
    <row r="141">
      <c r="A141" s="19"/>
      <c r="B141" s="15">
        <f>IFERROR(__xludf.DUMMYFUNCTION("""COMPUTED_VALUE"""),-0.495651797770922)</f>
        <v>-0.4956517978</v>
      </c>
      <c r="C141" s="15">
        <f>IFERROR(__xludf.DUMMYFUNCTION("""COMPUTED_VALUE"""),0.0123076369042679)</f>
        <v>0.0123076369</v>
      </c>
      <c r="D141" s="15">
        <f>IFERROR(__xludf.DUMMYFUNCTION("""COMPUTED_VALUE"""),0.771090798498937)</f>
        <v>0.7710907985</v>
      </c>
      <c r="E141" s="15">
        <f>IFERROR(__xludf.DUMMYFUNCTION("""COMPUTED_VALUE"""),0.39949567946419)</f>
        <v>0.3994956795</v>
      </c>
      <c r="F141" s="15"/>
      <c r="G141" s="29">
        <v>-0.495652</v>
      </c>
      <c r="H141" s="29">
        <v>0.012307</v>
      </c>
      <c r="I141" s="29">
        <v>0.7710899999999999</v>
      </c>
      <c r="J141" s="29">
        <v>0.399495</v>
      </c>
      <c r="L141" s="30"/>
    </row>
    <row r="142">
      <c r="A142" s="19"/>
      <c r="B142" s="15">
        <f>IFERROR(__xludf.DUMMYFUNCTION("""COMPUTED_VALUE"""),-0.492619917377412)</f>
        <v>-0.4926199174</v>
      </c>
      <c r="C142" s="15">
        <f>IFERROR(__xludf.DUMMYFUNCTION("""COMPUTED_VALUE"""),0.0138763537905445)</f>
        <v>0.01387635379</v>
      </c>
      <c r="D142" s="15">
        <f>IFERROR(__xludf.DUMMYFUNCTION("""COMPUTED_VALUE"""),0.773031267909874)</f>
        <v>0.7730312679</v>
      </c>
      <c r="E142" s="15">
        <f>IFERROR(__xludf.DUMMYFUNCTION("""COMPUTED_VALUE"""),0.399444267254146)</f>
        <v>0.3994442673</v>
      </c>
      <c r="F142" s="15"/>
      <c r="G142" s="29">
        <v>-0.49262</v>
      </c>
      <c r="H142" s="29">
        <v>0.013876</v>
      </c>
      <c r="I142" s="29">
        <v>0.7730309999999999</v>
      </c>
      <c r="J142" s="29">
        <v>0.39944399999999997</v>
      </c>
      <c r="L142" s="30"/>
    </row>
    <row r="143">
      <c r="A143" s="19"/>
      <c r="B143" s="15">
        <f>IFERROR(__xludf.DUMMYFUNCTION("""COMPUTED_VALUE"""),-0.492619917377412)</f>
        <v>-0.4926199174</v>
      </c>
      <c r="C143" s="15">
        <f>IFERROR(__xludf.DUMMYFUNCTION("""COMPUTED_VALUE"""),0.0138763537905445)</f>
        <v>0.01387635379</v>
      </c>
      <c r="D143" s="15">
        <f>IFERROR(__xludf.DUMMYFUNCTION("""COMPUTED_VALUE"""),0.773031267909874)</f>
        <v>0.7730312679</v>
      </c>
      <c r="E143" s="15">
        <f>IFERROR(__xludf.DUMMYFUNCTION("""COMPUTED_VALUE"""),0.399444267254146)</f>
        <v>0.3994442673</v>
      </c>
      <c r="F143" s="15"/>
      <c r="G143" s="29">
        <v>-0.49262</v>
      </c>
      <c r="H143" s="29">
        <v>0.013876</v>
      </c>
      <c r="I143" s="29">
        <v>0.7730309999999999</v>
      </c>
      <c r="J143" s="29">
        <v>0.39944399999999997</v>
      </c>
      <c r="L143" s="30"/>
    </row>
    <row r="144">
      <c r="A144" s="19"/>
      <c r="B144" s="15">
        <f>IFERROR(__xludf.DUMMYFUNCTION("""COMPUTED_VALUE"""),-0.489580440175828)</f>
        <v>-0.4895804402</v>
      </c>
      <c r="C144" s="15">
        <f>IFERROR(__xludf.DUMMYFUNCTION("""COMPUTED_VALUE"""),0.0154448566862925)</f>
        <v>0.01544485669</v>
      </c>
      <c r="D144" s="15">
        <f>IFERROR(__xludf.DUMMYFUNCTION("""COMPUTED_VALUE"""),0.774959816223085)</f>
        <v>0.7749598162</v>
      </c>
      <c r="E144" s="15">
        <f>IFERROR(__xludf.DUMMYFUNCTION("""COMPUTED_VALUE"""),0.399386695119733)</f>
        <v>0.3993866951</v>
      </c>
      <c r="F144" s="15"/>
      <c r="G144" s="29">
        <v>-0.489581</v>
      </c>
      <c r="H144" s="29">
        <v>0.015444</v>
      </c>
      <c r="I144" s="29">
        <v>0.774959</v>
      </c>
      <c r="J144" s="29">
        <v>0.39938599999999996</v>
      </c>
      <c r="L144" s="30"/>
    </row>
    <row r="145">
      <c r="A145" s="19"/>
      <c r="B145" s="15">
        <f>IFERROR(__xludf.DUMMYFUNCTION("""COMPUTED_VALUE"""),-0.486533413038666)</f>
        <v>-0.486533413</v>
      </c>
      <c r="C145" s="15">
        <f>IFERROR(__xludf.DUMMYFUNCTION("""COMPUTED_VALUE"""),0.0170131214032585)</f>
        <v>0.0170131214</v>
      </c>
      <c r="D145" s="15">
        <f>IFERROR(__xludf.DUMMYFUNCTION("""COMPUTED_VALUE"""),0.776876413697972)</f>
        <v>0.7768764137</v>
      </c>
      <c r="E145" s="15">
        <f>IFERROR(__xludf.DUMMYFUNCTION("""COMPUTED_VALUE"""),0.399322963948782)</f>
        <v>0.3993229639</v>
      </c>
      <c r="F145" s="15"/>
      <c r="G145" s="29">
        <v>-0.48653399999999997</v>
      </c>
      <c r="H145" s="29">
        <v>0.017013</v>
      </c>
      <c r="I145" s="29">
        <v>0.776876</v>
      </c>
      <c r="J145" s="29">
        <v>0.39932199999999995</v>
      </c>
      <c r="L145" s="30"/>
    </row>
    <row r="146">
      <c r="A146" s="19"/>
      <c r="B146" s="15">
        <f>IFERROR(__xludf.DUMMYFUNCTION("""COMPUTED_VALUE"""),-0.486533413038666)</f>
        <v>-0.486533413</v>
      </c>
      <c r="C146" s="15">
        <f>IFERROR(__xludf.DUMMYFUNCTION("""COMPUTED_VALUE"""),0.0170131214032585)</f>
        <v>0.0170131214</v>
      </c>
      <c r="D146" s="15">
        <f>IFERROR(__xludf.DUMMYFUNCTION("""COMPUTED_VALUE"""),0.776876413697972)</f>
        <v>0.7768764137</v>
      </c>
      <c r="E146" s="15">
        <f>IFERROR(__xludf.DUMMYFUNCTION("""COMPUTED_VALUE"""),0.399322963948782)</f>
        <v>0.3993229639</v>
      </c>
      <c r="F146" s="15"/>
      <c r="G146" s="29">
        <v>-0.48653399999999997</v>
      </c>
      <c r="H146" s="29">
        <v>0.017013</v>
      </c>
      <c r="I146" s="29">
        <v>0.776876</v>
      </c>
      <c r="J146" s="29">
        <v>0.39932199999999995</v>
      </c>
      <c r="L146" s="30"/>
    </row>
    <row r="147">
      <c r="A147" s="19"/>
      <c r="B147" s="15">
        <f>IFERROR(__xludf.DUMMYFUNCTION("""COMPUTED_VALUE"""),-0.483478882954853)</f>
        <v>-0.483478883</v>
      </c>
      <c r="C147" s="15">
        <f>IFERROR(__xludf.DUMMYFUNCTION("""COMPUTED_VALUE"""),0.0185811237568618)</f>
        <v>0.01858112376</v>
      </c>
      <c r="D147" s="15">
        <f>IFERROR(__xludf.DUMMYFUNCTION("""COMPUTED_VALUE"""),0.778781030778231)</f>
        <v>0.7787810308</v>
      </c>
      <c r="E147" s="15">
        <f>IFERROR(__xludf.DUMMYFUNCTION("""COMPUTED_VALUE"""),0.399253074724109)</f>
        <v>0.3992530747</v>
      </c>
      <c r="F147" s="15"/>
      <c r="G147" s="29">
        <v>-0.483479</v>
      </c>
      <c r="H147" s="29">
        <v>0.018581</v>
      </c>
      <c r="I147" s="29">
        <v>0.778781</v>
      </c>
      <c r="J147" s="29">
        <v>0.39925299999999997</v>
      </c>
      <c r="L147" s="30"/>
    </row>
    <row r="148">
      <c r="A148" s="19"/>
      <c r="B148" s="15">
        <f>IFERROR(__xludf.DUMMYFUNCTION("""COMPUTED_VALUE"""),-0.483478882954853)</f>
        <v>-0.483478883</v>
      </c>
      <c r="C148" s="15">
        <f>IFERROR(__xludf.DUMMYFUNCTION("""COMPUTED_VALUE"""),0.0185811237568618)</f>
        <v>0.01858112376</v>
      </c>
      <c r="D148" s="15">
        <f>IFERROR(__xludf.DUMMYFUNCTION("""COMPUTED_VALUE"""),0.778781030778231)</f>
        <v>0.7787810308</v>
      </c>
      <c r="E148" s="15">
        <f>IFERROR(__xludf.DUMMYFUNCTION("""COMPUTED_VALUE"""),0.399253074724109)</f>
        <v>0.3992530747</v>
      </c>
      <c r="F148" s="15"/>
      <c r="G148" s="29">
        <v>-0.483479</v>
      </c>
      <c r="H148" s="29">
        <v>0.018581</v>
      </c>
      <c r="I148" s="29">
        <v>0.778781</v>
      </c>
      <c r="J148" s="29">
        <v>0.39925299999999997</v>
      </c>
      <c r="L148" s="30"/>
    </row>
    <row r="149">
      <c r="A149" s="19"/>
      <c r="B149" s="15">
        <f>IFERROR(__xludf.DUMMYFUNCTION("""COMPUTED_VALUE"""),-0.483478882954853)</f>
        <v>-0.483478883</v>
      </c>
      <c r="C149" s="15">
        <f>IFERROR(__xludf.DUMMYFUNCTION("""COMPUTED_VALUE"""),0.0185811237568618)</f>
        <v>0.01858112376</v>
      </c>
      <c r="D149" s="15">
        <f>IFERROR(__xludf.DUMMYFUNCTION("""COMPUTED_VALUE"""),0.778781030778231)</f>
        <v>0.7787810308</v>
      </c>
      <c r="E149" s="15">
        <f>IFERROR(__xludf.DUMMYFUNCTION("""COMPUTED_VALUE"""),0.399253074724109)</f>
        <v>0.3992530747</v>
      </c>
      <c r="F149" s="15"/>
      <c r="G149" s="29">
        <v>-0.483479</v>
      </c>
      <c r="H149" s="29">
        <v>0.018581</v>
      </c>
      <c r="I149" s="29">
        <v>0.778781</v>
      </c>
      <c r="J149" s="29">
        <v>0.39925299999999997</v>
      </c>
      <c r="L149" s="30"/>
    </row>
    <row r="150">
      <c r="A150" s="19"/>
      <c r="B150" s="15">
        <f>IFERROR(__xludf.DUMMYFUNCTION("""COMPUTED_VALUE"""),-0.480416897029016)</f>
        <v>-0.480416897</v>
      </c>
      <c r="C150" s="15">
        <f>IFERROR(__xludf.DUMMYFUNCTION("""COMPUTED_VALUE"""),0.0201488395665679)</f>
        <v>0.02014883957</v>
      </c>
      <c r="D150" s="15">
        <f>IFERROR(__xludf.DUMMYFUNCTION("""COMPUTED_VALUE"""),0.780673638092313)</f>
        <v>0.7806736381</v>
      </c>
      <c r="E150" s="15">
        <f>IFERROR(__xludf.DUMMYFUNCTION("""COMPUTED_VALUE"""),0.39917702852349)</f>
        <v>0.3991770285</v>
      </c>
      <c r="F150" s="15"/>
      <c r="G150" s="29">
        <v>-0.480417</v>
      </c>
      <c r="H150" s="29">
        <v>0.020148</v>
      </c>
      <c r="I150" s="29">
        <v>0.780673</v>
      </c>
      <c r="J150" s="29">
        <v>0.399177</v>
      </c>
      <c r="L150" s="30"/>
    </row>
    <row r="151">
      <c r="A151" s="19"/>
      <c r="B151" s="15">
        <f>IFERROR(__xludf.DUMMYFUNCTION("""COMPUTED_VALUE"""),-0.477347502480765)</f>
        <v>-0.4773475025</v>
      </c>
      <c r="C151" s="15">
        <f>IFERROR(__xludf.DUMMYFUNCTION("""COMPUTED_VALUE"""),0.0217162446562611)</f>
        <v>0.02171624466</v>
      </c>
      <c r="D151" s="15">
        <f>IFERROR(__xludf.DUMMYFUNCTION("""COMPUTED_VALUE"""),0.782554206453874)</f>
        <v>0.7825542065</v>
      </c>
      <c r="E151" s="15">
        <f>IFERROR(__xludf.DUMMYFUNCTION("""COMPUTED_VALUE"""),0.399094826519653)</f>
        <v>0.3990948265</v>
      </c>
      <c r="F151" s="15"/>
      <c r="G151" s="29">
        <v>-0.477348</v>
      </c>
      <c r="H151" s="29">
        <v>0.021716</v>
      </c>
      <c r="I151" s="29">
        <v>0.782554</v>
      </c>
      <c r="J151" s="29">
        <v>0.399094</v>
      </c>
      <c r="L151" s="30"/>
    </row>
    <row r="152">
      <c r="A152" s="19"/>
      <c r="B152" s="15">
        <f>IFERROR(__xludf.DUMMYFUNCTION("""COMPUTED_VALUE"""),-0.477347502480765)</f>
        <v>-0.4773475025</v>
      </c>
      <c r="C152" s="15">
        <f>IFERROR(__xludf.DUMMYFUNCTION("""COMPUTED_VALUE"""),0.0217162446562611)</f>
        <v>0.02171624466</v>
      </c>
      <c r="D152" s="15">
        <f>IFERROR(__xludf.DUMMYFUNCTION("""COMPUTED_VALUE"""),0.782554206453874)</f>
        <v>0.7825542065</v>
      </c>
      <c r="E152" s="15">
        <f>IFERROR(__xludf.DUMMYFUNCTION("""COMPUTED_VALUE"""),0.399094826519653)</f>
        <v>0.3990948265</v>
      </c>
      <c r="F152" s="15"/>
      <c r="G152" s="29">
        <v>-0.477348</v>
      </c>
      <c r="H152" s="29">
        <v>0.021716</v>
      </c>
      <c r="I152" s="29">
        <v>0.782554</v>
      </c>
      <c r="J152" s="29">
        <v>0.399094</v>
      </c>
      <c r="L152" s="30"/>
    </row>
    <row r="153">
      <c r="A153" s="19"/>
      <c r="B153" s="15">
        <f>IFERROR(__xludf.DUMMYFUNCTION("""COMPUTED_VALUE"""),-0.471186676965971)</f>
        <v>-0.471186677</v>
      </c>
      <c r="C153" s="15">
        <f>IFERROR(__xludf.DUMMYFUNCTION("""COMPUTED_VALUE"""),0.0248500259954771)</f>
        <v>0.024850026</v>
      </c>
      <c r="D153" s="15">
        <f>IFERROR(__xludf.DUMMYFUNCTION("""COMPUTED_VALUE"""),0.786279110502779)</f>
        <v>0.7862791105</v>
      </c>
      <c r="E153" s="15">
        <f>IFERROR(__xludf.DUMMYFUNCTION("""COMPUTED_VALUE"""),0.39891196026786)</f>
        <v>0.3989119603</v>
      </c>
      <c r="F153" s="15"/>
      <c r="G153" s="29">
        <v>-0.47118699999999997</v>
      </c>
      <c r="H153" s="29">
        <v>0.02485</v>
      </c>
      <c r="I153" s="29">
        <v>0.786279</v>
      </c>
      <c r="J153" s="29">
        <v>0.39891099999999996</v>
      </c>
      <c r="L153" s="30"/>
    </row>
    <row r="154">
      <c r="A154" s="19"/>
      <c r="B154" s="15">
        <f>IFERROR(__xludf.DUMMYFUNCTION("""COMPUTED_VALUE"""),-0.471186676965971)</f>
        <v>-0.471186677</v>
      </c>
      <c r="C154" s="15">
        <f>IFERROR(__xludf.DUMMYFUNCTION("""COMPUTED_VALUE"""),0.0248500259954771)</f>
        <v>0.024850026</v>
      </c>
      <c r="D154" s="15">
        <f>IFERROR(__xludf.DUMMYFUNCTION("""COMPUTED_VALUE"""),0.786279110502779)</f>
        <v>0.7862791105</v>
      </c>
      <c r="E154" s="15">
        <f>IFERROR(__xludf.DUMMYFUNCTION("""COMPUTED_VALUE"""),0.39891196026786)</f>
        <v>0.3989119603</v>
      </c>
      <c r="F154" s="15"/>
      <c r="G154" s="29">
        <v>-0.47118699999999997</v>
      </c>
      <c r="H154" s="29">
        <v>0.02485</v>
      </c>
      <c r="I154" s="29">
        <v>0.786279</v>
      </c>
      <c r="J154" s="29">
        <v>0.39891099999999996</v>
      </c>
      <c r="L154" s="30"/>
    </row>
    <row r="155">
      <c r="A155" s="19"/>
      <c r="B155" s="15">
        <f>IFERROR(__xludf.DUMMYFUNCTION("""COMPUTED_VALUE"""),-0.471186676965971)</f>
        <v>-0.471186677</v>
      </c>
      <c r="C155" s="15">
        <f>IFERROR(__xludf.DUMMYFUNCTION("""COMPUTED_VALUE"""),0.0248500259954771)</f>
        <v>0.024850026</v>
      </c>
      <c r="D155" s="15">
        <f>IFERROR(__xludf.DUMMYFUNCTION("""COMPUTED_VALUE"""),0.786279110502779)</f>
        <v>0.7862791105</v>
      </c>
      <c r="E155" s="15">
        <f>IFERROR(__xludf.DUMMYFUNCTION("""COMPUTED_VALUE"""),0.39891196026786)</f>
        <v>0.3989119603</v>
      </c>
      <c r="F155" s="15"/>
      <c r="G155" s="29">
        <v>-0.47118699999999997</v>
      </c>
      <c r="H155" s="29">
        <v>0.02485</v>
      </c>
      <c r="I155" s="29">
        <v>0.786279</v>
      </c>
      <c r="J155" s="29">
        <v>0.39891099999999996</v>
      </c>
      <c r="L155" s="30"/>
    </row>
    <row r="156">
      <c r="A156" s="19"/>
      <c r="B156" s="15">
        <f>IFERROR(__xludf.DUMMYFUNCTION("""COMPUTED_VALUE"""),-0.471186676965971)</f>
        <v>-0.471186677</v>
      </c>
      <c r="C156" s="15">
        <f>IFERROR(__xludf.DUMMYFUNCTION("""COMPUTED_VALUE"""),0.0248500259954771)</f>
        <v>0.024850026</v>
      </c>
      <c r="D156" s="15">
        <f>IFERROR(__xludf.DUMMYFUNCTION("""COMPUTED_VALUE"""),0.786279110502779)</f>
        <v>0.7862791105</v>
      </c>
      <c r="E156" s="15">
        <f>IFERROR(__xludf.DUMMYFUNCTION("""COMPUTED_VALUE"""),0.39891196026786)</f>
        <v>0.3989119603</v>
      </c>
      <c r="F156" s="15"/>
      <c r="G156" s="29">
        <v>-0.47118699999999997</v>
      </c>
      <c r="H156" s="29">
        <v>0.02485</v>
      </c>
      <c r="I156" s="29">
        <v>0.786279</v>
      </c>
      <c r="J156" s="29">
        <v>0.39891099999999996</v>
      </c>
      <c r="L156" s="30"/>
    </row>
    <row r="157">
      <c r="A157" s="19"/>
      <c r="B157" s="15">
        <f>IFERROR(__xludf.DUMMYFUNCTION("""COMPUTED_VALUE"""),-0.471186676965971)</f>
        <v>-0.471186677</v>
      </c>
      <c r="C157" s="15">
        <f>IFERROR(__xludf.DUMMYFUNCTION("""COMPUTED_VALUE"""),0.0248500259954771)</f>
        <v>0.024850026</v>
      </c>
      <c r="D157" s="15">
        <f>IFERROR(__xludf.DUMMYFUNCTION("""COMPUTED_VALUE"""),0.786279110502779)</f>
        <v>0.7862791105</v>
      </c>
      <c r="E157" s="15">
        <f>IFERROR(__xludf.DUMMYFUNCTION("""COMPUTED_VALUE"""),0.39891196026786)</f>
        <v>0.3989119603</v>
      </c>
      <c r="F157" s="15"/>
      <c r="G157" s="29">
        <v>-0.47118699999999997</v>
      </c>
      <c r="H157" s="29">
        <v>0.02485</v>
      </c>
      <c r="I157" s="29">
        <v>0.786279</v>
      </c>
      <c r="J157" s="29">
        <v>0.39891099999999996</v>
      </c>
      <c r="L157" s="30"/>
    </row>
    <row r="158">
      <c r="A158" s="19"/>
      <c r="B158" s="15">
        <f>IFERROR(__xludf.DUMMYFUNCTION("""COMPUTED_VALUE"""),-0.471186676965971)</f>
        <v>-0.471186677</v>
      </c>
      <c r="C158" s="15">
        <f>IFERROR(__xludf.DUMMYFUNCTION("""COMPUTED_VALUE"""),0.0248500259954771)</f>
        <v>0.024850026</v>
      </c>
      <c r="D158" s="15">
        <f>IFERROR(__xludf.DUMMYFUNCTION("""COMPUTED_VALUE"""),0.786279110502779)</f>
        <v>0.7862791105</v>
      </c>
      <c r="E158" s="15">
        <f>IFERROR(__xludf.DUMMYFUNCTION("""COMPUTED_VALUE"""),0.39891196026786)</f>
        <v>0.3989119603</v>
      </c>
      <c r="F158" s="15"/>
      <c r="G158" s="29">
        <v>-0.47118699999999997</v>
      </c>
      <c r="H158" s="29">
        <v>0.02485</v>
      </c>
      <c r="I158" s="29">
        <v>0.786279</v>
      </c>
      <c r="J158" s="29">
        <v>0.39891099999999996</v>
      </c>
      <c r="L158" s="30"/>
    </row>
    <row r="159">
      <c r="A159" s="19"/>
      <c r="B159" s="15">
        <f>IFERROR(__xludf.DUMMYFUNCTION("""COMPUTED_VALUE"""),-0.471186676965971)</f>
        <v>-0.471186677</v>
      </c>
      <c r="C159" s="15">
        <f>IFERROR(__xludf.DUMMYFUNCTION("""COMPUTED_VALUE"""),0.0248500259954771)</f>
        <v>0.024850026</v>
      </c>
      <c r="D159" s="15">
        <f>IFERROR(__xludf.DUMMYFUNCTION("""COMPUTED_VALUE"""),0.786279110502779)</f>
        <v>0.7862791105</v>
      </c>
      <c r="E159" s="15">
        <f>IFERROR(__xludf.DUMMYFUNCTION("""COMPUTED_VALUE"""),0.39891196026786)</f>
        <v>0.3989119603</v>
      </c>
      <c r="F159" s="15"/>
      <c r="G159" s="29">
        <v>-0.47118699999999997</v>
      </c>
      <c r="H159" s="29">
        <v>0.02485</v>
      </c>
      <c r="I159" s="29">
        <v>0.786279</v>
      </c>
      <c r="J159" s="29">
        <v>0.39891099999999996</v>
      </c>
      <c r="L159" s="30"/>
    </row>
    <row r="160">
      <c r="A160" s="19"/>
      <c r="B160" s="15">
        <f>IFERROR(__xludf.DUMMYFUNCTION("""COMPUTED_VALUE"""),-0.471186676965971)</f>
        <v>-0.471186677</v>
      </c>
      <c r="C160" s="15">
        <f>IFERROR(__xludf.DUMMYFUNCTION("""COMPUTED_VALUE"""),0.0248500259954771)</f>
        <v>0.024850026</v>
      </c>
      <c r="D160" s="15">
        <f>IFERROR(__xludf.DUMMYFUNCTION("""COMPUTED_VALUE"""),0.786279110502779)</f>
        <v>0.7862791105</v>
      </c>
      <c r="E160" s="15">
        <f>IFERROR(__xludf.DUMMYFUNCTION("""COMPUTED_VALUE"""),0.39891196026786)</f>
        <v>0.3989119603</v>
      </c>
      <c r="F160" s="15"/>
      <c r="G160" s="29">
        <v>-0.47118699999999997</v>
      </c>
      <c r="H160" s="29">
        <v>0.02485</v>
      </c>
      <c r="I160" s="29">
        <v>0.786279</v>
      </c>
      <c r="J160" s="29">
        <v>0.39891099999999996</v>
      </c>
      <c r="L160" s="30"/>
    </row>
    <row r="161">
      <c r="A161" s="19"/>
      <c r="B161" s="15">
        <f>IFERROR(__xludf.DUMMYFUNCTION("""COMPUTED_VALUE"""),-0.471186676965971)</f>
        <v>-0.471186677</v>
      </c>
      <c r="C161" s="15">
        <f>IFERROR(__xludf.DUMMYFUNCTION("""COMPUTED_VALUE"""),0.0248500259954771)</f>
        <v>0.024850026</v>
      </c>
      <c r="D161" s="15">
        <f>IFERROR(__xludf.DUMMYFUNCTION("""COMPUTED_VALUE"""),0.786279110502779)</f>
        <v>0.7862791105</v>
      </c>
      <c r="E161" s="15">
        <f>IFERROR(__xludf.DUMMYFUNCTION("""COMPUTED_VALUE"""),0.39891196026786)</f>
        <v>0.3989119603</v>
      </c>
      <c r="F161" s="15"/>
      <c r="G161" s="29">
        <v>-0.47118699999999997</v>
      </c>
      <c r="H161" s="29">
        <v>0.02485</v>
      </c>
      <c r="I161" s="29">
        <v>0.786279</v>
      </c>
      <c r="J161" s="29">
        <v>0.39891099999999996</v>
      </c>
      <c r="L161" s="30"/>
    </row>
    <row r="162">
      <c r="A162" s="19"/>
      <c r="B162" s="15">
        <f>IFERROR(__xludf.DUMMYFUNCTION("""COMPUTED_VALUE"""),-0.471186676965971)</f>
        <v>-0.471186677</v>
      </c>
      <c r="C162" s="15">
        <f>IFERROR(__xludf.DUMMYFUNCTION("""COMPUTED_VALUE"""),0.0248500259954771)</f>
        <v>0.024850026</v>
      </c>
      <c r="D162" s="15">
        <f>IFERROR(__xludf.DUMMYFUNCTION("""COMPUTED_VALUE"""),0.786279110502779)</f>
        <v>0.7862791105</v>
      </c>
      <c r="E162" s="15">
        <f>IFERROR(__xludf.DUMMYFUNCTION("""COMPUTED_VALUE"""),0.39891196026786)</f>
        <v>0.3989119603</v>
      </c>
      <c r="F162" s="15"/>
      <c r="G162" s="29">
        <v>-0.47118699999999997</v>
      </c>
      <c r="H162" s="29">
        <v>0.02485</v>
      </c>
      <c r="I162" s="29">
        <v>0.786279</v>
      </c>
      <c r="J162" s="29">
        <v>0.39891099999999996</v>
      </c>
      <c r="L162" s="30"/>
    </row>
    <row r="163">
      <c r="A163" s="19"/>
      <c r="B163" s="15">
        <f>IFERROR(__xludf.DUMMYFUNCTION("""COMPUTED_VALUE"""),-0.471186676965971)</f>
        <v>-0.471186677</v>
      </c>
      <c r="C163" s="15">
        <f>IFERROR(__xludf.DUMMYFUNCTION("""COMPUTED_VALUE"""),0.0248500259954771)</f>
        <v>0.024850026</v>
      </c>
      <c r="D163" s="15">
        <f>IFERROR(__xludf.DUMMYFUNCTION("""COMPUTED_VALUE"""),0.786279110502779)</f>
        <v>0.7862791105</v>
      </c>
      <c r="E163" s="15">
        <f>IFERROR(__xludf.DUMMYFUNCTION("""COMPUTED_VALUE"""),0.39891196026786)</f>
        <v>0.3989119603</v>
      </c>
      <c r="F163" s="15"/>
      <c r="G163" s="29">
        <v>-0.47118699999999997</v>
      </c>
      <c r="H163" s="29">
        <v>0.02485</v>
      </c>
      <c r="I163" s="29">
        <v>0.786279</v>
      </c>
      <c r="J163" s="29">
        <v>0.39891099999999996</v>
      </c>
      <c r="L163" s="30"/>
    </row>
    <row r="164">
      <c r="A164" s="19"/>
      <c r="B164" s="15"/>
      <c r="C164" s="15"/>
      <c r="D164" s="15"/>
      <c r="E164" s="15"/>
      <c r="F164" s="19"/>
      <c r="G164" s="19"/>
      <c r="H164" s="19"/>
      <c r="I164" s="19"/>
      <c r="J164" s="19"/>
      <c r="L164" s="30"/>
    </row>
  </sheetData>
  <mergeCells count="2">
    <mergeCell ref="B1:E1"/>
    <mergeCell ref="G1:J1"/>
  </mergeCells>
  <conditionalFormatting sqref="B5:J163">
    <cfRule type="expression" dxfId="0" priority="1">
      <formula>B5&lt;&gt;B4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7.25"/>
  </cols>
  <sheetData>
    <row r="1">
      <c r="A1" s="34" t="s">
        <v>411</v>
      </c>
      <c r="B1" s="34"/>
      <c r="C1" s="34"/>
      <c r="D1" s="35"/>
      <c r="E1" s="34"/>
      <c r="F1" s="34"/>
      <c r="G1" s="34"/>
      <c r="H1" s="34"/>
      <c r="I1" s="34"/>
      <c r="J1" s="34"/>
    </row>
    <row r="2">
      <c r="A2" s="34" t="s">
        <v>412</v>
      </c>
      <c r="B2" s="36">
        <v>1048576.0</v>
      </c>
      <c r="C2" s="37"/>
      <c r="D2" s="37"/>
      <c r="E2" s="34"/>
      <c r="F2" s="34"/>
      <c r="G2" s="34"/>
      <c r="H2" s="34"/>
      <c r="I2" s="34"/>
      <c r="J2" s="34"/>
    </row>
    <row r="3">
      <c r="A3" s="34" t="s">
        <v>413</v>
      </c>
      <c r="B3" s="36">
        <v>16384.0</v>
      </c>
      <c r="C3" s="34"/>
      <c r="D3" s="34"/>
      <c r="E3" s="34"/>
      <c r="F3" s="34"/>
      <c r="G3" s="34"/>
      <c r="H3" s="34"/>
      <c r="I3" s="34"/>
      <c r="J3" s="34"/>
    </row>
    <row r="4">
      <c r="A4" s="34"/>
      <c r="B4" s="34"/>
      <c r="C4" s="34"/>
      <c r="D4" s="34"/>
      <c r="E4" s="34"/>
      <c r="F4" s="34"/>
      <c r="G4" s="34"/>
      <c r="H4" s="34"/>
      <c r="I4" s="34"/>
      <c r="J4" s="34"/>
    </row>
    <row r="5">
      <c r="A5" s="34"/>
      <c r="B5" s="34"/>
      <c r="C5" s="34"/>
      <c r="D5" s="34"/>
      <c r="E5" s="34"/>
      <c r="F5" s="34"/>
      <c r="G5" s="34"/>
      <c r="H5" s="34"/>
      <c r="I5" s="34"/>
      <c r="J5" s="34"/>
    </row>
    <row r="6">
      <c r="A6" s="38" t="s">
        <v>414</v>
      </c>
      <c r="B6" s="39"/>
      <c r="C6" s="40" t="s">
        <v>415</v>
      </c>
      <c r="D6" s="34"/>
      <c r="E6" s="34"/>
      <c r="F6" s="41" t="s">
        <v>416</v>
      </c>
      <c r="G6" s="42" t="s">
        <v>417</v>
      </c>
      <c r="H6" s="34"/>
      <c r="I6" s="34"/>
      <c r="J6" s="34"/>
    </row>
    <row r="7">
      <c r="A7" s="43"/>
      <c r="B7" s="44"/>
      <c r="D7" s="34"/>
      <c r="E7" s="34"/>
      <c r="F7" s="45" t="s">
        <v>418</v>
      </c>
      <c r="G7" s="46">
        <v>32767.0</v>
      </c>
      <c r="H7" s="34"/>
      <c r="I7" s="34"/>
      <c r="J7" s="34"/>
    </row>
    <row r="8">
      <c r="A8" s="47" t="s">
        <v>419</v>
      </c>
      <c r="B8" s="44"/>
      <c r="C8" s="48">
        <f>G13/(G14*G8)</f>
        <v>249.6609524</v>
      </c>
      <c r="E8" s="34"/>
      <c r="F8" s="43" t="s">
        <v>420</v>
      </c>
      <c r="G8" s="49">
        <v>7.0</v>
      </c>
      <c r="H8" s="34"/>
      <c r="I8" s="34"/>
      <c r="J8" s="34"/>
    </row>
    <row r="9">
      <c r="A9" s="43" t="s">
        <v>421</v>
      </c>
      <c r="B9" s="44" t="s">
        <v>422</v>
      </c>
      <c r="C9" s="48"/>
      <c r="E9" s="34"/>
      <c r="F9" s="45" t="s">
        <v>423</v>
      </c>
      <c r="G9" s="50">
        <v>60.0</v>
      </c>
      <c r="H9" s="34"/>
      <c r="I9" s="34"/>
      <c r="J9" s="34"/>
    </row>
    <row r="10">
      <c r="A10" s="43"/>
      <c r="B10" s="44"/>
      <c r="C10" s="48"/>
      <c r="E10" s="34"/>
      <c r="F10" s="45" t="s">
        <v>424</v>
      </c>
      <c r="G10" s="51">
        <v>60.0</v>
      </c>
      <c r="H10" s="34"/>
      <c r="I10" s="34"/>
      <c r="J10" s="34"/>
    </row>
    <row r="11">
      <c r="A11" s="52" t="s">
        <v>425</v>
      </c>
      <c r="B11" s="44"/>
      <c r="C11" s="53">
        <f>G13/(G14)</f>
        <v>1747.626667</v>
      </c>
      <c r="F11" s="45" t="s">
        <v>426</v>
      </c>
      <c r="G11" s="51">
        <f>G7/10/14</f>
        <v>234.05</v>
      </c>
      <c r="H11" s="34"/>
      <c r="I11" s="54"/>
      <c r="J11" s="34"/>
    </row>
    <row r="12">
      <c r="A12" s="43" t="s">
        <v>421</v>
      </c>
      <c r="B12" s="44"/>
      <c r="C12" s="48"/>
      <c r="F12" s="43" t="s">
        <v>427</v>
      </c>
      <c r="G12" s="49">
        <v>10.0</v>
      </c>
      <c r="H12" s="34"/>
      <c r="I12" s="34"/>
      <c r="J12" s="34"/>
    </row>
    <row r="13">
      <c r="A13" s="43"/>
      <c r="B13" s="44"/>
      <c r="C13" s="48"/>
      <c r="F13" s="47" t="s">
        <v>428</v>
      </c>
      <c r="G13" s="55">
        <v>1048576.0</v>
      </c>
      <c r="H13" s="34"/>
      <c r="I13" s="34"/>
      <c r="J13" s="34"/>
    </row>
    <row r="14">
      <c r="A14" s="47" t="s">
        <v>429</v>
      </c>
      <c r="B14" s="44"/>
      <c r="C14" s="48"/>
      <c r="F14" s="56" t="s">
        <v>430</v>
      </c>
      <c r="G14" s="57">
        <f>G12*G10</f>
        <v>600</v>
      </c>
      <c r="J14" s="34"/>
    </row>
    <row r="15">
      <c r="A15" s="47" t="s">
        <v>431</v>
      </c>
      <c r="B15" s="44"/>
      <c r="C15" s="48"/>
      <c r="I15" s="34"/>
      <c r="J15" s="34"/>
    </row>
    <row r="16">
      <c r="A16" s="43"/>
      <c r="B16" s="44"/>
      <c r="C16" s="48"/>
      <c r="G16" s="34"/>
      <c r="H16" s="34"/>
      <c r="I16" s="34"/>
      <c r="J16" s="34"/>
    </row>
    <row r="17">
      <c r="A17" s="43"/>
      <c r="B17" s="44"/>
      <c r="C17" s="48"/>
      <c r="G17" s="34"/>
      <c r="H17" s="34"/>
      <c r="I17" s="34"/>
      <c r="J17" s="34"/>
    </row>
    <row r="18">
      <c r="A18" s="43"/>
      <c r="B18" s="44"/>
      <c r="C18" s="48"/>
      <c r="G18" s="34"/>
      <c r="H18" s="34"/>
      <c r="I18" s="34"/>
      <c r="J18" s="34"/>
    </row>
    <row r="19">
      <c r="A19" s="58"/>
      <c r="B19" s="59"/>
      <c r="C19" s="48"/>
      <c r="G19" s="34"/>
      <c r="H19" s="34"/>
      <c r="I19" s="34"/>
      <c r="J19" s="34"/>
    </row>
    <row r="20">
      <c r="C20" s="60"/>
      <c r="E20" s="34"/>
      <c r="G20" s="34"/>
      <c r="H20" s="34"/>
      <c r="I20" s="34"/>
      <c r="J20" s="34"/>
    </row>
    <row r="21">
      <c r="C21" s="60"/>
      <c r="D21" s="34"/>
      <c r="E21" s="34"/>
      <c r="F21" s="34"/>
      <c r="G21" s="34"/>
      <c r="H21" s="34"/>
      <c r="I21" s="34"/>
      <c r="J21" s="34"/>
    </row>
    <row r="22">
      <c r="C22" s="60"/>
      <c r="D22" s="34"/>
      <c r="E22" s="34"/>
      <c r="F22" s="34"/>
      <c r="G22" s="34"/>
      <c r="H22" s="34"/>
      <c r="I22" s="34"/>
      <c r="J22" s="34"/>
    </row>
    <row r="23">
      <c r="C23" s="60"/>
      <c r="D23" s="34"/>
      <c r="E23" s="34"/>
      <c r="F23" s="34"/>
      <c r="G23" s="34"/>
      <c r="H23" s="34"/>
      <c r="I23" s="34"/>
      <c r="J23" s="34"/>
    </row>
    <row r="24">
      <c r="C24" s="60"/>
      <c r="D24" s="34"/>
      <c r="E24" s="34"/>
      <c r="F24" s="34"/>
      <c r="G24" s="34"/>
      <c r="H24" s="34"/>
      <c r="I24" s="34"/>
      <c r="J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>
      <c r="A26" s="34"/>
      <c r="B26" s="34"/>
      <c r="C26" s="34"/>
      <c r="D26" s="34"/>
      <c r="E26" s="34"/>
      <c r="F26" s="34"/>
      <c r="G26" s="34"/>
      <c r="H26" s="61"/>
      <c r="I26" s="34"/>
      <c r="J26" s="34"/>
    </row>
  </sheetData>
  <mergeCells count="1">
    <mergeCell ref="C6:C7"/>
  </mergeCells>
  <drawing r:id="rId2"/>
  <legacyDrawing r:id="rId3"/>
</worksheet>
</file>