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drigo\Desktop\5A1S\PGO\Forecasting\TP2\"/>
    </mc:Choice>
  </mc:AlternateContent>
  <xr:revisionPtr revIDLastSave="0" documentId="13_ncr:1_{E13F68E7-583C-481D-A991-B31811DEA0C1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Additive Model" sheetId="1" r:id="rId1"/>
    <sheet name="Multiplicative Model" sheetId="5" r:id="rId2"/>
    <sheet name="GorGeus" sheetId="3" r:id="rId3"/>
    <sheet name="Gorgeous Multiplicative Model" sheetId="6" r:id="rId4"/>
    <sheet name="Serras 45" sheetId="8" r:id="rId5"/>
    <sheet name="Carlson_Ad" sheetId="10" r:id="rId6"/>
    <sheet name="Carlson_Mult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" i="11" l="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30" i="11"/>
  <c r="Q30" i="11"/>
  <c r="Q31" i="11"/>
  <c r="Q32" i="11"/>
  <c r="Q33" i="11"/>
  <c r="Q34" i="11"/>
  <c r="Q35" i="11"/>
  <c r="S36" i="11"/>
  <c r="D71" i="11"/>
  <c r="E71" i="11"/>
  <c r="E58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9" i="11"/>
  <c r="E60" i="11"/>
  <c r="F60" i="11" s="1"/>
  <c r="E61" i="11"/>
  <c r="E62" i="11"/>
  <c r="E63" i="11"/>
  <c r="E64" i="11"/>
  <c r="E65" i="11"/>
  <c r="E66" i="11"/>
  <c r="E67" i="11"/>
  <c r="E68" i="11"/>
  <c r="E69" i="11"/>
  <c r="E70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Q78" i="10"/>
  <c r="Q79" i="10"/>
  <c r="Q80" i="10"/>
  <c r="Q81" i="10"/>
  <c r="O78" i="10"/>
  <c r="O79" i="10"/>
  <c r="O80" i="10"/>
  <c r="O81" i="10"/>
  <c r="J78" i="10"/>
  <c r="L78" i="10" s="1"/>
  <c r="K78" i="10"/>
  <c r="M78" i="10"/>
  <c r="J79" i="10"/>
  <c r="L79" i="10" s="1"/>
  <c r="K79" i="10"/>
  <c r="M79" i="10"/>
  <c r="J80" i="10"/>
  <c r="L80" i="10" s="1"/>
  <c r="K80" i="10"/>
  <c r="M80" i="10"/>
  <c r="J81" i="10"/>
  <c r="L81" i="10" s="1"/>
  <c r="K81" i="10"/>
  <c r="M81" i="10"/>
  <c r="G79" i="10"/>
  <c r="G80" i="10"/>
  <c r="G81" i="10"/>
  <c r="G78" i="10"/>
  <c r="F71" i="11"/>
  <c r="I71" i="11" s="1"/>
  <c r="F63" i="11"/>
  <c r="F59" i="11"/>
  <c r="F55" i="11"/>
  <c r="F51" i="11"/>
  <c r="F47" i="11"/>
  <c r="F39" i="11"/>
  <c r="F37" i="11"/>
  <c r="I37" i="11" s="1"/>
  <c r="E36" i="11"/>
  <c r="F36" i="11" s="1"/>
  <c r="D36" i="11"/>
  <c r="N35" i="11"/>
  <c r="I35" i="11"/>
  <c r="H35" i="11"/>
  <c r="F35" i="11"/>
  <c r="N34" i="11"/>
  <c r="I34" i="11"/>
  <c r="H34" i="11"/>
  <c r="F34" i="11"/>
  <c r="N33" i="11"/>
  <c r="I33" i="11"/>
  <c r="H33" i="11"/>
  <c r="F33" i="11"/>
  <c r="N32" i="11"/>
  <c r="H32" i="11"/>
  <c r="E32" i="11"/>
  <c r="F32" i="11" s="1"/>
  <c r="N31" i="11"/>
  <c r="H31" i="11"/>
  <c r="E31" i="11"/>
  <c r="I31" i="11" s="1"/>
  <c r="N30" i="11"/>
  <c r="H30" i="11"/>
  <c r="E30" i="11"/>
  <c r="F30" i="11" s="1"/>
  <c r="O30" i="10"/>
  <c r="K31" i="10"/>
  <c r="K32" i="10"/>
  <c r="K33" i="10"/>
  <c r="K34" i="10"/>
  <c r="K35" i="10"/>
  <c r="K36" i="10"/>
  <c r="K37" i="10"/>
  <c r="K38" i="10"/>
  <c r="K39" i="10"/>
  <c r="K40" i="10"/>
  <c r="K41" i="10"/>
  <c r="K30" i="10"/>
  <c r="J31" i="10"/>
  <c r="J32" i="10"/>
  <c r="J33" i="10"/>
  <c r="J34" i="10"/>
  <c r="J35" i="10"/>
  <c r="J36" i="10"/>
  <c r="J37" i="10"/>
  <c r="J38" i="10"/>
  <c r="J39" i="10"/>
  <c r="J40" i="10"/>
  <c r="J41" i="10"/>
  <c r="J30" i="10"/>
  <c r="I60" i="10"/>
  <c r="I66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D60" i="10"/>
  <c r="E60" i="10"/>
  <c r="F60" i="10"/>
  <c r="H60" i="10" s="1"/>
  <c r="D61" i="10"/>
  <c r="F61" i="10" s="1"/>
  <c r="H61" i="10" s="1"/>
  <c r="E61" i="10"/>
  <c r="D62" i="10"/>
  <c r="F62" i="10" s="1"/>
  <c r="I62" i="10" s="1"/>
  <c r="E62" i="10"/>
  <c r="D63" i="10"/>
  <c r="E63" i="10"/>
  <c r="F63" i="10"/>
  <c r="H63" i="10" s="1"/>
  <c r="D64" i="10"/>
  <c r="E64" i="10"/>
  <c r="D65" i="10"/>
  <c r="F65" i="10" s="1"/>
  <c r="H65" i="10" s="1"/>
  <c r="E65" i="10"/>
  <c r="D66" i="10"/>
  <c r="F66" i="10" s="1"/>
  <c r="H66" i="10" s="1"/>
  <c r="E66" i="10"/>
  <c r="D67" i="10"/>
  <c r="E67" i="10"/>
  <c r="D68" i="10"/>
  <c r="E68" i="10"/>
  <c r="F68" i="10" s="1"/>
  <c r="D69" i="10"/>
  <c r="F69" i="10" s="1"/>
  <c r="H69" i="10" s="1"/>
  <c r="E69" i="10"/>
  <c r="D70" i="10"/>
  <c r="F70" i="10" s="1"/>
  <c r="H70" i="10" s="1"/>
  <c r="E70" i="10"/>
  <c r="D71" i="10"/>
  <c r="E71" i="10"/>
  <c r="F71" i="10"/>
  <c r="H71" i="10" s="1"/>
  <c r="P77" i="10"/>
  <c r="N77" i="10"/>
  <c r="P76" i="10"/>
  <c r="N76" i="10"/>
  <c r="P75" i="10"/>
  <c r="N75" i="10"/>
  <c r="P74" i="10"/>
  <c r="N74" i="10"/>
  <c r="P73" i="10"/>
  <c r="N73" i="10"/>
  <c r="P72" i="10"/>
  <c r="N72" i="10"/>
  <c r="E59" i="10"/>
  <c r="F59" i="10" s="1"/>
  <c r="D59" i="10"/>
  <c r="E58" i="10"/>
  <c r="D58" i="10"/>
  <c r="I57" i="10"/>
  <c r="E57" i="10"/>
  <c r="D57" i="10"/>
  <c r="F57" i="10" s="1"/>
  <c r="E56" i="10"/>
  <c r="F56" i="10" s="1"/>
  <c r="D56" i="10"/>
  <c r="E55" i="10"/>
  <c r="D55" i="10"/>
  <c r="F55" i="10" s="1"/>
  <c r="E54" i="10"/>
  <c r="D54" i="10"/>
  <c r="E53" i="10"/>
  <c r="D53" i="10"/>
  <c r="E52" i="10"/>
  <c r="F52" i="10" s="1"/>
  <c r="I52" i="10" s="1"/>
  <c r="D52" i="10"/>
  <c r="E51" i="10"/>
  <c r="D51" i="10"/>
  <c r="E50" i="10"/>
  <c r="D50" i="10"/>
  <c r="E49" i="10"/>
  <c r="D49" i="10"/>
  <c r="F49" i="10" s="1"/>
  <c r="I49" i="10" s="1"/>
  <c r="E48" i="10"/>
  <c r="D48" i="10"/>
  <c r="E47" i="10"/>
  <c r="D47" i="10"/>
  <c r="E46" i="10"/>
  <c r="D46" i="10"/>
  <c r="E45" i="10"/>
  <c r="D45" i="10"/>
  <c r="F44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P35" i="10"/>
  <c r="N35" i="10"/>
  <c r="I35" i="10"/>
  <c r="H35" i="10"/>
  <c r="F35" i="10"/>
  <c r="E35" i="10"/>
  <c r="P34" i="10"/>
  <c r="N34" i="10"/>
  <c r="I34" i="10"/>
  <c r="H34" i="10"/>
  <c r="F34" i="10"/>
  <c r="E34" i="10"/>
  <c r="P33" i="10"/>
  <c r="N33" i="10"/>
  <c r="I33" i="10"/>
  <c r="H33" i="10"/>
  <c r="F33" i="10"/>
  <c r="E33" i="10"/>
  <c r="P32" i="10"/>
  <c r="N32" i="10"/>
  <c r="I32" i="10"/>
  <c r="H32" i="10"/>
  <c r="F32" i="10"/>
  <c r="E32" i="10"/>
  <c r="P31" i="10"/>
  <c r="N31" i="10"/>
  <c r="I31" i="10"/>
  <c r="H31" i="10"/>
  <c r="F31" i="10"/>
  <c r="E31" i="10"/>
  <c r="P30" i="10"/>
  <c r="N30" i="10"/>
  <c r="I30" i="10"/>
  <c r="H30" i="10"/>
  <c r="F30" i="10"/>
  <c r="E30" i="10"/>
  <c r="O31" i="8"/>
  <c r="O32" i="8"/>
  <c r="O33" i="8"/>
  <c r="O34" i="8"/>
  <c r="O46" i="8" s="1"/>
  <c r="O35" i="8"/>
  <c r="O36" i="8"/>
  <c r="O37" i="8"/>
  <c r="O38" i="8"/>
  <c r="Q38" i="8" s="1"/>
  <c r="R38" i="8" s="1"/>
  <c r="O39" i="8"/>
  <c r="O40" i="8"/>
  <c r="O41" i="8"/>
  <c r="O30" i="8"/>
  <c r="J27" i="8"/>
  <c r="I36" i="8"/>
  <c r="R21" i="1"/>
  <c r="Q37" i="8"/>
  <c r="R37" i="8" s="1"/>
  <c r="Q39" i="8"/>
  <c r="R39" i="8" s="1"/>
  <c r="Q41" i="8"/>
  <c r="R41" i="8" s="1"/>
  <c r="Q31" i="8"/>
  <c r="R31" i="8" s="1"/>
  <c r="Q33" i="8"/>
  <c r="R33" i="8" s="1"/>
  <c r="Q35" i="8"/>
  <c r="R35" i="8" s="1"/>
  <c r="P35" i="8"/>
  <c r="P34" i="8"/>
  <c r="P33" i="8"/>
  <c r="P32" i="8"/>
  <c r="P31" i="8"/>
  <c r="P30" i="8"/>
  <c r="P65" i="8"/>
  <c r="P64" i="8"/>
  <c r="P63" i="8"/>
  <c r="P62" i="8"/>
  <c r="P61" i="8"/>
  <c r="P60" i="8"/>
  <c r="P37" i="8"/>
  <c r="P39" i="8"/>
  <c r="P41" i="8"/>
  <c r="P59" i="8"/>
  <c r="N65" i="8"/>
  <c r="N64" i="8"/>
  <c r="N63" i="8"/>
  <c r="N62" i="8"/>
  <c r="N61" i="8"/>
  <c r="N60" i="8"/>
  <c r="O43" i="8"/>
  <c r="Q43" i="8" s="1"/>
  <c r="R43" i="8" s="1"/>
  <c r="O47" i="8"/>
  <c r="P47" i="8" s="1"/>
  <c r="O51" i="8"/>
  <c r="P51" i="8" s="1"/>
  <c r="O59" i="8"/>
  <c r="Q59" i="8" s="1"/>
  <c r="R59" i="8" s="1"/>
  <c r="S59" i="8" s="1"/>
  <c r="Q32" i="8"/>
  <c r="R32" i="8" s="1"/>
  <c r="O45" i="8"/>
  <c r="Q36" i="8"/>
  <c r="R36" i="8" s="1"/>
  <c r="O49" i="8"/>
  <c r="P40" i="8"/>
  <c r="O53" i="8"/>
  <c r="N54" i="8"/>
  <c r="N55" i="8"/>
  <c r="N56" i="8"/>
  <c r="N57" i="8"/>
  <c r="N58" i="8"/>
  <c r="N59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M54" i="8"/>
  <c r="M55" i="8"/>
  <c r="M56" i="8"/>
  <c r="M57" i="8"/>
  <c r="M58" i="8"/>
  <c r="M59" i="8"/>
  <c r="M60" i="8"/>
  <c r="M61" i="8"/>
  <c r="M62" i="8"/>
  <c r="M63" i="8"/>
  <c r="M64" i="8"/>
  <c r="M65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L54" i="8"/>
  <c r="L55" i="8"/>
  <c r="L56" i="8"/>
  <c r="L57" i="8"/>
  <c r="L58" i="8"/>
  <c r="L59" i="8"/>
  <c r="L60" i="8"/>
  <c r="L61" i="8"/>
  <c r="L62" i="8"/>
  <c r="L63" i="8"/>
  <c r="L64" i="8"/>
  <c r="L65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42" i="8"/>
  <c r="K31" i="8"/>
  <c r="K32" i="8"/>
  <c r="K33" i="8"/>
  <c r="K34" i="8"/>
  <c r="K35" i="8"/>
  <c r="K36" i="8"/>
  <c r="K37" i="8"/>
  <c r="K38" i="8"/>
  <c r="K39" i="8"/>
  <c r="K40" i="8"/>
  <c r="K41" i="8"/>
  <c r="K30" i="8"/>
  <c r="J43" i="8"/>
  <c r="J44" i="8"/>
  <c r="J45" i="8"/>
  <c r="J46" i="8"/>
  <c r="J58" i="8" s="1"/>
  <c r="J47" i="8"/>
  <c r="J48" i="8"/>
  <c r="J49" i="8"/>
  <c r="J50" i="8"/>
  <c r="J51" i="8"/>
  <c r="J52" i="8"/>
  <c r="J53" i="8"/>
  <c r="J54" i="8"/>
  <c r="J55" i="8"/>
  <c r="J56" i="8"/>
  <c r="J57" i="8"/>
  <c r="J59" i="8"/>
  <c r="J60" i="8"/>
  <c r="J61" i="8"/>
  <c r="J62" i="8"/>
  <c r="J63" i="8"/>
  <c r="J64" i="8"/>
  <c r="J65" i="8"/>
  <c r="J42" i="8"/>
  <c r="J31" i="8"/>
  <c r="J32" i="8"/>
  <c r="J33" i="8"/>
  <c r="J34" i="8"/>
  <c r="J35" i="8"/>
  <c r="J36" i="8"/>
  <c r="J37" i="8"/>
  <c r="J38" i="8"/>
  <c r="J39" i="8"/>
  <c r="J40" i="8"/>
  <c r="J41" i="8"/>
  <c r="J30" i="8"/>
  <c r="I54" i="8"/>
  <c r="I55" i="8"/>
  <c r="I56" i="8"/>
  <c r="I57" i="8"/>
  <c r="I58" i="8"/>
  <c r="I59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G60" i="8"/>
  <c r="G61" i="8"/>
  <c r="G62" i="8"/>
  <c r="G63" i="8"/>
  <c r="G64" i="8"/>
  <c r="G65" i="8"/>
  <c r="H54" i="8"/>
  <c r="H55" i="8"/>
  <c r="H56" i="8"/>
  <c r="H57" i="8"/>
  <c r="H58" i="8"/>
  <c r="H59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N33" i="8"/>
  <c r="N34" i="8"/>
  <c r="N35" i="8"/>
  <c r="I33" i="8"/>
  <c r="I34" i="8"/>
  <c r="I35" i="8"/>
  <c r="H33" i="8"/>
  <c r="H34" i="8"/>
  <c r="H35" i="8"/>
  <c r="H26" i="8"/>
  <c r="H25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33" i="8"/>
  <c r="F34" i="8"/>
  <c r="F35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36" i="8"/>
  <c r="F36" i="8" s="1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36" i="8"/>
  <c r="E33" i="8"/>
  <c r="E34" i="8"/>
  <c r="E35" i="8"/>
  <c r="N32" i="8"/>
  <c r="I32" i="8"/>
  <c r="H32" i="8"/>
  <c r="F32" i="8"/>
  <c r="E32" i="8"/>
  <c r="N31" i="8"/>
  <c r="I31" i="8"/>
  <c r="H31" i="8"/>
  <c r="F31" i="8"/>
  <c r="E31" i="8"/>
  <c r="N30" i="8"/>
  <c r="I30" i="8"/>
  <c r="H30" i="8"/>
  <c r="F30" i="8"/>
  <c r="E30" i="8"/>
  <c r="R26" i="6"/>
  <c r="R22" i="6"/>
  <c r="R21" i="6"/>
  <c r="R24" i="6"/>
  <c r="O30" i="6"/>
  <c r="N36" i="6"/>
  <c r="P36" i="6"/>
  <c r="O31" i="6"/>
  <c r="O32" i="6"/>
  <c r="O33" i="6"/>
  <c r="O34" i="6"/>
  <c r="O35" i="6"/>
  <c r="O36" i="6"/>
  <c r="O37" i="6"/>
  <c r="O38" i="6"/>
  <c r="O39" i="6"/>
  <c r="O40" i="6"/>
  <c r="O41" i="6"/>
  <c r="O31" i="5"/>
  <c r="O32" i="5"/>
  <c r="O33" i="5"/>
  <c r="O34" i="5"/>
  <c r="O35" i="5"/>
  <c r="O30" i="5"/>
  <c r="O30" i="1"/>
  <c r="C37" i="3"/>
  <c r="C36" i="3"/>
  <c r="C32" i="3"/>
  <c r="C31" i="3"/>
  <c r="D28" i="3"/>
  <c r="E28" i="3"/>
  <c r="F28" i="3"/>
  <c r="G28" i="3"/>
  <c r="H28" i="3"/>
  <c r="C28" i="3"/>
  <c r="D27" i="3"/>
  <c r="E27" i="3"/>
  <c r="F27" i="3"/>
  <c r="G27" i="3"/>
  <c r="H27" i="3"/>
  <c r="C27" i="3"/>
  <c r="N33" i="6"/>
  <c r="N34" i="6"/>
  <c r="N35" i="6"/>
  <c r="I33" i="6"/>
  <c r="I34" i="6"/>
  <c r="I35" i="6"/>
  <c r="H33" i="6"/>
  <c r="H34" i="6"/>
  <c r="H35" i="6"/>
  <c r="F33" i="6"/>
  <c r="F34" i="6"/>
  <c r="F35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36" i="6"/>
  <c r="D107" i="6"/>
  <c r="F107" i="6" s="1"/>
  <c r="I107" i="6" s="1"/>
  <c r="D106" i="6"/>
  <c r="D54" i="6"/>
  <c r="F54" i="6" s="1"/>
  <c r="I54" i="6" s="1"/>
  <c r="D55" i="6"/>
  <c r="F55" i="6" s="1"/>
  <c r="I55" i="6" s="1"/>
  <c r="D56" i="6"/>
  <c r="F56" i="6" s="1"/>
  <c r="I56" i="6" s="1"/>
  <c r="D57" i="6"/>
  <c r="F57" i="6" s="1"/>
  <c r="I57" i="6" s="1"/>
  <c r="D58" i="6"/>
  <c r="F58" i="6" s="1"/>
  <c r="I58" i="6" s="1"/>
  <c r="D59" i="6"/>
  <c r="D60" i="6"/>
  <c r="F60" i="6" s="1"/>
  <c r="I60" i="6" s="1"/>
  <c r="D61" i="6"/>
  <c r="D62" i="6"/>
  <c r="F62" i="6" s="1"/>
  <c r="I62" i="6" s="1"/>
  <c r="D63" i="6"/>
  <c r="F63" i="6" s="1"/>
  <c r="I63" i="6" s="1"/>
  <c r="D64" i="6"/>
  <c r="F64" i="6" s="1"/>
  <c r="I64" i="6" s="1"/>
  <c r="D65" i="6"/>
  <c r="D66" i="6"/>
  <c r="F66" i="6" s="1"/>
  <c r="I66" i="6" s="1"/>
  <c r="D67" i="6"/>
  <c r="D68" i="6"/>
  <c r="F68" i="6" s="1"/>
  <c r="I68" i="6" s="1"/>
  <c r="D69" i="6"/>
  <c r="F69" i="6" s="1"/>
  <c r="I69" i="6" s="1"/>
  <c r="D70" i="6"/>
  <c r="F70" i="6" s="1"/>
  <c r="I70" i="6" s="1"/>
  <c r="D71" i="6"/>
  <c r="D72" i="6"/>
  <c r="F72" i="6" s="1"/>
  <c r="I72" i="6" s="1"/>
  <c r="D73" i="6"/>
  <c r="F73" i="6" s="1"/>
  <c r="I73" i="6" s="1"/>
  <c r="D74" i="6"/>
  <c r="F74" i="6" s="1"/>
  <c r="I74" i="6" s="1"/>
  <c r="D75" i="6"/>
  <c r="D76" i="6"/>
  <c r="F76" i="6" s="1"/>
  <c r="I76" i="6" s="1"/>
  <c r="D77" i="6"/>
  <c r="D78" i="6"/>
  <c r="F78" i="6" s="1"/>
  <c r="I78" i="6" s="1"/>
  <c r="D79" i="6"/>
  <c r="D80" i="6"/>
  <c r="F80" i="6" s="1"/>
  <c r="I80" i="6" s="1"/>
  <c r="D81" i="6"/>
  <c r="F81" i="6" s="1"/>
  <c r="I81" i="6" s="1"/>
  <c r="D82" i="6"/>
  <c r="F82" i="6" s="1"/>
  <c r="I82" i="6" s="1"/>
  <c r="D83" i="6"/>
  <c r="D84" i="6"/>
  <c r="F84" i="6" s="1"/>
  <c r="I84" i="6" s="1"/>
  <c r="D85" i="6"/>
  <c r="F85" i="6" s="1"/>
  <c r="I85" i="6" s="1"/>
  <c r="D86" i="6"/>
  <c r="D87" i="6"/>
  <c r="F87" i="6" s="1"/>
  <c r="I87" i="6" s="1"/>
  <c r="D88" i="6"/>
  <c r="F88" i="6" s="1"/>
  <c r="I88" i="6" s="1"/>
  <c r="D89" i="6"/>
  <c r="D90" i="6"/>
  <c r="D91" i="6"/>
  <c r="F91" i="6" s="1"/>
  <c r="I91" i="6" s="1"/>
  <c r="D92" i="6"/>
  <c r="F92" i="6" s="1"/>
  <c r="I92" i="6" s="1"/>
  <c r="D93" i="6"/>
  <c r="F93" i="6" s="1"/>
  <c r="I93" i="6" s="1"/>
  <c r="D94" i="6"/>
  <c r="D95" i="6"/>
  <c r="F95" i="6" s="1"/>
  <c r="I95" i="6" s="1"/>
  <c r="D96" i="6"/>
  <c r="F96" i="6" s="1"/>
  <c r="I96" i="6" s="1"/>
  <c r="D97" i="6"/>
  <c r="F97" i="6" s="1"/>
  <c r="I97" i="6" s="1"/>
  <c r="D98" i="6"/>
  <c r="D99" i="6"/>
  <c r="F99" i="6" s="1"/>
  <c r="I99" i="6" s="1"/>
  <c r="D100" i="6"/>
  <c r="F100" i="6" s="1"/>
  <c r="I100" i="6" s="1"/>
  <c r="D101" i="6"/>
  <c r="D102" i="6"/>
  <c r="F102" i="6" s="1"/>
  <c r="I102" i="6" s="1"/>
  <c r="D103" i="6"/>
  <c r="F103" i="6" s="1"/>
  <c r="I103" i="6" s="1"/>
  <c r="D104" i="6"/>
  <c r="D105" i="6"/>
  <c r="F105" i="6" s="1"/>
  <c r="I105" i="6" s="1"/>
  <c r="D37" i="6"/>
  <c r="F37" i="6" s="1"/>
  <c r="D38" i="6"/>
  <c r="F38" i="6" s="1"/>
  <c r="D39" i="6"/>
  <c r="F39" i="6" s="1"/>
  <c r="D40" i="6"/>
  <c r="F40" i="6" s="1"/>
  <c r="D41" i="6"/>
  <c r="F41" i="6" s="1"/>
  <c r="D42" i="6"/>
  <c r="F42" i="6" s="1"/>
  <c r="D43" i="6"/>
  <c r="F43" i="6" s="1"/>
  <c r="D44" i="6"/>
  <c r="F44" i="6" s="1"/>
  <c r="D45" i="6"/>
  <c r="F45" i="6" s="1"/>
  <c r="D46" i="6"/>
  <c r="F46" i="6" s="1"/>
  <c r="D47" i="6"/>
  <c r="F47" i="6" s="1"/>
  <c r="D48" i="6"/>
  <c r="F48" i="6" s="1"/>
  <c r="D49" i="6"/>
  <c r="F49" i="6" s="1"/>
  <c r="D50" i="6"/>
  <c r="F50" i="6" s="1"/>
  <c r="I50" i="6" s="1"/>
  <c r="D51" i="6"/>
  <c r="F51" i="6" s="1"/>
  <c r="D52" i="6"/>
  <c r="F52" i="6" s="1"/>
  <c r="D53" i="6"/>
  <c r="F53" i="6" s="1"/>
  <c r="D36" i="6"/>
  <c r="F36" i="6" s="1"/>
  <c r="I36" i="6" s="1"/>
  <c r="D33" i="5"/>
  <c r="E33" i="5"/>
  <c r="I46" i="6"/>
  <c r="I42" i="6"/>
  <c r="I38" i="6"/>
  <c r="N32" i="6"/>
  <c r="H32" i="6"/>
  <c r="E32" i="6"/>
  <c r="N31" i="6"/>
  <c r="H31" i="6"/>
  <c r="E31" i="6"/>
  <c r="N30" i="6"/>
  <c r="H30" i="6"/>
  <c r="E30" i="6"/>
  <c r="Q75" i="3" a="1"/>
  <c r="Q75" i="3" s="1"/>
  <c r="Q63" i="3" a="1"/>
  <c r="Q63" i="3" s="1"/>
  <c r="Q51" i="3" a="1"/>
  <c r="Q51" i="3" s="1"/>
  <c r="Q39" i="3" a="1"/>
  <c r="Q39" i="3" s="1"/>
  <c r="Q27" i="3" a="1"/>
  <c r="Q27" i="3" s="1"/>
  <c r="Q15" i="3" a="1"/>
  <c r="Q15" i="3" s="1"/>
  <c r="Q3" i="3" a="1"/>
  <c r="Q3" i="3" s="1"/>
  <c r="H53" i="1"/>
  <c r="H52" i="1"/>
  <c r="H51" i="1"/>
  <c r="I53" i="1"/>
  <c r="I52" i="1"/>
  <c r="I51" i="1"/>
  <c r="N53" i="1"/>
  <c r="N52" i="1"/>
  <c r="N51" i="1"/>
  <c r="N31" i="1"/>
  <c r="N32" i="1"/>
  <c r="N30" i="1"/>
  <c r="H31" i="1"/>
  <c r="I31" i="1"/>
  <c r="H32" i="1"/>
  <c r="I32" i="1"/>
  <c r="I30" i="1"/>
  <c r="H30" i="1"/>
  <c r="E31" i="1"/>
  <c r="F31" i="1"/>
  <c r="E32" i="1"/>
  <c r="F32" i="1"/>
  <c r="F30" i="1"/>
  <c r="E30" i="1"/>
  <c r="H51" i="5"/>
  <c r="H52" i="5"/>
  <c r="H53" i="5"/>
  <c r="I52" i="5"/>
  <c r="I53" i="5"/>
  <c r="I51" i="5"/>
  <c r="N52" i="5"/>
  <c r="N53" i="5"/>
  <c r="N51" i="5"/>
  <c r="N31" i="5"/>
  <c r="N32" i="5"/>
  <c r="N30" i="5"/>
  <c r="H31" i="5"/>
  <c r="H32" i="5"/>
  <c r="H30" i="5"/>
  <c r="E31" i="5"/>
  <c r="E32" i="5"/>
  <c r="I32" i="5" s="1"/>
  <c r="F32" i="5"/>
  <c r="E30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F35" i="5" s="1"/>
  <c r="E34" i="5"/>
  <c r="D34" i="5"/>
  <c r="D34" i="1"/>
  <c r="E34" i="1"/>
  <c r="F34" i="1"/>
  <c r="I34" i="1" s="1"/>
  <c r="D35" i="1"/>
  <c r="E35" i="1"/>
  <c r="F35" i="1"/>
  <c r="I35" i="1" s="1"/>
  <c r="D36" i="1"/>
  <c r="E36" i="1"/>
  <c r="F36" i="1"/>
  <c r="I36" i="1" s="1"/>
  <c r="D37" i="1"/>
  <c r="E37" i="1"/>
  <c r="D38" i="1"/>
  <c r="E38" i="1"/>
  <c r="D39" i="1"/>
  <c r="E39" i="1"/>
  <c r="F39" i="1"/>
  <c r="I39" i="1" s="1"/>
  <c r="D40" i="1"/>
  <c r="E40" i="1"/>
  <c r="D41" i="1"/>
  <c r="E41" i="1"/>
  <c r="D42" i="1"/>
  <c r="E42" i="1"/>
  <c r="F42" i="1"/>
  <c r="I42" i="1" s="1"/>
  <c r="D43" i="1"/>
  <c r="E43" i="1"/>
  <c r="F43" i="1"/>
  <c r="I43" i="1" s="1"/>
  <c r="D44" i="1"/>
  <c r="E44" i="1"/>
  <c r="F44" i="1"/>
  <c r="I44" i="1" s="1"/>
  <c r="D45" i="1"/>
  <c r="E45" i="1"/>
  <c r="D46" i="1"/>
  <c r="E46" i="1"/>
  <c r="D47" i="1"/>
  <c r="E47" i="1"/>
  <c r="F47" i="1"/>
  <c r="I47" i="1" s="1"/>
  <c r="D48" i="1"/>
  <c r="E48" i="1"/>
  <c r="D49" i="1"/>
  <c r="E49" i="1"/>
  <c r="D50" i="1"/>
  <c r="E50" i="1"/>
  <c r="F50" i="1"/>
  <c r="I50" i="1" s="1"/>
  <c r="E33" i="1"/>
  <c r="D33" i="1"/>
  <c r="F52" i="11" l="1"/>
  <c r="F42" i="11"/>
  <c r="I42" i="11" s="1"/>
  <c r="F44" i="11"/>
  <c r="I44" i="11" s="1"/>
  <c r="F66" i="11"/>
  <c r="I66" i="11" s="1"/>
  <c r="F70" i="11"/>
  <c r="F43" i="11"/>
  <c r="I43" i="11" s="1"/>
  <c r="F67" i="11"/>
  <c r="I67" i="11" s="1"/>
  <c r="F31" i="11"/>
  <c r="F40" i="11"/>
  <c r="F48" i="11"/>
  <c r="I48" i="11" s="1"/>
  <c r="F56" i="11"/>
  <c r="I56" i="11" s="1"/>
  <c r="F64" i="11"/>
  <c r="I64" i="11" s="1"/>
  <c r="I30" i="11"/>
  <c r="F41" i="11"/>
  <c r="I41" i="11" s="1"/>
  <c r="F50" i="11"/>
  <c r="I50" i="11" s="1"/>
  <c r="F58" i="11"/>
  <c r="I58" i="11" s="1"/>
  <c r="F65" i="11"/>
  <c r="I65" i="11" s="1"/>
  <c r="F38" i="11"/>
  <c r="I38" i="11" s="1"/>
  <c r="F46" i="11"/>
  <c r="I46" i="11" s="1"/>
  <c r="F49" i="11"/>
  <c r="I49" i="11" s="1"/>
  <c r="F54" i="11"/>
  <c r="I54" i="11" s="1"/>
  <c r="F57" i="11"/>
  <c r="I57" i="11" s="1"/>
  <c r="F62" i="11"/>
  <c r="I62" i="11" s="1"/>
  <c r="I40" i="11"/>
  <c r="I36" i="11"/>
  <c r="I52" i="11"/>
  <c r="F53" i="11"/>
  <c r="I39" i="11"/>
  <c r="F45" i="11"/>
  <c r="I60" i="11"/>
  <c r="I47" i="11"/>
  <c r="F61" i="11"/>
  <c r="I70" i="11"/>
  <c r="I55" i="11"/>
  <c r="I63" i="11"/>
  <c r="I32" i="11"/>
  <c r="F69" i="11"/>
  <c r="I51" i="11"/>
  <c r="I59" i="11"/>
  <c r="F68" i="11"/>
  <c r="I68" i="10"/>
  <c r="H68" i="10"/>
  <c r="I70" i="10"/>
  <c r="F64" i="10"/>
  <c r="H62" i="10"/>
  <c r="F67" i="10"/>
  <c r="I71" i="10"/>
  <c r="I69" i="10"/>
  <c r="I65" i="10"/>
  <c r="I63" i="10"/>
  <c r="I61" i="10"/>
  <c r="F38" i="10"/>
  <c r="F40" i="10"/>
  <c r="F51" i="10"/>
  <c r="F46" i="10"/>
  <c r="I46" i="10" s="1"/>
  <c r="F50" i="10"/>
  <c r="F39" i="10"/>
  <c r="F43" i="10"/>
  <c r="I43" i="10" s="1"/>
  <c r="F47" i="10"/>
  <c r="I47" i="10" s="1"/>
  <c r="I39" i="10"/>
  <c r="I56" i="10"/>
  <c r="I59" i="10"/>
  <c r="F48" i="10"/>
  <c r="F42" i="10"/>
  <c r="I40" i="10"/>
  <c r="F45" i="10"/>
  <c r="I44" i="10"/>
  <c r="I55" i="10"/>
  <c r="F58" i="10"/>
  <c r="F37" i="10"/>
  <c r="I38" i="10"/>
  <c r="I50" i="10"/>
  <c r="F36" i="10"/>
  <c r="F41" i="10"/>
  <c r="I51" i="10"/>
  <c r="F54" i="10"/>
  <c r="F53" i="10"/>
  <c r="Q46" i="8"/>
  <c r="R46" i="8" s="1"/>
  <c r="O58" i="8"/>
  <c r="Q58" i="8" s="1"/>
  <c r="R58" i="8" s="1"/>
  <c r="O50" i="8"/>
  <c r="Q50" i="8" s="1"/>
  <c r="R50" i="8" s="1"/>
  <c r="O63" i="8"/>
  <c r="Q63" i="8" s="1"/>
  <c r="R63" i="8" s="1"/>
  <c r="T63" i="8" s="1"/>
  <c r="Q51" i="8"/>
  <c r="R51" i="8" s="1"/>
  <c r="Q34" i="8"/>
  <c r="R34" i="8" s="1"/>
  <c r="S34" i="8" s="1"/>
  <c r="Q47" i="8"/>
  <c r="R47" i="8" s="1"/>
  <c r="P43" i="8"/>
  <c r="O55" i="8"/>
  <c r="T35" i="8"/>
  <c r="S35" i="8"/>
  <c r="T41" i="8"/>
  <c r="S41" i="8"/>
  <c r="T38" i="8"/>
  <c r="S38" i="8"/>
  <c r="T34" i="8"/>
  <c r="T50" i="8"/>
  <c r="S50" i="8"/>
  <c r="S63" i="8"/>
  <c r="T33" i="8"/>
  <c r="S33" i="8"/>
  <c r="T51" i="8"/>
  <c r="S51" i="8"/>
  <c r="T39" i="8"/>
  <c r="S39" i="8"/>
  <c r="P53" i="8"/>
  <c r="Q53" i="8"/>
  <c r="R53" i="8" s="1"/>
  <c r="O65" i="8"/>
  <c r="Q65" i="8" s="1"/>
  <c r="R65" i="8" s="1"/>
  <c r="P49" i="8"/>
  <c r="Q49" i="8"/>
  <c r="R49" i="8" s="1"/>
  <c r="O61" i="8"/>
  <c r="Q61" i="8" s="1"/>
  <c r="R61" i="8" s="1"/>
  <c r="P45" i="8"/>
  <c r="O57" i="8"/>
  <c r="Q45" i="8"/>
  <c r="R45" i="8" s="1"/>
  <c r="T58" i="8"/>
  <c r="S58" i="8"/>
  <c r="T31" i="8"/>
  <c r="S31" i="8"/>
  <c r="T47" i="8"/>
  <c r="S47" i="8"/>
  <c r="T37" i="8"/>
  <c r="S37" i="8"/>
  <c r="T36" i="8"/>
  <c r="S36" i="8"/>
  <c r="T32" i="8"/>
  <c r="S32" i="8"/>
  <c r="T46" i="8"/>
  <c r="S46" i="8"/>
  <c r="T43" i="8"/>
  <c r="S43" i="8"/>
  <c r="T59" i="8"/>
  <c r="P58" i="8"/>
  <c r="P50" i="8"/>
  <c r="P46" i="8"/>
  <c r="P38" i="8"/>
  <c r="Q40" i="8"/>
  <c r="R40" i="8" s="1"/>
  <c r="O48" i="8"/>
  <c r="O52" i="8"/>
  <c r="O44" i="8"/>
  <c r="O62" i="8"/>
  <c r="Q62" i="8" s="1"/>
  <c r="R62" i="8" s="1"/>
  <c r="I30" i="6"/>
  <c r="F30" i="6"/>
  <c r="F31" i="6"/>
  <c r="I31" i="6"/>
  <c r="F71" i="6"/>
  <c r="I71" i="6" s="1"/>
  <c r="F34" i="5"/>
  <c r="I30" i="5"/>
  <c r="F30" i="5"/>
  <c r="F31" i="5"/>
  <c r="I31" i="5"/>
  <c r="F33" i="1"/>
  <c r="F49" i="1"/>
  <c r="F48" i="1"/>
  <c r="F46" i="1"/>
  <c r="I46" i="1" s="1"/>
  <c r="F45" i="1"/>
  <c r="I45" i="1" s="1"/>
  <c r="F41" i="1"/>
  <c r="F40" i="1"/>
  <c r="F38" i="1"/>
  <c r="I38" i="1" s="1"/>
  <c r="F37" i="1"/>
  <c r="I37" i="1" s="1"/>
  <c r="K32" i="1"/>
  <c r="K38" i="1" s="1"/>
  <c r="K44" i="1" s="1"/>
  <c r="K50" i="1" s="1"/>
  <c r="F104" i="6"/>
  <c r="I104" i="6" s="1"/>
  <c r="F106" i="6"/>
  <c r="I106" i="6" s="1"/>
  <c r="F101" i="6"/>
  <c r="I101" i="6" s="1"/>
  <c r="F98" i="6"/>
  <c r="I98" i="6" s="1"/>
  <c r="F94" i="6"/>
  <c r="I94" i="6" s="1"/>
  <c r="F90" i="6"/>
  <c r="I90" i="6" s="1"/>
  <c r="F89" i="6"/>
  <c r="I89" i="6" s="1"/>
  <c r="F86" i="6"/>
  <c r="I86" i="6" s="1"/>
  <c r="F83" i="6"/>
  <c r="I83" i="6" s="1"/>
  <c r="F79" i="6"/>
  <c r="I79" i="6" s="1"/>
  <c r="F75" i="6"/>
  <c r="I75" i="6" s="1"/>
  <c r="F77" i="6"/>
  <c r="I77" i="6" s="1"/>
  <c r="F67" i="6"/>
  <c r="I67" i="6" s="1"/>
  <c r="F65" i="6"/>
  <c r="I65" i="6" s="1"/>
  <c r="F61" i="6"/>
  <c r="I61" i="6" s="1"/>
  <c r="F59" i="6"/>
  <c r="I59" i="6" s="1"/>
  <c r="I51" i="6"/>
  <c r="J38" i="6"/>
  <c r="K38" i="6"/>
  <c r="K50" i="6" s="1"/>
  <c r="K62" i="6" s="1"/>
  <c r="K74" i="6" s="1"/>
  <c r="K86" i="6" s="1"/>
  <c r="K98" i="6" s="1"/>
  <c r="K110" i="6" s="1"/>
  <c r="J30" i="6"/>
  <c r="K30" i="6"/>
  <c r="K42" i="6" s="1"/>
  <c r="K54" i="6" s="1"/>
  <c r="K66" i="6" s="1"/>
  <c r="K78" i="6" s="1"/>
  <c r="K90" i="6" s="1"/>
  <c r="K102" i="6" s="1"/>
  <c r="I52" i="6"/>
  <c r="K34" i="6"/>
  <c r="K46" i="6" s="1"/>
  <c r="K58" i="6" s="1"/>
  <c r="K70" i="6" s="1"/>
  <c r="K82" i="6" s="1"/>
  <c r="K94" i="6" s="1"/>
  <c r="K106" i="6" s="1"/>
  <c r="J34" i="6"/>
  <c r="I53" i="6"/>
  <c r="I40" i="6"/>
  <c r="I49" i="6"/>
  <c r="F50" i="5"/>
  <c r="I50" i="5" s="1"/>
  <c r="I35" i="5"/>
  <c r="F33" i="5"/>
  <c r="F36" i="5"/>
  <c r="F38" i="5"/>
  <c r="F40" i="5"/>
  <c r="F42" i="5"/>
  <c r="F44" i="5"/>
  <c r="F46" i="5"/>
  <c r="F48" i="5"/>
  <c r="I34" i="5"/>
  <c r="F37" i="5"/>
  <c r="F39" i="5"/>
  <c r="F41" i="5"/>
  <c r="F43" i="5"/>
  <c r="F45" i="5"/>
  <c r="F47" i="5"/>
  <c r="F49" i="5"/>
  <c r="I39" i="6"/>
  <c r="I43" i="6"/>
  <c r="I47" i="6"/>
  <c r="I32" i="6"/>
  <c r="F32" i="6"/>
  <c r="I37" i="6"/>
  <c r="I41" i="6"/>
  <c r="I45" i="6"/>
  <c r="I44" i="6"/>
  <c r="I48" i="6"/>
  <c r="J32" i="1"/>
  <c r="M32" i="1"/>
  <c r="J38" i="1"/>
  <c r="L32" i="1"/>
  <c r="J39" i="11" l="1"/>
  <c r="I45" i="11"/>
  <c r="H25" i="11"/>
  <c r="K34" i="11"/>
  <c r="K46" i="11" s="1"/>
  <c r="K58" i="11" s="1"/>
  <c r="K70" i="11" s="1"/>
  <c r="K35" i="11"/>
  <c r="K47" i="11" s="1"/>
  <c r="K59" i="11" s="1"/>
  <c r="K71" i="11" s="1"/>
  <c r="I53" i="11"/>
  <c r="J30" i="11"/>
  <c r="J34" i="11"/>
  <c r="K36" i="11"/>
  <c r="K48" i="11" s="1"/>
  <c r="K60" i="11" s="1"/>
  <c r="K72" i="11" s="1"/>
  <c r="I69" i="11"/>
  <c r="I61" i="11"/>
  <c r="I68" i="11"/>
  <c r="J35" i="11"/>
  <c r="K30" i="11"/>
  <c r="K42" i="11" s="1"/>
  <c r="K54" i="11" s="1"/>
  <c r="K66" i="11" s="1"/>
  <c r="K78" i="11" s="1"/>
  <c r="H26" i="11"/>
  <c r="H67" i="10"/>
  <c r="I67" i="10"/>
  <c r="I64" i="10"/>
  <c r="H64" i="10"/>
  <c r="K44" i="10"/>
  <c r="K56" i="10" s="1"/>
  <c r="K68" i="10" s="1"/>
  <c r="K43" i="10"/>
  <c r="K55" i="10" s="1"/>
  <c r="K67" i="10" s="1"/>
  <c r="K50" i="10"/>
  <c r="K62" i="10" s="1"/>
  <c r="K74" i="10" s="1"/>
  <c r="I45" i="10"/>
  <c r="J44" i="10"/>
  <c r="L32" i="10"/>
  <c r="M32" i="10"/>
  <c r="I37" i="10"/>
  <c r="I42" i="10"/>
  <c r="I54" i="10"/>
  <c r="I36" i="10"/>
  <c r="H25" i="10"/>
  <c r="H26" i="10"/>
  <c r="I58" i="10"/>
  <c r="K47" i="10"/>
  <c r="K59" i="10" s="1"/>
  <c r="K71" i="10" s="1"/>
  <c r="I53" i="10"/>
  <c r="I41" i="10"/>
  <c r="K46" i="10"/>
  <c r="K58" i="10" s="1"/>
  <c r="K70" i="10" s="1"/>
  <c r="K52" i="10"/>
  <c r="K64" i="10" s="1"/>
  <c r="K76" i="10" s="1"/>
  <c r="I48" i="10"/>
  <c r="K51" i="10"/>
  <c r="K63" i="10" s="1"/>
  <c r="K75" i="10" s="1"/>
  <c r="P55" i="8"/>
  <c r="Q55" i="8"/>
  <c r="R55" i="8" s="1"/>
  <c r="P52" i="8"/>
  <c r="Q52" i="8"/>
  <c r="R52" i="8" s="1"/>
  <c r="O64" i="8"/>
  <c r="Q64" i="8" s="1"/>
  <c r="R64" i="8" s="1"/>
  <c r="T61" i="8"/>
  <c r="S61" i="8"/>
  <c r="T49" i="8"/>
  <c r="S49" i="8"/>
  <c r="T62" i="8"/>
  <c r="S62" i="8"/>
  <c r="T40" i="8"/>
  <c r="S40" i="8"/>
  <c r="P57" i="8"/>
  <c r="Q57" i="8"/>
  <c r="R57" i="8" s="1"/>
  <c r="T53" i="8"/>
  <c r="S53" i="8"/>
  <c r="P48" i="8"/>
  <c r="Q48" i="8"/>
  <c r="R48" i="8" s="1"/>
  <c r="O60" i="8"/>
  <c r="Q60" i="8" s="1"/>
  <c r="R60" i="8" s="1"/>
  <c r="T45" i="8"/>
  <c r="S45" i="8"/>
  <c r="P44" i="8"/>
  <c r="O56" i="8"/>
  <c r="Q44" i="8"/>
  <c r="R44" i="8" s="1"/>
  <c r="T65" i="8"/>
  <c r="S65" i="8"/>
  <c r="H26" i="5"/>
  <c r="I40" i="1"/>
  <c r="I41" i="1"/>
  <c r="I48" i="1"/>
  <c r="I49" i="1"/>
  <c r="I33" i="1"/>
  <c r="H26" i="6"/>
  <c r="H25" i="6"/>
  <c r="G71" i="6" s="1"/>
  <c r="H71" i="6" s="1"/>
  <c r="K35" i="6"/>
  <c r="K47" i="6" s="1"/>
  <c r="K59" i="6" s="1"/>
  <c r="K71" i="6" s="1"/>
  <c r="K83" i="6" s="1"/>
  <c r="K95" i="6" s="1"/>
  <c r="K107" i="6" s="1"/>
  <c r="J35" i="6"/>
  <c r="G63" i="6"/>
  <c r="H63" i="6" s="1"/>
  <c r="G67" i="6"/>
  <c r="H67" i="6" s="1"/>
  <c r="G75" i="6"/>
  <c r="H75" i="6" s="1"/>
  <c r="G79" i="6"/>
  <c r="H79" i="6" s="1"/>
  <c r="G83" i="6"/>
  <c r="H83" i="6" s="1"/>
  <c r="G91" i="6"/>
  <c r="H91" i="6" s="1"/>
  <c r="G95" i="6"/>
  <c r="H95" i="6" s="1"/>
  <c r="G99" i="6"/>
  <c r="H99" i="6" s="1"/>
  <c r="G107" i="6"/>
  <c r="H107" i="6" s="1"/>
  <c r="G111" i="6"/>
  <c r="G61" i="6"/>
  <c r="H61" i="6" s="1"/>
  <c r="G69" i="6"/>
  <c r="H69" i="6" s="1"/>
  <c r="G73" i="6"/>
  <c r="H73" i="6" s="1"/>
  <c r="G77" i="6"/>
  <c r="H77" i="6" s="1"/>
  <c r="G85" i="6"/>
  <c r="H85" i="6" s="1"/>
  <c r="G89" i="6"/>
  <c r="H89" i="6" s="1"/>
  <c r="G93" i="6"/>
  <c r="H93" i="6" s="1"/>
  <c r="G101" i="6"/>
  <c r="H101" i="6" s="1"/>
  <c r="G105" i="6"/>
  <c r="H105" i="6" s="1"/>
  <c r="G109" i="6"/>
  <c r="G30" i="6"/>
  <c r="G62" i="6"/>
  <c r="H62" i="6" s="1"/>
  <c r="G66" i="6"/>
  <c r="H66" i="6" s="1"/>
  <c r="G74" i="6"/>
  <c r="H74" i="6" s="1"/>
  <c r="G78" i="6"/>
  <c r="H78" i="6" s="1"/>
  <c r="G82" i="6"/>
  <c r="H82" i="6" s="1"/>
  <c r="G90" i="6"/>
  <c r="H90" i="6" s="1"/>
  <c r="G94" i="6"/>
  <c r="H94" i="6" s="1"/>
  <c r="G98" i="6"/>
  <c r="H98" i="6" s="1"/>
  <c r="G106" i="6"/>
  <c r="H106" i="6" s="1"/>
  <c r="G110" i="6"/>
  <c r="G72" i="6"/>
  <c r="H72" i="6" s="1"/>
  <c r="G104" i="6"/>
  <c r="H104" i="6" s="1"/>
  <c r="G60" i="6"/>
  <c r="H60" i="6" s="1"/>
  <c r="G76" i="6"/>
  <c r="H76" i="6" s="1"/>
  <c r="G108" i="6"/>
  <c r="G68" i="6"/>
  <c r="H68" i="6" s="1"/>
  <c r="G84" i="6"/>
  <c r="H84" i="6" s="1"/>
  <c r="G80" i="6"/>
  <c r="H80" i="6" s="1"/>
  <c r="G96" i="6"/>
  <c r="H96" i="6" s="1"/>
  <c r="G112" i="6"/>
  <c r="G100" i="6"/>
  <c r="H100" i="6" s="1"/>
  <c r="K41" i="6"/>
  <c r="K53" i="6" s="1"/>
  <c r="K65" i="6" s="1"/>
  <c r="K77" i="6" s="1"/>
  <c r="K89" i="6" s="1"/>
  <c r="K101" i="6" s="1"/>
  <c r="K113" i="6" s="1"/>
  <c r="J41" i="6"/>
  <c r="J40" i="6"/>
  <c r="K40" i="6"/>
  <c r="K52" i="6" s="1"/>
  <c r="K64" i="6" s="1"/>
  <c r="K76" i="6" s="1"/>
  <c r="K88" i="6" s="1"/>
  <c r="K100" i="6" s="1"/>
  <c r="K112" i="6" s="1"/>
  <c r="J36" i="6"/>
  <c r="K36" i="6"/>
  <c r="K48" i="6" s="1"/>
  <c r="K60" i="6" s="1"/>
  <c r="K72" i="6" s="1"/>
  <c r="K84" i="6" s="1"/>
  <c r="K96" i="6" s="1"/>
  <c r="K108" i="6" s="1"/>
  <c r="K31" i="6"/>
  <c r="K43" i="6" s="1"/>
  <c r="K55" i="6" s="1"/>
  <c r="K67" i="6" s="1"/>
  <c r="K79" i="6" s="1"/>
  <c r="K91" i="6" s="1"/>
  <c r="K103" i="6" s="1"/>
  <c r="J31" i="6"/>
  <c r="K37" i="6"/>
  <c r="K49" i="6" s="1"/>
  <c r="K61" i="6" s="1"/>
  <c r="K73" i="6" s="1"/>
  <c r="K85" i="6" s="1"/>
  <c r="K97" i="6" s="1"/>
  <c r="K109" i="6" s="1"/>
  <c r="J37" i="6"/>
  <c r="M34" i="6"/>
  <c r="L34" i="6"/>
  <c r="J46" i="6"/>
  <c r="M38" i="6"/>
  <c r="L38" i="6"/>
  <c r="N38" i="6" s="1"/>
  <c r="J32" i="6"/>
  <c r="K32" i="6"/>
  <c r="K44" i="6" s="1"/>
  <c r="K56" i="6" s="1"/>
  <c r="K68" i="6" s="1"/>
  <c r="K80" i="6" s="1"/>
  <c r="K92" i="6" s="1"/>
  <c r="K104" i="6" s="1"/>
  <c r="K33" i="6"/>
  <c r="K45" i="6" s="1"/>
  <c r="K57" i="6" s="1"/>
  <c r="K69" i="6" s="1"/>
  <c r="K81" i="6" s="1"/>
  <c r="K93" i="6" s="1"/>
  <c r="K105" i="6" s="1"/>
  <c r="J33" i="6"/>
  <c r="J50" i="6"/>
  <c r="L50" i="6" s="1"/>
  <c r="J42" i="6"/>
  <c r="K39" i="6"/>
  <c r="J39" i="6"/>
  <c r="J62" i="6"/>
  <c r="I39" i="5"/>
  <c r="I38" i="5"/>
  <c r="I45" i="5"/>
  <c r="I37" i="5"/>
  <c r="I44" i="5"/>
  <c r="I36" i="5"/>
  <c r="I47" i="5"/>
  <c r="I46" i="5"/>
  <c r="I43" i="5"/>
  <c r="I42" i="5"/>
  <c r="I33" i="5"/>
  <c r="K33" i="5" s="1"/>
  <c r="K39" i="5" s="1"/>
  <c r="K45" i="5" s="1"/>
  <c r="K51" i="5" s="1"/>
  <c r="H25" i="5"/>
  <c r="G30" i="5" s="1"/>
  <c r="I49" i="5"/>
  <c r="I41" i="5"/>
  <c r="I48" i="5"/>
  <c r="I40" i="5"/>
  <c r="K34" i="5" s="1"/>
  <c r="K40" i="5" s="1"/>
  <c r="K46" i="5" s="1"/>
  <c r="K52" i="5" s="1"/>
  <c r="J44" i="1"/>
  <c r="M38" i="1"/>
  <c r="L38" i="1"/>
  <c r="K39" i="11" l="1"/>
  <c r="K51" i="11" s="1"/>
  <c r="K63" i="11" s="1"/>
  <c r="K75" i="11" s="1"/>
  <c r="J38" i="11"/>
  <c r="K38" i="11"/>
  <c r="K50" i="11" s="1"/>
  <c r="K62" i="11" s="1"/>
  <c r="K74" i="11" s="1"/>
  <c r="J42" i="11"/>
  <c r="L30" i="11"/>
  <c r="M30" i="11"/>
  <c r="J31" i="11"/>
  <c r="J41" i="11"/>
  <c r="K41" i="11"/>
  <c r="K53" i="11" s="1"/>
  <c r="K65" i="11" s="1"/>
  <c r="K77" i="11" s="1"/>
  <c r="K31" i="11"/>
  <c r="K43" i="11" s="1"/>
  <c r="K55" i="11" s="1"/>
  <c r="K67" i="11" s="1"/>
  <c r="K79" i="11" s="1"/>
  <c r="J47" i="11"/>
  <c r="L35" i="11"/>
  <c r="M35" i="11"/>
  <c r="J33" i="11"/>
  <c r="K33" i="11"/>
  <c r="K45" i="11" s="1"/>
  <c r="K57" i="11" s="1"/>
  <c r="K69" i="11" s="1"/>
  <c r="K81" i="11" s="1"/>
  <c r="G79" i="11"/>
  <c r="G75" i="11"/>
  <c r="G71" i="11"/>
  <c r="G78" i="11"/>
  <c r="G76" i="11"/>
  <c r="G69" i="11"/>
  <c r="G65" i="11"/>
  <c r="G61" i="11"/>
  <c r="G57" i="11"/>
  <c r="G53" i="11"/>
  <c r="G49" i="11"/>
  <c r="G45" i="11"/>
  <c r="G81" i="11"/>
  <c r="G74" i="11"/>
  <c r="G72" i="11"/>
  <c r="G64" i="11"/>
  <c r="G60" i="11"/>
  <c r="G56" i="11"/>
  <c r="G52" i="11"/>
  <c r="G48" i="11"/>
  <c r="G80" i="11"/>
  <c r="G62" i="11"/>
  <c r="G54" i="11"/>
  <c r="G46" i="11"/>
  <c r="G41" i="11"/>
  <c r="G37" i="11"/>
  <c r="G73" i="11"/>
  <c r="G63" i="11"/>
  <c r="G55" i="11"/>
  <c r="G47" i="11"/>
  <c r="G40" i="11"/>
  <c r="G36" i="11"/>
  <c r="G35" i="11"/>
  <c r="G33" i="11"/>
  <c r="G30" i="11"/>
  <c r="G77" i="11"/>
  <c r="G70" i="11"/>
  <c r="G68" i="11"/>
  <c r="G66" i="11"/>
  <c r="G58" i="11"/>
  <c r="G51" i="11"/>
  <c r="G38" i="11"/>
  <c r="G59" i="11"/>
  <c r="G44" i="11"/>
  <c r="G39" i="11"/>
  <c r="G34" i="11"/>
  <c r="G67" i="11"/>
  <c r="G50" i="11"/>
  <c r="G31" i="11"/>
  <c r="G42" i="11"/>
  <c r="G32" i="11"/>
  <c r="G43" i="11"/>
  <c r="K40" i="11"/>
  <c r="K52" i="11" s="1"/>
  <c r="K64" i="11" s="1"/>
  <c r="K76" i="11" s="1"/>
  <c r="K32" i="11"/>
  <c r="K44" i="11" s="1"/>
  <c r="K56" i="11" s="1"/>
  <c r="K68" i="11" s="1"/>
  <c r="K80" i="11" s="1"/>
  <c r="J32" i="11"/>
  <c r="J40" i="11"/>
  <c r="K37" i="11"/>
  <c r="K49" i="11" s="1"/>
  <c r="K61" i="11" s="1"/>
  <c r="K73" i="11" s="1"/>
  <c r="J37" i="11"/>
  <c r="J36" i="11"/>
  <c r="J46" i="11"/>
  <c r="M34" i="11"/>
  <c r="L34" i="11"/>
  <c r="M39" i="11"/>
  <c r="L39" i="11"/>
  <c r="J51" i="11"/>
  <c r="J46" i="10"/>
  <c r="M34" i="10"/>
  <c r="L34" i="10"/>
  <c r="J52" i="10"/>
  <c r="M40" i="10"/>
  <c r="L40" i="10"/>
  <c r="K42" i="10"/>
  <c r="K54" i="10" s="1"/>
  <c r="K66" i="10" s="1"/>
  <c r="J47" i="10"/>
  <c r="M35" i="10"/>
  <c r="L35" i="10"/>
  <c r="L38" i="10"/>
  <c r="J50" i="10"/>
  <c r="M38" i="10"/>
  <c r="G56" i="10"/>
  <c r="G52" i="10"/>
  <c r="G48" i="10"/>
  <c r="G44" i="10"/>
  <c r="G54" i="10"/>
  <c r="G47" i="10"/>
  <c r="G45" i="10"/>
  <c r="G39" i="10"/>
  <c r="G35" i="10"/>
  <c r="G34" i="10"/>
  <c r="G33" i="10"/>
  <c r="G32" i="10"/>
  <c r="G31" i="10"/>
  <c r="G30" i="10"/>
  <c r="G65" i="10"/>
  <c r="G63" i="10"/>
  <c r="G61" i="10"/>
  <c r="G59" i="10"/>
  <c r="G57" i="10"/>
  <c r="G50" i="10"/>
  <c r="G58" i="10"/>
  <c r="G43" i="10"/>
  <c r="G42" i="10"/>
  <c r="G37" i="10"/>
  <c r="G55" i="10"/>
  <c r="G53" i="10"/>
  <c r="G51" i="10"/>
  <c r="G49" i="10"/>
  <c r="G40" i="10"/>
  <c r="G46" i="10"/>
  <c r="G41" i="10"/>
  <c r="G38" i="10"/>
  <c r="G36" i="10"/>
  <c r="G64" i="10"/>
  <c r="G62" i="10"/>
  <c r="G60" i="10"/>
  <c r="J51" i="10"/>
  <c r="M39" i="10"/>
  <c r="L39" i="10"/>
  <c r="K53" i="10"/>
  <c r="K65" i="10" s="1"/>
  <c r="K77" i="10" s="1"/>
  <c r="K48" i="10"/>
  <c r="K60" i="10" s="1"/>
  <c r="K72" i="10" s="1"/>
  <c r="K49" i="10"/>
  <c r="K61" i="10" s="1"/>
  <c r="K73" i="10" s="1"/>
  <c r="M44" i="10"/>
  <c r="L44" i="10"/>
  <c r="J56" i="10"/>
  <c r="J68" i="10" s="1"/>
  <c r="K45" i="10"/>
  <c r="K57" i="10" s="1"/>
  <c r="K69" i="10" s="1"/>
  <c r="J43" i="10"/>
  <c r="M31" i="10"/>
  <c r="L31" i="10"/>
  <c r="S55" i="8"/>
  <c r="T55" i="8"/>
  <c r="T64" i="8"/>
  <c r="S64" i="8"/>
  <c r="P56" i="8"/>
  <c r="Q56" i="8"/>
  <c r="R56" i="8" s="1"/>
  <c r="T60" i="8"/>
  <c r="S60" i="8"/>
  <c r="T52" i="8"/>
  <c r="S52" i="8"/>
  <c r="T44" i="8"/>
  <c r="S44" i="8"/>
  <c r="T48" i="8"/>
  <c r="S48" i="8"/>
  <c r="T57" i="8"/>
  <c r="S57" i="8"/>
  <c r="L30" i="8"/>
  <c r="M30" i="8"/>
  <c r="G57" i="8"/>
  <c r="G58" i="8"/>
  <c r="G54" i="8"/>
  <c r="G53" i="8"/>
  <c r="G52" i="8"/>
  <c r="G51" i="8"/>
  <c r="G59" i="8"/>
  <c r="G55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H36" i="8" s="1"/>
  <c r="G35" i="8"/>
  <c r="G34" i="8"/>
  <c r="G33" i="8"/>
  <c r="G31" i="8"/>
  <c r="G30" i="8"/>
  <c r="G32" i="8"/>
  <c r="G56" i="8"/>
  <c r="J31" i="5"/>
  <c r="K33" i="1"/>
  <c r="K39" i="1" s="1"/>
  <c r="K45" i="1" s="1"/>
  <c r="K51" i="1" s="1"/>
  <c r="J33" i="1"/>
  <c r="K31" i="1"/>
  <c r="K37" i="1" s="1"/>
  <c r="K43" i="1" s="1"/>
  <c r="K49" i="1" s="1"/>
  <c r="J31" i="1"/>
  <c r="J30" i="1"/>
  <c r="K30" i="1"/>
  <c r="K36" i="1" s="1"/>
  <c r="K42" i="1" s="1"/>
  <c r="K48" i="1" s="1"/>
  <c r="K35" i="1"/>
  <c r="K41" i="1" s="1"/>
  <c r="K47" i="1" s="1"/>
  <c r="K53" i="1" s="1"/>
  <c r="J35" i="1"/>
  <c r="K34" i="1"/>
  <c r="K40" i="1" s="1"/>
  <c r="K46" i="1" s="1"/>
  <c r="K52" i="1" s="1"/>
  <c r="J34" i="1"/>
  <c r="G64" i="6"/>
  <c r="H64" i="6" s="1"/>
  <c r="G92" i="6"/>
  <c r="H92" i="6" s="1"/>
  <c r="G88" i="6"/>
  <c r="H88" i="6" s="1"/>
  <c r="G102" i="6"/>
  <c r="H102" i="6" s="1"/>
  <c r="G86" i="6"/>
  <c r="H86" i="6" s="1"/>
  <c r="G70" i="6"/>
  <c r="H70" i="6" s="1"/>
  <c r="G113" i="6"/>
  <c r="G97" i="6"/>
  <c r="H97" i="6" s="1"/>
  <c r="G81" i="6"/>
  <c r="H81" i="6" s="1"/>
  <c r="G65" i="6"/>
  <c r="H65" i="6" s="1"/>
  <c r="G103" i="6"/>
  <c r="H103" i="6" s="1"/>
  <c r="G87" i="6"/>
  <c r="H87" i="6" s="1"/>
  <c r="M50" i="6"/>
  <c r="N50" i="6" s="1"/>
  <c r="L39" i="6"/>
  <c r="K51" i="6"/>
  <c r="K63" i="6" s="1"/>
  <c r="K75" i="6" s="1"/>
  <c r="K87" i="6" s="1"/>
  <c r="K99" i="6" s="1"/>
  <c r="K111" i="6" s="1"/>
  <c r="M31" i="6"/>
  <c r="L31" i="6"/>
  <c r="J43" i="6"/>
  <c r="J48" i="6"/>
  <c r="L36" i="6"/>
  <c r="M36" i="6"/>
  <c r="M35" i="6"/>
  <c r="L35" i="6"/>
  <c r="J47" i="6"/>
  <c r="M39" i="6"/>
  <c r="J51" i="6"/>
  <c r="J27" i="6"/>
  <c r="J53" i="6"/>
  <c r="L41" i="6"/>
  <c r="M41" i="6"/>
  <c r="J54" i="6"/>
  <c r="M42" i="6"/>
  <c r="L42" i="6"/>
  <c r="L33" i="6"/>
  <c r="M33" i="6"/>
  <c r="J45" i="6"/>
  <c r="L32" i="6"/>
  <c r="M32" i="6"/>
  <c r="J44" i="6"/>
  <c r="J58" i="6"/>
  <c r="M46" i="6"/>
  <c r="L46" i="6"/>
  <c r="J49" i="6"/>
  <c r="M37" i="6"/>
  <c r="L37" i="6"/>
  <c r="J52" i="6"/>
  <c r="M40" i="6"/>
  <c r="L40" i="6"/>
  <c r="M62" i="6"/>
  <c r="J74" i="6"/>
  <c r="L62" i="6"/>
  <c r="G31" i="6"/>
  <c r="G57" i="6"/>
  <c r="H57" i="6" s="1"/>
  <c r="G38" i="6"/>
  <c r="H38" i="6" s="1"/>
  <c r="G39" i="6"/>
  <c r="H39" i="6" s="1"/>
  <c r="G46" i="6"/>
  <c r="H46" i="6" s="1"/>
  <c r="G32" i="6"/>
  <c r="G47" i="6"/>
  <c r="H47" i="6" s="1"/>
  <c r="G55" i="6"/>
  <c r="H55" i="6" s="1"/>
  <c r="G34" i="6"/>
  <c r="G42" i="6"/>
  <c r="H42" i="6" s="1"/>
  <c r="G50" i="6"/>
  <c r="H50" i="6" s="1"/>
  <c r="G53" i="6"/>
  <c r="H53" i="6" s="1"/>
  <c r="G35" i="6"/>
  <c r="G43" i="6"/>
  <c r="H43" i="6" s="1"/>
  <c r="G54" i="6"/>
  <c r="H54" i="6" s="1"/>
  <c r="G56" i="6"/>
  <c r="H56" i="6" s="1"/>
  <c r="G59" i="6"/>
  <c r="H59" i="6" s="1"/>
  <c r="G36" i="6"/>
  <c r="H36" i="6" s="1"/>
  <c r="G40" i="6"/>
  <c r="H40" i="6" s="1"/>
  <c r="G44" i="6"/>
  <c r="H44" i="6" s="1"/>
  <c r="G48" i="6"/>
  <c r="H48" i="6" s="1"/>
  <c r="G58" i="6"/>
  <c r="H58" i="6" s="1"/>
  <c r="G52" i="6"/>
  <c r="H52" i="6" s="1"/>
  <c r="G33" i="6"/>
  <c r="G37" i="6"/>
  <c r="H37" i="6" s="1"/>
  <c r="G41" i="6"/>
  <c r="H41" i="6" s="1"/>
  <c r="G45" i="6"/>
  <c r="H45" i="6" s="1"/>
  <c r="G49" i="6"/>
  <c r="H49" i="6" s="1"/>
  <c r="G51" i="6"/>
  <c r="H51" i="6" s="1"/>
  <c r="J34" i="5"/>
  <c r="K31" i="5"/>
  <c r="K37" i="5" s="1"/>
  <c r="K43" i="5" s="1"/>
  <c r="K49" i="5" s="1"/>
  <c r="J33" i="5"/>
  <c r="M33" i="5" s="1"/>
  <c r="G31" i="5"/>
  <c r="G39" i="5"/>
  <c r="H39" i="5" s="1"/>
  <c r="G53" i="5"/>
  <c r="G44" i="5"/>
  <c r="H44" i="5" s="1"/>
  <c r="G55" i="5"/>
  <c r="G47" i="5"/>
  <c r="H47" i="5" s="1"/>
  <c r="G36" i="5"/>
  <c r="H36" i="5" s="1"/>
  <c r="G58" i="5"/>
  <c r="G32" i="5"/>
  <c r="G59" i="5"/>
  <c r="G40" i="5"/>
  <c r="H40" i="5" s="1"/>
  <c r="G48" i="5"/>
  <c r="H48" i="5" s="1"/>
  <c r="G56" i="5"/>
  <c r="G35" i="5"/>
  <c r="H35" i="5" s="1"/>
  <c r="G43" i="5"/>
  <c r="H43" i="5" s="1"/>
  <c r="G54" i="5"/>
  <c r="G52" i="5"/>
  <c r="G33" i="5"/>
  <c r="H33" i="5" s="1"/>
  <c r="G37" i="5"/>
  <c r="H37" i="5" s="1"/>
  <c r="G41" i="5"/>
  <c r="H41" i="5" s="1"/>
  <c r="G45" i="5"/>
  <c r="H45" i="5" s="1"/>
  <c r="G49" i="5"/>
  <c r="H49" i="5" s="1"/>
  <c r="G51" i="5"/>
  <c r="G34" i="5"/>
  <c r="H34" i="5" s="1"/>
  <c r="G38" i="5"/>
  <c r="H38" i="5" s="1"/>
  <c r="G42" i="5"/>
  <c r="H42" i="5" s="1"/>
  <c r="G46" i="5"/>
  <c r="H46" i="5" s="1"/>
  <c r="G50" i="5"/>
  <c r="H50" i="5" s="1"/>
  <c r="G57" i="5"/>
  <c r="K32" i="5"/>
  <c r="K38" i="5" s="1"/>
  <c r="K44" i="5" s="1"/>
  <c r="K50" i="5" s="1"/>
  <c r="J32" i="5"/>
  <c r="K35" i="5"/>
  <c r="K41" i="5" s="1"/>
  <c r="K47" i="5" s="1"/>
  <c r="K53" i="5" s="1"/>
  <c r="J35" i="5"/>
  <c r="J30" i="5"/>
  <c r="K30" i="5"/>
  <c r="K36" i="5" s="1"/>
  <c r="K42" i="5" s="1"/>
  <c r="K48" i="5" s="1"/>
  <c r="M30" i="6"/>
  <c r="L30" i="6"/>
  <c r="J50" i="1"/>
  <c r="M44" i="1"/>
  <c r="L44" i="1"/>
  <c r="N38" i="1"/>
  <c r="M34" i="5"/>
  <c r="L34" i="5"/>
  <c r="M31" i="5"/>
  <c r="L31" i="5"/>
  <c r="J40" i="5"/>
  <c r="J37" i="5"/>
  <c r="J39" i="5"/>
  <c r="J36" i="5"/>
  <c r="H43" i="11" l="1"/>
  <c r="H50" i="11"/>
  <c r="H44" i="11"/>
  <c r="H58" i="11"/>
  <c r="H36" i="11"/>
  <c r="H63" i="11"/>
  <c r="H46" i="11"/>
  <c r="H48" i="11"/>
  <c r="H64" i="11"/>
  <c r="H45" i="11"/>
  <c r="H61" i="11"/>
  <c r="H67" i="11"/>
  <c r="H59" i="11"/>
  <c r="H66" i="11"/>
  <c r="H40" i="11"/>
  <c r="H54" i="11"/>
  <c r="H52" i="11"/>
  <c r="H49" i="11"/>
  <c r="H65" i="11"/>
  <c r="H71" i="11"/>
  <c r="H42" i="11"/>
  <c r="H38" i="11"/>
  <c r="H68" i="11"/>
  <c r="H47" i="11"/>
  <c r="H37" i="11"/>
  <c r="H62" i="11"/>
  <c r="H56" i="11"/>
  <c r="H53" i="11"/>
  <c r="H69" i="11"/>
  <c r="H39" i="11"/>
  <c r="H51" i="11"/>
  <c r="H70" i="11"/>
  <c r="H55" i="11"/>
  <c r="H41" i="11"/>
  <c r="H60" i="11"/>
  <c r="H57" i="11"/>
  <c r="J27" i="11"/>
  <c r="O30" i="11" s="1"/>
  <c r="J50" i="11"/>
  <c r="M38" i="11"/>
  <c r="L38" i="11"/>
  <c r="N39" i="11"/>
  <c r="M51" i="11"/>
  <c r="L51" i="11"/>
  <c r="J63" i="11"/>
  <c r="L36" i="11"/>
  <c r="J48" i="11"/>
  <c r="M36" i="11"/>
  <c r="J44" i="11"/>
  <c r="M32" i="11"/>
  <c r="L32" i="11"/>
  <c r="J45" i="11"/>
  <c r="L33" i="11"/>
  <c r="O33" i="11"/>
  <c r="O45" i="11" s="1"/>
  <c r="P45" i="11" s="1"/>
  <c r="M33" i="11"/>
  <c r="J58" i="11"/>
  <c r="M46" i="11"/>
  <c r="L46" i="11"/>
  <c r="M47" i="11"/>
  <c r="L47" i="11"/>
  <c r="J59" i="11"/>
  <c r="J53" i="11"/>
  <c r="O41" i="11"/>
  <c r="P41" i="11" s="1"/>
  <c r="M41" i="11"/>
  <c r="L41" i="11"/>
  <c r="J54" i="11"/>
  <c r="M42" i="11"/>
  <c r="L42" i="11"/>
  <c r="J49" i="11"/>
  <c r="O37" i="11"/>
  <c r="P37" i="11" s="1"/>
  <c r="M37" i="11"/>
  <c r="L37" i="11"/>
  <c r="J52" i="11"/>
  <c r="L40" i="11"/>
  <c r="O40" i="11"/>
  <c r="P40" i="11" s="1"/>
  <c r="M40" i="11"/>
  <c r="M31" i="11"/>
  <c r="L31" i="11"/>
  <c r="J43" i="11"/>
  <c r="N40" i="10"/>
  <c r="L68" i="10"/>
  <c r="N68" i="10" s="1"/>
  <c r="M68" i="10"/>
  <c r="N44" i="10"/>
  <c r="N39" i="10"/>
  <c r="H46" i="10"/>
  <c r="H59" i="10"/>
  <c r="H47" i="10"/>
  <c r="J27" i="10"/>
  <c r="O33" i="10" s="1"/>
  <c r="O45" i="10" s="1"/>
  <c r="Q45" i="10" s="1"/>
  <c r="R45" i="10" s="1"/>
  <c r="J42" i="10"/>
  <c r="L30" i="10"/>
  <c r="M30" i="10"/>
  <c r="M56" i="10"/>
  <c r="L56" i="10"/>
  <c r="H36" i="10"/>
  <c r="H40" i="10"/>
  <c r="H55" i="10"/>
  <c r="H58" i="10"/>
  <c r="H54" i="10"/>
  <c r="H56" i="10"/>
  <c r="H53" i="10"/>
  <c r="H52" i="10"/>
  <c r="J49" i="10"/>
  <c r="M37" i="10"/>
  <c r="L37" i="10"/>
  <c r="J48" i="10"/>
  <c r="M36" i="10"/>
  <c r="L36" i="10"/>
  <c r="J53" i="10"/>
  <c r="M41" i="10"/>
  <c r="L41" i="10"/>
  <c r="L51" i="10"/>
  <c r="J63" i="10"/>
  <c r="J75" i="10" s="1"/>
  <c r="M51" i="10"/>
  <c r="H38" i="10"/>
  <c r="H49" i="10"/>
  <c r="H37" i="10"/>
  <c r="H50" i="10"/>
  <c r="H39" i="10"/>
  <c r="H44" i="10"/>
  <c r="M50" i="10"/>
  <c r="L50" i="10"/>
  <c r="J62" i="10"/>
  <c r="J74" i="10" s="1"/>
  <c r="L47" i="10"/>
  <c r="M47" i="10"/>
  <c r="J59" i="10"/>
  <c r="J71" i="10" s="1"/>
  <c r="M52" i="10"/>
  <c r="J64" i="10"/>
  <c r="J76" i="10" s="1"/>
  <c r="L52" i="10"/>
  <c r="H43" i="10"/>
  <c r="L43" i="10"/>
  <c r="J55" i="10"/>
  <c r="J67" i="10" s="1"/>
  <c r="M43" i="10"/>
  <c r="J45" i="10"/>
  <c r="M33" i="10"/>
  <c r="L33" i="10"/>
  <c r="H41" i="10"/>
  <c r="H51" i="10"/>
  <c r="H42" i="10"/>
  <c r="H57" i="10"/>
  <c r="H45" i="10"/>
  <c r="H48" i="10"/>
  <c r="N38" i="10"/>
  <c r="M46" i="10"/>
  <c r="J58" i="10"/>
  <c r="J70" i="10" s="1"/>
  <c r="L46" i="10"/>
  <c r="T56" i="8"/>
  <c r="S56" i="8"/>
  <c r="M34" i="1"/>
  <c r="J40" i="1"/>
  <c r="L34" i="1"/>
  <c r="N34" i="1" s="1"/>
  <c r="M35" i="1"/>
  <c r="J41" i="1"/>
  <c r="L35" i="1"/>
  <c r="N35" i="1" s="1"/>
  <c r="L30" i="1"/>
  <c r="J27" i="1"/>
  <c r="J36" i="1"/>
  <c r="M30" i="1"/>
  <c r="O36" i="1"/>
  <c r="M31" i="1"/>
  <c r="J37" i="1"/>
  <c r="L31" i="1"/>
  <c r="O31" i="1"/>
  <c r="O37" i="1" s="1"/>
  <c r="M33" i="1"/>
  <c r="J39" i="1"/>
  <c r="L33" i="1"/>
  <c r="N33" i="1" s="1"/>
  <c r="O33" i="1"/>
  <c r="N40" i="6"/>
  <c r="N37" i="6"/>
  <c r="O47" i="6"/>
  <c r="P47" i="6" s="1"/>
  <c r="O44" i="6"/>
  <c r="P44" i="6" s="1"/>
  <c r="O45" i="6"/>
  <c r="P45" i="6" s="1"/>
  <c r="N42" i="6"/>
  <c r="N41" i="6"/>
  <c r="O48" i="6"/>
  <c r="P40" i="6"/>
  <c r="O52" i="6"/>
  <c r="P37" i="6"/>
  <c r="O49" i="6"/>
  <c r="M45" i="6"/>
  <c r="L45" i="6"/>
  <c r="J57" i="6"/>
  <c r="J63" i="6"/>
  <c r="L51" i="6"/>
  <c r="M51" i="6"/>
  <c r="N62" i="6"/>
  <c r="N46" i="6"/>
  <c r="L53" i="6"/>
  <c r="J65" i="6"/>
  <c r="M53" i="6"/>
  <c r="J60" i="6"/>
  <c r="M48" i="6"/>
  <c r="L48" i="6"/>
  <c r="M54" i="6"/>
  <c r="L54" i="6"/>
  <c r="J66" i="6"/>
  <c r="M44" i="6"/>
  <c r="L44" i="6"/>
  <c r="J56" i="6"/>
  <c r="L52" i="6"/>
  <c r="J64" i="6"/>
  <c r="M52" i="6"/>
  <c r="M49" i="6"/>
  <c r="J61" i="6"/>
  <c r="L49" i="6"/>
  <c r="M58" i="6"/>
  <c r="L58" i="6"/>
  <c r="J70" i="6"/>
  <c r="O43" i="6"/>
  <c r="O46" i="6"/>
  <c r="M47" i="6"/>
  <c r="L47" i="6"/>
  <c r="J59" i="6"/>
  <c r="M43" i="6"/>
  <c r="L43" i="6"/>
  <c r="J55" i="6"/>
  <c r="N39" i="6"/>
  <c r="M74" i="6"/>
  <c r="J86" i="6"/>
  <c r="L74" i="6"/>
  <c r="L33" i="5"/>
  <c r="J27" i="5"/>
  <c r="N33" i="5"/>
  <c r="L35" i="5"/>
  <c r="M35" i="5"/>
  <c r="J41" i="5"/>
  <c r="M32" i="5"/>
  <c r="J38" i="5"/>
  <c r="L32" i="5"/>
  <c r="M30" i="5"/>
  <c r="L30" i="5"/>
  <c r="N44" i="1"/>
  <c r="L50" i="1"/>
  <c r="M50" i="1"/>
  <c r="M40" i="5"/>
  <c r="L40" i="5"/>
  <c r="N40" i="5" s="1"/>
  <c r="M39" i="5"/>
  <c r="L39" i="5"/>
  <c r="M37" i="5"/>
  <c r="L37" i="5"/>
  <c r="L36" i="5"/>
  <c r="M36" i="5"/>
  <c r="P35" i="5"/>
  <c r="P34" i="5"/>
  <c r="P33" i="5"/>
  <c r="J42" i="5"/>
  <c r="J45" i="5"/>
  <c r="J46" i="5"/>
  <c r="J43" i="5"/>
  <c r="N34" i="5"/>
  <c r="O32" i="11" l="1"/>
  <c r="O44" i="11" s="1"/>
  <c r="P44" i="11" s="1"/>
  <c r="Q37" i="11"/>
  <c r="N38" i="11"/>
  <c r="N40" i="11"/>
  <c r="Q40" i="11"/>
  <c r="Q41" i="11"/>
  <c r="Q44" i="11"/>
  <c r="Q45" i="11"/>
  <c r="O36" i="11"/>
  <c r="O31" i="11"/>
  <c r="O43" i="11" s="1"/>
  <c r="O34" i="11"/>
  <c r="O46" i="11" s="1"/>
  <c r="O39" i="11"/>
  <c r="N46" i="11"/>
  <c r="O35" i="11"/>
  <c r="O47" i="11" s="1"/>
  <c r="O38" i="11"/>
  <c r="N51" i="11"/>
  <c r="L50" i="11"/>
  <c r="M50" i="11"/>
  <c r="J62" i="11"/>
  <c r="N41" i="11"/>
  <c r="J55" i="11"/>
  <c r="M43" i="11"/>
  <c r="L43" i="11"/>
  <c r="O52" i="11"/>
  <c r="O53" i="11"/>
  <c r="O57" i="11"/>
  <c r="O56" i="11"/>
  <c r="M63" i="11"/>
  <c r="L63" i="11"/>
  <c r="J75" i="11"/>
  <c r="O49" i="11"/>
  <c r="J66" i="11"/>
  <c r="M54" i="11"/>
  <c r="L54" i="11"/>
  <c r="J65" i="11"/>
  <c r="M53" i="11"/>
  <c r="L53" i="11"/>
  <c r="L48" i="11"/>
  <c r="J60" i="11"/>
  <c r="M48" i="11"/>
  <c r="O59" i="11"/>
  <c r="L52" i="11"/>
  <c r="J64" i="11"/>
  <c r="M52" i="11"/>
  <c r="J61" i="11"/>
  <c r="M49" i="11"/>
  <c r="L49" i="11"/>
  <c r="M59" i="11"/>
  <c r="L59" i="11"/>
  <c r="J71" i="11"/>
  <c r="J57" i="11"/>
  <c r="L45" i="11"/>
  <c r="M45" i="11"/>
  <c r="L44" i="11"/>
  <c r="J56" i="11"/>
  <c r="M44" i="11"/>
  <c r="O48" i="11"/>
  <c r="O42" i="11"/>
  <c r="O55" i="11"/>
  <c r="N37" i="11"/>
  <c r="N42" i="11"/>
  <c r="N47" i="11"/>
  <c r="J70" i="11"/>
  <c r="M58" i="11"/>
  <c r="L58" i="11"/>
  <c r="N36" i="11"/>
  <c r="O58" i="11"/>
  <c r="O50" i="11"/>
  <c r="L74" i="10"/>
  <c r="M74" i="10"/>
  <c r="L71" i="10"/>
  <c r="M71" i="10"/>
  <c r="L70" i="10"/>
  <c r="M70" i="10"/>
  <c r="L75" i="10"/>
  <c r="M75" i="10"/>
  <c r="O41" i="10"/>
  <c r="L67" i="10"/>
  <c r="M67" i="10"/>
  <c r="L76" i="10"/>
  <c r="M76" i="10"/>
  <c r="O37" i="10"/>
  <c r="Q37" i="10" s="1"/>
  <c r="R37" i="10" s="1"/>
  <c r="N56" i="10"/>
  <c r="N41" i="10"/>
  <c r="N52" i="10"/>
  <c r="O36" i="10"/>
  <c r="O48" i="10" s="1"/>
  <c r="O60" i="10" s="1"/>
  <c r="Q30" i="10"/>
  <c r="R30" i="10" s="1"/>
  <c r="N37" i="10"/>
  <c r="N43" i="10"/>
  <c r="Q33" i="10"/>
  <c r="R33" i="10" s="1"/>
  <c r="S33" i="10" s="1"/>
  <c r="S45" i="10"/>
  <c r="T45" i="10"/>
  <c r="O53" i="10"/>
  <c r="P41" i="10"/>
  <c r="L64" i="10"/>
  <c r="M64" i="10"/>
  <c r="N47" i="10"/>
  <c r="L63" i="10"/>
  <c r="M63" i="10"/>
  <c r="J57" i="10"/>
  <c r="J69" i="10" s="1"/>
  <c r="L45" i="10"/>
  <c r="M45" i="10"/>
  <c r="N46" i="10"/>
  <c r="L55" i="10"/>
  <c r="M55" i="10"/>
  <c r="L62" i="10"/>
  <c r="M62" i="10"/>
  <c r="T37" i="10"/>
  <c r="S37" i="10"/>
  <c r="N51" i="10"/>
  <c r="J65" i="10"/>
  <c r="J77" i="10" s="1"/>
  <c r="M53" i="10"/>
  <c r="L53" i="10"/>
  <c r="L48" i="10"/>
  <c r="J60" i="10"/>
  <c r="J72" i="10" s="1"/>
  <c r="M48" i="10"/>
  <c r="J61" i="10"/>
  <c r="J73" i="10" s="1"/>
  <c r="M49" i="10"/>
  <c r="L49" i="10"/>
  <c r="M42" i="10"/>
  <c r="J54" i="10"/>
  <c r="J66" i="10" s="1"/>
  <c r="L42" i="10"/>
  <c r="M58" i="10"/>
  <c r="L58" i="10"/>
  <c r="Q41" i="10"/>
  <c r="R41" i="10" s="1"/>
  <c r="O57" i="10"/>
  <c r="O69" i="10" s="1"/>
  <c r="P45" i="10"/>
  <c r="L59" i="10"/>
  <c r="M59" i="10"/>
  <c r="N50" i="10"/>
  <c r="N36" i="10"/>
  <c r="O49" i="10"/>
  <c r="P37" i="10"/>
  <c r="O32" i="10"/>
  <c r="O40" i="10"/>
  <c r="O35" i="10"/>
  <c r="O39" i="10"/>
  <c r="O34" i="10"/>
  <c r="O38" i="10"/>
  <c r="O31" i="10"/>
  <c r="O42" i="8"/>
  <c r="O27" i="8"/>
  <c r="Q30" i="8"/>
  <c r="N36" i="8"/>
  <c r="P33" i="1"/>
  <c r="O39" i="1"/>
  <c r="J45" i="1"/>
  <c r="M39" i="1"/>
  <c r="L39" i="1"/>
  <c r="N39" i="1" s="1"/>
  <c r="O43" i="1"/>
  <c r="P37" i="1"/>
  <c r="J43" i="1"/>
  <c r="L37" i="1"/>
  <c r="M37" i="1"/>
  <c r="P36" i="1"/>
  <c r="O42" i="1"/>
  <c r="M36" i="1"/>
  <c r="L36" i="1"/>
  <c r="N36" i="1" s="1"/>
  <c r="J42" i="1"/>
  <c r="O32" i="1"/>
  <c r="O38" i="1" s="1"/>
  <c r="O34" i="1"/>
  <c r="O35" i="1"/>
  <c r="J47" i="1"/>
  <c r="M41" i="1"/>
  <c r="L41" i="1"/>
  <c r="N41" i="1" s="1"/>
  <c r="J46" i="1"/>
  <c r="M40" i="1"/>
  <c r="L40" i="1"/>
  <c r="N40" i="1" s="1"/>
  <c r="O59" i="6"/>
  <c r="N53" i="6"/>
  <c r="O57" i="6"/>
  <c r="O56" i="6"/>
  <c r="O68" i="6" s="1"/>
  <c r="N45" i="6"/>
  <c r="N43" i="6"/>
  <c r="N74" i="6"/>
  <c r="N49" i="6"/>
  <c r="J76" i="6"/>
  <c r="M64" i="6"/>
  <c r="L64" i="6"/>
  <c r="M65" i="6"/>
  <c r="L65" i="6"/>
  <c r="J77" i="6"/>
  <c r="P52" i="6"/>
  <c r="O64" i="6"/>
  <c r="P46" i="6"/>
  <c r="O58" i="6"/>
  <c r="M70" i="6"/>
  <c r="J82" i="6"/>
  <c r="L70" i="6"/>
  <c r="J73" i="6"/>
  <c r="M61" i="6"/>
  <c r="L61" i="6"/>
  <c r="N52" i="6"/>
  <c r="P41" i="6"/>
  <c r="O53" i="6"/>
  <c r="O71" i="6"/>
  <c r="P59" i="6"/>
  <c r="J72" i="6"/>
  <c r="L60" i="6"/>
  <c r="M60" i="6"/>
  <c r="N51" i="6"/>
  <c r="P43" i="6"/>
  <c r="O55" i="6"/>
  <c r="M59" i="6"/>
  <c r="L59" i="6"/>
  <c r="J71" i="6"/>
  <c r="O50" i="6"/>
  <c r="P38" i="6"/>
  <c r="P57" i="6"/>
  <c r="O69" i="6"/>
  <c r="N58" i="6"/>
  <c r="M56" i="6"/>
  <c r="J68" i="6"/>
  <c r="L56" i="6"/>
  <c r="M66" i="6"/>
  <c r="J78" i="6"/>
  <c r="L66" i="6"/>
  <c r="P39" i="6"/>
  <c r="O51" i="6"/>
  <c r="L63" i="6"/>
  <c r="M63" i="6"/>
  <c r="J75" i="6"/>
  <c r="O61" i="6"/>
  <c r="P49" i="6"/>
  <c r="M55" i="6"/>
  <c r="L55" i="6"/>
  <c r="J67" i="6"/>
  <c r="N47" i="6"/>
  <c r="O42" i="6"/>
  <c r="O27" i="6"/>
  <c r="N44" i="6"/>
  <c r="N54" i="6"/>
  <c r="N48" i="6"/>
  <c r="L57" i="6"/>
  <c r="M57" i="6"/>
  <c r="J69" i="6"/>
  <c r="P48" i="6"/>
  <c r="O60" i="6"/>
  <c r="M86" i="6"/>
  <c r="J98" i="6"/>
  <c r="L86" i="6"/>
  <c r="N36" i="5"/>
  <c r="M41" i="5"/>
  <c r="L41" i="5"/>
  <c r="J47" i="5"/>
  <c r="J44" i="5"/>
  <c r="M38" i="5"/>
  <c r="L38" i="5"/>
  <c r="N38" i="5" s="1"/>
  <c r="N35" i="5"/>
  <c r="N50" i="1"/>
  <c r="M46" i="5"/>
  <c r="L46" i="5"/>
  <c r="M45" i="5"/>
  <c r="L45" i="5"/>
  <c r="O27" i="5"/>
  <c r="M43" i="5"/>
  <c r="L43" i="5"/>
  <c r="M42" i="5"/>
  <c r="L42" i="5"/>
  <c r="J48" i="5"/>
  <c r="J49" i="5"/>
  <c r="O36" i="5"/>
  <c r="P36" i="5" s="1"/>
  <c r="N37" i="5"/>
  <c r="J51" i="5"/>
  <c r="O37" i="5"/>
  <c r="P37" i="5" s="1"/>
  <c r="O38" i="5"/>
  <c r="P38" i="5" s="1"/>
  <c r="O40" i="5"/>
  <c r="P40" i="5" s="1"/>
  <c r="O39" i="5"/>
  <c r="P39" i="5" s="1"/>
  <c r="J52" i="5"/>
  <c r="N39" i="5"/>
  <c r="O41" i="5"/>
  <c r="P41" i="5" s="1"/>
  <c r="P50" i="11" l="1"/>
  <c r="Q50" i="11"/>
  <c r="P58" i="11"/>
  <c r="Q58" i="11"/>
  <c r="P55" i="11"/>
  <c r="Q55" i="11"/>
  <c r="P49" i="11"/>
  <c r="Q49" i="11"/>
  <c r="P56" i="11"/>
  <c r="Q56" i="11"/>
  <c r="P38" i="11"/>
  <c r="Q38" i="11"/>
  <c r="P46" i="11"/>
  <c r="Q46" i="11"/>
  <c r="P42" i="11"/>
  <c r="Q42" i="11"/>
  <c r="P57" i="11"/>
  <c r="Q57" i="11"/>
  <c r="P47" i="11"/>
  <c r="Q47" i="11"/>
  <c r="P43" i="11"/>
  <c r="Q43" i="11"/>
  <c r="P48" i="11"/>
  <c r="Q48" i="11"/>
  <c r="P59" i="11"/>
  <c r="Q59" i="11"/>
  <c r="P53" i="11"/>
  <c r="Q53" i="11"/>
  <c r="P36" i="11"/>
  <c r="Q36" i="11"/>
  <c r="P52" i="11"/>
  <c r="Q52" i="11"/>
  <c r="O27" i="11"/>
  <c r="P39" i="11"/>
  <c r="Q39" i="11"/>
  <c r="O51" i="11"/>
  <c r="O63" i="11" s="1"/>
  <c r="N59" i="11"/>
  <c r="N48" i="11"/>
  <c r="N43" i="11"/>
  <c r="L62" i="11"/>
  <c r="J74" i="11"/>
  <c r="M62" i="11"/>
  <c r="N49" i="11"/>
  <c r="N50" i="11"/>
  <c r="N58" i="11"/>
  <c r="N53" i="11"/>
  <c r="J73" i="11"/>
  <c r="M61" i="11"/>
  <c r="L61" i="11"/>
  <c r="O69" i="11"/>
  <c r="O54" i="11"/>
  <c r="M66" i="11"/>
  <c r="J78" i="11"/>
  <c r="L66" i="11"/>
  <c r="O67" i="11"/>
  <c r="O60" i="11"/>
  <c r="O64" i="11"/>
  <c r="O62" i="11"/>
  <c r="N45" i="11"/>
  <c r="O71" i="11"/>
  <c r="J68" i="11"/>
  <c r="L56" i="11"/>
  <c r="M56" i="11"/>
  <c r="M57" i="11"/>
  <c r="L57" i="11"/>
  <c r="J69" i="11"/>
  <c r="J76" i="11"/>
  <c r="L64" i="11"/>
  <c r="M64" i="11"/>
  <c r="J77" i="11"/>
  <c r="M65" i="11"/>
  <c r="L65" i="11"/>
  <c r="O68" i="11"/>
  <c r="O65" i="11"/>
  <c r="O70" i="11"/>
  <c r="L70" i="11"/>
  <c r="M70" i="11"/>
  <c r="N44" i="11"/>
  <c r="M71" i="11"/>
  <c r="L71" i="11"/>
  <c r="N52" i="11"/>
  <c r="J72" i="11"/>
  <c r="L60" i="11"/>
  <c r="M60" i="11"/>
  <c r="N54" i="11"/>
  <c r="O61" i="11"/>
  <c r="N63" i="11"/>
  <c r="M55" i="11"/>
  <c r="L55" i="11"/>
  <c r="J67" i="11"/>
  <c r="N70" i="10"/>
  <c r="N71" i="10"/>
  <c r="L72" i="10"/>
  <c r="M72" i="10"/>
  <c r="N64" i="10"/>
  <c r="N62" i="10"/>
  <c r="N63" i="10"/>
  <c r="N67" i="10"/>
  <c r="L69" i="10"/>
  <c r="N69" i="10" s="1"/>
  <c r="M69" i="10"/>
  <c r="L77" i="10"/>
  <c r="M77" i="10"/>
  <c r="L73" i="10"/>
  <c r="M73" i="10"/>
  <c r="L66" i="10"/>
  <c r="M66" i="10"/>
  <c r="O72" i="10"/>
  <c r="Q72" i="10" s="1"/>
  <c r="R72" i="10" s="1"/>
  <c r="P60" i="10"/>
  <c r="Q36" i="10"/>
  <c r="R36" i="10" s="1"/>
  <c r="Q69" i="10"/>
  <c r="R69" i="10" s="1"/>
  <c r="P69" i="10"/>
  <c r="S30" i="10"/>
  <c r="T30" i="10"/>
  <c r="P36" i="10"/>
  <c r="N49" i="10"/>
  <c r="T33" i="10"/>
  <c r="N45" i="10"/>
  <c r="O42" i="10"/>
  <c r="P42" i="10" s="1"/>
  <c r="N59" i="10"/>
  <c r="N55" i="10"/>
  <c r="L60" i="10"/>
  <c r="M60" i="10"/>
  <c r="L65" i="10"/>
  <c r="N65" i="10" s="1"/>
  <c r="M65" i="10"/>
  <c r="Q60" i="10"/>
  <c r="R60" i="10" s="1"/>
  <c r="P48" i="10"/>
  <c r="Q48" i="10"/>
  <c r="R48" i="10" s="1"/>
  <c r="M57" i="10"/>
  <c r="L57" i="10"/>
  <c r="O65" i="10"/>
  <c r="P53" i="10"/>
  <c r="Q53" i="10"/>
  <c r="R53" i="10" s="1"/>
  <c r="O50" i="10"/>
  <c r="P38" i="10"/>
  <c r="Q38" i="10"/>
  <c r="R38" i="10" s="1"/>
  <c r="O52" i="10"/>
  <c r="P40" i="10"/>
  <c r="Q40" i="10"/>
  <c r="R40" i="10" s="1"/>
  <c r="O46" i="10"/>
  <c r="Q34" i="10"/>
  <c r="R34" i="10" s="1"/>
  <c r="O44" i="10"/>
  <c r="Q32" i="10"/>
  <c r="R32" i="10" s="1"/>
  <c r="P57" i="10"/>
  <c r="Q57" i="10"/>
  <c r="R57" i="10" s="1"/>
  <c r="N42" i="10"/>
  <c r="N48" i="10"/>
  <c r="O51" i="10"/>
  <c r="P39" i="10"/>
  <c r="Q39" i="10"/>
  <c r="R39" i="10" s="1"/>
  <c r="S41" i="10"/>
  <c r="T41" i="10"/>
  <c r="M54" i="10"/>
  <c r="L54" i="10"/>
  <c r="L61" i="10"/>
  <c r="M61" i="10"/>
  <c r="N53" i="10"/>
  <c r="T36" i="10"/>
  <c r="S36" i="10"/>
  <c r="O43" i="10"/>
  <c r="Q31" i="10"/>
  <c r="R31" i="10" s="1"/>
  <c r="O47" i="10"/>
  <c r="Q35" i="10"/>
  <c r="R35" i="10" s="1"/>
  <c r="O61" i="10"/>
  <c r="P49" i="10"/>
  <c r="Q49" i="10"/>
  <c r="R49" i="10" s="1"/>
  <c r="N58" i="10"/>
  <c r="O27" i="10"/>
  <c r="Q42" i="8"/>
  <c r="R42" i="8" s="1"/>
  <c r="P42" i="8"/>
  <c r="O54" i="8"/>
  <c r="P36" i="8"/>
  <c r="J52" i="1"/>
  <c r="M46" i="1"/>
  <c r="L46" i="1"/>
  <c r="N46" i="1" s="1"/>
  <c r="J53" i="1"/>
  <c r="M47" i="1"/>
  <c r="L47" i="1"/>
  <c r="N47" i="1" s="1"/>
  <c r="P35" i="1"/>
  <c r="O41" i="1"/>
  <c r="P34" i="1"/>
  <c r="O40" i="1"/>
  <c r="P38" i="1"/>
  <c r="O44" i="1"/>
  <c r="J48" i="1"/>
  <c r="L42" i="1"/>
  <c r="M42" i="1"/>
  <c r="P42" i="1"/>
  <c r="O48" i="1"/>
  <c r="N37" i="1"/>
  <c r="J49" i="1"/>
  <c r="L43" i="1"/>
  <c r="M43" i="1"/>
  <c r="P43" i="1"/>
  <c r="O49" i="1"/>
  <c r="J51" i="1"/>
  <c r="M45" i="1"/>
  <c r="L45" i="1"/>
  <c r="N45" i="1" s="1"/>
  <c r="P39" i="1"/>
  <c r="O45" i="1"/>
  <c r="P56" i="6"/>
  <c r="N57" i="6"/>
  <c r="N63" i="6"/>
  <c r="N66" i="6"/>
  <c r="N61" i="6"/>
  <c r="N86" i="6"/>
  <c r="N64" i="6"/>
  <c r="O72" i="6"/>
  <c r="P60" i="6"/>
  <c r="O80" i="6"/>
  <c r="P68" i="6"/>
  <c r="L67" i="6"/>
  <c r="M67" i="6"/>
  <c r="J79" i="6"/>
  <c r="O73" i="6"/>
  <c r="P61" i="6"/>
  <c r="P51" i="6"/>
  <c r="O63" i="6"/>
  <c r="P50" i="6"/>
  <c r="O62" i="6"/>
  <c r="O67" i="6"/>
  <c r="P55" i="6"/>
  <c r="N60" i="6"/>
  <c r="O65" i="6"/>
  <c r="P53" i="6"/>
  <c r="M78" i="6"/>
  <c r="L78" i="6"/>
  <c r="J90" i="6"/>
  <c r="O83" i="6"/>
  <c r="P71" i="6"/>
  <c r="L82" i="6"/>
  <c r="J94" i="6"/>
  <c r="M82" i="6"/>
  <c r="O76" i="6"/>
  <c r="P64" i="6"/>
  <c r="M69" i="6"/>
  <c r="L69" i="6"/>
  <c r="J81" i="6"/>
  <c r="N55" i="6"/>
  <c r="J87" i="6"/>
  <c r="L75" i="6"/>
  <c r="M75" i="6"/>
  <c r="N56" i="6"/>
  <c r="O81" i="6"/>
  <c r="P69" i="6"/>
  <c r="L71" i="6"/>
  <c r="M71" i="6"/>
  <c r="J83" i="6"/>
  <c r="J84" i="6"/>
  <c r="L72" i="6"/>
  <c r="M72" i="6"/>
  <c r="M73" i="6"/>
  <c r="L73" i="6"/>
  <c r="J85" i="6"/>
  <c r="O70" i="6"/>
  <c r="P58" i="6"/>
  <c r="M77" i="6"/>
  <c r="J89" i="6"/>
  <c r="L77" i="6"/>
  <c r="O54" i="6"/>
  <c r="P42" i="6"/>
  <c r="M68" i="6"/>
  <c r="L68" i="6"/>
  <c r="J80" i="6"/>
  <c r="N59" i="6"/>
  <c r="N70" i="6"/>
  <c r="N65" i="6"/>
  <c r="M76" i="6"/>
  <c r="J88" i="6"/>
  <c r="L76" i="6"/>
  <c r="M98" i="6"/>
  <c r="J110" i="6"/>
  <c r="L98" i="6"/>
  <c r="M47" i="5"/>
  <c r="L47" i="5"/>
  <c r="J53" i="5"/>
  <c r="N41" i="5"/>
  <c r="N42" i="5"/>
  <c r="J50" i="5"/>
  <c r="L44" i="5"/>
  <c r="M44" i="5"/>
  <c r="M52" i="5"/>
  <c r="L52" i="5"/>
  <c r="M51" i="5"/>
  <c r="L51" i="5"/>
  <c r="M49" i="5"/>
  <c r="L49" i="5"/>
  <c r="M48" i="5"/>
  <c r="L48" i="5"/>
  <c r="N45" i="5"/>
  <c r="O46" i="5"/>
  <c r="P46" i="5" s="1"/>
  <c r="O43" i="5"/>
  <c r="P43" i="5" s="1"/>
  <c r="O45" i="5"/>
  <c r="P45" i="5" s="1"/>
  <c r="N43" i="5"/>
  <c r="O47" i="5"/>
  <c r="P47" i="5" s="1"/>
  <c r="N46" i="5"/>
  <c r="O44" i="5"/>
  <c r="P44" i="5" s="1"/>
  <c r="O42" i="5"/>
  <c r="P42" i="5" s="1"/>
  <c r="P70" i="11" l="1"/>
  <c r="Q70" i="11"/>
  <c r="P71" i="11"/>
  <c r="Q71" i="11"/>
  <c r="P60" i="11"/>
  <c r="Q60" i="11"/>
  <c r="P51" i="11"/>
  <c r="Q51" i="11"/>
  <c r="P61" i="11"/>
  <c r="Q61" i="11"/>
  <c r="P65" i="11"/>
  <c r="Q65" i="11"/>
  <c r="P67" i="11"/>
  <c r="Q67" i="11"/>
  <c r="P54" i="11"/>
  <c r="Q54" i="11"/>
  <c r="P68" i="11"/>
  <c r="Q68" i="11"/>
  <c r="P62" i="11"/>
  <c r="Q62" i="11"/>
  <c r="P69" i="11"/>
  <c r="Q69" i="11"/>
  <c r="N70" i="11"/>
  <c r="P63" i="11"/>
  <c r="Q63" i="11"/>
  <c r="P64" i="11"/>
  <c r="Q64" i="11"/>
  <c r="N65" i="11"/>
  <c r="N61" i="11"/>
  <c r="N56" i="11"/>
  <c r="N62" i="11"/>
  <c r="N57" i="11"/>
  <c r="O80" i="11"/>
  <c r="Q80" i="11" s="1"/>
  <c r="N64" i="11"/>
  <c r="O76" i="11"/>
  <c r="Q76" i="11" s="1"/>
  <c r="O79" i="11"/>
  <c r="Q79" i="11" s="1"/>
  <c r="O66" i="11"/>
  <c r="O77" i="11"/>
  <c r="Q77" i="11" s="1"/>
  <c r="J81" i="11"/>
  <c r="M69" i="11"/>
  <c r="L69" i="11"/>
  <c r="O74" i="11"/>
  <c r="Q74" i="11" s="1"/>
  <c r="O72" i="11"/>
  <c r="Q72" i="11" s="1"/>
  <c r="O81" i="11"/>
  <c r="Q81" i="11" s="1"/>
  <c r="J80" i="11"/>
  <c r="M68" i="11"/>
  <c r="L68" i="11"/>
  <c r="M67" i="11"/>
  <c r="J79" i="11"/>
  <c r="L67" i="11"/>
  <c r="N55" i="11"/>
  <c r="O73" i="11"/>
  <c r="Q73" i="11" s="1"/>
  <c r="N60" i="11"/>
  <c r="N71" i="11"/>
  <c r="O75" i="11"/>
  <c r="Q75" i="11" s="1"/>
  <c r="N66" i="11"/>
  <c r="O54" i="10"/>
  <c r="O66" i="10" s="1"/>
  <c r="N61" i="10"/>
  <c r="N60" i="10"/>
  <c r="Q66" i="10"/>
  <c r="R66" i="10" s="1"/>
  <c r="P66" i="10"/>
  <c r="S72" i="10"/>
  <c r="T72" i="10"/>
  <c r="Q61" i="10"/>
  <c r="R61" i="10" s="1"/>
  <c r="O73" i="10"/>
  <c r="Q73" i="10" s="1"/>
  <c r="R73" i="10" s="1"/>
  <c r="P61" i="10"/>
  <c r="Q65" i="10"/>
  <c r="R65" i="10" s="1"/>
  <c r="S65" i="10" s="1"/>
  <c r="O77" i="10"/>
  <c r="Q77" i="10" s="1"/>
  <c r="R77" i="10" s="1"/>
  <c r="P65" i="10"/>
  <c r="S69" i="10"/>
  <c r="T69" i="10"/>
  <c r="Q42" i="10"/>
  <c r="R42" i="10" s="1"/>
  <c r="S42" i="10" s="1"/>
  <c r="N66" i="10"/>
  <c r="N54" i="10"/>
  <c r="O63" i="10"/>
  <c r="P51" i="10"/>
  <c r="Q51" i="10"/>
  <c r="R51" i="10" s="1"/>
  <c r="O58" i="10"/>
  <c r="O70" i="10" s="1"/>
  <c r="P46" i="10"/>
  <c r="Q46" i="10"/>
  <c r="R46" i="10" s="1"/>
  <c r="T38" i="10"/>
  <c r="S38" i="10"/>
  <c r="T53" i="10"/>
  <c r="S53" i="10"/>
  <c r="T61" i="10"/>
  <c r="S61" i="10"/>
  <c r="O55" i="10"/>
  <c r="O67" i="10" s="1"/>
  <c r="P43" i="10"/>
  <c r="Q43" i="10"/>
  <c r="R43" i="10" s="1"/>
  <c r="S32" i="10"/>
  <c r="T32" i="10"/>
  <c r="S40" i="10"/>
  <c r="T40" i="10"/>
  <c r="S48" i="10"/>
  <c r="T48" i="10"/>
  <c r="S39" i="10"/>
  <c r="T39" i="10"/>
  <c r="O56" i="10"/>
  <c r="O68" i="10" s="1"/>
  <c r="P44" i="10"/>
  <c r="Q44" i="10"/>
  <c r="R44" i="10" s="1"/>
  <c r="O62" i="10"/>
  <c r="P50" i="10"/>
  <c r="Q50" i="10"/>
  <c r="R50" i="10" s="1"/>
  <c r="T65" i="10"/>
  <c r="S31" i="10"/>
  <c r="T31" i="10"/>
  <c r="P54" i="10"/>
  <c r="Q54" i="10"/>
  <c r="R54" i="10" s="1"/>
  <c r="S35" i="10"/>
  <c r="T35" i="10"/>
  <c r="T49" i="10"/>
  <c r="S49" i="10"/>
  <c r="O59" i="10"/>
  <c r="O71" i="10" s="1"/>
  <c r="P47" i="10"/>
  <c r="Q47" i="10"/>
  <c r="R47" i="10" s="1"/>
  <c r="S57" i="10"/>
  <c r="T57" i="10"/>
  <c r="S34" i="10"/>
  <c r="T34" i="10"/>
  <c r="O64" i="10"/>
  <c r="P52" i="10"/>
  <c r="Q52" i="10"/>
  <c r="R52" i="10" s="1"/>
  <c r="N57" i="10"/>
  <c r="T60" i="10"/>
  <c r="S60" i="10"/>
  <c r="R23" i="8"/>
  <c r="Q54" i="8"/>
  <c r="R54" i="8" s="1"/>
  <c r="P54" i="8"/>
  <c r="R22" i="8" s="1"/>
  <c r="T42" i="8"/>
  <c r="S42" i="8"/>
  <c r="P45" i="1"/>
  <c r="O51" i="1"/>
  <c r="O57" i="1" s="1"/>
  <c r="M51" i="1"/>
  <c r="L51" i="1"/>
  <c r="P49" i="1"/>
  <c r="O55" i="1"/>
  <c r="N43" i="1"/>
  <c r="M49" i="1"/>
  <c r="L49" i="1"/>
  <c r="N49" i="1" s="1"/>
  <c r="P48" i="1"/>
  <c r="O54" i="1"/>
  <c r="N42" i="1"/>
  <c r="M48" i="1"/>
  <c r="L48" i="1"/>
  <c r="N48" i="1" s="1"/>
  <c r="P44" i="1"/>
  <c r="O50" i="1"/>
  <c r="P40" i="1"/>
  <c r="O46" i="1"/>
  <c r="P41" i="1"/>
  <c r="O47" i="1"/>
  <c r="M53" i="1"/>
  <c r="L53" i="1"/>
  <c r="M52" i="1"/>
  <c r="L52" i="1"/>
  <c r="N73" i="6"/>
  <c r="N75" i="6"/>
  <c r="N68" i="6"/>
  <c r="N78" i="6"/>
  <c r="N82" i="6"/>
  <c r="N77" i="6"/>
  <c r="N67" i="6"/>
  <c r="O82" i="6"/>
  <c r="P70" i="6"/>
  <c r="O85" i="6"/>
  <c r="P73" i="6"/>
  <c r="N76" i="6"/>
  <c r="J101" i="6"/>
  <c r="M89" i="6"/>
  <c r="L89" i="6"/>
  <c r="J97" i="6"/>
  <c r="M85" i="6"/>
  <c r="L85" i="6"/>
  <c r="N72" i="6"/>
  <c r="N71" i="6"/>
  <c r="L81" i="6"/>
  <c r="M81" i="6"/>
  <c r="J93" i="6"/>
  <c r="P76" i="6"/>
  <c r="O88" i="6"/>
  <c r="O75" i="6"/>
  <c r="P63" i="6"/>
  <c r="M79" i="6"/>
  <c r="L79" i="6"/>
  <c r="J91" i="6"/>
  <c r="P80" i="6"/>
  <c r="O92" i="6"/>
  <c r="L88" i="6"/>
  <c r="J100" i="6"/>
  <c r="M88" i="6"/>
  <c r="M84" i="6"/>
  <c r="L84" i="6"/>
  <c r="J96" i="6"/>
  <c r="N69" i="6"/>
  <c r="P83" i="6"/>
  <c r="O95" i="6"/>
  <c r="O79" i="6"/>
  <c r="P67" i="6"/>
  <c r="M80" i="6"/>
  <c r="J92" i="6"/>
  <c r="L80" i="6"/>
  <c r="O66" i="6"/>
  <c r="P54" i="6"/>
  <c r="M83" i="6"/>
  <c r="L83" i="6"/>
  <c r="J95" i="6"/>
  <c r="O93" i="6"/>
  <c r="P81" i="6"/>
  <c r="L87" i="6"/>
  <c r="J99" i="6"/>
  <c r="M87" i="6"/>
  <c r="M94" i="6"/>
  <c r="J106" i="6"/>
  <c r="L94" i="6"/>
  <c r="M90" i="6"/>
  <c r="J102" i="6"/>
  <c r="L90" i="6"/>
  <c r="O77" i="6"/>
  <c r="P65" i="6"/>
  <c r="P62" i="6"/>
  <c r="O74" i="6"/>
  <c r="O84" i="6"/>
  <c r="P72" i="6"/>
  <c r="N98" i="6"/>
  <c r="M110" i="6"/>
  <c r="L110" i="6"/>
  <c r="N44" i="5"/>
  <c r="L53" i="5"/>
  <c r="M53" i="5"/>
  <c r="L50" i="5"/>
  <c r="M50" i="5"/>
  <c r="N47" i="5"/>
  <c r="N48" i="5"/>
  <c r="N49" i="5"/>
  <c r="O49" i="5"/>
  <c r="P49" i="5" s="1"/>
  <c r="O50" i="5"/>
  <c r="P50" i="5" s="1"/>
  <c r="O53" i="5"/>
  <c r="O48" i="5"/>
  <c r="P48" i="5" s="1"/>
  <c r="W21" i="5" s="1"/>
  <c r="O51" i="5"/>
  <c r="O52" i="5"/>
  <c r="P66" i="11" l="1"/>
  <c r="Q66" i="11"/>
  <c r="N67" i="11"/>
  <c r="O78" i="11"/>
  <c r="Q78" i="11" s="1"/>
  <c r="N68" i="11"/>
  <c r="N69" i="11"/>
  <c r="Q70" i="10"/>
  <c r="R70" i="10" s="1"/>
  <c r="P70" i="10"/>
  <c r="Q71" i="10"/>
  <c r="R71" i="10" s="1"/>
  <c r="P71" i="10"/>
  <c r="Q68" i="10"/>
  <c r="R68" i="10" s="1"/>
  <c r="P68" i="10"/>
  <c r="T42" i="10"/>
  <c r="S73" i="10"/>
  <c r="T73" i="10"/>
  <c r="Q64" i="10"/>
  <c r="R64" i="10" s="1"/>
  <c r="T64" i="10" s="1"/>
  <c r="O76" i="10"/>
  <c r="Q76" i="10" s="1"/>
  <c r="R76" i="10" s="1"/>
  <c r="P64" i="10"/>
  <c r="Q62" i="10"/>
  <c r="R62" i="10" s="1"/>
  <c r="O74" i="10"/>
  <c r="Q74" i="10" s="1"/>
  <c r="R74" i="10" s="1"/>
  <c r="P62" i="10"/>
  <c r="Q67" i="10"/>
  <c r="R67" i="10" s="1"/>
  <c r="P67" i="10"/>
  <c r="Q63" i="10"/>
  <c r="R63" i="10" s="1"/>
  <c r="T63" i="10" s="1"/>
  <c r="O75" i="10"/>
  <c r="Q75" i="10" s="1"/>
  <c r="R75" i="10" s="1"/>
  <c r="P63" i="10"/>
  <c r="S77" i="10"/>
  <c r="T77" i="10"/>
  <c r="S66" i="10"/>
  <c r="T66" i="10"/>
  <c r="S44" i="10"/>
  <c r="T44" i="10"/>
  <c r="P58" i="10"/>
  <c r="Q58" i="10"/>
  <c r="R58" i="10" s="1"/>
  <c r="S64" i="10"/>
  <c r="T54" i="10"/>
  <c r="S54" i="10"/>
  <c r="S50" i="10"/>
  <c r="T50" i="10"/>
  <c r="T43" i="10"/>
  <c r="S43" i="10"/>
  <c r="T51" i="10"/>
  <c r="S51" i="10"/>
  <c r="T47" i="10"/>
  <c r="S47" i="10"/>
  <c r="P56" i="10"/>
  <c r="Q56" i="10"/>
  <c r="R56" i="10" s="1"/>
  <c r="T46" i="10"/>
  <c r="S46" i="10"/>
  <c r="P59" i="10"/>
  <c r="Q59" i="10"/>
  <c r="R59" i="10" s="1"/>
  <c r="S52" i="10"/>
  <c r="T52" i="10"/>
  <c r="T62" i="10"/>
  <c r="S62" i="10"/>
  <c r="P55" i="10"/>
  <c r="Q55" i="10"/>
  <c r="R55" i="10" s="1"/>
  <c r="S63" i="10"/>
  <c r="T54" i="8"/>
  <c r="S54" i="8"/>
  <c r="R21" i="8"/>
  <c r="W21" i="8"/>
  <c r="R21" i="5"/>
  <c r="W22" i="5" s="1"/>
  <c r="W24" i="5" s="1"/>
  <c r="P47" i="1"/>
  <c r="O53" i="1"/>
  <c r="O59" i="1" s="1"/>
  <c r="P46" i="1"/>
  <c r="O52" i="1"/>
  <c r="O58" i="1" s="1"/>
  <c r="O27" i="1"/>
  <c r="P50" i="1"/>
  <c r="O56" i="1"/>
  <c r="N94" i="6"/>
  <c r="N83" i="6"/>
  <c r="N85" i="6"/>
  <c r="N89" i="6"/>
  <c r="O96" i="6"/>
  <c r="P84" i="6"/>
  <c r="O89" i="6"/>
  <c r="P77" i="6"/>
  <c r="L95" i="6"/>
  <c r="M95" i="6"/>
  <c r="J107" i="6"/>
  <c r="M93" i="6"/>
  <c r="L93" i="6"/>
  <c r="J105" i="6"/>
  <c r="O86" i="6"/>
  <c r="P74" i="6"/>
  <c r="N90" i="6"/>
  <c r="L106" i="6"/>
  <c r="M106" i="6"/>
  <c r="N87" i="6"/>
  <c r="N80" i="6"/>
  <c r="O91" i="6"/>
  <c r="P79" i="6"/>
  <c r="L96" i="6"/>
  <c r="J108" i="6"/>
  <c r="M96" i="6"/>
  <c r="J112" i="6"/>
  <c r="M100" i="6"/>
  <c r="L100" i="6"/>
  <c r="L91" i="6"/>
  <c r="M91" i="6"/>
  <c r="J103" i="6"/>
  <c r="P75" i="6"/>
  <c r="O87" i="6"/>
  <c r="O97" i="6"/>
  <c r="P85" i="6"/>
  <c r="L102" i="6"/>
  <c r="M102" i="6"/>
  <c r="L92" i="6"/>
  <c r="M92" i="6"/>
  <c r="J104" i="6"/>
  <c r="P95" i="6"/>
  <c r="O107" i="6"/>
  <c r="P107" i="6" s="1"/>
  <c r="N84" i="6"/>
  <c r="N88" i="6"/>
  <c r="N79" i="6"/>
  <c r="O100" i="6"/>
  <c r="P88" i="6"/>
  <c r="N81" i="6"/>
  <c r="L101" i="6"/>
  <c r="M101" i="6"/>
  <c r="J113" i="6"/>
  <c r="J111" i="6"/>
  <c r="L99" i="6"/>
  <c r="M99" i="6"/>
  <c r="P66" i="6"/>
  <c r="O78" i="6"/>
  <c r="P93" i="6"/>
  <c r="O105" i="6"/>
  <c r="P105" i="6" s="1"/>
  <c r="O104" i="6"/>
  <c r="P104" i="6" s="1"/>
  <c r="P92" i="6"/>
  <c r="J109" i="6"/>
  <c r="L97" i="6"/>
  <c r="M97" i="6"/>
  <c r="O94" i="6"/>
  <c r="P82" i="6"/>
  <c r="N50" i="5"/>
  <c r="O56" i="5"/>
  <c r="O57" i="5"/>
  <c r="O54" i="5"/>
  <c r="R23" i="5"/>
  <c r="O59" i="5"/>
  <c r="O58" i="5"/>
  <c r="O55" i="5"/>
  <c r="R22" i="11" l="1"/>
  <c r="R21" i="11"/>
  <c r="R23" i="11"/>
  <c r="R23" i="10"/>
  <c r="S75" i="10"/>
  <c r="T75" i="10"/>
  <c r="R21" i="10"/>
  <c r="S74" i="10"/>
  <c r="T74" i="10"/>
  <c r="R22" i="10"/>
  <c r="S68" i="10"/>
  <c r="T68" i="10"/>
  <c r="S76" i="10"/>
  <c r="T76" i="10"/>
  <c r="S71" i="10"/>
  <c r="T71" i="10"/>
  <c r="W21" i="10"/>
  <c r="S67" i="10"/>
  <c r="T67" i="10"/>
  <c r="S70" i="10"/>
  <c r="T70" i="10"/>
  <c r="U11" i="10" a="1"/>
  <c r="U11" i="10" s="1"/>
  <c r="S56" i="10"/>
  <c r="T56" i="10"/>
  <c r="T59" i="10"/>
  <c r="S59" i="10"/>
  <c r="T58" i="10"/>
  <c r="S58" i="10"/>
  <c r="T55" i="10"/>
  <c r="S55" i="10"/>
  <c r="U10" i="10"/>
  <c r="W22" i="8"/>
  <c r="W24" i="8" s="1"/>
  <c r="N96" i="6"/>
  <c r="R23" i="1"/>
  <c r="R22" i="1"/>
  <c r="R24" i="1" s="1"/>
  <c r="R26" i="1" s="1"/>
  <c r="N102" i="6"/>
  <c r="N95" i="6"/>
  <c r="N99" i="6"/>
  <c r="N101" i="6"/>
  <c r="N91" i="6"/>
  <c r="N106" i="6"/>
  <c r="N97" i="6"/>
  <c r="P100" i="6"/>
  <c r="O112" i="6"/>
  <c r="N92" i="6"/>
  <c r="O109" i="6"/>
  <c r="P97" i="6"/>
  <c r="M112" i="6"/>
  <c r="L112" i="6"/>
  <c r="O98" i="6"/>
  <c r="P86" i="6"/>
  <c r="M107" i="6"/>
  <c r="L107" i="6"/>
  <c r="P89" i="6"/>
  <c r="O101" i="6"/>
  <c r="M103" i="6"/>
  <c r="L103" i="6"/>
  <c r="M109" i="6"/>
  <c r="L109" i="6"/>
  <c r="O99" i="6"/>
  <c r="P87" i="6"/>
  <c r="O103" i="6"/>
  <c r="P103" i="6" s="1"/>
  <c r="P91" i="6"/>
  <c r="L105" i="6"/>
  <c r="M105" i="6"/>
  <c r="M113" i="6"/>
  <c r="L113" i="6"/>
  <c r="O106" i="6"/>
  <c r="P106" i="6" s="1"/>
  <c r="P94" i="6"/>
  <c r="P78" i="6"/>
  <c r="O90" i="6"/>
  <c r="L111" i="6"/>
  <c r="M111" i="6"/>
  <c r="M104" i="6"/>
  <c r="L104" i="6"/>
  <c r="N100" i="6"/>
  <c r="M108" i="6"/>
  <c r="L108" i="6"/>
  <c r="N93" i="6"/>
  <c r="P96" i="6"/>
  <c r="O108" i="6"/>
  <c r="R22" i="5"/>
  <c r="R24" i="5" s="1"/>
  <c r="R26" i="5" s="1"/>
  <c r="U13" i="10" l="1"/>
  <c r="R24" i="10"/>
  <c r="R26" i="10" s="1"/>
  <c r="W22" i="10"/>
  <c r="W24" i="10" s="1"/>
  <c r="U12" i="10"/>
  <c r="R24" i="8"/>
  <c r="R26" i="8" s="1"/>
  <c r="N104" i="6"/>
  <c r="N105" i="6"/>
  <c r="O102" i="6"/>
  <c r="P102" i="6" s="1"/>
  <c r="P90" i="6"/>
  <c r="P99" i="6"/>
  <c r="O111" i="6"/>
  <c r="O113" i="6"/>
  <c r="P101" i="6"/>
  <c r="O110" i="6"/>
  <c r="P98" i="6"/>
  <c r="N103" i="6"/>
  <c r="N107" i="6"/>
  <c r="Q30" i="5"/>
  <c r="W21" i="11" l="1"/>
  <c r="W22" i="11" s="1"/>
  <c r="W24" i="11" s="1"/>
  <c r="R30" i="8"/>
  <c r="W21" i="6"/>
  <c r="W22" i="6"/>
  <c r="W24" i="6" s="1"/>
  <c r="R23" i="6"/>
  <c r="Q34" i="5"/>
  <c r="R34" i="5" s="1"/>
  <c r="S34" i="5" s="1"/>
  <c r="Q38" i="5"/>
  <c r="R38" i="5" s="1"/>
  <c r="S38" i="5" s="1"/>
  <c r="Q42" i="5"/>
  <c r="R42" i="5" s="1"/>
  <c r="S42" i="5" s="1"/>
  <c r="Q46" i="5"/>
  <c r="R46" i="5" s="1"/>
  <c r="S46" i="5" s="1"/>
  <c r="Q50" i="5"/>
  <c r="R50" i="5" s="1"/>
  <c r="S50" i="5" s="1"/>
  <c r="Q54" i="5"/>
  <c r="Q58" i="5"/>
  <c r="Q32" i="5"/>
  <c r="R32" i="5" s="1"/>
  <c r="S32" i="5" s="1"/>
  <c r="Q56" i="5"/>
  <c r="Q33" i="5"/>
  <c r="R33" i="5" s="1"/>
  <c r="S33" i="5" s="1"/>
  <c r="Q41" i="5"/>
  <c r="R41" i="5" s="1"/>
  <c r="S41" i="5" s="1"/>
  <c r="Q45" i="5"/>
  <c r="R45" i="5" s="1"/>
  <c r="S45" i="5" s="1"/>
  <c r="Q53" i="5"/>
  <c r="R53" i="5" s="1"/>
  <c r="S53" i="5" s="1"/>
  <c r="Q57" i="5"/>
  <c r="Q31" i="5"/>
  <c r="R31" i="5" s="1"/>
  <c r="S31" i="5" s="1"/>
  <c r="Q35" i="5"/>
  <c r="R35" i="5" s="1"/>
  <c r="S35" i="5" s="1"/>
  <c r="Q39" i="5"/>
  <c r="R39" i="5" s="1"/>
  <c r="S39" i="5" s="1"/>
  <c r="Q43" i="5"/>
  <c r="R43" i="5" s="1"/>
  <c r="S43" i="5" s="1"/>
  <c r="Q47" i="5"/>
  <c r="R47" i="5" s="1"/>
  <c r="S47" i="5" s="1"/>
  <c r="Q51" i="5"/>
  <c r="R51" i="5" s="1"/>
  <c r="S51" i="5" s="1"/>
  <c r="Q55" i="5"/>
  <c r="Q59" i="5"/>
  <c r="Q36" i="5"/>
  <c r="R36" i="5" s="1"/>
  <c r="S36" i="5" s="1"/>
  <c r="Q40" i="5"/>
  <c r="R40" i="5" s="1"/>
  <c r="S40" i="5" s="1"/>
  <c r="Q44" i="5"/>
  <c r="R44" i="5" s="1"/>
  <c r="S44" i="5" s="1"/>
  <c r="Q48" i="5"/>
  <c r="R48" i="5" s="1"/>
  <c r="S48" i="5" s="1"/>
  <c r="Q52" i="5"/>
  <c r="R52" i="5" s="1"/>
  <c r="S52" i="5" s="1"/>
  <c r="R30" i="5"/>
  <c r="Q37" i="5"/>
  <c r="R37" i="5" s="1"/>
  <c r="S37" i="5" s="1"/>
  <c r="Q49" i="5"/>
  <c r="R49" i="5" s="1"/>
  <c r="S49" i="5" s="1"/>
  <c r="R24" i="11" l="1"/>
  <c r="R26" i="11" s="1"/>
  <c r="S30" i="8"/>
  <c r="U12" i="8" s="1"/>
  <c r="U11" i="8" a="1"/>
  <c r="U11" i="8" s="1"/>
  <c r="U10" i="8"/>
  <c r="T30" i="8"/>
  <c r="U13" i="8" s="1"/>
  <c r="Q63" i="6"/>
  <c r="R63" i="6" s="1"/>
  <c r="S30" i="5"/>
  <c r="U12" i="5" s="1"/>
  <c r="U10" i="5"/>
  <c r="U11" i="5" a="1"/>
  <c r="U11" i="5" s="1"/>
  <c r="R77" i="11" l="1"/>
  <c r="R73" i="11"/>
  <c r="R69" i="11"/>
  <c r="R76" i="11"/>
  <c r="R67" i="11"/>
  <c r="R63" i="11"/>
  <c r="R59" i="11"/>
  <c r="R55" i="11"/>
  <c r="R51" i="11"/>
  <c r="R47" i="11"/>
  <c r="R43" i="11"/>
  <c r="R75" i="11"/>
  <c r="R72" i="11"/>
  <c r="R66" i="11"/>
  <c r="R62" i="11"/>
  <c r="R58" i="11"/>
  <c r="R54" i="11"/>
  <c r="R50" i="11"/>
  <c r="R46" i="11"/>
  <c r="R61" i="11"/>
  <c r="R53" i="11"/>
  <c r="R45" i="11"/>
  <c r="R39" i="11"/>
  <c r="R35" i="11"/>
  <c r="S35" i="11" s="1"/>
  <c r="R33" i="11"/>
  <c r="S33" i="11" s="1"/>
  <c r="R30" i="11"/>
  <c r="R74" i="11"/>
  <c r="R60" i="11"/>
  <c r="R52" i="11"/>
  <c r="R44" i="11"/>
  <c r="R42" i="11"/>
  <c r="R38" i="11"/>
  <c r="R31" i="11"/>
  <c r="S31" i="11" s="1"/>
  <c r="R68" i="11"/>
  <c r="R65" i="11"/>
  <c r="R57" i="11"/>
  <c r="R64" i="11"/>
  <c r="R37" i="11"/>
  <c r="R32" i="11"/>
  <c r="S32" i="11" s="1"/>
  <c r="R48" i="11"/>
  <c r="R36" i="11"/>
  <c r="R56" i="11"/>
  <c r="R49" i="11"/>
  <c r="R41" i="11"/>
  <c r="R34" i="11"/>
  <c r="S34" i="11" s="1"/>
  <c r="R71" i="11"/>
  <c r="R70" i="11"/>
  <c r="R40" i="11"/>
  <c r="Q38" i="6"/>
  <c r="R38" i="6" s="1"/>
  <c r="Q33" i="6"/>
  <c r="R33" i="6" s="1"/>
  <c r="Q35" i="6"/>
  <c r="R35" i="6" s="1"/>
  <c r="Q113" i="6"/>
  <c r="R113" i="6" s="1"/>
  <c r="S113" i="6" s="1"/>
  <c r="Q64" i="6"/>
  <c r="R64" i="6" s="1"/>
  <c r="Q37" i="6"/>
  <c r="R37" i="6" s="1"/>
  <c r="T37" i="6" s="1"/>
  <c r="Q40" i="6"/>
  <c r="R40" i="6" s="1"/>
  <c r="Q39" i="6"/>
  <c r="R39" i="6" s="1"/>
  <c r="T39" i="6" s="1"/>
  <c r="Q31" i="6"/>
  <c r="R31" i="6" s="1"/>
  <c r="Q36" i="6"/>
  <c r="R36" i="6" s="1"/>
  <c r="T36" i="6" s="1"/>
  <c r="Q50" i="6"/>
  <c r="R50" i="6" s="1"/>
  <c r="Q78" i="6"/>
  <c r="R78" i="6" s="1"/>
  <c r="T78" i="6" s="1"/>
  <c r="Q77" i="6"/>
  <c r="R77" i="6" s="1"/>
  <c r="Q76" i="6"/>
  <c r="R76" i="6" s="1"/>
  <c r="S76" i="6" s="1"/>
  <c r="Q91" i="6"/>
  <c r="R91" i="6" s="1"/>
  <c r="Q112" i="6"/>
  <c r="R112" i="6" s="1"/>
  <c r="T112" i="6" s="1"/>
  <c r="Q73" i="6"/>
  <c r="R73" i="6" s="1"/>
  <c r="Q72" i="6"/>
  <c r="R72" i="6" s="1"/>
  <c r="S72" i="6" s="1"/>
  <c r="Q70" i="6"/>
  <c r="R70" i="6" s="1"/>
  <c r="Q87" i="6"/>
  <c r="R87" i="6" s="1"/>
  <c r="T87" i="6" s="1"/>
  <c r="Q30" i="6"/>
  <c r="R30" i="6" s="1"/>
  <c r="T30" i="6" s="1"/>
  <c r="Q55" i="6"/>
  <c r="R55" i="6" s="1"/>
  <c r="S55" i="6" s="1"/>
  <c r="Q59" i="6"/>
  <c r="R59" i="6" s="1"/>
  <c r="Q100" i="6"/>
  <c r="R100" i="6" s="1"/>
  <c r="S100" i="6" s="1"/>
  <c r="Q58" i="6"/>
  <c r="R58" i="6" s="1"/>
  <c r="Q98" i="6"/>
  <c r="R98" i="6" s="1"/>
  <c r="T98" i="6" s="1"/>
  <c r="Q57" i="6"/>
  <c r="R57" i="6" s="1"/>
  <c r="Q97" i="6"/>
  <c r="R97" i="6" s="1"/>
  <c r="T97" i="6" s="1"/>
  <c r="Q56" i="6"/>
  <c r="R56" i="6" s="1"/>
  <c r="Q107" i="6"/>
  <c r="R107" i="6" s="1"/>
  <c r="T107" i="6" s="1"/>
  <c r="Q75" i="6"/>
  <c r="R75" i="6" s="1"/>
  <c r="Q45" i="6"/>
  <c r="R45" i="6" s="1"/>
  <c r="S45" i="6" s="1"/>
  <c r="Q34" i="6"/>
  <c r="R34" i="6" s="1"/>
  <c r="Q54" i="6"/>
  <c r="R54" i="6" s="1"/>
  <c r="S54" i="6" s="1"/>
  <c r="Q94" i="6"/>
  <c r="R94" i="6" s="1"/>
  <c r="Q53" i="6"/>
  <c r="R53" i="6" s="1"/>
  <c r="T53" i="6" s="1"/>
  <c r="Q93" i="6"/>
  <c r="R93" i="6" s="1"/>
  <c r="Q51" i="6"/>
  <c r="R51" i="6" s="1"/>
  <c r="S51" i="6" s="1"/>
  <c r="Q92" i="6"/>
  <c r="R92" i="6" s="1"/>
  <c r="Q52" i="6"/>
  <c r="R52" i="6" s="1"/>
  <c r="T52" i="6" s="1"/>
  <c r="Q103" i="6"/>
  <c r="R103" i="6" s="1"/>
  <c r="Q71" i="6"/>
  <c r="R71" i="6" s="1"/>
  <c r="S71" i="6" s="1"/>
  <c r="Q106" i="6"/>
  <c r="R106" i="6" s="1"/>
  <c r="Q101" i="6"/>
  <c r="R101" i="6" s="1"/>
  <c r="T101" i="6" s="1"/>
  <c r="Q96" i="6"/>
  <c r="R96" i="6" s="1"/>
  <c r="Q90" i="6"/>
  <c r="R90" i="6" s="1"/>
  <c r="S90" i="6" s="1"/>
  <c r="Q49" i="6"/>
  <c r="R49" i="6" s="1"/>
  <c r="Q110" i="6"/>
  <c r="R110" i="6" s="1"/>
  <c r="S110" i="6" s="1"/>
  <c r="Q89" i="6"/>
  <c r="R89" i="6" s="1"/>
  <c r="Q68" i="6"/>
  <c r="R68" i="6" s="1"/>
  <c r="S68" i="6" s="1"/>
  <c r="Q47" i="6"/>
  <c r="R47" i="6" s="1"/>
  <c r="Q109" i="6"/>
  <c r="R109" i="6" s="1"/>
  <c r="T109" i="6" s="1"/>
  <c r="Q88" i="6"/>
  <c r="R88" i="6" s="1"/>
  <c r="Q66" i="6"/>
  <c r="R66" i="6" s="1"/>
  <c r="S66" i="6" s="1"/>
  <c r="Q46" i="6"/>
  <c r="R46" i="6" s="1"/>
  <c r="Q108" i="6"/>
  <c r="R108" i="6" s="1"/>
  <c r="S108" i="6" s="1"/>
  <c r="Q86" i="6"/>
  <c r="R86" i="6" s="1"/>
  <c r="Q65" i="6"/>
  <c r="R65" i="6" s="1"/>
  <c r="S65" i="6" s="1"/>
  <c r="Q48" i="6"/>
  <c r="R48" i="6" s="1"/>
  <c r="Q32" i="6"/>
  <c r="R32" i="6" s="1"/>
  <c r="S32" i="6" s="1"/>
  <c r="Q99" i="6"/>
  <c r="R99" i="6" s="1"/>
  <c r="Q83" i="6"/>
  <c r="R83" i="6" s="1"/>
  <c r="S83" i="6" s="1"/>
  <c r="Q67" i="6"/>
  <c r="R67" i="6" s="1"/>
  <c r="Q85" i="6"/>
  <c r="R85" i="6" s="1"/>
  <c r="S85" i="6" s="1"/>
  <c r="Q80" i="6"/>
  <c r="R80" i="6" s="1"/>
  <c r="Q74" i="6"/>
  <c r="R74" i="6" s="1"/>
  <c r="S74" i="6" s="1"/>
  <c r="Q69" i="6"/>
  <c r="R69" i="6" s="1"/>
  <c r="Q43" i="6"/>
  <c r="R43" i="6" s="1"/>
  <c r="S43" i="6" s="1"/>
  <c r="Q105" i="6"/>
  <c r="R105" i="6" s="1"/>
  <c r="Q84" i="6"/>
  <c r="R84" i="6" s="1"/>
  <c r="S84" i="6" s="1"/>
  <c r="Q62" i="6"/>
  <c r="R62" i="6" s="1"/>
  <c r="Q42" i="6"/>
  <c r="R42" i="6" s="1"/>
  <c r="T42" i="6" s="1"/>
  <c r="Q104" i="6"/>
  <c r="R104" i="6" s="1"/>
  <c r="Q82" i="6"/>
  <c r="R82" i="6" s="1"/>
  <c r="T82" i="6" s="1"/>
  <c r="Q61" i="6"/>
  <c r="R61" i="6" s="1"/>
  <c r="Q41" i="6"/>
  <c r="R41" i="6" s="1"/>
  <c r="S41" i="6" s="1"/>
  <c r="Q102" i="6"/>
  <c r="R102" i="6" s="1"/>
  <c r="Q81" i="6"/>
  <c r="R81" i="6" s="1"/>
  <c r="T81" i="6" s="1"/>
  <c r="Q60" i="6"/>
  <c r="R60" i="6" s="1"/>
  <c r="Q44" i="6"/>
  <c r="R44" i="6" s="1"/>
  <c r="T44" i="6" s="1"/>
  <c r="Q111" i="6"/>
  <c r="R111" i="6" s="1"/>
  <c r="Q95" i="6"/>
  <c r="R95" i="6" s="1"/>
  <c r="S95" i="6" s="1"/>
  <c r="Q79" i="6"/>
  <c r="R79" i="6" s="1"/>
  <c r="T55" i="6"/>
  <c r="T38" i="6"/>
  <c r="S38" i="6"/>
  <c r="S37" i="6"/>
  <c r="S77" i="6"/>
  <c r="T77" i="6"/>
  <c r="T56" i="6"/>
  <c r="S56" i="6"/>
  <c r="T75" i="6"/>
  <c r="S75" i="6"/>
  <c r="T45" i="6"/>
  <c r="T34" i="6"/>
  <c r="S34" i="6"/>
  <c r="T94" i="6"/>
  <c r="S94" i="6"/>
  <c r="S93" i="6"/>
  <c r="T93" i="6"/>
  <c r="T92" i="6"/>
  <c r="S92" i="6"/>
  <c r="T70" i="6"/>
  <c r="S70" i="6"/>
  <c r="S36" i="6"/>
  <c r="T106" i="6"/>
  <c r="S106" i="6"/>
  <c r="T96" i="6"/>
  <c r="S96" i="6"/>
  <c r="T49" i="6"/>
  <c r="S49" i="6"/>
  <c r="T89" i="6"/>
  <c r="S89" i="6"/>
  <c r="T47" i="6"/>
  <c r="S47" i="6"/>
  <c r="T88" i="6"/>
  <c r="S88" i="6"/>
  <c r="S46" i="6"/>
  <c r="T46" i="6"/>
  <c r="T86" i="6"/>
  <c r="S86" i="6"/>
  <c r="S48" i="6"/>
  <c r="T48" i="6"/>
  <c r="T99" i="6"/>
  <c r="S99" i="6"/>
  <c r="T67" i="6"/>
  <c r="S67" i="6"/>
  <c r="T64" i="6"/>
  <c r="S64" i="6"/>
  <c r="T50" i="6"/>
  <c r="S50" i="6"/>
  <c r="T59" i="6"/>
  <c r="S59" i="6"/>
  <c r="T58" i="6"/>
  <c r="S58" i="6"/>
  <c r="T57" i="6"/>
  <c r="S57" i="6"/>
  <c r="T35" i="6"/>
  <c r="S35" i="6"/>
  <c r="T76" i="6"/>
  <c r="S40" i="6"/>
  <c r="T40" i="6"/>
  <c r="T91" i="6"/>
  <c r="S91" i="6"/>
  <c r="T33" i="6"/>
  <c r="S33" i="6"/>
  <c r="T73" i="6"/>
  <c r="S73" i="6"/>
  <c r="T31" i="6"/>
  <c r="S31" i="6"/>
  <c r="T72" i="6"/>
  <c r="T113" i="6"/>
  <c r="T103" i="6"/>
  <c r="S103" i="6"/>
  <c r="T80" i="6"/>
  <c r="S80" i="6"/>
  <c r="T69" i="6"/>
  <c r="S69" i="6"/>
  <c r="T105" i="6"/>
  <c r="S105" i="6"/>
  <c r="T62" i="6"/>
  <c r="S62" i="6"/>
  <c r="T104" i="6"/>
  <c r="S104" i="6"/>
  <c r="T61" i="6"/>
  <c r="S61" i="6"/>
  <c r="T102" i="6"/>
  <c r="S102" i="6"/>
  <c r="T60" i="6"/>
  <c r="S60" i="6"/>
  <c r="T111" i="6"/>
  <c r="S111" i="6"/>
  <c r="T79" i="6"/>
  <c r="S79" i="6"/>
  <c r="T63" i="6"/>
  <c r="S63" i="6"/>
  <c r="U7" i="11" l="1"/>
  <c r="S30" i="11"/>
  <c r="T48" i="11"/>
  <c r="S48" i="11"/>
  <c r="S42" i="11"/>
  <c r="T42" i="11"/>
  <c r="T74" i="11"/>
  <c r="S74" i="11"/>
  <c r="T35" i="11"/>
  <c r="S61" i="11"/>
  <c r="T61" i="11"/>
  <c r="T54" i="11"/>
  <c r="S54" i="11"/>
  <c r="S72" i="11"/>
  <c r="T72" i="11"/>
  <c r="T51" i="11"/>
  <c r="S51" i="11"/>
  <c r="T67" i="11"/>
  <c r="S67" i="11"/>
  <c r="T77" i="11"/>
  <c r="S77" i="11"/>
  <c r="T64" i="11"/>
  <c r="S64" i="11"/>
  <c r="S58" i="11"/>
  <c r="T58" i="11"/>
  <c r="S75" i="11"/>
  <c r="T75" i="11"/>
  <c r="T55" i="11"/>
  <c r="S55" i="11"/>
  <c r="T76" i="11"/>
  <c r="S76" i="11"/>
  <c r="T40" i="11"/>
  <c r="S40" i="11"/>
  <c r="S65" i="11"/>
  <c r="T65" i="11"/>
  <c r="S49" i="11"/>
  <c r="T49" i="11"/>
  <c r="T68" i="11"/>
  <c r="S68" i="11"/>
  <c r="T39" i="11"/>
  <c r="S39" i="11"/>
  <c r="S71" i="11"/>
  <c r="T71" i="11"/>
  <c r="T56" i="11"/>
  <c r="S56" i="11"/>
  <c r="T31" i="11"/>
  <c r="T52" i="11"/>
  <c r="S52" i="11"/>
  <c r="T30" i="11"/>
  <c r="U8" i="11" a="1"/>
  <c r="U8" i="11" s="1"/>
  <c r="S45" i="11"/>
  <c r="T45" i="11"/>
  <c r="T46" i="11"/>
  <c r="S46" i="11"/>
  <c r="T62" i="11"/>
  <c r="S62" i="11"/>
  <c r="T43" i="11"/>
  <c r="S43" i="11"/>
  <c r="T59" i="11"/>
  <c r="S59" i="11"/>
  <c r="T69" i="11"/>
  <c r="S69" i="11"/>
  <c r="S41" i="11"/>
  <c r="T41" i="11"/>
  <c r="S37" i="11"/>
  <c r="T37" i="11"/>
  <c r="T70" i="11"/>
  <c r="S70" i="11"/>
  <c r="T44" i="11"/>
  <c r="S44" i="11"/>
  <c r="T34" i="11"/>
  <c r="T36" i="11"/>
  <c r="T32" i="11"/>
  <c r="S57" i="11"/>
  <c r="T57" i="11"/>
  <c r="T38" i="11"/>
  <c r="S38" i="11"/>
  <c r="T60" i="11"/>
  <c r="S60" i="11"/>
  <c r="T33" i="11"/>
  <c r="S53" i="11"/>
  <c r="T53" i="11"/>
  <c r="S50" i="11"/>
  <c r="T50" i="11"/>
  <c r="S66" i="11"/>
  <c r="T66" i="11"/>
  <c r="T47" i="11"/>
  <c r="S47" i="11"/>
  <c r="T63" i="11"/>
  <c r="S63" i="11"/>
  <c r="T73" i="11"/>
  <c r="S73" i="11"/>
  <c r="U7" i="6"/>
  <c r="S30" i="6"/>
  <c r="S112" i="6"/>
  <c r="S42" i="6"/>
  <c r="S39" i="6"/>
  <c r="T100" i="6"/>
  <c r="S98" i="6"/>
  <c r="T65" i="6"/>
  <c r="T51" i="6"/>
  <c r="T90" i="6"/>
  <c r="S82" i="6"/>
  <c r="T71" i="6"/>
  <c r="T85" i="6"/>
  <c r="S109" i="6"/>
  <c r="S97" i="6"/>
  <c r="S44" i="6"/>
  <c r="S52" i="6"/>
  <c r="S78" i="6"/>
  <c r="S87" i="6"/>
  <c r="S101" i="6"/>
  <c r="T95" i="6"/>
  <c r="T66" i="6"/>
  <c r="T54" i="6"/>
  <c r="S107" i="6"/>
  <c r="T84" i="6"/>
  <c r="T83" i="6"/>
  <c r="S81" i="6"/>
  <c r="T74" i="6"/>
  <c r="T68" i="6"/>
  <c r="S53" i="6"/>
  <c r="T108" i="6"/>
  <c r="T110" i="6"/>
  <c r="T41" i="6"/>
  <c r="T43" i="6"/>
  <c r="U8" i="6" a="1"/>
  <c r="U8" i="6" s="1"/>
  <c r="T32" i="6"/>
  <c r="U9" i="6"/>
  <c r="U9" i="11" l="1"/>
  <c r="U12" i="11"/>
  <c r="U12" i="6"/>
  <c r="W21" i="1"/>
  <c r="W22" i="1" s="1"/>
  <c r="W24" i="1" s="1"/>
  <c r="H26" i="1"/>
  <c r="H25" i="1"/>
  <c r="G53" i="1"/>
  <c r="G52" i="1"/>
  <c r="G51" i="1"/>
  <c r="G50" i="1"/>
  <c r="H50" i="1"/>
  <c r="G49" i="1"/>
  <c r="G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G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G59" i="1"/>
  <c r="G58" i="1"/>
  <c r="G57" i="1"/>
  <c r="G56" i="1"/>
  <c r="G55" i="1"/>
  <c r="G54" i="1"/>
  <c r="G32" i="1"/>
  <c r="G31" i="1"/>
  <c r="G30" i="1"/>
  <c r="H40" i="1"/>
  <c r="H41" i="1"/>
  <c r="H48" i="1"/>
  <c r="H49" i="1"/>
  <c r="H33" i="1"/>
  <c r="Q34" i="1"/>
  <c r="R34" i="1"/>
  <c r="S34" i="1"/>
  <c r="Q30" i="1"/>
  <c r="R30" i="1" s="1"/>
  <c r="Q31" i="1"/>
  <c r="R31" i="1"/>
  <c r="S31" i="1" s="1"/>
  <c r="Q32" i="1"/>
  <c r="R32" i="1" s="1"/>
  <c r="S32" i="1" s="1"/>
  <c r="Q33" i="1"/>
  <c r="R33" i="1"/>
  <c r="Q35" i="1"/>
  <c r="R35" i="1" s="1"/>
  <c r="S35" i="1" s="1"/>
  <c r="Q36" i="1"/>
  <c r="R36" i="1"/>
  <c r="S36" i="1" s="1"/>
  <c r="Q37" i="1"/>
  <c r="R37" i="1" s="1"/>
  <c r="S37" i="1" s="1"/>
  <c r="Q38" i="1"/>
  <c r="R38" i="1"/>
  <c r="Q39" i="1"/>
  <c r="R39" i="1" s="1"/>
  <c r="S39" i="1" s="1"/>
  <c r="Q40" i="1"/>
  <c r="R40" i="1"/>
  <c r="S40" i="1" s="1"/>
  <c r="Q41" i="1"/>
  <c r="R41" i="1" s="1"/>
  <c r="S41" i="1" s="1"/>
  <c r="Q42" i="1"/>
  <c r="R42" i="1"/>
  <c r="Q43" i="1"/>
  <c r="R43" i="1" s="1"/>
  <c r="S43" i="1" s="1"/>
  <c r="Q44" i="1"/>
  <c r="R44" i="1"/>
  <c r="S44" i="1" s="1"/>
  <c r="Q45" i="1"/>
  <c r="R45" i="1" s="1"/>
  <c r="S45" i="1" s="1"/>
  <c r="Q46" i="1"/>
  <c r="R46" i="1"/>
  <c r="Q47" i="1"/>
  <c r="R47" i="1" s="1"/>
  <c r="S47" i="1" s="1"/>
  <c r="Q48" i="1"/>
  <c r="R48" i="1"/>
  <c r="S48" i="1" s="1"/>
  <c r="Q49" i="1"/>
  <c r="R49" i="1" s="1"/>
  <c r="S49" i="1" s="1"/>
  <c r="Q50" i="1"/>
  <c r="R50" i="1"/>
  <c r="Q51" i="1"/>
  <c r="R51" i="1" s="1"/>
  <c r="S51" i="1" s="1"/>
  <c r="Q52" i="1"/>
  <c r="R52" i="1"/>
  <c r="S52" i="1" s="1"/>
  <c r="Q53" i="1"/>
  <c r="R53" i="1" s="1"/>
  <c r="S53" i="1" s="1"/>
  <c r="S33" i="1"/>
  <c r="S38" i="1"/>
  <c r="S42" i="1"/>
  <c r="S46" i="1"/>
  <c r="S50" i="1"/>
  <c r="Q59" i="1"/>
  <c r="Q55" i="1"/>
  <c r="Q58" i="1"/>
  <c r="Q57" i="1"/>
  <c r="Q56" i="1"/>
  <c r="Q54" i="1"/>
  <c r="S30" i="1" l="1"/>
  <c r="U12" i="1" s="1"/>
  <c r="U10" i="1"/>
  <c r="U11" i="1" a="1"/>
  <c r="U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12C74BDB-7F56-4644-9A14-7A8F1827C8C4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3E7A69B8-597C-450C-A4A8-B4CE99E17C47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0E97675D-5485-42B5-8374-CF47B6C11EB5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3B035886-F265-4BD5-8551-B384CEEB812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E853CB5B-3A01-4B52-AC29-1F816C2E89B7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A18F6354-4F38-4B44-BCF2-C0839F9107D1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12ED249B-DBB7-4AC3-A8BF-5503D1226ADC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difference time series</t>
        </r>
      </text>
    </comment>
    <comment ref="N29" authorId="0" shapeId="0" xr:uid="{A9FECC93-3DE0-4DB8-9059-8FD9ED158001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166293F3-3944-4614-B599-666BC0415FF7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AEACB6EC-173F-4572-9B68-8503509333D4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8FB90D57-1BF5-46B1-B017-073C15E35A20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18D0E5E5-DE49-44E7-8C56-11100B614EF2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D6E01BEA-6C30-41B2-9180-DA79576FE765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122FF483-51A6-4574-B193-1FAB80F4A036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A5164435-FD7A-4D9F-8077-F14B98C4D402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BDF9A9AB-9AC6-4982-8AF0-16B27C541A0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847D7D13-F39B-45AF-A075-8AB9E81D4EC8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41EC59B0-FA96-44DC-9630-E3EB51529744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9957C042-F8AD-4040-86A4-73CFCB95C982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7B7EC2AD-52C7-4921-9605-1D6A6849B0D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ratio time series</t>
        </r>
      </text>
    </comment>
    <comment ref="N29" authorId="0" shapeId="0" xr:uid="{D1B5B09A-4095-4F4E-BE35-6B46A6ADE9A8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AD3649F4-20E2-4AEB-B315-5AF3C589CE53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AF638BB5-860C-4E8E-8563-D7DBBCAFD0F2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61FD1AA4-6A90-4CBE-BDFB-C513367A22F1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071687BB-81FC-4A12-ADB5-7D4B96810DE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62387767-573B-4B4F-98B2-BF924659331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C800BC94-4912-45F7-814C-2311B37CDDAB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F01A0410-F5FB-44D5-AB20-47A4D4DCFC8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39443233-8F83-44E8-BD21-4EE7C8C32926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38E0EAE7-5D0E-417E-8DE2-1A6C8E87AC0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2FBCEE1C-FD0E-4EF5-8397-445C1C0AB8B3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32CCDB4A-0890-42AF-AE03-0EC8075A264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F1852F42-000E-4913-8783-8C3E9D2CCAD8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ratio time series</t>
        </r>
      </text>
    </comment>
    <comment ref="N29" authorId="0" shapeId="0" xr:uid="{B9FE4403-6611-494D-9D25-3C4E08F94F40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5ED02DE5-F075-466B-A643-DFAC4A19725D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058E6D49-291A-4544-ADFD-452F719FF1AE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137AFFF2-5722-4830-B68A-900F8F9E7018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3A850F59-9E6C-4027-A959-8F12479CE324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6A5791B4-5396-4D07-87CD-464BD168C3D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EBBE28BE-DA2C-4752-A9CC-F37C6A88F18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A9E77AE9-3B4D-417E-A06E-CD3E5930905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A1CFDE35-02E7-4664-B63B-FD87D0DBD2C1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8CFFBE19-F5F0-4BFD-9EFA-EEDD45D1702E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E8F4D99F-125C-4B25-990F-AB3D377157F3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2760639C-33C0-4A73-960A-FCAEFFF03F75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451CE797-E071-4A7E-965E-BE40A34F20E3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difference time series</t>
        </r>
      </text>
    </comment>
    <comment ref="N29" authorId="0" shapeId="0" xr:uid="{A1F42193-A24E-40A0-854C-D12FB1E4CE5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13202AAF-BC04-488B-8675-8C6707C410DA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6421A522-AB3D-4AB6-9677-DBDE2012E33A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11C89233-C4FD-42F2-BAFE-8B8288CD31EF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9139B48B-4B0B-4ECA-8F69-C552C30E05AE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84795E95-9D27-4D33-8953-177248B3942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A87FDEE4-297C-4C51-8468-0066CA5B73B7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C64BFF51-27BB-4F0A-81B2-348A05613A0C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898FC61F-EC44-411B-BAB2-2F548080EC7E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9FD5B631-9F61-43F8-B8C0-C6747F7C6BEF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9ECEDDE6-77DB-4402-9C39-72F94B438A3D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6405BD0F-6A8B-4C10-8FC8-15E10FE27873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215CDFF6-1832-4293-B1B8-F138D4609E5B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difference time series</t>
        </r>
      </text>
    </comment>
    <comment ref="N29" authorId="0" shapeId="0" xr:uid="{D7A57B63-E070-4BD9-8AFC-1F22A0532FCE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3B19C8F5-E4BE-40D0-8672-36DC0B391494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621198A3-C297-4B29-8B88-1443A77C1B51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5E88CD8D-0932-4D74-A24B-E9A0E8BDDBBA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E8079F37-BFC4-4BCC-B2C9-1A4C56F1845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343D0067-8210-4FA1-A12A-34C533421BE8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Barbosa da Costa</author>
    <author>Rodrigo</author>
  </authors>
  <commentList>
    <comment ref="Q21" authorId="0" shapeId="0" xr:uid="{2AD77A49-621C-4898-AC35-AC3C930955BA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N erros</t>
        </r>
      </text>
    </comment>
    <comment ref="J27" authorId="0" shapeId="0" xr:uid="{F6DCE885-6DAA-43DB-944C-C8F817B51207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should be zero</t>
        </r>
      </text>
    </comment>
    <comment ref="D29" authorId="0" shapeId="0" xr:uid="{2087D786-89D8-4AD2-94CE-DCEA62B33F39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</t>
        </r>
      </text>
    </comment>
    <comment ref="F29" authorId="0" shapeId="0" xr:uid="{311B6ACF-1FEC-42AD-BA36-0F68791937F3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Moving average rolling</t>
        </r>
      </text>
    </comment>
    <comment ref="G29" authorId="1" shapeId="0" xr:uid="{D8E36AE5-F599-423A-9817-48018E4BC6C2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Trend</t>
        </r>
      </text>
    </comment>
    <comment ref="H29" authorId="0" shapeId="0" xr:uid="{51296CA0-5DDB-4A55-A8EF-F2D166083E6E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in the forecast you consider Ct either the same as the last one calculated, or you ignore it</t>
        </r>
      </text>
    </comment>
    <comment ref="I29" authorId="0" shapeId="0" xr:uid="{279A0D62-8B68-40B4-819E-FA801625A66D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ratio time series</t>
        </r>
      </text>
    </comment>
    <comment ref="N29" authorId="0" shapeId="0" xr:uid="{023978AB-E598-4C03-99E7-FB5826778BEF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if this is NOT OK, the corresponding dt is an outlier, and we have to remove it from the calculation of St</t>
        </r>
      </text>
    </comment>
    <comment ref="P29" authorId="1" shapeId="0" xr:uid="{31B8C926-0CDF-4C73-9BE0-EB52C83F3A04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Inherent variablity</t>
        </r>
      </text>
    </comment>
    <comment ref="Q29" authorId="1" shapeId="0" xr:uid="{E49E2267-07E7-4481-A047-4538492D8625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Estimation (prediction)</t>
        </r>
      </text>
    </comment>
    <comment ref="R29" authorId="1" shapeId="0" xr:uid="{B45B2308-2374-441E-999B-39A52293AED9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Prediction error</t>
        </r>
      </text>
    </comment>
    <comment ref="D33" authorId="0" shapeId="0" xr:uid="{CE5CC6B1-4D9B-48D7-91CE-99637382BBF5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Madelayed - 2 before and 3 afterwards</t>
        </r>
      </text>
    </comment>
    <comment ref="E33" authorId="0" shapeId="0" xr:uid="{E786D425-DB2D-42B4-A68B-674A01CA105C}">
      <text>
        <r>
          <rPr>
            <b/>
            <sz val="9"/>
            <color indexed="81"/>
            <rFont val="Tahoma"/>
            <family val="2"/>
          </rPr>
          <t>Rodrigo Barbosa da Costa:</t>
        </r>
        <r>
          <rPr>
            <sz val="9"/>
            <color indexed="81"/>
            <rFont val="Tahoma"/>
            <family val="2"/>
          </rPr>
          <t xml:space="preserve">
MA advanced - 3 before, 2 after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<sst xmlns="http://schemas.openxmlformats.org/spreadsheetml/2006/main" count="541" uniqueCount="101">
  <si>
    <t>t</t>
  </si>
  <si>
    <r>
      <t>Z</t>
    </r>
    <r>
      <rPr>
        <i/>
        <vertAlign val="subscript"/>
        <sz val="12"/>
        <color theme="1"/>
        <rFont val="Times New Roman"/>
        <family val="1"/>
      </rPr>
      <t>t</t>
    </r>
  </si>
  <si>
    <t>Bias and Variability Metrics</t>
  </si>
  <si>
    <t>AE</t>
  </si>
  <si>
    <t>MAE</t>
  </si>
  <si>
    <t>Observations</t>
  </si>
  <si>
    <t>this correpsonds to what we had before, but centered around zero
trend was removed, we only have seasonality' variation</t>
  </si>
  <si>
    <t>MAPE</t>
  </si>
  <si>
    <t>POSITIVE TREND
SEASONALITY : PERIODIC OSCILATION OF THE TIME SERIES
SEASONAL CYCLE: 6 POINTS OF LENGTH
BEST TIME TO FORECAST: EVERY 2 MONTHS - MAKES THE TEAR HAVE ONLY 6 DATAPOINTS</t>
  </si>
  <si>
    <t>MSE</t>
  </si>
  <si>
    <t>add</t>
  </si>
  <si>
    <t>Hypothesis Testing</t>
  </si>
  <si>
    <t>Verify if the expected value of the errors is statistcaly equal to zero</t>
  </si>
  <si>
    <t>Verify if the expected value of the correlation is zero</t>
  </si>
  <si>
    <t>The error is the inherent variablitiy of the time series</t>
  </si>
  <si>
    <r>
      <t xml:space="preserve">H0: 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= 0</t>
    </r>
  </si>
  <si>
    <t>if h0 is true, ST follows a N(0,1)</t>
  </si>
  <si>
    <r>
      <rPr>
        <sz val="11"/>
        <color rgb="FF000000"/>
        <rFont val="Calibri"/>
        <family val="2"/>
      </rPr>
      <t xml:space="preserve">H0: </t>
    </r>
    <r>
      <rPr>
        <sz val="11"/>
        <color rgb="FF000000"/>
        <rFont val="Aptos Narrow"/>
        <family val="2"/>
      </rPr>
      <t>µró</t>
    </r>
    <r>
      <rPr>
        <sz val="11"/>
        <color rgb="FF000000"/>
        <rFont val="Calibri"/>
        <family val="2"/>
      </rPr>
      <t xml:space="preserve"> = 0</t>
    </r>
  </si>
  <si>
    <t>if h0 is true, the errors are not correlated</t>
  </si>
  <si>
    <r>
      <rPr>
        <b/>
        <sz val="11"/>
        <color rgb="FFFF0000"/>
        <rFont val="Times New Roman"/>
        <family val="1"/>
      </rPr>
      <t xml:space="preserve">Mt = Tt + Ct
Ct = Mt-Tt
dt = Zt - Mt
dt = St + Et
</t>
    </r>
    <r>
      <rPr>
        <sz val="11"/>
        <color theme="1"/>
        <rFont val="Times New Roman"/>
        <family val="1"/>
      </rPr>
      <t>Seasonality is stable over time</t>
    </r>
  </si>
  <si>
    <r>
      <t xml:space="preserve">H1: 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≠ 0</t>
    </r>
  </si>
  <si>
    <r>
      <rPr>
        <sz val="11"/>
        <color rgb="FF000000"/>
        <rFont val="Calibri"/>
        <family val="2"/>
      </rPr>
      <t xml:space="preserve">H1: </t>
    </r>
    <r>
      <rPr>
        <sz val="11"/>
        <color rgb="FF000000"/>
        <rFont val="Aptos Narrow"/>
        <family val="2"/>
      </rPr>
      <t>µró</t>
    </r>
    <r>
      <rPr>
        <sz val="11"/>
        <color rgb="FF000000"/>
        <rFont val="Calibri"/>
        <family val="2"/>
      </rPr>
      <t xml:space="preserve"> ≠ 0</t>
    </r>
  </si>
  <si>
    <t>N</t>
  </si>
  <si>
    <t>R1</t>
  </si>
  <si>
    <t>Et bar</t>
  </si>
  <si>
    <t>ST</t>
  </si>
  <si>
    <t>StDev var</t>
  </si>
  <si>
    <t>α</t>
  </si>
  <si>
    <t>Result</t>
  </si>
  <si>
    <r>
      <t xml:space="preserve">Trend
</t>
    </r>
    <r>
      <rPr>
        <b/>
        <i/>
        <sz val="11"/>
        <color theme="1"/>
        <rFont val="Calibri"/>
        <family val="2"/>
        <scheme val="minor"/>
      </rPr>
      <t>Tt</t>
    </r>
  </si>
  <si>
    <t>Intercept</t>
  </si>
  <si>
    <t>Slope</t>
  </si>
  <si>
    <t>ΣS't</t>
  </si>
  <si>
    <t>ΣSt</t>
  </si>
  <si>
    <r>
      <t>Z</t>
    </r>
    <r>
      <rPr>
        <b/>
        <i/>
        <vertAlign val="subscript"/>
        <sz val="12"/>
        <color theme="1"/>
        <rFont val="Times New Roman"/>
        <family val="1"/>
      </rPr>
      <t>t</t>
    </r>
  </si>
  <si>
    <t>MA (N=6) adv.</t>
  </si>
  <si>
    <t>MA (N=6) delay</t>
  </si>
  <si>
    <t>Mt</t>
  </si>
  <si>
    <t>Tt</t>
  </si>
  <si>
    <t>Ct</t>
  </si>
  <si>
    <t>dt</t>
  </si>
  <si>
    <t>S't</t>
  </si>
  <si>
    <t>s(dt)</t>
  </si>
  <si>
    <t>Low. Bound</t>
  </si>
  <si>
    <t>Up. Bound</t>
  </si>
  <si>
    <t>OK?</t>
  </si>
  <si>
    <t>St</t>
  </si>
  <si>
    <t>Et</t>
  </si>
  <si>
    <t>Z^t = Tt + St</t>
  </si>
  <si>
    <t>Êt</t>
  </si>
  <si>
    <t>APEt</t>
  </si>
  <si>
    <t>-</t>
  </si>
  <si>
    <t>classical decomposition has the disadvantage that the seasonality components are static, not adapting over time</t>
  </si>
  <si>
    <t>we are also alwways having to cary all data points with us in order to calculate new data points</t>
  </si>
  <si>
    <t>which can be brutal after some time</t>
  </si>
  <si>
    <t>this correpsonds to what we had before, but centered around one
trend was removed, we only have seasonality' variation</t>
  </si>
  <si>
    <r>
      <t xml:space="preserve">H0: 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= 1</t>
    </r>
  </si>
  <si>
    <t>if h0 is true, ST follows a N(1,1)</t>
  </si>
  <si>
    <r>
      <rPr>
        <b/>
        <sz val="11"/>
        <color rgb="FFFF0000"/>
        <rFont val="Times New Roman"/>
        <family val="1"/>
      </rPr>
      <t xml:space="preserve">Mt = Tt x Ct
Ct = Mt / Tt
rt = Zt / Mt
rt = St x Et
</t>
    </r>
    <r>
      <rPr>
        <sz val="11"/>
        <color theme="1"/>
        <rFont val="Times New Roman"/>
        <family val="1"/>
      </rPr>
      <t>Seasonality is stable over time</t>
    </r>
  </si>
  <si>
    <r>
      <t xml:space="preserve">H1: 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≠ 1</t>
    </r>
  </si>
  <si>
    <t>Ncycle</t>
  </si>
  <si>
    <t>f = ΣSt</t>
  </si>
  <si>
    <t>rt</t>
  </si>
  <si>
    <t>s(rt)</t>
  </si>
  <si>
    <t>Z^t = Tt x St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</si>
  <si>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</si>
  <si>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</si>
  <si>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</si>
  <si>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</si>
  <si>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</si>
  <si>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</si>
  <si>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</si>
  <si>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</si>
  <si>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</si>
  <si>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</si>
  <si>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</si>
  <si>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</si>
  <si>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</si>
  <si>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Zt</t>
  </si>
  <si>
    <t>Month</t>
  </si>
  <si>
    <t>(a)</t>
  </si>
  <si>
    <t>(b)</t>
  </si>
  <si>
    <t>(c)</t>
  </si>
  <si>
    <t>(d)</t>
  </si>
  <si>
    <t>(e)</t>
  </si>
  <si>
    <t>(f)</t>
  </si>
  <si>
    <t>Sales (thousands)</t>
  </si>
  <si>
    <t>Forecast (thousands)</t>
  </si>
  <si>
    <t>Extra-cost (m.u)</t>
  </si>
  <si>
    <t>Since each year, the scale seems to increase, with the same trend
I will do the multiplicative model</t>
  </si>
  <si>
    <t>Difference</t>
  </si>
  <si>
    <t>Positive</t>
  </si>
  <si>
    <t>Total Cost</t>
  </si>
  <si>
    <t>H0: µEt = 1</t>
  </si>
  <si>
    <t>H1: µEt ≠ 1</t>
  </si>
  <si>
    <r>
      <t xml:space="preserve">Trend
</t>
    </r>
    <r>
      <rPr>
        <b/>
        <i/>
        <sz val="11"/>
        <color theme="1"/>
        <rFont val="Times New Roman"/>
        <family val="1"/>
      </rPr>
      <t>Tt</t>
    </r>
  </si>
  <si>
    <t>Cost</t>
  </si>
  <si>
    <t>MA (N=12) adv.</t>
  </si>
  <si>
    <t>MA (N=12) delay</t>
  </si>
  <si>
    <t>E^t2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</si>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</sst>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0"/>
    <numFmt numFmtId="165" formatCode="0.000"/>
    <numFmt numFmtId="166" formatCode="0.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Aptos Narrow"/>
      <family val="2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1" fontId="3" fillId="0" borderId="2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1" fontId="9" fillId="2" borderId="2" xfId="0" applyNumberFormat="1" applyFont="1" applyFill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2" fillId="0" borderId="2" xfId="0" applyFont="1" applyBorder="1"/>
    <xf numFmtId="0" fontId="0" fillId="0" borderId="3" xfId="0" applyBorder="1"/>
    <xf numFmtId="0" fontId="13" fillId="2" borderId="2" xfId="0" applyFont="1" applyFill="1" applyBorder="1"/>
    <xf numFmtId="9" fontId="0" fillId="3" borderId="2" xfId="0" applyNumberFormat="1" applyFill="1" applyBorder="1"/>
    <xf numFmtId="1" fontId="14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0" fontId="0" fillId="0" borderId="0" xfId="1" applyNumberFormat="1" applyFont="1" applyFill="1" applyBorder="1"/>
    <xf numFmtId="2" fontId="11" fillId="0" borderId="2" xfId="0" applyNumberFormat="1" applyFont="1" applyBorder="1"/>
    <xf numFmtId="0" fontId="11" fillId="0" borderId="2" xfId="0" applyFont="1" applyBorder="1"/>
    <xf numFmtId="166" fontId="11" fillId="0" borderId="2" xfId="1" applyNumberFormat="1" applyFont="1" applyBorder="1"/>
    <xf numFmtId="0" fontId="0" fillId="4" borderId="13" xfId="0" applyFill="1" applyBorder="1"/>
    <xf numFmtId="0" fontId="0" fillId="2" borderId="13" xfId="0" applyFill="1" applyBorder="1"/>
    <xf numFmtId="0" fontId="13" fillId="2" borderId="13" xfId="0" applyFont="1" applyFill="1" applyBorder="1"/>
    <xf numFmtId="0" fontId="13" fillId="2" borderId="15" xfId="0" applyFont="1" applyFill="1" applyBorder="1"/>
    <xf numFmtId="0" fontId="18" fillId="0" borderId="16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3" borderId="2" xfId="0" applyFill="1" applyBorder="1"/>
    <xf numFmtId="1" fontId="0" fillId="3" borderId="2" xfId="0" applyNumberFormat="1" applyFill="1" applyBorder="1"/>
    <xf numFmtId="0" fontId="15" fillId="0" borderId="0" xfId="0" applyFont="1" applyAlignment="1">
      <alignment horizontal="center" vertical="center" wrapText="1"/>
    </xf>
    <xf numFmtId="1" fontId="9" fillId="2" borderId="10" xfId="0" applyNumberFormat="1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 wrapText="1"/>
    </xf>
    <xf numFmtId="1" fontId="8" fillId="2" borderId="11" xfId="0" applyNumberFormat="1" applyFont="1" applyFill="1" applyBorder="1" applyAlignment="1">
      <alignment horizontal="center" vertical="center" wrapText="1"/>
    </xf>
    <xf numFmtId="1" fontId="14" fillId="2" borderId="11" xfId="0" applyNumberFormat="1" applyFont="1" applyFill="1" applyBorder="1" applyAlignment="1">
      <alignment horizontal="center" vertical="center" wrapText="1"/>
    </xf>
    <xf numFmtId="1" fontId="8" fillId="2" borderId="1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Border="1" applyAlignment="1">
      <alignment horizontal="center" vertical="center" wrapText="1"/>
    </xf>
    <xf numFmtId="1" fontId="11" fillId="0" borderId="1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166" fontId="11" fillId="0" borderId="2" xfId="1" applyNumberFormat="1" applyFont="1" applyBorder="1" applyAlignment="1">
      <alignment horizontal="center"/>
    </xf>
    <xf numFmtId="166" fontId="11" fillId="0" borderId="16" xfId="1" applyNumberFormat="1" applyFont="1" applyBorder="1" applyAlignment="1">
      <alignment horizontal="center"/>
    </xf>
    <xf numFmtId="0" fontId="11" fillId="0" borderId="0" xfId="0" applyFont="1"/>
    <xf numFmtId="10" fontId="11" fillId="0" borderId="0" xfId="1" applyNumberFormat="1" applyFont="1" applyFill="1" applyBorder="1"/>
    <xf numFmtId="0" fontId="11" fillId="2" borderId="13" xfId="0" applyFont="1" applyFill="1" applyBorder="1" applyAlignment="1">
      <alignment horizontal="center"/>
    </xf>
    <xf numFmtId="164" fontId="11" fillId="0" borderId="14" xfId="1" applyNumberFormat="1" applyFont="1" applyBorder="1" applyAlignment="1">
      <alignment horizontal="center"/>
    </xf>
    <xf numFmtId="0" fontId="11" fillId="4" borderId="13" xfId="0" applyFont="1" applyFill="1" applyBorder="1"/>
    <xf numFmtId="164" fontId="11" fillId="0" borderId="14" xfId="0" applyNumberFormat="1" applyFont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66" fontId="11" fillId="0" borderId="17" xfId="0" applyNumberFormat="1" applyFont="1" applyBorder="1" applyAlignment="1">
      <alignment horizontal="center"/>
    </xf>
    <xf numFmtId="0" fontId="11" fillId="2" borderId="13" xfId="0" applyFont="1" applyFill="1" applyBorder="1"/>
    <xf numFmtId="1" fontId="11" fillId="3" borderId="2" xfId="0" applyNumberFormat="1" applyFont="1" applyFill="1" applyBorder="1"/>
    <xf numFmtId="164" fontId="11" fillId="0" borderId="2" xfId="0" applyNumberFormat="1" applyFont="1" applyBorder="1"/>
    <xf numFmtId="0" fontId="11" fillId="2" borderId="2" xfId="0" applyFont="1" applyFill="1" applyBorder="1" applyAlignment="1">
      <alignment horizontal="center"/>
    </xf>
    <xf numFmtId="44" fontId="11" fillId="0" borderId="2" xfId="0" applyNumberFormat="1" applyFont="1" applyBorder="1"/>
    <xf numFmtId="0" fontId="19" fillId="0" borderId="2" xfId="0" applyFont="1" applyBorder="1"/>
    <xf numFmtId="165" fontId="11" fillId="0" borderId="2" xfId="0" applyNumberFormat="1" applyFont="1" applyBorder="1" applyAlignment="1">
      <alignment horizontal="center"/>
    </xf>
    <xf numFmtId="9" fontId="11" fillId="3" borderId="2" xfId="0" applyNumberFormat="1" applyFont="1" applyFill="1" applyBorder="1"/>
    <xf numFmtId="0" fontId="11" fillId="2" borderId="2" xfId="0" applyFont="1" applyFill="1" applyBorder="1"/>
    <xf numFmtId="0" fontId="11" fillId="3" borderId="2" xfId="0" applyFont="1" applyFill="1" applyBorder="1"/>
    <xf numFmtId="0" fontId="11" fillId="2" borderId="15" xfId="0" applyFont="1" applyFill="1" applyBorder="1"/>
    <xf numFmtId="0" fontId="21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2" fontId="11" fillId="7" borderId="2" xfId="0" applyNumberFormat="1" applyFont="1" applyFill="1" applyBorder="1"/>
    <xf numFmtId="44" fontId="11" fillId="0" borderId="14" xfId="2" applyFont="1" applyBorder="1" applyAlignment="1">
      <alignment horizontal="center"/>
    </xf>
    <xf numFmtId="2" fontId="11" fillId="0" borderId="0" xfId="0" applyNumberFormat="1" applyFont="1"/>
    <xf numFmtId="44" fontId="11" fillId="0" borderId="17" xfId="2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 vertical="center" wrapText="1"/>
    </xf>
    <xf numFmtId="1" fontId="3" fillId="0" borderId="24" xfId="0" applyNumberFormat="1" applyFont="1" applyBorder="1" applyAlignment="1">
      <alignment horizontal="center" vertical="center" wrapText="1"/>
    </xf>
    <xf numFmtId="1" fontId="11" fillId="0" borderId="24" xfId="0" applyNumberFormat="1" applyFont="1" applyBorder="1" applyAlignment="1">
      <alignment horizontal="center"/>
    </xf>
    <xf numFmtId="2" fontId="11" fillId="0" borderId="24" xfId="0" applyNumberFormat="1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166" fontId="11" fillId="0" borderId="24" xfId="1" applyNumberFormat="1" applyFont="1" applyBorder="1" applyAlignment="1">
      <alignment horizontal="center"/>
    </xf>
    <xf numFmtId="44" fontId="11" fillId="0" borderId="25" xfId="2" applyFont="1" applyBorder="1" applyAlignment="1">
      <alignment horizontal="center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wrapText="1"/>
    </xf>
    <xf numFmtId="0" fontId="19" fillId="6" borderId="12" xfId="0" applyFont="1" applyFill="1" applyBorder="1" applyAlignment="1">
      <alignment horizontal="center" wrapText="1"/>
    </xf>
    <xf numFmtId="0" fontId="0" fillId="0" borderId="26" xfId="0" applyBorder="1"/>
    <xf numFmtId="9" fontId="0" fillId="3" borderId="26" xfId="0" applyNumberFormat="1" applyFill="1" applyBorder="1"/>
    <xf numFmtId="0" fontId="24" fillId="4" borderId="30" xfId="0" applyFont="1" applyFill="1" applyBorder="1"/>
    <xf numFmtId="0" fontId="0" fillId="0" borderId="30" xfId="0" applyBorder="1"/>
    <xf numFmtId="0" fontId="13" fillId="2" borderId="30" xfId="0" applyFont="1" applyFill="1" applyBorder="1"/>
    <xf numFmtId="0" fontId="13" fillId="2" borderId="32" xfId="0" applyFont="1" applyFill="1" applyBorder="1"/>
    <xf numFmtId="0" fontId="18" fillId="0" borderId="3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8" fillId="2" borderId="3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19" fillId="6" borderId="10" xfId="0" applyFont="1" applyFill="1" applyBorder="1" applyAlignment="1">
      <alignment horizontal="center"/>
    </xf>
    <xf numFmtId="0" fontId="19" fillId="6" borderId="11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9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2" fontId="11" fillId="2" borderId="2" xfId="0" applyNumberFormat="1" applyFont="1" applyFill="1" applyBorder="1"/>
    <xf numFmtId="0" fontId="0" fillId="0" borderId="2" xfId="0" applyFill="1" applyBorder="1" applyAlignment="1">
      <alignment horizontal="center"/>
    </xf>
    <xf numFmtId="2" fontId="11" fillId="0" borderId="2" xfId="0" applyNumberFormat="1" applyFont="1" applyFill="1" applyBorder="1"/>
    <xf numFmtId="0" fontId="11" fillId="0" borderId="23" xfId="0" applyFont="1" applyBorder="1" applyAlignment="1">
      <alignment horizontal="center"/>
    </xf>
    <xf numFmtId="44" fontId="11" fillId="0" borderId="2" xfId="2" applyFont="1" applyBorder="1" applyAlignment="1">
      <alignment horizontal="center"/>
    </xf>
    <xf numFmtId="2" fontId="11" fillId="2" borderId="2" xfId="0" applyNumberFormat="1" applyFont="1" applyFill="1" applyBorder="1" applyAlignment="1">
      <alignment horizontal="center"/>
    </xf>
    <xf numFmtId="0" fontId="11" fillId="0" borderId="17" xfId="0" applyNumberFormat="1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9" fillId="4" borderId="10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1" fillId="0" borderId="16" xfId="0" applyFont="1" applyBorder="1"/>
  </cellXfs>
  <cellStyles count="3">
    <cellStyle name="Currency" xfId="2" builtinId="4"/>
    <cellStyle name="Normal" xfId="0" builtinId="0"/>
    <cellStyle name="Percent" xfId="1" builtinId="5"/>
  </cellStyles>
  <dxfs count="5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'Additive Model'!$C$2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'Additive Model'!$B$3:$B$26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'Additive Model'!$C$3:$C$26</c:f>
              <c:numCache>
                <c:formatCode>General</c:formatCode>
                <c:ptCount val="24"/>
                <c:pt idx="0">
                  <c:v>125</c:v>
                </c:pt>
                <c:pt idx="1">
                  <c:v>111</c:v>
                </c:pt>
                <c:pt idx="2">
                  <c:v>126</c:v>
                </c:pt>
                <c:pt idx="3">
                  <c:v>107</c:v>
                </c:pt>
                <c:pt idx="4">
                  <c:v>95</c:v>
                </c:pt>
                <c:pt idx="5">
                  <c:v>138</c:v>
                </c:pt>
                <c:pt idx="6">
                  <c:v>156</c:v>
                </c:pt>
                <c:pt idx="7">
                  <c:v>142</c:v>
                </c:pt>
                <c:pt idx="8">
                  <c:v>157</c:v>
                </c:pt>
                <c:pt idx="9">
                  <c:v>137</c:v>
                </c:pt>
                <c:pt idx="10">
                  <c:v>126</c:v>
                </c:pt>
                <c:pt idx="11">
                  <c:v>171</c:v>
                </c:pt>
                <c:pt idx="12">
                  <c:v>183</c:v>
                </c:pt>
                <c:pt idx="13">
                  <c:v>172</c:v>
                </c:pt>
                <c:pt idx="14">
                  <c:v>185</c:v>
                </c:pt>
                <c:pt idx="15">
                  <c:v>165</c:v>
                </c:pt>
                <c:pt idx="16">
                  <c:v>155</c:v>
                </c:pt>
                <c:pt idx="17">
                  <c:v>200</c:v>
                </c:pt>
                <c:pt idx="18">
                  <c:v>219</c:v>
                </c:pt>
                <c:pt idx="19">
                  <c:v>202</c:v>
                </c:pt>
                <c:pt idx="20">
                  <c:v>215</c:v>
                </c:pt>
                <c:pt idx="21">
                  <c:v>196</c:v>
                </c:pt>
                <c:pt idx="22">
                  <c:v>185</c:v>
                </c:pt>
                <c:pt idx="23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E-4E19-883C-DD393839FCB9}"/>
            </c:ext>
          </c:extLst>
        </c:ser>
        <c:ser>
          <c:idx val="1"/>
          <c:order val="1"/>
          <c:tx>
            <c:v>Rolling average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'Additive Model'!$B$33:$B$50</c:f>
              <c:numCache>
                <c:formatCode>0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'Additive Model'!$F$33:$F$50</c:f>
              <c:numCache>
                <c:formatCode>0.00</c:formatCode>
                <c:ptCount val="18"/>
                <c:pt idx="0">
                  <c:v>119.58333333333334</c:v>
                </c:pt>
                <c:pt idx="1">
                  <c:v>124.75</c:v>
                </c:pt>
                <c:pt idx="2">
                  <c:v>129.91666666666666</c:v>
                </c:pt>
                <c:pt idx="3">
                  <c:v>135</c:v>
                </c:pt>
                <c:pt idx="4">
                  <c:v>140.08333333333331</c:v>
                </c:pt>
                <c:pt idx="5">
                  <c:v>145.41666666666666</c:v>
                </c:pt>
                <c:pt idx="6">
                  <c:v>150.41666666666666</c:v>
                </c:pt>
                <c:pt idx="7">
                  <c:v>155.16666666666666</c:v>
                </c:pt>
                <c:pt idx="8">
                  <c:v>160</c:v>
                </c:pt>
                <c:pt idx="9">
                  <c:v>164.66666666666669</c:v>
                </c:pt>
                <c:pt idx="10">
                  <c:v>169.41666666666669</c:v>
                </c:pt>
                <c:pt idx="11">
                  <c:v>174.25</c:v>
                </c:pt>
                <c:pt idx="12">
                  <c:v>179.66666666666666</c:v>
                </c:pt>
                <c:pt idx="13">
                  <c:v>185.16666666666666</c:v>
                </c:pt>
                <c:pt idx="14">
                  <c:v>190.16666666666666</c:v>
                </c:pt>
                <c:pt idx="15">
                  <c:v>195.25</c:v>
                </c:pt>
                <c:pt idx="16">
                  <c:v>200.33333333333334</c:v>
                </c:pt>
                <c:pt idx="17">
                  <c:v>205.5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9E-4E19-883C-DD393839F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dt -</a:t>
            </a:r>
            <a:r>
              <a:rPr lang="pt-PT" baseline="0"/>
              <a:t> difference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'Additive Model'!$B$33:$B$50</c:f>
              <c:numCache>
                <c:formatCode>0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'Additive Model'!$I$33:$I$50</c:f>
              <c:numCache>
                <c:formatCode>0.00</c:formatCode>
                <c:ptCount val="18"/>
                <c:pt idx="0">
                  <c:v>-12.583333333333343</c:v>
                </c:pt>
                <c:pt idx="1">
                  <c:v>-29.75</c:v>
                </c:pt>
                <c:pt idx="2">
                  <c:v>8.0833333333333428</c:v>
                </c:pt>
                <c:pt idx="3">
                  <c:v>21</c:v>
                </c:pt>
                <c:pt idx="4">
                  <c:v>1.9166666666666856</c:v>
                </c:pt>
                <c:pt idx="5">
                  <c:v>11.583333333333343</c:v>
                </c:pt>
                <c:pt idx="6">
                  <c:v>-13.416666666666657</c:v>
                </c:pt>
                <c:pt idx="7">
                  <c:v>-29.166666666666657</c:v>
                </c:pt>
                <c:pt idx="8">
                  <c:v>11</c:v>
                </c:pt>
                <c:pt idx="9">
                  <c:v>18.333333333333314</c:v>
                </c:pt>
                <c:pt idx="10">
                  <c:v>2.5833333333333144</c:v>
                </c:pt>
                <c:pt idx="11">
                  <c:v>10.75</c:v>
                </c:pt>
                <c:pt idx="12">
                  <c:v>-14.666666666666657</c:v>
                </c:pt>
                <c:pt idx="13">
                  <c:v>-30.166666666666657</c:v>
                </c:pt>
                <c:pt idx="14">
                  <c:v>9.8333333333333428</c:v>
                </c:pt>
                <c:pt idx="15">
                  <c:v>23.75</c:v>
                </c:pt>
                <c:pt idx="16">
                  <c:v>1.6666666666666572</c:v>
                </c:pt>
                <c:pt idx="17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A-48D9-9641-510B465C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'Multiplicative Model'!$C$2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'Multiplicative Model'!$B$3:$B$26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'Multiplicative Model'!$C$3:$C$26</c:f>
              <c:numCache>
                <c:formatCode>General</c:formatCode>
                <c:ptCount val="24"/>
                <c:pt idx="0">
                  <c:v>125</c:v>
                </c:pt>
                <c:pt idx="1">
                  <c:v>111</c:v>
                </c:pt>
                <c:pt idx="2">
                  <c:v>126</c:v>
                </c:pt>
                <c:pt idx="3">
                  <c:v>107</c:v>
                </c:pt>
                <c:pt idx="4">
                  <c:v>95</c:v>
                </c:pt>
                <c:pt idx="5">
                  <c:v>138</c:v>
                </c:pt>
                <c:pt idx="6">
                  <c:v>156</c:v>
                </c:pt>
                <c:pt idx="7">
                  <c:v>142</c:v>
                </c:pt>
                <c:pt idx="8">
                  <c:v>157</c:v>
                </c:pt>
                <c:pt idx="9">
                  <c:v>137</c:v>
                </c:pt>
                <c:pt idx="10">
                  <c:v>126</c:v>
                </c:pt>
                <c:pt idx="11">
                  <c:v>171</c:v>
                </c:pt>
                <c:pt idx="12">
                  <c:v>183</c:v>
                </c:pt>
                <c:pt idx="13">
                  <c:v>172</c:v>
                </c:pt>
                <c:pt idx="14">
                  <c:v>185</c:v>
                </c:pt>
                <c:pt idx="15">
                  <c:v>165</c:v>
                </c:pt>
                <c:pt idx="16">
                  <c:v>155</c:v>
                </c:pt>
                <c:pt idx="17">
                  <c:v>200</c:v>
                </c:pt>
                <c:pt idx="18">
                  <c:v>219</c:v>
                </c:pt>
                <c:pt idx="19">
                  <c:v>202</c:v>
                </c:pt>
                <c:pt idx="20">
                  <c:v>215</c:v>
                </c:pt>
                <c:pt idx="21">
                  <c:v>196</c:v>
                </c:pt>
                <c:pt idx="22">
                  <c:v>185</c:v>
                </c:pt>
                <c:pt idx="23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5-4950-A319-FBA5EE80256D}"/>
            </c:ext>
          </c:extLst>
        </c:ser>
        <c:ser>
          <c:idx val="1"/>
          <c:order val="1"/>
          <c:tx>
            <c:v>Rolling average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'Multiplicative Model'!$B$33:$B$50</c:f>
              <c:numCache>
                <c:formatCode>0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'Multiplicative Model'!$F$33:$F$50</c:f>
              <c:numCache>
                <c:formatCode>0.00</c:formatCode>
                <c:ptCount val="18"/>
                <c:pt idx="0">
                  <c:v>119.58333333333334</c:v>
                </c:pt>
                <c:pt idx="1">
                  <c:v>124.75</c:v>
                </c:pt>
                <c:pt idx="2">
                  <c:v>129.91666666666666</c:v>
                </c:pt>
                <c:pt idx="3">
                  <c:v>135</c:v>
                </c:pt>
                <c:pt idx="4">
                  <c:v>140.08333333333331</c:v>
                </c:pt>
                <c:pt idx="5">
                  <c:v>145.41666666666666</c:v>
                </c:pt>
                <c:pt idx="6">
                  <c:v>150.41666666666666</c:v>
                </c:pt>
                <c:pt idx="7">
                  <c:v>155.16666666666666</c:v>
                </c:pt>
                <c:pt idx="8">
                  <c:v>160</c:v>
                </c:pt>
                <c:pt idx="9">
                  <c:v>164.66666666666669</c:v>
                </c:pt>
                <c:pt idx="10">
                  <c:v>169.41666666666669</c:v>
                </c:pt>
                <c:pt idx="11">
                  <c:v>174.25</c:v>
                </c:pt>
                <c:pt idx="12">
                  <c:v>179.66666666666666</c:v>
                </c:pt>
                <c:pt idx="13">
                  <c:v>185.16666666666666</c:v>
                </c:pt>
                <c:pt idx="14">
                  <c:v>190.16666666666666</c:v>
                </c:pt>
                <c:pt idx="15">
                  <c:v>195.25</c:v>
                </c:pt>
                <c:pt idx="16">
                  <c:v>200.33333333333334</c:v>
                </c:pt>
                <c:pt idx="17">
                  <c:v>205.5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F5-4950-A319-FBA5EE802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rt -</a:t>
            </a:r>
            <a:r>
              <a:rPr lang="pt-PT" baseline="0"/>
              <a:t> ratio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'Multiplicative Model'!$B$33:$B$50</c:f>
              <c:numCache>
                <c:formatCode>0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'Multiplicative Model'!$I$33:$I$50</c:f>
              <c:numCache>
                <c:formatCode>0.00</c:formatCode>
                <c:ptCount val="18"/>
                <c:pt idx="0">
                  <c:v>0.89477351916376302</c:v>
                </c:pt>
                <c:pt idx="1">
                  <c:v>0.76152304609218435</c:v>
                </c:pt>
                <c:pt idx="2">
                  <c:v>1.0622193713919179</c:v>
                </c:pt>
                <c:pt idx="3">
                  <c:v>1.1555555555555554</c:v>
                </c:pt>
                <c:pt idx="4">
                  <c:v>1.0136823319452708</c:v>
                </c:pt>
                <c:pt idx="5">
                  <c:v>1.0796561604584527</c:v>
                </c:pt>
                <c:pt idx="6">
                  <c:v>0.91080332409972309</c:v>
                </c:pt>
                <c:pt idx="7">
                  <c:v>0.81203007518796999</c:v>
                </c:pt>
                <c:pt idx="8">
                  <c:v>1.0687500000000001</c:v>
                </c:pt>
                <c:pt idx="9">
                  <c:v>1.1113360323886639</c:v>
                </c:pt>
                <c:pt idx="10">
                  <c:v>1.0152484013772749</c:v>
                </c:pt>
                <c:pt idx="11">
                  <c:v>1.0616929698708752</c:v>
                </c:pt>
                <c:pt idx="12">
                  <c:v>0.91836734693877553</c:v>
                </c:pt>
                <c:pt idx="13">
                  <c:v>0.83708370837083712</c:v>
                </c:pt>
                <c:pt idx="14">
                  <c:v>1.0517090271691498</c:v>
                </c:pt>
                <c:pt idx="15">
                  <c:v>1.1216389244558258</c:v>
                </c:pt>
                <c:pt idx="16">
                  <c:v>1.0083194675540765</c:v>
                </c:pt>
                <c:pt idx="17">
                  <c:v>1.0462287104622872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A-44B2-A5FD-67AC65688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GorGeus!$Q$2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GorGeus!$P$3:$P$86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xVal>
          <c:yVal>
            <c:numRef>
              <c:f>GorGeus!$Q$3:$Q$86</c:f>
              <c:numCache>
                <c:formatCode>General</c:formatCode>
                <c:ptCount val="84"/>
                <c:pt idx="0">
                  <c:v>84</c:v>
                </c:pt>
                <c:pt idx="1">
                  <c:v>89</c:v>
                </c:pt>
                <c:pt idx="2">
                  <c:v>99</c:v>
                </c:pt>
                <c:pt idx="3">
                  <c:v>97</c:v>
                </c:pt>
                <c:pt idx="4">
                  <c:v>91</c:v>
                </c:pt>
                <c:pt idx="5">
                  <c:v>101</c:v>
                </c:pt>
                <c:pt idx="6">
                  <c:v>111</c:v>
                </c:pt>
                <c:pt idx="7">
                  <c:v>111</c:v>
                </c:pt>
                <c:pt idx="8">
                  <c:v>102</c:v>
                </c:pt>
                <c:pt idx="9">
                  <c:v>98</c:v>
                </c:pt>
                <c:pt idx="10">
                  <c:v>78</c:v>
                </c:pt>
                <c:pt idx="11">
                  <c:v>89</c:v>
                </c:pt>
                <c:pt idx="12">
                  <c:v>86</c:v>
                </c:pt>
                <c:pt idx="13">
                  <c:v>95</c:v>
                </c:pt>
                <c:pt idx="14">
                  <c:v>106</c:v>
                </c:pt>
                <c:pt idx="15">
                  <c:v>101</c:v>
                </c:pt>
                <c:pt idx="16">
                  <c:v>94</c:v>
                </c:pt>
                <c:pt idx="17">
                  <c:v>112</c:v>
                </c:pt>
                <c:pt idx="18">
                  <c:v>128</c:v>
                </c:pt>
                <c:pt idx="19">
                  <c:v>128</c:v>
                </c:pt>
                <c:pt idx="20">
                  <c:v>119</c:v>
                </c:pt>
                <c:pt idx="21">
                  <c:v>100</c:v>
                </c:pt>
                <c:pt idx="22">
                  <c:v>86</c:v>
                </c:pt>
                <c:pt idx="23">
                  <c:v>105</c:v>
                </c:pt>
                <c:pt idx="24">
                  <c:v>109</c:v>
                </c:pt>
                <c:pt idx="25">
                  <c:v>113</c:v>
                </c:pt>
                <c:pt idx="26">
                  <c:v>134</c:v>
                </c:pt>
                <c:pt idx="27">
                  <c:v>122</c:v>
                </c:pt>
                <c:pt idx="28">
                  <c:v>129</c:v>
                </c:pt>
                <c:pt idx="29">
                  <c:v>134</c:v>
                </c:pt>
                <c:pt idx="30">
                  <c:v>149</c:v>
                </c:pt>
                <c:pt idx="31">
                  <c:v>149</c:v>
                </c:pt>
                <c:pt idx="32">
                  <c:v>138</c:v>
                </c:pt>
                <c:pt idx="33">
                  <c:v>122</c:v>
                </c:pt>
                <c:pt idx="34">
                  <c:v>110</c:v>
                </c:pt>
                <c:pt idx="35">
                  <c:v>125</c:v>
                </c:pt>
                <c:pt idx="36">
                  <c:v>128</c:v>
                </c:pt>
                <c:pt idx="37">
                  <c:v>135</c:v>
                </c:pt>
                <c:pt idx="38">
                  <c:v>145</c:v>
                </c:pt>
                <c:pt idx="39">
                  <c:v>136</c:v>
                </c:pt>
                <c:pt idx="40">
                  <c:v>137</c:v>
                </c:pt>
                <c:pt idx="41">
                  <c:v>164</c:v>
                </c:pt>
                <c:pt idx="42">
                  <c:v>173</c:v>
                </c:pt>
                <c:pt idx="43">
                  <c:v>182</c:v>
                </c:pt>
                <c:pt idx="44">
                  <c:v>157</c:v>
                </c:pt>
                <c:pt idx="45">
                  <c:v>143</c:v>
                </c:pt>
                <c:pt idx="46">
                  <c:v>129</c:v>
                </c:pt>
                <c:pt idx="47">
                  <c:v>146</c:v>
                </c:pt>
                <c:pt idx="48">
                  <c:v>147</c:v>
                </c:pt>
                <c:pt idx="49">
                  <c:v>147</c:v>
                </c:pt>
                <c:pt idx="50">
                  <c:v>177</c:v>
                </c:pt>
                <c:pt idx="51">
                  <c:v>176</c:v>
                </c:pt>
                <c:pt idx="52">
                  <c:v>172</c:v>
                </c:pt>
                <c:pt idx="53">
                  <c:v>182</c:v>
                </c:pt>
                <c:pt idx="54">
                  <c:v>198</c:v>
                </c:pt>
                <c:pt idx="55">
                  <c:v>204</c:v>
                </c:pt>
                <c:pt idx="56">
                  <c:v>178</c:v>
                </c:pt>
                <c:pt idx="57">
                  <c:v>158</c:v>
                </c:pt>
                <c:pt idx="58">
                  <c:v>135</c:v>
                </c:pt>
                <c:pt idx="59">
                  <c:v>151</c:v>
                </c:pt>
                <c:pt idx="60">
                  <c:v>153</c:v>
                </c:pt>
                <c:pt idx="61">
                  <c:v>141</c:v>
                </c:pt>
                <c:pt idx="62">
                  <c:v>176</c:v>
                </c:pt>
                <c:pt idx="63">
                  <c:v>170</c:v>
                </c:pt>
                <c:pt idx="64">
                  <c:v>176</c:v>
                </c:pt>
                <c:pt idx="65">
                  <c:v>198</c:v>
                </c:pt>
                <c:pt idx="66">
                  <c:v>227</c:v>
                </c:pt>
                <c:pt idx="67">
                  <c:v>220</c:v>
                </c:pt>
                <c:pt idx="68">
                  <c:v>194</c:v>
                </c:pt>
                <c:pt idx="69">
                  <c:v>172</c:v>
                </c:pt>
                <c:pt idx="70">
                  <c:v>152</c:v>
                </c:pt>
                <c:pt idx="71">
                  <c:v>172</c:v>
                </c:pt>
                <c:pt idx="72">
                  <c:v>182</c:v>
                </c:pt>
                <c:pt idx="73">
                  <c:v>175</c:v>
                </c:pt>
                <c:pt idx="74">
                  <c:v>200</c:v>
                </c:pt>
                <c:pt idx="75">
                  <c:v>202</c:v>
                </c:pt>
                <c:pt idx="76">
                  <c:v>203</c:v>
                </c:pt>
                <c:pt idx="77">
                  <c:v>236</c:v>
                </c:pt>
                <c:pt idx="78">
                  <c:v>273</c:v>
                </c:pt>
                <c:pt idx="79">
                  <c:v>260</c:v>
                </c:pt>
                <c:pt idx="80">
                  <c:v>234</c:v>
                </c:pt>
                <c:pt idx="81">
                  <c:v>206</c:v>
                </c:pt>
                <c:pt idx="82">
                  <c:v>178</c:v>
                </c:pt>
                <c:pt idx="83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6-4D5D-AA9C-C86E7EF58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34911"/>
        <c:axId val="761635391"/>
      </c:scatterChart>
      <c:valAx>
        <c:axId val="76163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1635391"/>
        <c:crosses val="autoZero"/>
        <c:crossBetween val="midCat"/>
      </c:valAx>
      <c:valAx>
        <c:axId val="7616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163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'Gorgeous Multiplicative Model'!$C$2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'Gorgeous Multiplicative Model'!$B$30:$B$113</c:f>
              <c:numCache>
                <c:formatCode>0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 formatCode="General">
                  <c:v>31</c:v>
                </c:pt>
                <c:pt idx="31" formatCode="General">
                  <c:v>32</c:v>
                </c:pt>
                <c:pt idx="32" formatCode="General">
                  <c:v>33</c:v>
                </c:pt>
                <c:pt idx="33" formatCode="General">
                  <c:v>34</c:v>
                </c:pt>
                <c:pt idx="34" formatCode="General">
                  <c:v>35</c:v>
                </c:pt>
                <c:pt idx="35">
                  <c:v>36</c:v>
                </c:pt>
                <c:pt idx="36" formatCode="General">
                  <c:v>37</c:v>
                </c:pt>
                <c:pt idx="37" formatCode="General">
                  <c:v>38</c:v>
                </c:pt>
                <c:pt idx="38" formatCode="General">
                  <c:v>39</c:v>
                </c:pt>
                <c:pt idx="39" formatCode="General">
                  <c:v>40</c:v>
                </c:pt>
                <c:pt idx="40" formatCode="General">
                  <c:v>41</c:v>
                </c:pt>
                <c:pt idx="41">
                  <c:v>42</c:v>
                </c:pt>
                <c:pt idx="42" formatCode="General">
                  <c:v>43</c:v>
                </c:pt>
                <c:pt idx="43" formatCode="General">
                  <c:v>44</c:v>
                </c:pt>
                <c:pt idx="44" formatCode="General">
                  <c:v>45</c:v>
                </c:pt>
                <c:pt idx="45" formatCode="General">
                  <c:v>46</c:v>
                </c:pt>
                <c:pt idx="46" formatCode="General">
                  <c:v>47</c:v>
                </c:pt>
                <c:pt idx="47">
                  <c:v>48</c:v>
                </c:pt>
                <c:pt idx="48" formatCode="General">
                  <c:v>49</c:v>
                </c:pt>
                <c:pt idx="49" formatCode="General">
                  <c:v>50</c:v>
                </c:pt>
                <c:pt idx="50" formatCode="General">
                  <c:v>51</c:v>
                </c:pt>
                <c:pt idx="51" formatCode="General">
                  <c:v>52</c:v>
                </c:pt>
                <c:pt idx="52" formatCode="General">
                  <c:v>53</c:v>
                </c:pt>
                <c:pt idx="53">
                  <c:v>54</c:v>
                </c:pt>
                <c:pt idx="54" formatCode="General">
                  <c:v>55</c:v>
                </c:pt>
                <c:pt idx="55" formatCode="General">
                  <c:v>56</c:v>
                </c:pt>
                <c:pt idx="56" formatCode="General">
                  <c:v>57</c:v>
                </c:pt>
                <c:pt idx="57" formatCode="General">
                  <c:v>58</c:v>
                </c:pt>
                <c:pt idx="58" formatCode="General">
                  <c:v>59</c:v>
                </c:pt>
                <c:pt idx="59">
                  <c:v>60</c:v>
                </c:pt>
                <c:pt idx="60" formatCode="General">
                  <c:v>61</c:v>
                </c:pt>
                <c:pt idx="61" formatCode="General">
                  <c:v>62</c:v>
                </c:pt>
                <c:pt idx="62" formatCode="General">
                  <c:v>63</c:v>
                </c:pt>
                <c:pt idx="63" formatCode="General">
                  <c:v>64</c:v>
                </c:pt>
                <c:pt idx="64" formatCode="General">
                  <c:v>65</c:v>
                </c:pt>
                <c:pt idx="65">
                  <c:v>66</c:v>
                </c:pt>
                <c:pt idx="66" formatCode="General">
                  <c:v>67</c:v>
                </c:pt>
                <c:pt idx="67" formatCode="General">
                  <c:v>68</c:v>
                </c:pt>
                <c:pt idx="68" formatCode="General">
                  <c:v>69</c:v>
                </c:pt>
                <c:pt idx="69" formatCode="General">
                  <c:v>70</c:v>
                </c:pt>
                <c:pt idx="70" formatCode="General">
                  <c:v>71</c:v>
                </c:pt>
                <c:pt idx="71">
                  <c:v>72</c:v>
                </c:pt>
                <c:pt idx="72" formatCode="General">
                  <c:v>73</c:v>
                </c:pt>
                <c:pt idx="73" formatCode="General">
                  <c:v>74</c:v>
                </c:pt>
                <c:pt idx="74" formatCode="General">
                  <c:v>75</c:v>
                </c:pt>
                <c:pt idx="75" formatCode="General">
                  <c:v>76</c:v>
                </c:pt>
                <c:pt idx="76" formatCode="General">
                  <c:v>77</c:v>
                </c:pt>
                <c:pt idx="77">
                  <c:v>78</c:v>
                </c:pt>
                <c:pt idx="78" formatCode="General">
                  <c:v>79</c:v>
                </c:pt>
                <c:pt idx="79" formatCode="General">
                  <c:v>80</c:v>
                </c:pt>
                <c:pt idx="80" formatCode="General">
                  <c:v>81</c:v>
                </c:pt>
                <c:pt idx="81" formatCode="General">
                  <c:v>82</c:v>
                </c:pt>
                <c:pt idx="82" formatCode="General">
                  <c:v>83</c:v>
                </c:pt>
                <c:pt idx="83" formatCode="General">
                  <c:v>84</c:v>
                </c:pt>
              </c:numCache>
            </c:numRef>
          </c:xVal>
          <c:yVal>
            <c:numRef>
              <c:f>'Gorgeous Multiplicative Model'!$C$30:$C$113</c:f>
              <c:numCache>
                <c:formatCode>0</c:formatCode>
                <c:ptCount val="84"/>
                <c:pt idx="0">
                  <c:v>84</c:v>
                </c:pt>
                <c:pt idx="1">
                  <c:v>89</c:v>
                </c:pt>
                <c:pt idx="2">
                  <c:v>99</c:v>
                </c:pt>
                <c:pt idx="3">
                  <c:v>97</c:v>
                </c:pt>
                <c:pt idx="4">
                  <c:v>91</c:v>
                </c:pt>
                <c:pt idx="5">
                  <c:v>101</c:v>
                </c:pt>
                <c:pt idx="6">
                  <c:v>111</c:v>
                </c:pt>
                <c:pt idx="7">
                  <c:v>111</c:v>
                </c:pt>
                <c:pt idx="8">
                  <c:v>102</c:v>
                </c:pt>
                <c:pt idx="9">
                  <c:v>98</c:v>
                </c:pt>
                <c:pt idx="10">
                  <c:v>78</c:v>
                </c:pt>
                <c:pt idx="11">
                  <c:v>89</c:v>
                </c:pt>
                <c:pt idx="12">
                  <c:v>86</c:v>
                </c:pt>
                <c:pt idx="13">
                  <c:v>95</c:v>
                </c:pt>
                <c:pt idx="14">
                  <c:v>106</c:v>
                </c:pt>
                <c:pt idx="15">
                  <c:v>101</c:v>
                </c:pt>
                <c:pt idx="16">
                  <c:v>94</c:v>
                </c:pt>
                <c:pt idx="17">
                  <c:v>112</c:v>
                </c:pt>
                <c:pt idx="18">
                  <c:v>128</c:v>
                </c:pt>
                <c:pt idx="19">
                  <c:v>128</c:v>
                </c:pt>
                <c:pt idx="20">
                  <c:v>119</c:v>
                </c:pt>
                <c:pt idx="21">
                  <c:v>100</c:v>
                </c:pt>
                <c:pt idx="22">
                  <c:v>86</c:v>
                </c:pt>
                <c:pt idx="23">
                  <c:v>105</c:v>
                </c:pt>
                <c:pt idx="24" formatCode="General">
                  <c:v>109</c:v>
                </c:pt>
                <c:pt idx="25" formatCode="General">
                  <c:v>113</c:v>
                </c:pt>
                <c:pt idx="26" formatCode="General">
                  <c:v>134</c:v>
                </c:pt>
                <c:pt idx="27" formatCode="General">
                  <c:v>122</c:v>
                </c:pt>
                <c:pt idx="28" formatCode="General">
                  <c:v>129</c:v>
                </c:pt>
                <c:pt idx="29">
                  <c:v>134</c:v>
                </c:pt>
                <c:pt idx="30" formatCode="General">
                  <c:v>149</c:v>
                </c:pt>
                <c:pt idx="31" formatCode="General">
                  <c:v>149</c:v>
                </c:pt>
                <c:pt idx="32" formatCode="General">
                  <c:v>138</c:v>
                </c:pt>
                <c:pt idx="33" formatCode="General">
                  <c:v>122</c:v>
                </c:pt>
                <c:pt idx="34" formatCode="General">
                  <c:v>110</c:v>
                </c:pt>
                <c:pt idx="35">
                  <c:v>125</c:v>
                </c:pt>
                <c:pt idx="36" formatCode="General">
                  <c:v>128</c:v>
                </c:pt>
                <c:pt idx="37" formatCode="General">
                  <c:v>135</c:v>
                </c:pt>
                <c:pt idx="38" formatCode="General">
                  <c:v>145</c:v>
                </c:pt>
                <c:pt idx="39" formatCode="General">
                  <c:v>136</c:v>
                </c:pt>
                <c:pt idx="40" formatCode="General">
                  <c:v>137</c:v>
                </c:pt>
                <c:pt idx="41">
                  <c:v>164</c:v>
                </c:pt>
                <c:pt idx="42" formatCode="General">
                  <c:v>173</c:v>
                </c:pt>
                <c:pt idx="43" formatCode="General">
                  <c:v>182</c:v>
                </c:pt>
                <c:pt idx="44" formatCode="General">
                  <c:v>157</c:v>
                </c:pt>
                <c:pt idx="45" formatCode="General">
                  <c:v>143</c:v>
                </c:pt>
                <c:pt idx="46" formatCode="General">
                  <c:v>129</c:v>
                </c:pt>
                <c:pt idx="47">
                  <c:v>146</c:v>
                </c:pt>
                <c:pt idx="48" formatCode="General">
                  <c:v>147</c:v>
                </c:pt>
                <c:pt idx="49" formatCode="General">
                  <c:v>147</c:v>
                </c:pt>
                <c:pt idx="50" formatCode="General">
                  <c:v>177</c:v>
                </c:pt>
                <c:pt idx="51" formatCode="General">
                  <c:v>176</c:v>
                </c:pt>
                <c:pt idx="52" formatCode="General">
                  <c:v>172</c:v>
                </c:pt>
                <c:pt idx="53">
                  <c:v>182</c:v>
                </c:pt>
                <c:pt idx="54" formatCode="General">
                  <c:v>198</c:v>
                </c:pt>
                <c:pt idx="55" formatCode="General">
                  <c:v>204</c:v>
                </c:pt>
                <c:pt idx="56" formatCode="General">
                  <c:v>178</c:v>
                </c:pt>
                <c:pt idx="57" formatCode="General">
                  <c:v>158</c:v>
                </c:pt>
                <c:pt idx="58" formatCode="General">
                  <c:v>135</c:v>
                </c:pt>
                <c:pt idx="59">
                  <c:v>151</c:v>
                </c:pt>
                <c:pt idx="60" formatCode="General">
                  <c:v>153</c:v>
                </c:pt>
                <c:pt idx="61" formatCode="General">
                  <c:v>141</c:v>
                </c:pt>
                <c:pt idx="62" formatCode="General">
                  <c:v>176</c:v>
                </c:pt>
                <c:pt idx="63" formatCode="General">
                  <c:v>170</c:v>
                </c:pt>
                <c:pt idx="64" formatCode="General">
                  <c:v>176</c:v>
                </c:pt>
                <c:pt idx="65">
                  <c:v>198</c:v>
                </c:pt>
                <c:pt idx="66" formatCode="General">
                  <c:v>227</c:v>
                </c:pt>
                <c:pt idx="67" formatCode="General">
                  <c:v>220</c:v>
                </c:pt>
                <c:pt idx="68" formatCode="General">
                  <c:v>194</c:v>
                </c:pt>
                <c:pt idx="69" formatCode="General">
                  <c:v>172</c:v>
                </c:pt>
                <c:pt idx="70" formatCode="General">
                  <c:v>152</c:v>
                </c:pt>
                <c:pt idx="71">
                  <c:v>172</c:v>
                </c:pt>
                <c:pt idx="72" formatCode="General">
                  <c:v>182</c:v>
                </c:pt>
                <c:pt idx="73" formatCode="General">
                  <c:v>175</c:v>
                </c:pt>
                <c:pt idx="74" formatCode="General">
                  <c:v>200</c:v>
                </c:pt>
                <c:pt idx="75" formatCode="General">
                  <c:v>202</c:v>
                </c:pt>
                <c:pt idx="76" formatCode="General">
                  <c:v>203</c:v>
                </c:pt>
                <c:pt idx="77">
                  <c:v>236</c:v>
                </c:pt>
                <c:pt idx="78" formatCode="General">
                  <c:v>273</c:v>
                </c:pt>
                <c:pt idx="79" formatCode="General">
                  <c:v>260</c:v>
                </c:pt>
                <c:pt idx="80" formatCode="General">
                  <c:v>234</c:v>
                </c:pt>
                <c:pt idx="81" formatCode="General">
                  <c:v>206</c:v>
                </c:pt>
                <c:pt idx="82" formatCode="General">
                  <c:v>178</c:v>
                </c:pt>
                <c:pt idx="83" formatCode="General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F-42E7-8E5E-AC389EC0321F}"/>
            </c:ext>
          </c:extLst>
        </c:ser>
        <c:ser>
          <c:idx val="1"/>
          <c:order val="1"/>
          <c:tx>
            <c:strRef>
              <c:f>'Gorgeous Multiplicative Model'!$F$29</c:f>
              <c:strCache>
                <c:ptCount val="1"/>
                <c:pt idx="0">
                  <c:v>Mt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'Gorgeous Multiplicative Model'!$B$36:$B$107</c:f>
              <c:numCache>
                <c:formatCode>0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 formatCode="General">
                  <c:v>31</c:v>
                </c:pt>
                <c:pt idx="25" formatCode="General">
                  <c:v>32</c:v>
                </c:pt>
                <c:pt idx="26" formatCode="General">
                  <c:v>33</c:v>
                </c:pt>
                <c:pt idx="27" formatCode="General">
                  <c:v>34</c:v>
                </c:pt>
                <c:pt idx="28" formatCode="General">
                  <c:v>35</c:v>
                </c:pt>
                <c:pt idx="29">
                  <c:v>36</c:v>
                </c:pt>
                <c:pt idx="30" formatCode="General">
                  <c:v>37</c:v>
                </c:pt>
                <c:pt idx="31" formatCode="General">
                  <c:v>38</c:v>
                </c:pt>
                <c:pt idx="32" formatCode="General">
                  <c:v>39</c:v>
                </c:pt>
                <c:pt idx="33" formatCode="General">
                  <c:v>40</c:v>
                </c:pt>
                <c:pt idx="34" formatCode="General">
                  <c:v>41</c:v>
                </c:pt>
                <c:pt idx="35">
                  <c:v>42</c:v>
                </c:pt>
                <c:pt idx="36" formatCode="General">
                  <c:v>43</c:v>
                </c:pt>
                <c:pt idx="37" formatCode="General">
                  <c:v>44</c:v>
                </c:pt>
                <c:pt idx="38" formatCode="General">
                  <c:v>45</c:v>
                </c:pt>
                <c:pt idx="39" formatCode="General">
                  <c:v>46</c:v>
                </c:pt>
                <c:pt idx="40" formatCode="General">
                  <c:v>47</c:v>
                </c:pt>
                <c:pt idx="41">
                  <c:v>48</c:v>
                </c:pt>
                <c:pt idx="42" formatCode="General">
                  <c:v>49</c:v>
                </c:pt>
                <c:pt idx="43" formatCode="General">
                  <c:v>50</c:v>
                </c:pt>
                <c:pt idx="44" formatCode="General">
                  <c:v>51</c:v>
                </c:pt>
                <c:pt idx="45" formatCode="General">
                  <c:v>52</c:v>
                </c:pt>
                <c:pt idx="46" formatCode="General">
                  <c:v>53</c:v>
                </c:pt>
                <c:pt idx="47">
                  <c:v>54</c:v>
                </c:pt>
                <c:pt idx="48" formatCode="General">
                  <c:v>55</c:v>
                </c:pt>
                <c:pt idx="49" formatCode="General">
                  <c:v>56</c:v>
                </c:pt>
                <c:pt idx="50" formatCode="General">
                  <c:v>57</c:v>
                </c:pt>
                <c:pt idx="51" formatCode="General">
                  <c:v>58</c:v>
                </c:pt>
                <c:pt idx="52" formatCode="General">
                  <c:v>59</c:v>
                </c:pt>
                <c:pt idx="53">
                  <c:v>60</c:v>
                </c:pt>
                <c:pt idx="54" formatCode="General">
                  <c:v>61</c:v>
                </c:pt>
                <c:pt idx="55" formatCode="General">
                  <c:v>62</c:v>
                </c:pt>
                <c:pt idx="56" formatCode="General">
                  <c:v>63</c:v>
                </c:pt>
                <c:pt idx="57" formatCode="General">
                  <c:v>64</c:v>
                </c:pt>
                <c:pt idx="58" formatCode="General">
                  <c:v>65</c:v>
                </c:pt>
                <c:pt idx="59">
                  <c:v>66</c:v>
                </c:pt>
                <c:pt idx="60" formatCode="General">
                  <c:v>67</c:v>
                </c:pt>
                <c:pt idx="61" formatCode="General">
                  <c:v>68</c:v>
                </c:pt>
                <c:pt idx="62" formatCode="General">
                  <c:v>69</c:v>
                </c:pt>
                <c:pt idx="63" formatCode="General">
                  <c:v>70</c:v>
                </c:pt>
                <c:pt idx="64" formatCode="General">
                  <c:v>71</c:v>
                </c:pt>
                <c:pt idx="65">
                  <c:v>72</c:v>
                </c:pt>
                <c:pt idx="66" formatCode="General">
                  <c:v>73</c:v>
                </c:pt>
                <c:pt idx="67" formatCode="General">
                  <c:v>74</c:v>
                </c:pt>
                <c:pt idx="68" formatCode="General">
                  <c:v>75</c:v>
                </c:pt>
                <c:pt idx="69" formatCode="General">
                  <c:v>76</c:v>
                </c:pt>
                <c:pt idx="70" formatCode="General">
                  <c:v>77</c:v>
                </c:pt>
                <c:pt idx="71">
                  <c:v>78</c:v>
                </c:pt>
              </c:numCache>
            </c:numRef>
          </c:xVal>
          <c:yVal>
            <c:numRef>
              <c:f>'Gorgeous Multiplicative Model'!$F$36:$F$107</c:f>
              <c:numCache>
                <c:formatCode>0.00</c:formatCode>
                <c:ptCount val="72"/>
                <c:pt idx="0">
                  <c:v>95.916666666666657</c:v>
                </c:pt>
                <c:pt idx="1">
                  <c:v>96.25</c:v>
                </c:pt>
                <c:pt idx="2">
                  <c:v>96.791666666666657</c:v>
                </c:pt>
                <c:pt idx="3">
                  <c:v>97.25</c:v>
                </c:pt>
                <c:pt idx="4">
                  <c:v>97.541666666666671</c:v>
                </c:pt>
                <c:pt idx="5">
                  <c:v>98.125</c:v>
                </c:pt>
                <c:pt idx="6">
                  <c:v>99.291666666666657</c:v>
                </c:pt>
                <c:pt idx="7">
                  <c:v>100.70833333333334</c:v>
                </c:pt>
                <c:pt idx="8">
                  <c:v>102.125</c:v>
                </c:pt>
                <c:pt idx="9">
                  <c:v>102.91666666666666</c:v>
                </c:pt>
                <c:pt idx="10">
                  <c:v>103.33333333333334</c:v>
                </c:pt>
                <c:pt idx="11">
                  <c:v>104.33333333333334</c:v>
                </c:pt>
                <c:pt idx="12">
                  <c:v>105.95833333333334</c:v>
                </c:pt>
                <c:pt idx="13">
                  <c:v>107.66666666666667</c:v>
                </c:pt>
                <c:pt idx="14">
                  <c:v>109.58333333333334</c:v>
                </c:pt>
                <c:pt idx="15">
                  <c:v>111.625</c:v>
                </c:pt>
                <c:pt idx="16">
                  <c:v>113.95833333333334</c:v>
                </c:pt>
                <c:pt idx="17">
                  <c:v>116.33333333333334</c:v>
                </c:pt>
                <c:pt idx="18">
                  <c:v>118.125</c:v>
                </c:pt>
                <c:pt idx="19">
                  <c:v>119.875</c:v>
                </c:pt>
                <c:pt idx="20">
                  <c:v>121.54166666666666</c:v>
                </c:pt>
                <c:pt idx="21">
                  <c:v>123.25</c:v>
                </c:pt>
                <c:pt idx="22">
                  <c:v>125.16666666666667</c:v>
                </c:pt>
                <c:pt idx="23">
                  <c:v>127</c:v>
                </c:pt>
                <c:pt idx="24">
                  <c:v>128.625</c:v>
                </c:pt>
                <c:pt idx="25">
                  <c:v>130.33333333333331</c:v>
                </c:pt>
                <c:pt idx="26">
                  <c:v>131.70833333333331</c:v>
                </c:pt>
                <c:pt idx="27">
                  <c:v>132.75</c:v>
                </c:pt>
                <c:pt idx="28">
                  <c:v>133.66666666666669</c:v>
                </c:pt>
                <c:pt idx="29">
                  <c:v>135.25</c:v>
                </c:pt>
                <c:pt idx="30">
                  <c:v>137.5</c:v>
                </c:pt>
                <c:pt idx="31">
                  <c:v>139.875</c:v>
                </c:pt>
                <c:pt idx="32">
                  <c:v>142.04166666666669</c:v>
                </c:pt>
                <c:pt idx="33">
                  <c:v>143.70833333333334</c:v>
                </c:pt>
                <c:pt idx="34">
                  <c:v>145.375</c:v>
                </c:pt>
                <c:pt idx="35">
                  <c:v>147.04166666666666</c:v>
                </c:pt>
                <c:pt idx="36">
                  <c:v>148.70833333333331</c:v>
                </c:pt>
                <c:pt idx="37">
                  <c:v>150</c:v>
                </c:pt>
                <c:pt idx="38">
                  <c:v>151.83333333333331</c:v>
                </c:pt>
                <c:pt idx="39">
                  <c:v>154.83333333333331</c:v>
                </c:pt>
                <c:pt idx="40">
                  <c:v>157.95833333333331</c:v>
                </c:pt>
                <c:pt idx="41">
                  <c:v>160.16666666666666</c:v>
                </c:pt>
                <c:pt idx="42">
                  <c:v>161.95833333333331</c:v>
                </c:pt>
                <c:pt idx="43">
                  <c:v>163.91666666666669</c:v>
                </c:pt>
                <c:pt idx="44">
                  <c:v>165.70833333333334</c:v>
                </c:pt>
                <c:pt idx="45">
                  <c:v>167.20833333333334</c:v>
                </c:pt>
                <c:pt idx="46">
                  <c:v>168.08333333333334</c:v>
                </c:pt>
                <c:pt idx="47">
                  <c:v>168.54166666666669</c:v>
                </c:pt>
                <c:pt idx="48">
                  <c:v>169</c:v>
                </c:pt>
                <c:pt idx="49">
                  <c:v>169</c:v>
                </c:pt>
                <c:pt idx="50">
                  <c:v>168.70833333333331</c:v>
                </c:pt>
                <c:pt idx="51">
                  <c:v>168.41666666666666</c:v>
                </c:pt>
                <c:pt idx="52">
                  <c:v>168.33333333333331</c:v>
                </c:pt>
                <c:pt idx="53">
                  <c:v>169.16666666666669</c:v>
                </c:pt>
                <c:pt idx="54">
                  <c:v>171.04166666666669</c:v>
                </c:pt>
                <c:pt idx="55">
                  <c:v>172.91666666666669</c:v>
                </c:pt>
                <c:pt idx="56">
                  <c:v>174.25</c:v>
                </c:pt>
                <c:pt idx="57">
                  <c:v>175.5</c:v>
                </c:pt>
                <c:pt idx="58">
                  <c:v>176.79166666666669</c:v>
                </c:pt>
                <c:pt idx="59">
                  <c:v>178.375</c:v>
                </c:pt>
                <c:pt idx="60">
                  <c:v>180.45833333333331</c:v>
                </c:pt>
                <c:pt idx="61">
                  <c:v>183.08333333333331</c:v>
                </c:pt>
                <c:pt idx="62">
                  <c:v>185.5</c:v>
                </c:pt>
                <c:pt idx="63">
                  <c:v>187.83333333333331</c:v>
                </c:pt>
                <c:pt idx="64">
                  <c:v>190.29166666666666</c:v>
                </c:pt>
                <c:pt idx="65">
                  <c:v>193</c:v>
                </c:pt>
                <c:pt idx="66">
                  <c:v>196.5</c:v>
                </c:pt>
                <c:pt idx="67">
                  <c:v>200.08333333333331</c:v>
                </c:pt>
                <c:pt idx="68">
                  <c:v>203.41666666666669</c:v>
                </c:pt>
                <c:pt idx="69">
                  <c:v>206.5</c:v>
                </c:pt>
                <c:pt idx="70">
                  <c:v>209</c:v>
                </c:pt>
                <c:pt idx="71">
                  <c:v>211.625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BF-42E7-8E5E-AC389EC03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rt -</a:t>
            </a:r>
            <a:r>
              <a:rPr lang="pt-PT" baseline="0"/>
              <a:t> ratio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'Gorgeous Multiplicative Model'!$I$29</c:f>
              <c:strCache>
                <c:ptCount val="1"/>
                <c:pt idx="0">
                  <c:v>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'Gorgeous Multiplicative Model'!$B$36:$B$107</c:f>
              <c:numCache>
                <c:formatCode>0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 formatCode="General">
                  <c:v>31</c:v>
                </c:pt>
                <c:pt idx="25" formatCode="General">
                  <c:v>32</c:v>
                </c:pt>
                <c:pt idx="26" formatCode="General">
                  <c:v>33</c:v>
                </c:pt>
                <c:pt idx="27" formatCode="General">
                  <c:v>34</c:v>
                </c:pt>
                <c:pt idx="28" formatCode="General">
                  <c:v>35</c:v>
                </c:pt>
                <c:pt idx="29">
                  <c:v>36</c:v>
                </c:pt>
                <c:pt idx="30" formatCode="General">
                  <c:v>37</c:v>
                </c:pt>
                <c:pt idx="31" formatCode="General">
                  <c:v>38</c:v>
                </c:pt>
                <c:pt idx="32" formatCode="General">
                  <c:v>39</c:v>
                </c:pt>
                <c:pt idx="33" formatCode="General">
                  <c:v>40</c:v>
                </c:pt>
                <c:pt idx="34" formatCode="General">
                  <c:v>41</c:v>
                </c:pt>
                <c:pt idx="35">
                  <c:v>42</c:v>
                </c:pt>
                <c:pt idx="36" formatCode="General">
                  <c:v>43</c:v>
                </c:pt>
                <c:pt idx="37" formatCode="General">
                  <c:v>44</c:v>
                </c:pt>
                <c:pt idx="38" formatCode="General">
                  <c:v>45</c:v>
                </c:pt>
                <c:pt idx="39" formatCode="General">
                  <c:v>46</c:v>
                </c:pt>
                <c:pt idx="40" formatCode="General">
                  <c:v>47</c:v>
                </c:pt>
                <c:pt idx="41">
                  <c:v>48</c:v>
                </c:pt>
                <c:pt idx="42" formatCode="General">
                  <c:v>49</c:v>
                </c:pt>
                <c:pt idx="43" formatCode="General">
                  <c:v>50</c:v>
                </c:pt>
                <c:pt idx="44" formatCode="General">
                  <c:v>51</c:v>
                </c:pt>
                <c:pt idx="45" formatCode="General">
                  <c:v>52</c:v>
                </c:pt>
                <c:pt idx="46" formatCode="General">
                  <c:v>53</c:v>
                </c:pt>
                <c:pt idx="47">
                  <c:v>54</c:v>
                </c:pt>
                <c:pt idx="48" formatCode="General">
                  <c:v>55</c:v>
                </c:pt>
                <c:pt idx="49" formatCode="General">
                  <c:v>56</c:v>
                </c:pt>
                <c:pt idx="50" formatCode="General">
                  <c:v>57</c:v>
                </c:pt>
                <c:pt idx="51" formatCode="General">
                  <c:v>58</c:v>
                </c:pt>
                <c:pt idx="52" formatCode="General">
                  <c:v>59</c:v>
                </c:pt>
                <c:pt idx="53">
                  <c:v>60</c:v>
                </c:pt>
                <c:pt idx="54" formatCode="General">
                  <c:v>61</c:v>
                </c:pt>
                <c:pt idx="55" formatCode="General">
                  <c:v>62</c:v>
                </c:pt>
                <c:pt idx="56" formatCode="General">
                  <c:v>63</c:v>
                </c:pt>
                <c:pt idx="57" formatCode="General">
                  <c:v>64</c:v>
                </c:pt>
                <c:pt idx="58" formatCode="General">
                  <c:v>65</c:v>
                </c:pt>
                <c:pt idx="59">
                  <c:v>66</c:v>
                </c:pt>
                <c:pt idx="60" formatCode="General">
                  <c:v>67</c:v>
                </c:pt>
                <c:pt idx="61" formatCode="General">
                  <c:v>68</c:v>
                </c:pt>
                <c:pt idx="62" formatCode="General">
                  <c:v>69</c:v>
                </c:pt>
                <c:pt idx="63" formatCode="General">
                  <c:v>70</c:v>
                </c:pt>
                <c:pt idx="64" formatCode="General">
                  <c:v>71</c:v>
                </c:pt>
                <c:pt idx="65">
                  <c:v>72</c:v>
                </c:pt>
                <c:pt idx="66" formatCode="General">
                  <c:v>73</c:v>
                </c:pt>
                <c:pt idx="67" formatCode="General">
                  <c:v>74</c:v>
                </c:pt>
                <c:pt idx="68" formatCode="General">
                  <c:v>75</c:v>
                </c:pt>
                <c:pt idx="69" formatCode="General">
                  <c:v>76</c:v>
                </c:pt>
                <c:pt idx="70" formatCode="General">
                  <c:v>77</c:v>
                </c:pt>
                <c:pt idx="71">
                  <c:v>78</c:v>
                </c:pt>
              </c:numCache>
            </c:numRef>
          </c:xVal>
          <c:yVal>
            <c:numRef>
              <c:f>'Gorgeous Multiplicative Model'!$I$36:$I$107</c:f>
              <c:numCache>
                <c:formatCode>0.00</c:formatCode>
                <c:ptCount val="72"/>
                <c:pt idx="0">
                  <c:v>1.1572545612510861</c:v>
                </c:pt>
                <c:pt idx="1">
                  <c:v>1.1532467532467532</c:v>
                </c:pt>
                <c:pt idx="2">
                  <c:v>1.0538097287989669</c:v>
                </c:pt>
                <c:pt idx="3">
                  <c:v>1.0077120822622108</c:v>
                </c:pt>
                <c:pt idx="4">
                  <c:v>0.79965826569841947</c:v>
                </c:pt>
                <c:pt idx="5">
                  <c:v>0.90700636942675161</c:v>
                </c:pt>
                <c:pt idx="6">
                  <c:v>0.86613512379353763</c:v>
                </c:pt>
                <c:pt idx="7">
                  <c:v>0.94331816301199822</c:v>
                </c:pt>
                <c:pt idx="8">
                  <c:v>1.0379436964504285</c:v>
                </c:pt>
                <c:pt idx="9">
                  <c:v>0.98137651821862359</c:v>
                </c:pt>
                <c:pt idx="10">
                  <c:v>0.90967741935483859</c:v>
                </c:pt>
                <c:pt idx="11">
                  <c:v>1.0734824281150159</c:v>
                </c:pt>
                <c:pt idx="12">
                  <c:v>1.2080220212347619</c:v>
                </c:pt>
                <c:pt idx="13">
                  <c:v>1.1888544891640866</c:v>
                </c:pt>
                <c:pt idx="14">
                  <c:v>1.0859315589353611</c:v>
                </c:pt>
                <c:pt idx="15">
                  <c:v>0.89585666293393063</c:v>
                </c:pt>
                <c:pt idx="16">
                  <c:v>0.75466179159049351</c:v>
                </c:pt>
                <c:pt idx="17">
                  <c:v>0.90257879656160456</c:v>
                </c:pt>
                <c:pt idx="18">
                  <c:v>0.92275132275132277</c:v>
                </c:pt>
                <c:pt idx="19">
                  <c:v>0.94264859228362874</c:v>
                </c:pt>
                <c:pt idx="20">
                  <c:v>1.1025025711347276</c:v>
                </c:pt>
                <c:pt idx="21">
                  <c:v>0.98985801217038538</c:v>
                </c:pt>
                <c:pt idx="22">
                  <c:v>1.0306258322237016</c:v>
                </c:pt>
                <c:pt idx="23">
                  <c:v>1.0551181102362204</c:v>
                </c:pt>
                <c:pt idx="24">
                  <c:v>1.1584062196307094</c:v>
                </c:pt>
                <c:pt idx="25">
                  <c:v>1.1432225063938621</c:v>
                </c:pt>
                <c:pt idx="26">
                  <c:v>1.0477696931350839</c:v>
                </c:pt>
                <c:pt idx="27">
                  <c:v>0.91902071563088517</c:v>
                </c:pt>
                <c:pt idx="28">
                  <c:v>0.82294264339152112</c:v>
                </c:pt>
                <c:pt idx="29">
                  <c:v>0.92421441774491686</c:v>
                </c:pt>
                <c:pt idx="30">
                  <c:v>0.93090909090909091</c:v>
                </c:pt>
                <c:pt idx="31">
                  <c:v>0.9651474530831099</c:v>
                </c:pt>
                <c:pt idx="32">
                  <c:v>1.0208272220592547</c:v>
                </c:pt>
                <c:pt idx="33">
                  <c:v>0.9463612641345317</c:v>
                </c:pt>
                <c:pt idx="34">
                  <c:v>0.94239036973344803</c:v>
                </c:pt>
                <c:pt idx="35">
                  <c:v>1.1153301218475489</c:v>
                </c:pt>
                <c:pt idx="36">
                  <c:v>1.163351078733539</c:v>
                </c:pt>
                <c:pt idx="37">
                  <c:v>1.2133333333333334</c:v>
                </c:pt>
                <c:pt idx="38">
                  <c:v>1.0340285400658618</c:v>
                </c:pt>
                <c:pt idx="39">
                  <c:v>0.92357373519913899</c:v>
                </c:pt>
                <c:pt idx="40">
                  <c:v>0.81667106304405179</c:v>
                </c:pt>
                <c:pt idx="41">
                  <c:v>0.91155046826222685</c:v>
                </c:pt>
                <c:pt idx="42">
                  <c:v>0.90764085412914852</c:v>
                </c:pt>
                <c:pt idx="43">
                  <c:v>0.89679715302491092</c:v>
                </c:pt>
                <c:pt idx="44">
                  <c:v>1.068141815438773</c:v>
                </c:pt>
                <c:pt idx="45">
                  <c:v>1.0525791178669324</c:v>
                </c:pt>
                <c:pt idx="46">
                  <c:v>1.0233019335647</c:v>
                </c:pt>
                <c:pt idx="47">
                  <c:v>1.0798516687268231</c:v>
                </c:pt>
                <c:pt idx="48">
                  <c:v>1.1715976331360947</c:v>
                </c:pt>
                <c:pt idx="49">
                  <c:v>1.2071005917159763</c:v>
                </c:pt>
                <c:pt idx="50">
                  <c:v>1.0550753272412943</c:v>
                </c:pt>
                <c:pt idx="51">
                  <c:v>0.938149430974765</c:v>
                </c:pt>
                <c:pt idx="52">
                  <c:v>0.80198019801980203</c:v>
                </c:pt>
                <c:pt idx="53">
                  <c:v>0.89261083743842351</c:v>
                </c:pt>
                <c:pt idx="54">
                  <c:v>0.89451887941534702</c:v>
                </c:pt>
                <c:pt idx="55">
                  <c:v>0.81542168674698789</c:v>
                </c:pt>
                <c:pt idx="56">
                  <c:v>1.0100430416068866</c:v>
                </c:pt>
                <c:pt idx="57">
                  <c:v>0.96866096866096862</c:v>
                </c:pt>
                <c:pt idx="58">
                  <c:v>0.99552203629507419</c:v>
                </c:pt>
                <c:pt idx="59">
                  <c:v>1.1100210231254379</c:v>
                </c:pt>
                <c:pt idx="60">
                  <c:v>1.2579081043638884</c:v>
                </c:pt>
                <c:pt idx="61">
                  <c:v>1.2016385980883024</c:v>
                </c:pt>
                <c:pt idx="62">
                  <c:v>1.045822102425876</c:v>
                </c:pt>
                <c:pt idx="63">
                  <c:v>0.91570541259982263</c:v>
                </c:pt>
                <c:pt idx="64">
                  <c:v>0.79877381213050147</c:v>
                </c:pt>
                <c:pt idx="65">
                  <c:v>0.89119170984455953</c:v>
                </c:pt>
                <c:pt idx="66">
                  <c:v>0.92620865139949105</c:v>
                </c:pt>
                <c:pt idx="67">
                  <c:v>0.87463556851311963</c:v>
                </c:pt>
                <c:pt idx="68">
                  <c:v>0.98320360507988525</c:v>
                </c:pt>
                <c:pt idx="69">
                  <c:v>0.97820823244552058</c:v>
                </c:pt>
                <c:pt idx="70">
                  <c:v>0.9712918660287081</c:v>
                </c:pt>
                <c:pt idx="71">
                  <c:v>1.1151801535735382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A3-40C8-85C1-D1D26E50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'Serras 45'!$C$2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'Serras 45'!$B$30:$B$65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'Serras 45'!$C$30:$C$65</c:f>
              <c:numCache>
                <c:formatCode>General</c:formatCode>
                <c:ptCount val="36"/>
                <c:pt idx="0">
                  <c:v>362124</c:v>
                </c:pt>
                <c:pt idx="1">
                  <c:v>388188</c:v>
                </c:pt>
                <c:pt idx="2">
                  <c:v>463140</c:v>
                </c:pt>
                <c:pt idx="3">
                  <c:v>435708</c:v>
                </c:pt>
                <c:pt idx="4">
                  <c:v>428112</c:v>
                </c:pt>
                <c:pt idx="5">
                  <c:v>404496</c:v>
                </c:pt>
                <c:pt idx="6">
                  <c:v>418356</c:v>
                </c:pt>
                <c:pt idx="7">
                  <c:v>439416</c:v>
                </c:pt>
                <c:pt idx="8">
                  <c:v>457488</c:v>
                </c:pt>
                <c:pt idx="9">
                  <c:v>435672</c:v>
                </c:pt>
                <c:pt idx="10">
                  <c:v>418140</c:v>
                </c:pt>
                <c:pt idx="11">
                  <c:v>410652</c:v>
                </c:pt>
                <c:pt idx="12">
                  <c:v>388404</c:v>
                </c:pt>
                <c:pt idx="13">
                  <c:v>437904</c:v>
                </c:pt>
                <c:pt idx="14">
                  <c:v>502488</c:v>
                </c:pt>
                <c:pt idx="15">
                  <c:v>488412</c:v>
                </c:pt>
                <c:pt idx="16">
                  <c:v>466560</c:v>
                </c:pt>
                <c:pt idx="17">
                  <c:v>444492</c:v>
                </c:pt>
                <c:pt idx="18">
                  <c:v>474264</c:v>
                </c:pt>
                <c:pt idx="19">
                  <c:v>503424</c:v>
                </c:pt>
                <c:pt idx="20">
                  <c:v>503676</c:v>
                </c:pt>
                <c:pt idx="21">
                  <c:v>480240</c:v>
                </c:pt>
                <c:pt idx="22">
                  <c:v>465264</c:v>
                </c:pt>
                <c:pt idx="23">
                  <c:v>463860</c:v>
                </c:pt>
                <c:pt idx="24">
                  <c:v>431676</c:v>
                </c:pt>
                <c:pt idx="25">
                  <c:v>479052</c:v>
                </c:pt>
                <c:pt idx="26">
                  <c:v>547884</c:v>
                </c:pt>
                <c:pt idx="27">
                  <c:v>551124</c:v>
                </c:pt>
                <c:pt idx="28">
                  <c:v>531072</c:v>
                </c:pt>
                <c:pt idx="29">
                  <c:v>489096</c:v>
                </c:pt>
                <c:pt idx="30">
                  <c:v>530100</c:v>
                </c:pt>
                <c:pt idx="31">
                  <c:v>558504</c:v>
                </c:pt>
                <c:pt idx="32">
                  <c:v>565380</c:v>
                </c:pt>
                <c:pt idx="33">
                  <c:v>546948</c:v>
                </c:pt>
                <c:pt idx="34">
                  <c:v>524808</c:v>
                </c:pt>
                <c:pt idx="35">
                  <c:v>508608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8-44B4-89F9-BC667AC6B485}"/>
            </c:ext>
          </c:extLst>
        </c:ser>
        <c:ser>
          <c:idx val="1"/>
          <c:order val="1"/>
          <c:tx>
            <c:strRef>
              <c:f>'Serras 45'!$F$29</c:f>
              <c:strCache>
                <c:ptCount val="1"/>
                <c:pt idx="0">
                  <c:v>Mt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'Serras 45'!$B$36:$B$59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</c:numCache>
            </c:numRef>
          </c:xVal>
          <c:yVal>
            <c:numRef>
              <c:f>'Serras 45'!$F$36:$F$59</c:f>
              <c:numCache>
                <c:formatCode>0.00</c:formatCode>
                <c:ptCount val="24"/>
                <c:pt idx="0">
                  <c:v>422886</c:v>
                </c:pt>
                <c:pt idx="1">
                  <c:v>426052.5</c:v>
                </c:pt>
                <c:pt idx="2">
                  <c:v>429763.5</c:v>
                </c:pt>
                <c:pt idx="3">
                  <c:v>433599</c:v>
                </c:pt>
                <c:pt idx="4">
                  <c:v>437397</c:v>
                </c:pt>
                <c:pt idx="5">
                  <c:v>440665.5</c:v>
                </c:pt>
                <c:pt idx="6">
                  <c:v>444661.5</c:v>
                </c:pt>
                <c:pt idx="7">
                  <c:v>449658</c:v>
                </c:pt>
                <c:pt idx="8">
                  <c:v>454249.5</c:v>
                </c:pt>
                <c:pt idx="9">
                  <c:v>458031</c:v>
                </c:pt>
                <c:pt idx="10">
                  <c:v>461851.5</c:v>
                </c:pt>
                <c:pt idx="11">
                  <c:v>466032</c:v>
                </c:pt>
                <c:pt idx="12">
                  <c:v>470052</c:v>
                </c:pt>
                <c:pt idx="13">
                  <c:v>473569.5</c:v>
                </c:pt>
                <c:pt idx="14">
                  <c:v>477175.5</c:v>
                </c:pt>
                <c:pt idx="15">
                  <c:v>481680</c:v>
                </c:pt>
                <c:pt idx="16">
                  <c:v>486981</c:v>
                </c:pt>
                <c:pt idx="17">
                  <c:v>491527.5</c:v>
                </c:pt>
                <c:pt idx="18">
                  <c:v>495712.5</c:v>
                </c:pt>
                <c:pt idx="19">
                  <c:v>500334</c:v>
                </c:pt>
                <c:pt idx="20">
                  <c:v>505200</c:v>
                </c:pt>
                <c:pt idx="21">
                  <c:v>510550.5</c:v>
                </c:pt>
                <c:pt idx="22">
                  <c:v>515811</c:v>
                </c:pt>
                <c:pt idx="23">
                  <c:v>520156.5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8-44B4-89F9-BC667AC6B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dt -</a:t>
            </a:r>
            <a:r>
              <a:rPr lang="pt-PT" baseline="0"/>
              <a:t> difference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'Serras 45'!$B$33:$B$50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'Serras 45'!$I$33:$I$50</c:f>
              <c:numCache>
                <c:formatCode>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-4530</c:v>
                </c:pt>
                <c:pt idx="4" formatCode="0.00">
                  <c:v>13363.5</c:v>
                </c:pt>
                <c:pt idx="5" formatCode="0.00">
                  <c:v>27724.5</c:v>
                </c:pt>
                <c:pt idx="6" formatCode="0.00">
                  <c:v>2073</c:v>
                </c:pt>
                <c:pt idx="7" formatCode="0.00">
                  <c:v>-19257</c:v>
                </c:pt>
                <c:pt idx="8" formatCode="0.00">
                  <c:v>-30013.5</c:v>
                </c:pt>
                <c:pt idx="9" formatCode="0.00">
                  <c:v>-56257.5</c:v>
                </c:pt>
                <c:pt idx="10" formatCode="0.00">
                  <c:v>-11754</c:v>
                </c:pt>
                <c:pt idx="11" formatCode="0.00">
                  <c:v>48238.5</c:v>
                </c:pt>
                <c:pt idx="12" formatCode="0.00">
                  <c:v>30381</c:v>
                </c:pt>
                <c:pt idx="13" formatCode="0.00">
                  <c:v>4708.5</c:v>
                </c:pt>
                <c:pt idx="14" formatCode="0.00">
                  <c:v>-21540</c:v>
                </c:pt>
                <c:pt idx="15" formatCode="0.00">
                  <c:v>4212</c:v>
                </c:pt>
                <c:pt idx="16" formatCode="0.00">
                  <c:v>29854.5</c:v>
                </c:pt>
                <c:pt idx="17" formatCode="0.00">
                  <c:v>26500.5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5-4746-B73A-AEA2BABE8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Carlson_Ad!$C$2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Carlson_Ad!$B$30:$B$77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Carlson_Ad!$C$30:$C$77</c:f>
              <c:numCache>
                <c:formatCode>General</c:formatCode>
                <c:ptCount val="48"/>
                <c:pt idx="0">
                  <c:v>1.71</c:v>
                </c:pt>
                <c:pt idx="1">
                  <c:v>1.9</c:v>
                </c:pt>
                <c:pt idx="2">
                  <c:v>2.74</c:v>
                </c:pt>
                <c:pt idx="3">
                  <c:v>4.2</c:v>
                </c:pt>
                <c:pt idx="4">
                  <c:v>1.45</c:v>
                </c:pt>
                <c:pt idx="5">
                  <c:v>1.8</c:v>
                </c:pt>
                <c:pt idx="6">
                  <c:v>2.0299999999999998</c:v>
                </c:pt>
                <c:pt idx="7">
                  <c:v>1.99</c:v>
                </c:pt>
                <c:pt idx="8">
                  <c:v>2.3199999999999998</c:v>
                </c:pt>
                <c:pt idx="9">
                  <c:v>2.2000000000000002</c:v>
                </c:pt>
                <c:pt idx="10">
                  <c:v>2.13</c:v>
                </c:pt>
                <c:pt idx="11">
                  <c:v>2.4300000000000002</c:v>
                </c:pt>
                <c:pt idx="12">
                  <c:v>1.9</c:v>
                </c:pt>
                <c:pt idx="13">
                  <c:v>2.13</c:v>
                </c:pt>
                <c:pt idx="14">
                  <c:v>2.56</c:v>
                </c:pt>
                <c:pt idx="15">
                  <c:v>4.16</c:v>
                </c:pt>
                <c:pt idx="16">
                  <c:v>2.31</c:v>
                </c:pt>
                <c:pt idx="17">
                  <c:v>1.89</c:v>
                </c:pt>
                <c:pt idx="18">
                  <c:v>2.02</c:v>
                </c:pt>
                <c:pt idx="19">
                  <c:v>2.23</c:v>
                </c:pt>
                <c:pt idx="20">
                  <c:v>2.39</c:v>
                </c:pt>
                <c:pt idx="21">
                  <c:v>2.14</c:v>
                </c:pt>
                <c:pt idx="22">
                  <c:v>2.27</c:v>
                </c:pt>
                <c:pt idx="23">
                  <c:v>2.21</c:v>
                </c:pt>
                <c:pt idx="24">
                  <c:v>1.89</c:v>
                </c:pt>
                <c:pt idx="25">
                  <c:v>2.29</c:v>
                </c:pt>
                <c:pt idx="26">
                  <c:v>2.83</c:v>
                </c:pt>
                <c:pt idx="27">
                  <c:v>4.04</c:v>
                </c:pt>
                <c:pt idx="28">
                  <c:v>2.31</c:v>
                </c:pt>
                <c:pt idx="29">
                  <c:v>1.99</c:v>
                </c:pt>
                <c:pt idx="30">
                  <c:v>2.42</c:v>
                </c:pt>
                <c:pt idx="31">
                  <c:v>2.4500000000000002</c:v>
                </c:pt>
                <c:pt idx="32">
                  <c:v>2.57</c:v>
                </c:pt>
                <c:pt idx="33">
                  <c:v>2.42</c:v>
                </c:pt>
                <c:pt idx="34">
                  <c:v>2.4</c:v>
                </c:pt>
                <c:pt idx="35">
                  <c:v>2.5</c:v>
                </c:pt>
                <c:pt idx="36">
                  <c:v>2.09</c:v>
                </c:pt>
                <c:pt idx="37">
                  <c:v>2.54</c:v>
                </c:pt>
                <c:pt idx="38">
                  <c:v>2.97</c:v>
                </c:pt>
                <c:pt idx="39">
                  <c:v>4.3499999999999996</c:v>
                </c:pt>
                <c:pt idx="40">
                  <c:v>2.56</c:v>
                </c:pt>
                <c:pt idx="41">
                  <c:v>2.2799999999999998</c:v>
                </c:pt>
                <c:pt idx="42">
                  <c:v>2.69</c:v>
                </c:pt>
                <c:pt idx="43">
                  <c:v>2.48</c:v>
                </c:pt>
                <c:pt idx="44">
                  <c:v>2.73</c:v>
                </c:pt>
                <c:pt idx="45">
                  <c:v>2.37</c:v>
                </c:pt>
                <c:pt idx="46">
                  <c:v>2.31</c:v>
                </c:pt>
                <c:pt idx="47">
                  <c:v>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D-4A8A-8975-726CCB236E93}"/>
            </c:ext>
          </c:extLst>
        </c:ser>
        <c:ser>
          <c:idx val="1"/>
          <c:order val="1"/>
          <c:tx>
            <c:v>Forecast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Carlson_Ad!$B$78:$B$81</c:f>
              <c:numCache>
                <c:formatCode>General</c:formatCode>
                <c:ptCount val="4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</c:numCache>
            </c:numRef>
          </c:xVal>
          <c:yVal>
            <c:numRef>
              <c:f>Carlson_Ad!$Q$78:$Q$81</c:f>
              <c:numCache>
                <c:formatCode>0.00</c:formatCode>
                <c:ptCount val="4"/>
                <c:pt idx="0">
                  <c:v>2.1344919484702096</c:v>
                </c:pt>
                <c:pt idx="1">
                  <c:v>2.4875333132045094</c:v>
                </c:pt>
                <c:pt idx="2">
                  <c:v>2.950713566827698</c:v>
                </c:pt>
                <c:pt idx="3">
                  <c:v>4.3483382648953306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8D-4A8A-8975-726CCB236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dt -</a:t>
            </a:r>
            <a:r>
              <a:rPr lang="pt-PT" baseline="0"/>
              <a:t> difference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Carlson_Ad!$B$36:$B$71</c:f>
              <c:numCache>
                <c:formatCode>General</c:formatCode>
                <c:ptCount val="3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</c:numCache>
            </c:numRef>
          </c:xVal>
          <c:yVal>
            <c:numRef>
              <c:f>Carlson_Ad!$I$36:$I$71</c:f>
              <c:numCache>
                <c:formatCode>0.00</c:formatCode>
                <c:ptCount val="36"/>
                <c:pt idx="0">
                  <c:v>-0.21958333333333346</c:v>
                </c:pt>
                <c:pt idx="1">
                  <c:v>-0.2770833333333329</c:v>
                </c:pt>
                <c:pt idx="2">
                  <c:v>5.083333333333373E-2</c:v>
                </c:pt>
                <c:pt idx="3">
                  <c:v>-5.9999999999999609E-2</c:v>
                </c:pt>
                <c:pt idx="4">
                  <c:v>-0.16416666666666657</c:v>
                </c:pt>
                <c:pt idx="5">
                  <c:v>9.6250000000000391E-2</c:v>
                </c:pt>
                <c:pt idx="6">
                  <c:v>-0.43708333333333327</c:v>
                </c:pt>
                <c:pt idx="7">
                  <c:v>-0.21666666666666679</c:v>
                </c:pt>
                <c:pt idx="8">
                  <c:v>0.20041666666666691</c:v>
                </c:pt>
                <c:pt idx="9">
                  <c:v>1.7999999999999998</c:v>
                </c:pt>
                <c:pt idx="10">
                  <c:v>-5.3333333333333233E-2</c:v>
                </c:pt>
                <c:pt idx="11">
                  <c:v>-0.47000000000000042</c:v>
                </c:pt>
                <c:pt idx="12">
                  <c:v>-0.3304166666666668</c:v>
                </c:pt>
                <c:pt idx="13">
                  <c:v>-0.12666666666666693</c:v>
                </c:pt>
                <c:pt idx="14">
                  <c:v>1.5416666666666412E-2</c:v>
                </c:pt>
                <c:pt idx="15">
                  <c:v>-0.24083333333333323</c:v>
                </c:pt>
                <c:pt idx="16">
                  <c:v>-0.10583333333333345</c:v>
                </c:pt>
                <c:pt idx="17">
                  <c:v>-0.16999999999999993</c:v>
                </c:pt>
                <c:pt idx="18">
                  <c:v>-0.51083333333333347</c:v>
                </c:pt>
                <c:pt idx="19">
                  <c:v>-0.13666666666666671</c:v>
                </c:pt>
                <c:pt idx="20">
                  <c:v>0.38666666666666671</c:v>
                </c:pt>
                <c:pt idx="21">
                  <c:v>1.5775000000000001</c:v>
                </c:pt>
                <c:pt idx="22">
                  <c:v>-0.1695833333333332</c:v>
                </c:pt>
                <c:pt idx="23">
                  <c:v>-0.50708333333333333</c:v>
                </c:pt>
                <c:pt idx="24">
                  <c:v>-9.7500000000000142E-2</c:v>
                </c:pt>
                <c:pt idx="25">
                  <c:v>-8.6249999999999716E-2</c:v>
                </c:pt>
                <c:pt idx="26">
                  <c:v>1.7500000000000071E-2</c:v>
                </c:pt>
                <c:pt idx="27">
                  <c:v>-0.15125000000000011</c:v>
                </c:pt>
                <c:pt idx="28">
                  <c:v>-0.19458333333333311</c:v>
                </c:pt>
                <c:pt idx="29">
                  <c:v>-0.11708333333333343</c:v>
                </c:pt>
                <c:pt idx="30">
                  <c:v>-0.550416666666667</c:v>
                </c:pt>
                <c:pt idx="31">
                  <c:v>-0.11291666666666655</c:v>
                </c:pt>
                <c:pt idx="32">
                  <c:v>0.30916666666666703</c:v>
                </c:pt>
                <c:pt idx="33">
                  <c:v>1.6845833333333329</c:v>
                </c:pt>
                <c:pt idx="34">
                  <c:v>-9.9583333333333357E-2</c:v>
                </c:pt>
                <c:pt idx="35">
                  <c:v>-0.36458333333333348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C-48B2-85DC-9EDAFE977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15231746482852E-2"/>
          <c:y val="7.4944623058588247E-2"/>
          <c:w val="0.88468907059430435"/>
          <c:h val="0.69290837174893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Carlson_Mult!$C$2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Carlson_Mult!$B$30:$B$113</c:f>
              <c:numCache>
                <c:formatCode>0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 formatCode="General">
                  <c:v>31</c:v>
                </c:pt>
                <c:pt idx="31" formatCode="General">
                  <c:v>32</c:v>
                </c:pt>
                <c:pt idx="32" formatCode="General">
                  <c:v>33</c:v>
                </c:pt>
                <c:pt idx="33" formatCode="General">
                  <c:v>34</c:v>
                </c:pt>
                <c:pt idx="34" formatCode="General">
                  <c:v>35</c:v>
                </c:pt>
                <c:pt idx="35">
                  <c:v>36</c:v>
                </c:pt>
                <c:pt idx="36" formatCode="General">
                  <c:v>37</c:v>
                </c:pt>
                <c:pt idx="37" formatCode="General">
                  <c:v>38</c:v>
                </c:pt>
                <c:pt idx="38" formatCode="General">
                  <c:v>39</c:v>
                </c:pt>
                <c:pt idx="39" formatCode="General">
                  <c:v>40</c:v>
                </c:pt>
                <c:pt idx="40" formatCode="General">
                  <c:v>41</c:v>
                </c:pt>
                <c:pt idx="41">
                  <c:v>42</c:v>
                </c:pt>
                <c:pt idx="42" formatCode="General">
                  <c:v>43</c:v>
                </c:pt>
                <c:pt idx="43" formatCode="General">
                  <c:v>44</c:v>
                </c:pt>
                <c:pt idx="44" formatCode="General">
                  <c:v>45</c:v>
                </c:pt>
                <c:pt idx="45" formatCode="General">
                  <c:v>46</c:v>
                </c:pt>
                <c:pt idx="46" formatCode="General">
                  <c:v>47</c:v>
                </c:pt>
                <c:pt idx="47">
                  <c:v>48</c:v>
                </c:pt>
                <c:pt idx="48" formatCode="General">
                  <c:v>49</c:v>
                </c:pt>
                <c:pt idx="49" formatCode="General">
                  <c:v>50</c:v>
                </c:pt>
                <c:pt idx="50" formatCode="General">
                  <c:v>51</c:v>
                </c:pt>
                <c:pt idx="51" formatCode="General">
                  <c:v>52</c:v>
                </c:pt>
              </c:numCache>
            </c:numRef>
          </c:xVal>
          <c:yVal>
            <c:numRef>
              <c:f>Carlson_Mult!$C$30:$C$113</c:f>
              <c:numCache>
                <c:formatCode>General</c:formatCode>
                <c:ptCount val="84"/>
                <c:pt idx="0">
                  <c:v>1.71</c:v>
                </c:pt>
                <c:pt idx="1">
                  <c:v>1.9</c:v>
                </c:pt>
                <c:pt idx="2">
                  <c:v>2.74</c:v>
                </c:pt>
                <c:pt idx="3">
                  <c:v>4.2</c:v>
                </c:pt>
                <c:pt idx="4">
                  <c:v>1.45</c:v>
                </c:pt>
                <c:pt idx="5">
                  <c:v>1.8</c:v>
                </c:pt>
                <c:pt idx="6">
                  <c:v>2.0299999999999998</c:v>
                </c:pt>
                <c:pt idx="7">
                  <c:v>1.99</c:v>
                </c:pt>
                <c:pt idx="8">
                  <c:v>2.3199999999999998</c:v>
                </c:pt>
                <c:pt idx="9">
                  <c:v>2.2000000000000002</c:v>
                </c:pt>
                <c:pt idx="10">
                  <c:v>2.13</c:v>
                </c:pt>
                <c:pt idx="11">
                  <c:v>2.4300000000000002</c:v>
                </c:pt>
                <c:pt idx="12">
                  <c:v>1.9</c:v>
                </c:pt>
                <c:pt idx="13">
                  <c:v>2.13</c:v>
                </c:pt>
                <c:pt idx="14">
                  <c:v>2.56</c:v>
                </c:pt>
                <c:pt idx="15">
                  <c:v>4.16</c:v>
                </c:pt>
                <c:pt idx="16">
                  <c:v>2.31</c:v>
                </c:pt>
                <c:pt idx="17">
                  <c:v>1.89</c:v>
                </c:pt>
                <c:pt idx="18">
                  <c:v>2.02</c:v>
                </c:pt>
                <c:pt idx="19">
                  <c:v>2.23</c:v>
                </c:pt>
                <c:pt idx="20">
                  <c:v>2.39</c:v>
                </c:pt>
                <c:pt idx="21">
                  <c:v>2.14</c:v>
                </c:pt>
                <c:pt idx="22">
                  <c:v>2.27</c:v>
                </c:pt>
                <c:pt idx="23">
                  <c:v>2.21</c:v>
                </c:pt>
                <c:pt idx="24">
                  <c:v>1.89</c:v>
                </c:pt>
                <c:pt idx="25">
                  <c:v>2.29</c:v>
                </c:pt>
                <c:pt idx="26">
                  <c:v>2.83</c:v>
                </c:pt>
                <c:pt idx="27">
                  <c:v>4.04</c:v>
                </c:pt>
                <c:pt idx="28">
                  <c:v>2.31</c:v>
                </c:pt>
                <c:pt idx="29">
                  <c:v>1.99</c:v>
                </c:pt>
                <c:pt idx="30">
                  <c:v>2.42</c:v>
                </c:pt>
                <c:pt idx="31">
                  <c:v>2.4500000000000002</c:v>
                </c:pt>
                <c:pt idx="32">
                  <c:v>2.57</c:v>
                </c:pt>
                <c:pt idx="33">
                  <c:v>2.42</c:v>
                </c:pt>
                <c:pt idx="34">
                  <c:v>2.4</c:v>
                </c:pt>
                <c:pt idx="35">
                  <c:v>2.5</c:v>
                </c:pt>
                <c:pt idx="36">
                  <c:v>2.09</c:v>
                </c:pt>
                <c:pt idx="37">
                  <c:v>2.54</c:v>
                </c:pt>
                <c:pt idx="38">
                  <c:v>2.97</c:v>
                </c:pt>
                <c:pt idx="39">
                  <c:v>4.3499999999999996</c:v>
                </c:pt>
                <c:pt idx="40">
                  <c:v>2.56</c:v>
                </c:pt>
                <c:pt idx="41">
                  <c:v>2.2799999999999998</c:v>
                </c:pt>
                <c:pt idx="42">
                  <c:v>2.69</c:v>
                </c:pt>
                <c:pt idx="43">
                  <c:v>2.48</c:v>
                </c:pt>
                <c:pt idx="44">
                  <c:v>2.73</c:v>
                </c:pt>
                <c:pt idx="45">
                  <c:v>2.37</c:v>
                </c:pt>
                <c:pt idx="46">
                  <c:v>2.31</c:v>
                </c:pt>
                <c:pt idx="47">
                  <c:v>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2-41BE-B7F2-DDA9258860A1}"/>
            </c:ext>
          </c:extLst>
        </c:ser>
        <c:ser>
          <c:idx val="1"/>
          <c:order val="1"/>
          <c:tx>
            <c:strRef>
              <c:f>Carlson_Mult!$F$29</c:f>
              <c:strCache>
                <c:ptCount val="1"/>
                <c:pt idx="0">
                  <c:v>Mt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Carlson_Mult!$B$36:$B$107</c:f>
              <c:numCache>
                <c:formatCode>0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 formatCode="General">
                  <c:v>31</c:v>
                </c:pt>
                <c:pt idx="25" formatCode="General">
                  <c:v>32</c:v>
                </c:pt>
                <c:pt idx="26" formatCode="General">
                  <c:v>33</c:v>
                </c:pt>
                <c:pt idx="27" formatCode="General">
                  <c:v>34</c:v>
                </c:pt>
                <c:pt idx="28" formatCode="General">
                  <c:v>35</c:v>
                </c:pt>
                <c:pt idx="29">
                  <c:v>36</c:v>
                </c:pt>
                <c:pt idx="30" formatCode="General">
                  <c:v>37</c:v>
                </c:pt>
                <c:pt idx="31" formatCode="General">
                  <c:v>38</c:v>
                </c:pt>
                <c:pt idx="32" formatCode="General">
                  <c:v>39</c:v>
                </c:pt>
                <c:pt idx="33" formatCode="General">
                  <c:v>40</c:v>
                </c:pt>
                <c:pt idx="34" formatCode="General">
                  <c:v>41</c:v>
                </c:pt>
                <c:pt idx="35">
                  <c:v>42</c:v>
                </c:pt>
                <c:pt idx="36" formatCode="General">
                  <c:v>43</c:v>
                </c:pt>
                <c:pt idx="37" formatCode="General">
                  <c:v>44</c:v>
                </c:pt>
                <c:pt idx="38" formatCode="General">
                  <c:v>45</c:v>
                </c:pt>
                <c:pt idx="39" formatCode="General">
                  <c:v>46</c:v>
                </c:pt>
                <c:pt idx="40" formatCode="General">
                  <c:v>47</c:v>
                </c:pt>
                <c:pt idx="41">
                  <c:v>48</c:v>
                </c:pt>
                <c:pt idx="42" formatCode="General">
                  <c:v>49</c:v>
                </c:pt>
                <c:pt idx="43" formatCode="General">
                  <c:v>50</c:v>
                </c:pt>
                <c:pt idx="44" formatCode="General">
                  <c:v>51</c:v>
                </c:pt>
                <c:pt idx="45" formatCode="General">
                  <c:v>52</c:v>
                </c:pt>
              </c:numCache>
            </c:numRef>
          </c:xVal>
          <c:yVal>
            <c:numRef>
              <c:f>Carlson_Mult!$F$36:$F$107</c:f>
              <c:numCache>
                <c:formatCode>0.00</c:formatCode>
                <c:ptCount val="72"/>
                <c:pt idx="0">
                  <c:v>2.2495833333333333</c:v>
                </c:pt>
                <c:pt idx="1">
                  <c:v>2.2670833333333329</c:v>
                </c:pt>
                <c:pt idx="2">
                  <c:v>2.2691666666666661</c:v>
                </c:pt>
                <c:pt idx="3">
                  <c:v>2.2599999999999998</c:v>
                </c:pt>
                <c:pt idx="4">
                  <c:v>2.2941666666666665</c:v>
                </c:pt>
                <c:pt idx="5">
                  <c:v>2.3337499999999998</c:v>
                </c:pt>
                <c:pt idx="6">
                  <c:v>2.3370833333333332</c:v>
                </c:pt>
                <c:pt idx="7">
                  <c:v>2.3466666666666667</c:v>
                </c:pt>
                <c:pt idx="8">
                  <c:v>2.3595833333333331</c:v>
                </c:pt>
                <c:pt idx="9">
                  <c:v>2.3600000000000003</c:v>
                </c:pt>
                <c:pt idx="10">
                  <c:v>2.3633333333333333</c:v>
                </c:pt>
                <c:pt idx="11">
                  <c:v>2.3600000000000003</c:v>
                </c:pt>
                <c:pt idx="12">
                  <c:v>2.3504166666666668</c:v>
                </c:pt>
                <c:pt idx="13">
                  <c:v>2.3566666666666669</c:v>
                </c:pt>
                <c:pt idx="14">
                  <c:v>2.3745833333333337</c:v>
                </c:pt>
                <c:pt idx="15">
                  <c:v>2.3808333333333334</c:v>
                </c:pt>
                <c:pt idx="16">
                  <c:v>2.3758333333333335</c:v>
                </c:pt>
                <c:pt idx="17">
                  <c:v>2.38</c:v>
                </c:pt>
                <c:pt idx="18">
                  <c:v>2.4008333333333334</c:v>
                </c:pt>
                <c:pt idx="19">
                  <c:v>2.4266666666666667</c:v>
                </c:pt>
                <c:pt idx="20">
                  <c:v>2.4433333333333334</c:v>
                </c:pt>
                <c:pt idx="21">
                  <c:v>2.4624999999999999</c:v>
                </c:pt>
                <c:pt idx="22">
                  <c:v>2.4795833333333333</c:v>
                </c:pt>
                <c:pt idx="23">
                  <c:v>2.4970833333333333</c:v>
                </c:pt>
                <c:pt idx="24">
                  <c:v>2.5175000000000001</c:v>
                </c:pt>
                <c:pt idx="25">
                  <c:v>2.5362499999999999</c:v>
                </c:pt>
                <c:pt idx="26">
                  <c:v>2.5524999999999998</c:v>
                </c:pt>
                <c:pt idx="27">
                  <c:v>2.57125</c:v>
                </c:pt>
                <c:pt idx="28">
                  <c:v>2.594583333333333</c:v>
                </c:pt>
                <c:pt idx="29">
                  <c:v>2.6170833333333334</c:v>
                </c:pt>
                <c:pt idx="30">
                  <c:v>2.6404166666666669</c:v>
                </c:pt>
                <c:pt idx="31">
                  <c:v>2.6529166666666666</c:v>
                </c:pt>
                <c:pt idx="32">
                  <c:v>2.6608333333333332</c:v>
                </c:pt>
                <c:pt idx="33">
                  <c:v>2.6654166666666668</c:v>
                </c:pt>
                <c:pt idx="34">
                  <c:v>2.6595833333333334</c:v>
                </c:pt>
                <c:pt idx="35">
                  <c:v>2.6445833333333333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2-41BE-B7F2-DDA92588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067456"/>
        <c:axId val="1249067872"/>
      </c:scatterChart>
      <c:valAx>
        <c:axId val="12490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872"/>
        <c:crosses val="autoZero"/>
        <c:crossBetween val="midCat"/>
      </c:valAx>
      <c:valAx>
        <c:axId val="12490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90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rt -</a:t>
            </a:r>
            <a:r>
              <a:rPr lang="pt-PT" baseline="0"/>
              <a:t> ratio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Carlson_Mult!$I$29</c:f>
              <c:strCache>
                <c:ptCount val="1"/>
                <c:pt idx="0">
                  <c:v>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Carlson_Mult!$B$36:$B$107</c:f>
              <c:numCache>
                <c:formatCode>0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 formatCode="General">
                  <c:v>31</c:v>
                </c:pt>
                <c:pt idx="25" formatCode="General">
                  <c:v>32</c:v>
                </c:pt>
                <c:pt idx="26" formatCode="General">
                  <c:v>33</c:v>
                </c:pt>
                <c:pt idx="27" formatCode="General">
                  <c:v>34</c:v>
                </c:pt>
                <c:pt idx="28" formatCode="General">
                  <c:v>35</c:v>
                </c:pt>
                <c:pt idx="29">
                  <c:v>36</c:v>
                </c:pt>
                <c:pt idx="30" formatCode="General">
                  <c:v>37</c:v>
                </c:pt>
                <c:pt idx="31" formatCode="General">
                  <c:v>38</c:v>
                </c:pt>
                <c:pt idx="32" formatCode="General">
                  <c:v>39</c:v>
                </c:pt>
                <c:pt idx="33" formatCode="General">
                  <c:v>40</c:v>
                </c:pt>
                <c:pt idx="34" formatCode="General">
                  <c:v>41</c:v>
                </c:pt>
                <c:pt idx="35">
                  <c:v>42</c:v>
                </c:pt>
                <c:pt idx="36" formatCode="General">
                  <c:v>43</c:v>
                </c:pt>
                <c:pt idx="37" formatCode="General">
                  <c:v>44</c:v>
                </c:pt>
                <c:pt idx="38" formatCode="General">
                  <c:v>45</c:v>
                </c:pt>
                <c:pt idx="39" formatCode="General">
                  <c:v>46</c:v>
                </c:pt>
                <c:pt idx="40" formatCode="General">
                  <c:v>47</c:v>
                </c:pt>
                <c:pt idx="41">
                  <c:v>48</c:v>
                </c:pt>
                <c:pt idx="42" formatCode="General">
                  <c:v>49</c:v>
                </c:pt>
                <c:pt idx="43" formatCode="General">
                  <c:v>50</c:v>
                </c:pt>
                <c:pt idx="44" formatCode="General">
                  <c:v>51</c:v>
                </c:pt>
                <c:pt idx="45" formatCode="General">
                  <c:v>52</c:v>
                </c:pt>
              </c:numCache>
            </c:numRef>
          </c:xVal>
          <c:yVal>
            <c:numRef>
              <c:f>Carlson_Mult!$I$36:$I$107</c:f>
              <c:numCache>
                <c:formatCode>0.00</c:formatCode>
                <c:ptCount val="72"/>
                <c:pt idx="0">
                  <c:v>0.90238933135765875</c:v>
                </c:pt>
                <c:pt idx="1">
                  <c:v>0.87777981988605047</c:v>
                </c:pt>
                <c:pt idx="2">
                  <c:v>1.0224017627616602</c:v>
                </c:pt>
                <c:pt idx="3">
                  <c:v>0.9734513274336285</c:v>
                </c:pt>
                <c:pt idx="4">
                  <c:v>0.92844169996367598</c:v>
                </c:pt>
                <c:pt idx="5">
                  <c:v>1.0412426352437067</c:v>
                </c:pt>
                <c:pt idx="6">
                  <c:v>0.81297914066678556</c:v>
                </c:pt>
                <c:pt idx="7">
                  <c:v>0.90767045454545447</c:v>
                </c:pt>
                <c:pt idx="8">
                  <c:v>1.0849373123785979</c:v>
                </c:pt>
                <c:pt idx="9">
                  <c:v>1.7627118644067794</c:v>
                </c:pt>
                <c:pt idx="10">
                  <c:v>0.97743300423131174</c:v>
                </c:pt>
                <c:pt idx="11">
                  <c:v>0.80084745762711851</c:v>
                </c:pt>
                <c:pt idx="12">
                  <c:v>0.85942208828221944</c:v>
                </c:pt>
                <c:pt idx="13">
                  <c:v>0.94625176803394617</c:v>
                </c:pt>
                <c:pt idx="14">
                  <c:v>1.0064923670819441</c:v>
                </c:pt>
                <c:pt idx="15">
                  <c:v>0.89884494224711242</c:v>
                </c:pt>
                <c:pt idx="16">
                  <c:v>0.95545422658716239</c:v>
                </c:pt>
                <c:pt idx="17">
                  <c:v>0.9285714285714286</c:v>
                </c:pt>
                <c:pt idx="18">
                  <c:v>0.78722665741062126</c:v>
                </c:pt>
                <c:pt idx="19">
                  <c:v>0.94368131868131866</c:v>
                </c:pt>
                <c:pt idx="20">
                  <c:v>1.1582537517053206</c:v>
                </c:pt>
                <c:pt idx="21">
                  <c:v>1.6406091370558376</c:v>
                </c:pt>
                <c:pt idx="22">
                  <c:v>0.93160813308687618</c:v>
                </c:pt>
                <c:pt idx="23">
                  <c:v>0.79692975137660604</c:v>
                </c:pt>
                <c:pt idx="24">
                  <c:v>0.96127110228401191</c:v>
                </c:pt>
                <c:pt idx="25">
                  <c:v>0.96599310004928551</c:v>
                </c:pt>
                <c:pt idx="26">
                  <c:v>1.0068560235063664</c:v>
                </c:pt>
                <c:pt idx="27">
                  <c:v>0.94117647058823528</c:v>
                </c:pt>
                <c:pt idx="28">
                  <c:v>0.92500401477436978</c:v>
                </c:pt>
                <c:pt idx="29">
                  <c:v>0.95526190097118291</c:v>
                </c:pt>
                <c:pt idx="30">
                  <c:v>0.79154173899321434</c:v>
                </c:pt>
                <c:pt idx="31">
                  <c:v>0.95743678341448091</c:v>
                </c:pt>
                <c:pt idx="32">
                  <c:v>1.1161916692765426</c:v>
                </c:pt>
                <c:pt idx="33">
                  <c:v>1.6320150070345472</c:v>
                </c:pt>
                <c:pt idx="34">
                  <c:v>0.96255679147736173</c:v>
                </c:pt>
                <c:pt idx="35">
                  <c:v>0.86213959350874425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5-4902-900B-3E087A82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87664"/>
        <c:axId val="1250388080"/>
      </c:scatterChart>
      <c:valAx>
        <c:axId val="12503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8080"/>
        <c:crosses val="autoZero"/>
        <c:crossBetween val="midCat"/>
      </c:valAx>
      <c:valAx>
        <c:axId val="125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03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.png"/><Relationship Id="rId1" Type="http://schemas.openxmlformats.org/officeDocument/2006/relationships/chart" Target="../charts/chart6.xml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1.png"/><Relationship Id="rId1" Type="http://schemas.openxmlformats.org/officeDocument/2006/relationships/chart" Target="../charts/chart1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6B047-E529-42F5-BD7D-AC8C182BF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525780</xdr:colOff>
      <xdr:row>23</xdr:row>
      <xdr:rowOff>97095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FD98B-08D1-4FDE-A0AA-CACA253A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" y="3413760"/>
          <a:ext cx="1630680" cy="1283910"/>
        </a:xfrm>
        <a:prstGeom prst="rect">
          <a:avLst/>
        </a:prstGeom>
      </xdr:spPr>
    </xdr:pic>
    <xdr:clientData/>
  </xdr:twoCellAnchor>
  <xdr:twoCellAnchor editAs="oneCell">
    <xdr:from>
      <xdr:col>5</xdr:col>
      <xdr:colOff>449580</xdr:colOff>
      <xdr:row>17</xdr:row>
      <xdr:rowOff>5715</xdr:rowOff>
    </xdr:from>
    <xdr:to>
      <xdr:col>11</xdr:col>
      <xdr:colOff>7620</xdr:colOff>
      <xdr:row>23</xdr:row>
      <xdr:rowOff>52383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7C603E-D261-4BCB-A412-B1402F7FE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60" y="3388995"/>
          <a:ext cx="3223260" cy="1263963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5EFC82-6FA1-4141-B695-0A0558BE9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52762-1042-4816-8F79-15AAB4FF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525780</xdr:colOff>
      <xdr:row>23</xdr:row>
      <xdr:rowOff>97095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FA1AB-F941-443B-B726-D59FF21E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" y="3421380"/>
          <a:ext cx="1630680" cy="1283910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F3A0F2-8681-4106-9B15-C7E204044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0</xdr:colOff>
      <xdr:row>17</xdr:row>
      <xdr:rowOff>0</xdr:rowOff>
    </xdr:from>
    <xdr:to>
      <xdr:col>10</xdr:col>
      <xdr:colOff>426720</xdr:colOff>
      <xdr:row>23</xdr:row>
      <xdr:rowOff>124527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77FFB6-AE20-0E36-C2AA-02617CAFF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3390900"/>
          <a:ext cx="2865120" cy="13418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14</xdr:row>
      <xdr:rowOff>140970</xdr:rowOff>
    </xdr:from>
    <xdr:to>
      <xdr:col>7</xdr:col>
      <xdr:colOff>137160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44AE9-16A4-BE1E-C97F-203D41512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0925D-D99C-46A0-91C0-E8B338645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510540</xdr:colOff>
      <xdr:row>23</xdr:row>
      <xdr:rowOff>97095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46DBD-52D9-4E16-AF5C-9B0F887BC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" y="3421380"/>
          <a:ext cx="1630680" cy="1283910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E4A60-526D-435E-BD36-1F7827033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0</xdr:colOff>
      <xdr:row>17</xdr:row>
      <xdr:rowOff>0</xdr:rowOff>
    </xdr:from>
    <xdr:to>
      <xdr:col>10</xdr:col>
      <xdr:colOff>396240</xdr:colOff>
      <xdr:row>23</xdr:row>
      <xdr:rowOff>124527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244E8-2FFA-4CA2-9E63-5824CA6B5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3390900"/>
          <a:ext cx="2865120" cy="13418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F17AD-A7EC-40AF-BE6C-B9AE7FED5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388620</xdr:colOff>
      <xdr:row>23</xdr:row>
      <xdr:rowOff>97095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98FBF-0715-47D8-ACAD-D24EB5BE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" y="3413760"/>
          <a:ext cx="1630680" cy="1255335"/>
        </a:xfrm>
        <a:prstGeom prst="rect">
          <a:avLst/>
        </a:prstGeom>
      </xdr:spPr>
    </xdr:pic>
    <xdr:clientData/>
  </xdr:twoCellAnchor>
  <xdr:twoCellAnchor editAs="oneCell">
    <xdr:from>
      <xdr:col>5</xdr:col>
      <xdr:colOff>449580</xdr:colOff>
      <xdr:row>17</xdr:row>
      <xdr:rowOff>5715</xdr:rowOff>
    </xdr:from>
    <xdr:to>
      <xdr:col>9</xdr:col>
      <xdr:colOff>670560</xdr:colOff>
      <xdr:row>23</xdr:row>
      <xdr:rowOff>52383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5BC643-6B74-49BA-A343-BD5D501D2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60" y="3388995"/>
          <a:ext cx="3223260" cy="1235388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9EFAB-35F0-4627-A7B7-06C7C7F4E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0C7EE-E43C-4C06-86DC-55FDD7161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388620</xdr:colOff>
      <xdr:row>23</xdr:row>
      <xdr:rowOff>97095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699F67-2923-417D-B1C6-69174508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0220" y="3436620"/>
          <a:ext cx="1630680" cy="1255335"/>
        </a:xfrm>
        <a:prstGeom prst="rect">
          <a:avLst/>
        </a:prstGeom>
      </xdr:spPr>
    </xdr:pic>
    <xdr:clientData/>
  </xdr:twoCellAnchor>
  <xdr:twoCellAnchor editAs="oneCell">
    <xdr:from>
      <xdr:col>5</xdr:col>
      <xdr:colOff>449580</xdr:colOff>
      <xdr:row>17</xdr:row>
      <xdr:rowOff>5715</xdr:rowOff>
    </xdr:from>
    <xdr:to>
      <xdr:col>9</xdr:col>
      <xdr:colOff>670560</xdr:colOff>
      <xdr:row>23</xdr:row>
      <xdr:rowOff>52383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B0125-290D-4CEA-B132-DA0E46CB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1860" y="3411855"/>
          <a:ext cx="3223260" cy="1235388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158E7B-040F-4CE9-A425-07745FD16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71437</xdr:rowOff>
    </xdr:from>
    <xdr:to>
      <xdr:col>11</xdr:col>
      <xdr:colOff>200025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24F7E-CD02-4E26-B8FC-DF24EC82C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190500</xdr:colOff>
      <xdr:row>17</xdr:row>
      <xdr:rowOff>30480</xdr:rowOff>
    </xdr:from>
    <xdr:to>
      <xdr:col>5</xdr:col>
      <xdr:colOff>510540</xdr:colOff>
      <xdr:row>23</xdr:row>
      <xdr:rowOff>97096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9028D0-B403-417E-908D-03DF428B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" y="3573780"/>
          <a:ext cx="1630680" cy="1255335"/>
        </a:xfrm>
        <a:prstGeom prst="rect">
          <a:avLst/>
        </a:prstGeom>
      </xdr:spPr>
    </xdr:pic>
    <xdr:clientData/>
  </xdr:twoCellAnchor>
  <xdr:twoCellAnchor>
    <xdr:from>
      <xdr:col>11</xdr:col>
      <xdr:colOff>272415</xdr:colOff>
      <xdr:row>1</xdr:row>
      <xdr:rowOff>63817</xdr:rowOff>
    </xdr:from>
    <xdr:to>
      <xdr:col>18</xdr:col>
      <xdr:colOff>356235</xdr:colOff>
      <xdr:row>10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10F20B-CDB9-4D2D-AA7D-1E071E81D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0</xdr:colOff>
      <xdr:row>17</xdr:row>
      <xdr:rowOff>0</xdr:rowOff>
    </xdr:from>
    <xdr:to>
      <xdr:col>10</xdr:col>
      <xdr:colOff>396240</xdr:colOff>
      <xdr:row>23</xdr:row>
      <xdr:rowOff>124528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29F9A2-96BD-42CF-9C07-45EC6559E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9460" y="3543300"/>
          <a:ext cx="2865120" cy="1313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59"/>
  <sheetViews>
    <sheetView topLeftCell="A22" workbookViewId="0">
      <selection activeCell="R22" sqref="R22"/>
    </sheetView>
  </sheetViews>
  <sheetFormatPr defaultRowHeight="14.4" x14ac:dyDescent="0.3"/>
  <cols>
    <col min="2" max="2" width="4.6640625" customWidth="1"/>
    <col min="3" max="3" width="6.33203125" customWidth="1"/>
    <col min="4" max="5" width="9.44140625" bestFit="1" customWidth="1"/>
    <col min="6" max="6" width="9" bestFit="1" customWidth="1"/>
    <col min="12" max="12" width="11" customWidth="1"/>
    <col min="17" max="17" width="10.6640625" customWidth="1"/>
    <col min="22" max="22" width="10.44140625" customWidth="1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</row>
    <row r="3" spans="2:25" ht="15.6" x14ac:dyDescent="0.3">
      <c r="B3" s="4">
        <v>1</v>
      </c>
      <c r="C3" s="4">
        <v>125</v>
      </c>
    </row>
    <row r="4" spans="2:25" ht="15.6" x14ac:dyDescent="0.3">
      <c r="B4" s="4">
        <v>2</v>
      </c>
      <c r="C4" s="4">
        <v>111</v>
      </c>
    </row>
    <row r="5" spans="2:25" ht="15.6" x14ac:dyDescent="0.3">
      <c r="B5" s="4">
        <v>3</v>
      </c>
      <c r="C5" s="4">
        <v>126</v>
      </c>
    </row>
    <row r="6" spans="2:25" ht="15.6" x14ac:dyDescent="0.3">
      <c r="B6" s="4">
        <v>4</v>
      </c>
      <c r="C6" s="4">
        <v>107</v>
      </c>
    </row>
    <row r="7" spans="2:25" ht="15.6" x14ac:dyDescent="0.3">
      <c r="B7" s="4">
        <v>5</v>
      </c>
      <c r="C7" s="4">
        <v>95</v>
      </c>
    </row>
    <row r="8" spans="2:25" ht="15.6" x14ac:dyDescent="0.3">
      <c r="B8" s="4">
        <v>6</v>
      </c>
      <c r="C8" s="4">
        <v>138</v>
      </c>
      <c r="T8" s="119" t="s">
        <v>2</v>
      </c>
      <c r="U8" s="120"/>
    </row>
    <row r="9" spans="2:25" ht="15.6" x14ac:dyDescent="0.3">
      <c r="B9" s="4">
        <v>7</v>
      </c>
      <c r="C9" s="4">
        <v>156</v>
      </c>
      <c r="T9" s="121"/>
      <c r="U9" s="122"/>
    </row>
    <row r="10" spans="2:25" ht="15.6" x14ac:dyDescent="0.3">
      <c r="B10" s="4">
        <v>8</v>
      </c>
      <c r="C10" s="4">
        <v>142</v>
      </c>
      <c r="T10" s="37" t="s">
        <v>3</v>
      </c>
      <c r="U10" s="38">
        <f>AVERAGE(R30:R53)</f>
        <v>1.3888888888894613E-2</v>
      </c>
    </row>
    <row r="11" spans="2:25" ht="15.6" x14ac:dyDescent="0.3">
      <c r="B11" s="4">
        <v>9</v>
      </c>
      <c r="C11" s="4">
        <v>157</v>
      </c>
      <c r="T11" s="37" t="s">
        <v>4</v>
      </c>
      <c r="U11" s="39" cm="1">
        <f t="array" ref="U11">AVERAGE(ABS(R30:R53))</f>
        <v>0.910105635821577</v>
      </c>
    </row>
    <row r="12" spans="2:25" ht="15.6" x14ac:dyDescent="0.3">
      <c r="B12" s="4">
        <v>10</v>
      </c>
      <c r="C12" s="4">
        <v>137</v>
      </c>
      <c r="E12" s="124" t="s">
        <v>5</v>
      </c>
      <c r="F12" s="124"/>
      <c r="G12" s="124"/>
      <c r="H12" s="124"/>
      <c r="I12" s="124"/>
      <c r="J12" s="124"/>
      <c r="K12" s="124"/>
      <c r="M12" s="127" t="s">
        <v>6</v>
      </c>
      <c r="N12" s="127"/>
      <c r="O12" s="127"/>
      <c r="P12" s="127"/>
      <c r="Q12" s="127"/>
      <c r="R12" s="127"/>
      <c r="S12" s="127"/>
      <c r="T12" s="40" t="s">
        <v>7</v>
      </c>
      <c r="U12" s="41">
        <f>AVERAGE(S30:S53)</f>
        <v>5.5060264247762886E-3</v>
      </c>
    </row>
    <row r="13" spans="2:25" ht="15.6" customHeight="1" x14ac:dyDescent="0.3">
      <c r="B13" s="4">
        <v>11</v>
      </c>
      <c r="C13" s="4">
        <v>126</v>
      </c>
      <c r="E13" s="123" t="s">
        <v>8</v>
      </c>
      <c r="F13" s="123"/>
      <c r="G13" s="123"/>
      <c r="H13" s="123"/>
      <c r="I13" s="123"/>
      <c r="J13" s="123"/>
      <c r="K13" s="123"/>
      <c r="M13" s="127"/>
      <c r="N13" s="127"/>
      <c r="O13" s="127"/>
      <c r="P13" s="127"/>
      <c r="Q13" s="127"/>
      <c r="R13" s="127"/>
      <c r="S13" s="127"/>
      <c r="T13" t="s">
        <v>9</v>
      </c>
      <c r="U13" t="s">
        <v>10</v>
      </c>
    </row>
    <row r="14" spans="2:25" ht="15.6" x14ac:dyDescent="0.3">
      <c r="B14" s="4">
        <v>12</v>
      </c>
      <c r="C14" s="4">
        <v>171</v>
      </c>
      <c r="E14" s="123"/>
      <c r="F14" s="123"/>
      <c r="G14" s="123"/>
      <c r="H14" s="123"/>
      <c r="I14" s="123"/>
      <c r="J14" s="123"/>
      <c r="K14" s="123"/>
    </row>
    <row r="15" spans="2:25" ht="15.6" x14ac:dyDescent="0.3">
      <c r="B15" s="4">
        <v>13</v>
      </c>
      <c r="C15" s="4">
        <v>183</v>
      </c>
      <c r="E15" s="123"/>
      <c r="F15" s="123"/>
      <c r="G15" s="123"/>
      <c r="H15" s="123"/>
      <c r="I15" s="123"/>
      <c r="J15" s="123"/>
      <c r="K15" s="123"/>
    </row>
    <row r="16" spans="2:25" ht="15.75" customHeight="1" x14ac:dyDescent="0.3">
      <c r="B16" s="4">
        <v>14</v>
      </c>
      <c r="C16" s="4">
        <v>172</v>
      </c>
      <c r="E16" s="123"/>
      <c r="F16" s="123"/>
      <c r="G16" s="123"/>
      <c r="H16" s="123"/>
      <c r="I16" s="123"/>
      <c r="J16" s="123"/>
      <c r="K16" s="123"/>
      <c r="Q16" s="128" t="s">
        <v>11</v>
      </c>
      <c r="R16" s="129"/>
      <c r="S16" s="129"/>
      <c r="T16" s="130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3"/>
      <c r="F17" s="123"/>
      <c r="G17" s="123"/>
      <c r="H17" s="123"/>
      <c r="I17" s="123"/>
      <c r="J17" s="123"/>
      <c r="K17" s="123"/>
      <c r="Q17" s="131" t="s">
        <v>12</v>
      </c>
      <c r="R17" s="132"/>
      <c r="S17" s="132"/>
      <c r="T17" s="133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28"/>
      <c r="J18" s="28"/>
      <c r="L18" s="126" t="s">
        <v>14</v>
      </c>
      <c r="M18" s="126"/>
      <c r="N18" s="126"/>
      <c r="O18" s="126"/>
      <c r="Q18" s="131"/>
      <c r="R18" s="132"/>
      <c r="S18" s="132"/>
      <c r="T18" s="133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28"/>
      <c r="J19" s="28"/>
      <c r="L19" s="126"/>
      <c r="M19" s="126"/>
      <c r="N19" s="126"/>
      <c r="O19" s="126"/>
      <c r="Q19" s="32" t="s">
        <v>15</v>
      </c>
      <c r="R19" s="138" t="s">
        <v>16</v>
      </c>
      <c r="S19" s="139"/>
      <c r="T19" s="140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19</v>
      </c>
      <c r="M20" s="125"/>
      <c r="N20" s="125"/>
      <c r="O20" s="125"/>
      <c r="Q20" s="32" t="s">
        <v>20</v>
      </c>
      <c r="R20" s="141"/>
      <c r="S20" s="142"/>
      <c r="T20" s="143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33" t="s">
        <v>22</v>
      </c>
      <c r="R21" s="43">
        <f>COUNT(P33:P50)</f>
        <v>18</v>
      </c>
      <c r="S21" s="134"/>
      <c r="T21" s="135"/>
      <c r="V21" s="98" t="s">
        <v>23</v>
      </c>
      <c r="W21" s="95">
        <f>CORREL(P33:P49,P34:P50)</f>
        <v>-0.16826525162724507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33" t="s">
        <v>24</v>
      </c>
      <c r="R22" s="19">
        <f>AVERAGE(P30:P59)</f>
        <v>1.3888888888891948E-2</v>
      </c>
      <c r="S22" s="134"/>
      <c r="T22" s="135"/>
      <c r="V22" s="98" t="s">
        <v>25</v>
      </c>
      <c r="W22" s="95">
        <f>(W21)/(1/SQRT(R21))</f>
        <v>-0.71388900278211431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33" t="s">
        <v>26</v>
      </c>
      <c r="R23" s="19">
        <f>_xlfn.STDEV.S(P30:P59)</f>
        <v>1.1963998282428872</v>
      </c>
      <c r="S23" s="134"/>
      <c r="T23" s="135"/>
      <c r="V23" s="99" t="s">
        <v>27</v>
      </c>
      <c r="W23" s="96">
        <v>0.05</v>
      </c>
      <c r="X23" s="113"/>
      <c r="Y23" s="114"/>
    </row>
    <row r="24" spans="2:25" ht="15.6" x14ac:dyDescent="0.3">
      <c r="B24" s="4">
        <v>22</v>
      </c>
      <c r="C24" s="4">
        <v>196</v>
      </c>
      <c r="L24" s="125"/>
      <c r="M24" s="125"/>
      <c r="N24" s="125"/>
      <c r="O24" s="125"/>
      <c r="Q24" s="33" t="s">
        <v>25</v>
      </c>
      <c r="R24" s="5">
        <f>R22/(R23/SQRT(R21))</f>
        <v>4.9252401837464287E-2</v>
      </c>
      <c r="S24" s="134"/>
      <c r="T24" s="135"/>
      <c r="V24" s="100" t="s">
        <v>28</v>
      </c>
      <c r="W24" s="101" t="str">
        <f>IF(AND(W22&gt;_xlfn.NORM.INV(W23/2,0,1),W22&lt;_xlfn.NORM.INV(1-W23/2,0,1)),"H0 Accepted","H0 Rejected")</f>
        <v>H0 Accepted</v>
      </c>
      <c r="X24" s="115"/>
      <c r="Y24" s="116"/>
    </row>
    <row r="25" spans="2:25" ht="15.6" x14ac:dyDescent="0.3">
      <c r="B25" s="4">
        <v>23</v>
      </c>
      <c r="C25" s="4">
        <v>185</v>
      </c>
      <c r="F25" s="117" t="s">
        <v>29</v>
      </c>
      <c r="G25" s="13" t="s">
        <v>30</v>
      </c>
      <c r="H25" s="11">
        <f>INTERCEPT(F33:F50,B33:B50)</f>
        <v>99.759287925696583</v>
      </c>
      <c r="Q25" s="34" t="s">
        <v>27</v>
      </c>
      <c r="R25" s="16">
        <v>0.05</v>
      </c>
      <c r="S25" s="134"/>
      <c r="T25" s="135"/>
    </row>
    <row r="26" spans="2:25" ht="16.2" thickBot="1" x14ac:dyDescent="0.35">
      <c r="B26" s="4">
        <v>24</v>
      </c>
      <c r="C26" s="4">
        <v>232</v>
      </c>
      <c r="F26" s="118"/>
      <c r="G26" s="13" t="s">
        <v>31</v>
      </c>
      <c r="H26" s="11">
        <f>SLOPE(F33:F50,B33:B50)</f>
        <v>5.0181458548331621</v>
      </c>
      <c r="J26" s="15" t="s">
        <v>32</v>
      </c>
      <c r="O26" s="18" t="s">
        <v>33</v>
      </c>
      <c r="Q26" s="35" t="s">
        <v>28</v>
      </c>
      <c r="R26" s="36" t="str">
        <f>IF(AND(R24&gt;_xlfn.NORM.INV(R25/2,0,1),R24&lt;_xlfn.NORM.INV(1-R25/2,0,1)),"H0 Accepted","H0 Rejected")</f>
        <v>H0 Accepted</v>
      </c>
      <c r="S26" s="136"/>
      <c r="T26" s="137"/>
    </row>
    <row r="27" spans="2:25" x14ac:dyDescent="0.3">
      <c r="J27" s="12">
        <f>SUM(J30:J35)</f>
        <v>8.3333333333348136E-2</v>
      </c>
      <c r="L27" s="15" t="s">
        <v>27</v>
      </c>
      <c r="M27" s="16">
        <v>0.05</v>
      </c>
      <c r="O27" s="12">
        <f>SUM(O30:O53)</f>
        <v>-2.8421709430404007E-14</v>
      </c>
    </row>
    <row r="28" spans="2:25" ht="6.6" customHeight="1" x14ac:dyDescent="0.3"/>
    <row r="29" spans="2:25" ht="27.6" x14ac:dyDescent="0.3">
      <c r="B29" s="9" t="s">
        <v>0</v>
      </c>
      <c r="C29" s="9" t="s">
        <v>34</v>
      </c>
      <c r="D29" s="10" t="s">
        <v>35</v>
      </c>
      <c r="E29" s="10" t="s">
        <v>36</v>
      </c>
      <c r="F29" s="10" t="s">
        <v>37</v>
      </c>
      <c r="G29" s="10" t="s">
        <v>38</v>
      </c>
      <c r="H29" s="10" t="s">
        <v>39</v>
      </c>
      <c r="I29" s="10" t="s">
        <v>40</v>
      </c>
      <c r="J29" s="10" t="s">
        <v>41</v>
      </c>
      <c r="K29" s="10" t="s">
        <v>42</v>
      </c>
      <c r="L29" s="10" t="s">
        <v>43</v>
      </c>
      <c r="M29" s="17" t="s">
        <v>44</v>
      </c>
      <c r="N29" s="10" t="s">
        <v>45</v>
      </c>
      <c r="O29" s="10" t="s">
        <v>46</v>
      </c>
      <c r="P29" s="10" t="s">
        <v>47</v>
      </c>
      <c r="Q29" s="17" t="s">
        <v>48</v>
      </c>
      <c r="R29" s="10" t="s">
        <v>49</v>
      </c>
      <c r="S29" s="10" t="s">
        <v>50</v>
      </c>
    </row>
    <row r="30" spans="2:25" ht="15.6" x14ac:dyDescent="0.3">
      <c r="B30" s="6">
        <v>1</v>
      </c>
      <c r="C30" s="6">
        <v>125</v>
      </c>
      <c r="D30" s="7" t="s">
        <v>51</v>
      </c>
      <c r="E30" s="7" t="str">
        <f>IF($D30="-","-","")</f>
        <v>-</v>
      </c>
      <c r="F30" s="7" t="str">
        <f>IF($D30="-","-","")</f>
        <v>-</v>
      </c>
      <c r="G30" s="29">
        <f>$H$25+$H$26*B30</f>
        <v>104.77743378052975</v>
      </c>
      <c r="H30" s="7" t="str">
        <f>IF($D30="-","-","")</f>
        <v>-</v>
      </c>
      <c r="I30" s="7" t="str">
        <f>IF($D30="-","-","")</f>
        <v>-</v>
      </c>
      <c r="J30" s="29">
        <f>AVERAGE(I30,I36,I42,I48)</f>
        <v>21.027777777777771</v>
      </c>
      <c r="K30" s="29">
        <f>_xlfn.STDEV.S(I30,I36,I42,I48)</f>
        <v>2.7084401688330044</v>
      </c>
      <c r="L30" s="29">
        <f t="shared" ref="L30:L53" si="0">J30-K30*_xlfn.NORM.INV(1-$M$27/2,0,1)</f>
        <v>15.719332592583502</v>
      </c>
      <c r="M30" s="29">
        <f t="shared" ref="M30:M53" si="1">J30+K30*_xlfn.NORM.INV(1-$M$27/2,0,1)</f>
        <v>26.336222962972041</v>
      </c>
      <c r="N30" s="7" t="str">
        <f>IF($D30="-","-","")</f>
        <v>-</v>
      </c>
      <c r="O30" s="29">
        <f>J30-$J$27/COUNT($J$30:$J$35)</f>
        <v>21.013888888888879</v>
      </c>
      <c r="P30" s="29"/>
      <c r="Q30" s="29">
        <f>IF($R$26 = "H0 Accepted", G30+O30, G30+O30 + P30)</f>
        <v>125.79132266941863</v>
      </c>
      <c r="R30" s="29">
        <f>C30-Q30</f>
        <v>-0.7913226694186335</v>
      </c>
      <c r="S30" s="31">
        <f>ABS(R30)/C30</f>
        <v>6.3305813553490679E-3</v>
      </c>
    </row>
    <row r="31" spans="2:25" ht="15.6" x14ac:dyDescent="0.3">
      <c r="B31" s="6">
        <v>2</v>
      </c>
      <c r="C31" s="6">
        <v>111</v>
      </c>
      <c r="D31" s="7" t="s">
        <v>51</v>
      </c>
      <c r="E31" s="7" t="str">
        <f t="shared" ref="E31:F32" si="2">IF($D31="-","-","")</f>
        <v>-</v>
      </c>
      <c r="F31" s="7" t="str">
        <f t="shared" si="2"/>
        <v>-</v>
      </c>
      <c r="G31" s="29">
        <f t="shared" ref="G31:G53" si="3">$H$25+$H$26*B31</f>
        <v>109.79557963536291</v>
      </c>
      <c r="H31" s="7" t="str">
        <f t="shared" ref="H31:I32" si="4">IF($D31="-","-","")</f>
        <v>-</v>
      </c>
      <c r="I31" s="7" t="str">
        <f t="shared" si="4"/>
        <v>-</v>
      </c>
      <c r="J31" s="29">
        <f t="shared" ref="J31:J35" si="5">AVERAGE(I31,I37,I43,I49)</f>
        <v>2.0555555555555522</v>
      </c>
      <c r="K31" s="29">
        <f t="shared" ref="K31:K35" si="6">_xlfn.STDEV.S(I31,I37,I43,I49)</f>
        <v>0.47385339192310139</v>
      </c>
      <c r="L31" s="29">
        <f t="shared" si="0"/>
        <v>1.1268199734341309</v>
      </c>
      <c r="M31" s="29">
        <f t="shared" si="1"/>
        <v>2.9842911376769736</v>
      </c>
      <c r="N31" s="7" t="str">
        <f t="shared" ref="N31:N32" si="7">IF($D31="-","-","")</f>
        <v>-</v>
      </c>
      <c r="O31" s="29">
        <f t="shared" ref="O31:O35" si="8">J31-$J$27/COUNT($J$30:$J$35)</f>
        <v>2.0416666666666607</v>
      </c>
      <c r="P31" s="29"/>
      <c r="Q31" s="29">
        <f t="shared" ref="Q31:Q59" si="9">IF($R$26 = "H0 Accepted", G31+O31, G31+O31 + P31)</f>
        <v>111.83724630202957</v>
      </c>
      <c r="R31" s="29">
        <f t="shared" ref="R31:R53" si="10">C31-Q31</f>
        <v>-0.83724630202956973</v>
      </c>
      <c r="S31" s="31">
        <f t="shared" ref="S31:S53" si="11">ABS(R31)/C31</f>
        <v>7.5427594777438718E-3</v>
      </c>
    </row>
    <row r="32" spans="2:25" ht="15.6" x14ac:dyDescent="0.3">
      <c r="B32" s="6">
        <v>3</v>
      </c>
      <c r="C32" s="6">
        <v>126</v>
      </c>
      <c r="D32" s="7" t="s">
        <v>51</v>
      </c>
      <c r="E32" s="7" t="str">
        <f t="shared" si="2"/>
        <v>-</v>
      </c>
      <c r="F32" s="7" t="str">
        <f t="shared" si="2"/>
        <v>-</v>
      </c>
      <c r="G32" s="29">
        <f t="shared" si="3"/>
        <v>114.81372549019608</v>
      </c>
      <c r="H32" s="7" t="str">
        <f t="shared" si="4"/>
        <v>-</v>
      </c>
      <c r="I32" s="7" t="str">
        <f t="shared" si="4"/>
        <v>-</v>
      </c>
      <c r="J32" s="29">
        <f t="shared" si="5"/>
        <v>10.611111111111114</v>
      </c>
      <c r="K32" s="29">
        <f t="shared" si="6"/>
        <v>1.0485881160098307</v>
      </c>
      <c r="L32" s="29">
        <f t="shared" si="0"/>
        <v>8.5559161691151395</v>
      </c>
      <c r="M32" s="29">
        <f t="shared" si="1"/>
        <v>12.666306053107089</v>
      </c>
      <c r="N32" s="7" t="str">
        <f t="shared" si="7"/>
        <v>-</v>
      </c>
      <c r="O32" s="29">
        <f t="shared" si="8"/>
        <v>10.597222222222223</v>
      </c>
      <c r="P32" s="29"/>
      <c r="Q32" s="29">
        <f t="shared" si="9"/>
        <v>125.41094771241831</v>
      </c>
      <c r="R32" s="29">
        <f t="shared" si="10"/>
        <v>0.58905228758169415</v>
      </c>
      <c r="S32" s="31">
        <f t="shared" si="11"/>
        <v>4.675018155410271E-3</v>
      </c>
    </row>
    <row r="33" spans="2:19" ht="15.6" x14ac:dyDescent="0.3">
      <c r="B33" s="6">
        <v>4</v>
      </c>
      <c r="C33" s="6">
        <v>107</v>
      </c>
      <c r="D33" s="7">
        <f>SUM(C31:C36)/6</f>
        <v>122.16666666666667</v>
      </c>
      <c r="E33" s="7">
        <f>SUM(C30:C35)/6</f>
        <v>117</v>
      </c>
      <c r="F33" s="8">
        <f>AVERAGE(D33:E33)</f>
        <v>119.58333333333334</v>
      </c>
      <c r="G33" s="29">
        <f t="shared" si="3"/>
        <v>119.83187134502923</v>
      </c>
      <c r="H33" s="29">
        <f>F33-G33</f>
        <v>-0.24853801169588507</v>
      </c>
      <c r="I33" s="29">
        <f>C33-F33</f>
        <v>-12.583333333333343</v>
      </c>
      <c r="J33" s="29">
        <f t="shared" si="5"/>
        <v>-13.555555555555552</v>
      </c>
      <c r="K33" s="29">
        <f t="shared" si="6"/>
        <v>1.0485881160098176</v>
      </c>
      <c r="L33" s="29">
        <f t="shared" si="0"/>
        <v>-15.610750497551502</v>
      </c>
      <c r="M33" s="29">
        <f t="shared" si="1"/>
        <v>-11.500360613559602</v>
      </c>
      <c r="N33" s="30" t="str">
        <f>IF(AND(I33&gt;L33,I33&lt;M33),"OK","NOT OK")</f>
        <v>OK</v>
      </c>
      <c r="O33" s="29">
        <f t="shared" si="8"/>
        <v>-13.569444444444443</v>
      </c>
      <c r="P33" s="29">
        <f t="shared" ref="P33:P50" si="12">IF(D33="-",0,I33-O33)</f>
        <v>0.98611111111110006</v>
      </c>
      <c r="Q33" s="29">
        <f t="shared" si="9"/>
        <v>106.26242690058479</v>
      </c>
      <c r="R33" s="29">
        <f t="shared" si="10"/>
        <v>0.73757309941521498</v>
      </c>
      <c r="S33" s="31">
        <f t="shared" si="11"/>
        <v>6.8932065365907942E-3</v>
      </c>
    </row>
    <row r="34" spans="2:19" ht="15.6" x14ac:dyDescent="0.3">
      <c r="B34" s="6">
        <v>5</v>
      </c>
      <c r="C34" s="6">
        <v>95</v>
      </c>
      <c r="D34" s="7">
        <f t="shared" ref="D34:D50" si="13">SUM(C32:C37)/6</f>
        <v>127.33333333333333</v>
      </c>
      <c r="E34" s="7">
        <f t="shared" ref="E34:E50" si="14">SUM(C31:C36)/6</f>
        <v>122.16666666666667</v>
      </c>
      <c r="F34" s="8">
        <f t="shared" ref="F34:F50" si="15">AVERAGE(D34:E34)</f>
        <v>124.75</v>
      </c>
      <c r="G34" s="29">
        <f t="shared" si="3"/>
        <v>124.85001719986239</v>
      </c>
      <c r="H34" s="29">
        <f t="shared" ref="H34:H50" si="16">F34-G34</f>
        <v>-0.10001719986239266</v>
      </c>
      <c r="I34" s="29">
        <f t="shared" ref="I34:I50" si="17">C34-F34</f>
        <v>-29.75</v>
      </c>
      <c r="J34" s="29">
        <f t="shared" si="5"/>
        <v>-29.694444444444439</v>
      </c>
      <c r="K34" s="29">
        <f t="shared" si="6"/>
        <v>0.50230948111180951</v>
      </c>
      <c r="L34" s="29">
        <f t="shared" si="0"/>
        <v>-30.678952936516588</v>
      </c>
      <c r="M34" s="29">
        <f t="shared" si="1"/>
        <v>-28.709935952372291</v>
      </c>
      <c r="N34" s="30" t="str">
        <f t="shared" ref="N34:N50" si="18">IF(AND(I34&gt;L34,I34&lt;M34),"OK","NOT OK")</f>
        <v>OK</v>
      </c>
      <c r="O34" s="29">
        <f t="shared" si="8"/>
        <v>-29.708333333333332</v>
      </c>
      <c r="P34" s="29">
        <f t="shared" si="12"/>
        <v>-4.1666666666667851E-2</v>
      </c>
      <c r="Q34" s="29">
        <f t="shared" si="9"/>
        <v>95.141683866529064</v>
      </c>
      <c r="R34" s="29">
        <f t="shared" si="10"/>
        <v>-0.14168386652906406</v>
      </c>
      <c r="S34" s="31">
        <f t="shared" si="11"/>
        <v>1.491409121358569E-3</v>
      </c>
    </row>
    <row r="35" spans="2:19" s="14" customFormat="1" ht="16.2" thickBot="1" x14ac:dyDescent="0.35">
      <c r="B35" s="6">
        <v>6</v>
      </c>
      <c r="C35" s="6">
        <v>138</v>
      </c>
      <c r="D35" s="7">
        <f t="shared" si="13"/>
        <v>132.5</v>
      </c>
      <c r="E35" s="7">
        <f t="shared" si="14"/>
        <v>127.33333333333333</v>
      </c>
      <c r="F35" s="8">
        <f t="shared" si="15"/>
        <v>129.91666666666666</v>
      </c>
      <c r="G35" s="29">
        <f t="shared" si="3"/>
        <v>129.86816305469557</v>
      </c>
      <c r="H35" s="29">
        <f t="shared" si="16"/>
        <v>4.8503611971085547E-2</v>
      </c>
      <c r="I35" s="29">
        <f t="shared" si="17"/>
        <v>8.0833333333333428</v>
      </c>
      <c r="J35" s="29">
        <f t="shared" si="5"/>
        <v>9.6388888888888946</v>
      </c>
      <c r="K35" s="29">
        <f t="shared" si="6"/>
        <v>1.4680233624137529</v>
      </c>
      <c r="L35" s="29">
        <f t="shared" si="0"/>
        <v>6.7616159700945477</v>
      </c>
      <c r="M35" s="29">
        <f t="shared" si="1"/>
        <v>12.516161807683241</v>
      </c>
      <c r="N35" s="30" t="str">
        <f t="shared" si="18"/>
        <v>OK</v>
      </c>
      <c r="O35" s="29">
        <f t="shared" si="8"/>
        <v>9.6250000000000036</v>
      </c>
      <c r="P35" s="29">
        <f t="shared" si="12"/>
        <v>-1.5416666666666607</v>
      </c>
      <c r="Q35" s="29">
        <f t="shared" si="9"/>
        <v>139.49316305469557</v>
      </c>
      <c r="R35" s="29">
        <f t="shared" si="10"/>
        <v>-1.4931630546955716</v>
      </c>
      <c r="S35" s="31">
        <f t="shared" si="11"/>
        <v>1.0820022135475157E-2</v>
      </c>
    </row>
    <row r="36" spans="2:19" ht="15.6" x14ac:dyDescent="0.3">
      <c r="B36" s="6">
        <v>7</v>
      </c>
      <c r="C36" s="6">
        <v>156</v>
      </c>
      <c r="D36" s="7">
        <f t="shared" si="13"/>
        <v>137.5</v>
      </c>
      <c r="E36" s="7">
        <f t="shared" si="14"/>
        <v>132.5</v>
      </c>
      <c r="F36" s="8">
        <f t="shared" si="15"/>
        <v>135</v>
      </c>
      <c r="G36" s="29">
        <f t="shared" si="3"/>
        <v>134.88630890952871</v>
      </c>
      <c r="H36" s="29">
        <f t="shared" si="16"/>
        <v>0.113691090471292</v>
      </c>
      <c r="I36" s="29">
        <f t="shared" si="17"/>
        <v>21</v>
      </c>
      <c r="J36" s="29">
        <f>J30</f>
        <v>21.027777777777771</v>
      </c>
      <c r="K36" s="29">
        <f>K30</f>
        <v>2.7084401688330044</v>
      </c>
      <c r="L36" s="29">
        <f t="shared" si="0"/>
        <v>15.719332592583502</v>
      </c>
      <c r="M36" s="29">
        <f t="shared" si="1"/>
        <v>26.336222962972041</v>
      </c>
      <c r="N36" s="30" t="str">
        <f t="shared" si="18"/>
        <v>OK</v>
      </c>
      <c r="O36" s="29">
        <f>O30</f>
        <v>21.013888888888879</v>
      </c>
      <c r="P36" s="29">
        <f t="shared" si="12"/>
        <v>-1.3888888888878625E-2</v>
      </c>
      <c r="Q36" s="29">
        <f t="shared" si="9"/>
        <v>155.90019779841759</v>
      </c>
      <c r="R36" s="29">
        <f t="shared" si="10"/>
        <v>9.9802201582406269E-2</v>
      </c>
      <c r="S36" s="31">
        <f t="shared" si="11"/>
        <v>6.3975770245132228E-4</v>
      </c>
    </row>
    <row r="37" spans="2:19" ht="15.6" x14ac:dyDescent="0.3">
      <c r="B37" s="6">
        <v>8</v>
      </c>
      <c r="C37" s="6">
        <v>142</v>
      </c>
      <c r="D37" s="7">
        <f t="shared" si="13"/>
        <v>142.66666666666666</v>
      </c>
      <c r="E37" s="7">
        <f t="shared" si="14"/>
        <v>137.5</v>
      </c>
      <c r="F37" s="8">
        <f t="shared" si="15"/>
        <v>140.08333333333331</v>
      </c>
      <c r="G37" s="29">
        <f t="shared" si="3"/>
        <v>139.90445476436187</v>
      </c>
      <c r="H37" s="29">
        <f t="shared" si="16"/>
        <v>0.17887856897144161</v>
      </c>
      <c r="I37" s="29">
        <f t="shared" si="17"/>
        <v>1.9166666666666856</v>
      </c>
      <c r="J37" s="29">
        <f t="shared" ref="J37:K53" si="19">J31</f>
        <v>2.0555555555555522</v>
      </c>
      <c r="K37" s="29">
        <f t="shared" si="19"/>
        <v>0.47385339192310139</v>
      </c>
      <c r="L37" s="29">
        <f t="shared" si="0"/>
        <v>1.1268199734341309</v>
      </c>
      <c r="M37" s="29">
        <f t="shared" si="1"/>
        <v>2.9842911376769736</v>
      </c>
      <c r="N37" s="30" t="str">
        <f t="shared" si="18"/>
        <v>OK</v>
      </c>
      <c r="O37" s="29">
        <f t="shared" ref="O37:O59" si="20">O31</f>
        <v>2.0416666666666607</v>
      </c>
      <c r="P37" s="29">
        <f t="shared" si="12"/>
        <v>-0.12499999999997513</v>
      </c>
      <c r="Q37" s="29">
        <f t="shared" si="9"/>
        <v>141.94612143102853</v>
      </c>
      <c r="R37" s="29">
        <f t="shared" si="10"/>
        <v>5.3878568971470031E-2</v>
      </c>
      <c r="S37" s="31">
        <f t="shared" si="11"/>
        <v>3.7942654205260585E-4</v>
      </c>
    </row>
    <row r="38" spans="2:19" ht="15.6" x14ac:dyDescent="0.3">
      <c r="B38" s="6">
        <v>9</v>
      </c>
      <c r="C38" s="6">
        <v>157</v>
      </c>
      <c r="D38" s="7">
        <f t="shared" si="13"/>
        <v>148.16666666666666</v>
      </c>
      <c r="E38" s="7">
        <f t="shared" si="14"/>
        <v>142.66666666666666</v>
      </c>
      <c r="F38" s="8">
        <f t="shared" si="15"/>
        <v>145.41666666666666</v>
      </c>
      <c r="G38" s="29">
        <f t="shared" si="3"/>
        <v>144.92260061919504</v>
      </c>
      <c r="H38" s="29">
        <f t="shared" si="16"/>
        <v>0.49406604747161964</v>
      </c>
      <c r="I38" s="29">
        <f t="shared" si="17"/>
        <v>11.583333333333343</v>
      </c>
      <c r="J38" s="29">
        <f t="shared" si="19"/>
        <v>10.611111111111114</v>
      </c>
      <c r="K38" s="29">
        <f t="shared" si="19"/>
        <v>1.0485881160098307</v>
      </c>
      <c r="L38" s="29">
        <f t="shared" si="0"/>
        <v>8.5559161691151395</v>
      </c>
      <c r="M38" s="29">
        <f t="shared" si="1"/>
        <v>12.666306053107089</v>
      </c>
      <c r="N38" s="30" t="str">
        <f t="shared" si="18"/>
        <v>OK</v>
      </c>
      <c r="O38" s="29">
        <f t="shared" si="20"/>
        <v>10.597222222222223</v>
      </c>
      <c r="P38" s="29">
        <f t="shared" si="12"/>
        <v>0.9861111111111196</v>
      </c>
      <c r="Q38" s="29">
        <f t="shared" si="9"/>
        <v>155.51982284141727</v>
      </c>
      <c r="R38" s="29">
        <f t="shared" si="10"/>
        <v>1.4801771585827339</v>
      </c>
      <c r="S38" s="31">
        <f t="shared" si="11"/>
        <v>9.4278799909728282E-3</v>
      </c>
    </row>
    <row r="39" spans="2:19" ht="15.6" x14ac:dyDescent="0.3">
      <c r="B39" s="6">
        <v>10</v>
      </c>
      <c r="C39" s="6">
        <v>137</v>
      </c>
      <c r="D39" s="7">
        <f t="shared" si="13"/>
        <v>152.66666666666666</v>
      </c>
      <c r="E39" s="7">
        <f t="shared" si="14"/>
        <v>148.16666666666666</v>
      </c>
      <c r="F39" s="8">
        <f t="shared" si="15"/>
        <v>150.41666666666666</v>
      </c>
      <c r="G39" s="29">
        <f t="shared" si="3"/>
        <v>149.9407464740282</v>
      </c>
      <c r="H39" s="29">
        <f t="shared" si="16"/>
        <v>0.47592019263845486</v>
      </c>
      <c r="I39" s="29">
        <f t="shared" si="17"/>
        <v>-13.416666666666657</v>
      </c>
      <c r="J39" s="29">
        <f t="shared" si="19"/>
        <v>-13.555555555555552</v>
      </c>
      <c r="K39" s="29">
        <f t="shared" si="19"/>
        <v>1.0485881160098176</v>
      </c>
      <c r="L39" s="29">
        <f t="shared" si="0"/>
        <v>-15.610750497551502</v>
      </c>
      <c r="M39" s="29">
        <f t="shared" si="1"/>
        <v>-11.500360613559602</v>
      </c>
      <c r="N39" s="30" t="str">
        <f t="shared" si="18"/>
        <v>OK</v>
      </c>
      <c r="O39" s="29">
        <f t="shared" si="20"/>
        <v>-13.569444444444443</v>
      </c>
      <c r="P39" s="29">
        <f t="shared" si="12"/>
        <v>0.15277777777778567</v>
      </c>
      <c r="Q39" s="29">
        <f t="shared" si="9"/>
        <v>136.37130202958377</v>
      </c>
      <c r="R39" s="29">
        <f t="shared" si="10"/>
        <v>0.62869797041622633</v>
      </c>
      <c r="S39" s="31">
        <f t="shared" si="11"/>
        <v>4.5890362804104114E-3</v>
      </c>
    </row>
    <row r="40" spans="2:19" ht="15.6" x14ac:dyDescent="0.3">
      <c r="B40" s="6">
        <v>11</v>
      </c>
      <c r="C40" s="6">
        <v>126</v>
      </c>
      <c r="D40" s="7">
        <f t="shared" si="13"/>
        <v>157.66666666666666</v>
      </c>
      <c r="E40" s="7">
        <f t="shared" si="14"/>
        <v>152.66666666666666</v>
      </c>
      <c r="F40" s="8">
        <f t="shared" si="15"/>
        <v>155.16666666666666</v>
      </c>
      <c r="G40" s="29">
        <f t="shared" si="3"/>
        <v>154.95889232886137</v>
      </c>
      <c r="H40" s="29">
        <f t="shared" si="16"/>
        <v>0.20777433780529009</v>
      </c>
      <c r="I40" s="29">
        <f t="shared" si="17"/>
        <v>-29.166666666666657</v>
      </c>
      <c r="J40" s="29">
        <f t="shared" si="19"/>
        <v>-29.694444444444439</v>
      </c>
      <c r="K40" s="29">
        <f t="shared" si="19"/>
        <v>0.50230948111180951</v>
      </c>
      <c r="L40" s="29">
        <f t="shared" si="0"/>
        <v>-30.678952936516588</v>
      </c>
      <c r="M40" s="29">
        <f t="shared" si="1"/>
        <v>-28.709935952372291</v>
      </c>
      <c r="N40" s="30" t="str">
        <f t="shared" si="18"/>
        <v>OK</v>
      </c>
      <c r="O40" s="29">
        <f t="shared" si="20"/>
        <v>-29.708333333333332</v>
      </c>
      <c r="P40" s="29">
        <f t="shared" si="12"/>
        <v>0.54166666666667496</v>
      </c>
      <c r="Q40" s="29">
        <f t="shared" si="9"/>
        <v>125.25055899552804</v>
      </c>
      <c r="R40" s="29">
        <f t="shared" si="10"/>
        <v>0.74944100447196149</v>
      </c>
      <c r="S40" s="31">
        <f t="shared" si="11"/>
        <v>5.947944479936202E-3</v>
      </c>
    </row>
    <row r="41" spans="2:19" s="14" customFormat="1" ht="16.2" thickBot="1" x14ac:dyDescent="0.35">
      <c r="B41" s="6">
        <v>12</v>
      </c>
      <c r="C41" s="6">
        <v>171</v>
      </c>
      <c r="D41" s="7">
        <f t="shared" si="13"/>
        <v>162.33333333333334</v>
      </c>
      <c r="E41" s="7">
        <f t="shared" si="14"/>
        <v>157.66666666666666</v>
      </c>
      <c r="F41" s="8">
        <f t="shared" si="15"/>
        <v>160</v>
      </c>
      <c r="G41" s="29">
        <f t="shared" si="3"/>
        <v>159.97703818369453</v>
      </c>
      <c r="H41" s="29">
        <f t="shared" si="16"/>
        <v>2.2961816305468119E-2</v>
      </c>
      <c r="I41" s="29">
        <f t="shared" si="17"/>
        <v>11</v>
      </c>
      <c r="J41" s="29">
        <f t="shared" si="19"/>
        <v>9.6388888888888946</v>
      </c>
      <c r="K41" s="29">
        <f t="shared" si="19"/>
        <v>1.4680233624137529</v>
      </c>
      <c r="L41" s="29">
        <f t="shared" si="0"/>
        <v>6.7616159700945477</v>
      </c>
      <c r="M41" s="29">
        <f t="shared" si="1"/>
        <v>12.516161807683241</v>
      </c>
      <c r="N41" s="30" t="str">
        <f t="shared" si="18"/>
        <v>OK</v>
      </c>
      <c r="O41" s="29">
        <f t="shared" si="20"/>
        <v>9.6250000000000036</v>
      </c>
      <c r="P41" s="29">
        <f t="shared" si="12"/>
        <v>1.3749999999999964</v>
      </c>
      <c r="Q41" s="29">
        <f t="shared" si="9"/>
        <v>169.60203818369453</v>
      </c>
      <c r="R41" s="29">
        <f t="shared" si="10"/>
        <v>1.3979618163054681</v>
      </c>
      <c r="S41" s="31">
        <f t="shared" si="11"/>
        <v>8.175215300031978E-3</v>
      </c>
    </row>
    <row r="42" spans="2:19" ht="15.6" x14ac:dyDescent="0.3">
      <c r="B42" s="6">
        <v>13</v>
      </c>
      <c r="C42" s="6">
        <v>183</v>
      </c>
      <c r="D42" s="7">
        <f t="shared" si="13"/>
        <v>167</v>
      </c>
      <c r="E42" s="7">
        <f t="shared" si="14"/>
        <v>162.33333333333334</v>
      </c>
      <c r="F42" s="8">
        <f t="shared" si="15"/>
        <v>164.66666666666669</v>
      </c>
      <c r="G42" s="29">
        <f t="shared" si="3"/>
        <v>164.9951840385277</v>
      </c>
      <c r="H42" s="29">
        <f t="shared" si="16"/>
        <v>-0.32851737186101104</v>
      </c>
      <c r="I42" s="29">
        <f t="shared" si="17"/>
        <v>18.333333333333314</v>
      </c>
      <c r="J42" s="29">
        <f t="shared" si="19"/>
        <v>21.027777777777771</v>
      </c>
      <c r="K42" s="29">
        <f t="shared" si="19"/>
        <v>2.7084401688330044</v>
      </c>
      <c r="L42" s="29">
        <f t="shared" si="0"/>
        <v>15.719332592583502</v>
      </c>
      <c r="M42" s="29">
        <f t="shared" si="1"/>
        <v>26.336222962972041</v>
      </c>
      <c r="N42" s="30" t="str">
        <f t="shared" si="18"/>
        <v>OK</v>
      </c>
      <c r="O42" s="29">
        <f t="shared" si="20"/>
        <v>21.013888888888879</v>
      </c>
      <c r="P42" s="29">
        <f t="shared" si="12"/>
        <v>-2.6805555555555642</v>
      </c>
      <c r="Q42" s="29">
        <f t="shared" si="9"/>
        <v>186.00907292741658</v>
      </c>
      <c r="R42" s="29">
        <f t="shared" si="10"/>
        <v>-3.0090729274165824</v>
      </c>
      <c r="S42" s="31">
        <f t="shared" si="11"/>
        <v>1.6443021461292801E-2</v>
      </c>
    </row>
    <row r="43" spans="2:19" ht="15.6" x14ac:dyDescent="0.3">
      <c r="B43" s="6">
        <v>14</v>
      </c>
      <c r="C43" s="6">
        <v>172</v>
      </c>
      <c r="D43" s="7">
        <f t="shared" si="13"/>
        <v>171.83333333333334</v>
      </c>
      <c r="E43" s="7">
        <f t="shared" si="14"/>
        <v>167</v>
      </c>
      <c r="F43" s="8">
        <f t="shared" si="15"/>
        <v>169.41666666666669</v>
      </c>
      <c r="G43" s="29">
        <f t="shared" si="3"/>
        <v>170.01332989336083</v>
      </c>
      <c r="H43" s="29">
        <f t="shared" si="16"/>
        <v>-0.5966632266941474</v>
      </c>
      <c r="I43" s="29">
        <f t="shared" si="17"/>
        <v>2.5833333333333144</v>
      </c>
      <c r="J43" s="29">
        <f t="shared" si="19"/>
        <v>2.0555555555555522</v>
      </c>
      <c r="K43" s="29">
        <f t="shared" si="19"/>
        <v>0.47385339192310139</v>
      </c>
      <c r="L43" s="29">
        <f t="shared" si="0"/>
        <v>1.1268199734341309</v>
      </c>
      <c r="M43" s="29">
        <f t="shared" si="1"/>
        <v>2.9842911376769736</v>
      </c>
      <c r="N43" s="30" t="str">
        <f t="shared" si="18"/>
        <v>OK</v>
      </c>
      <c r="O43" s="29">
        <f t="shared" si="20"/>
        <v>2.0416666666666607</v>
      </c>
      <c r="P43" s="29">
        <f t="shared" si="12"/>
        <v>0.54166666666665364</v>
      </c>
      <c r="Q43" s="29">
        <f t="shared" si="9"/>
        <v>172.05499656002749</v>
      </c>
      <c r="R43" s="29">
        <f t="shared" si="10"/>
        <v>-5.4996560027490204E-2</v>
      </c>
      <c r="S43" s="31">
        <f t="shared" si="11"/>
        <v>3.197474420202919E-4</v>
      </c>
    </row>
    <row r="44" spans="2:19" ht="15.6" x14ac:dyDescent="0.3">
      <c r="B44" s="6">
        <v>15</v>
      </c>
      <c r="C44" s="6">
        <v>185</v>
      </c>
      <c r="D44" s="7">
        <f t="shared" si="13"/>
        <v>176.66666666666666</v>
      </c>
      <c r="E44" s="7">
        <f t="shared" si="14"/>
        <v>171.83333333333334</v>
      </c>
      <c r="F44" s="8">
        <f t="shared" si="15"/>
        <v>174.25</v>
      </c>
      <c r="G44" s="29">
        <f t="shared" si="3"/>
        <v>175.031475748194</v>
      </c>
      <c r="H44" s="29">
        <f t="shared" si="16"/>
        <v>-0.78147574819399779</v>
      </c>
      <c r="I44" s="29">
        <f t="shared" si="17"/>
        <v>10.75</v>
      </c>
      <c r="J44" s="29">
        <f t="shared" si="19"/>
        <v>10.611111111111114</v>
      </c>
      <c r="K44" s="29">
        <f t="shared" si="19"/>
        <v>1.0485881160098307</v>
      </c>
      <c r="L44" s="29">
        <f t="shared" si="0"/>
        <v>8.5559161691151395</v>
      </c>
      <c r="M44" s="29">
        <f t="shared" si="1"/>
        <v>12.666306053107089</v>
      </c>
      <c r="N44" s="30" t="str">
        <f t="shared" si="18"/>
        <v>OK</v>
      </c>
      <c r="O44" s="29">
        <f t="shared" si="20"/>
        <v>10.597222222222223</v>
      </c>
      <c r="P44" s="29">
        <f t="shared" si="12"/>
        <v>0.15277777777777679</v>
      </c>
      <c r="Q44" s="29">
        <f t="shared" si="9"/>
        <v>185.62869797041623</v>
      </c>
      <c r="R44" s="29">
        <f t="shared" si="10"/>
        <v>-0.62869797041622633</v>
      </c>
      <c r="S44" s="31">
        <f t="shared" si="11"/>
        <v>3.3983674076552774E-3</v>
      </c>
    </row>
    <row r="45" spans="2:19" ht="15.6" x14ac:dyDescent="0.3">
      <c r="B45" s="6">
        <v>16</v>
      </c>
      <c r="C45" s="6">
        <v>165</v>
      </c>
      <c r="D45" s="7">
        <f t="shared" si="13"/>
        <v>182.66666666666666</v>
      </c>
      <c r="E45" s="7">
        <f t="shared" si="14"/>
        <v>176.66666666666666</v>
      </c>
      <c r="F45" s="8">
        <f t="shared" si="15"/>
        <v>179.66666666666666</v>
      </c>
      <c r="G45" s="29">
        <f t="shared" si="3"/>
        <v>180.04962160302716</v>
      </c>
      <c r="H45" s="29">
        <f t="shared" si="16"/>
        <v>-0.38295493636050537</v>
      </c>
      <c r="I45" s="29">
        <f t="shared" si="17"/>
        <v>-14.666666666666657</v>
      </c>
      <c r="J45" s="29">
        <f t="shared" si="19"/>
        <v>-13.555555555555552</v>
      </c>
      <c r="K45" s="29">
        <f t="shared" si="19"/>
        <v>1.0485881160098176</v>
      </c>
      <c r="L45" s="29">
        <f t="shared" si="0"/>
        <v>-15.610750497551502</v>
      </c>
      <c r="M45" s="29">
        <f t="shared" si="1"/>
        <v>-11.500360613559602</v>
      </c>
      <c r="N45" s="30" t="str">
        <f t="shared" si="18"/>
        <v>OK</v>
      </c>
      <c r="O45" s="29">
        <f t="shared" si="20"/>
        <v>-13.569444444444443</v>
      </c>
      <c r="P45" s="29">
        <f t="shared" si="12"/>
        <v>-1.0972222222222143</v>
      </c>
      <c r="Q45" s="29">
        <f t="shared" si="9"/>
        <v>166.48017715858271</v>
      </c>
      <c r="R45" s="29">
        <f t="shared" si="10"/>
        <v>-1.4801771585827055</v>
      </c>
      <c r="S45" s="31">
        <f t="shared" si="11"/>
        <v>8.9707706580770038E-3</v>
      </c>
    </row>
    <row r="46" spans="2:19" ht="15.6" x14ac:dyDescent="0.3">
      <c r="B46" s="6">
        <v>17</v>
      </c>
      <c r="C46" s="6">
        <v>155</v>
      </c>
      <c r="D46" s="7">
        <f t="shared" si="13"/>
        <v>187.66666666666666</v>
      </c>
      <c r="E46" s="7">
        <f t="shared" si="14"/>
        <v>182.66666666666666</v>
      </c>
      <c r="F46" s="8">
        <f t="shared" si="15"/>
        <v>185.16666666666666</v>
      </c>
      <c r="G46" s="29">
        <f t="shared" si="3"/>
        <v>185.06776745786033</v>
      </c>
      <c r="H46" s="29">
        <f t="shared" si="16"/>
        <v>9.8899208806329852E-2</v>
      </c>
      <c r="I46" s="29">
        <f t="shared" si="17"/>
        <v>-30.166666666666657</v>
      </c>
      <c r="J46" s="29">
        <f t="shared" si="19"/>
        <v>-29.694444444444439</v>
      </c>
      <c r="K46" s="29">
        <f t="shared" si="19"/>
        <v>0.50230948111180951</v>
      </c>
      <c r="L46" s="29">
        <f t="shared" si="0"/>
        <v>-30.678952936516588</v>
      </c>
      <c r="M46" s="29">
        <f t="shared" si="1"/>
        <v>-28.709935952372291</v>
      </c>
      <c r="N46" s="30" t="str">
        <f t="shared" si="18"/>
        <v>OK</v>
      </c>
      <c r="O46" s="29">
        <f t="shared" si="20"/>
        <v>-29.708333333333332</v>
      </c>
      <c r="P46" s="29">
        <f t="shared" si="12"/>
        <v>-0.45833333333332504</v>
      </c>
      <c r="Q46" s="29">
        <f t="shared" si="9"/>
        <v>155.35943412452698</v>
      </c>
      <c r="R46" s="29">
        <f t="shared" si="10"/>
        <v>-0.35943412452698453</v>
      </c>
      <c r="S46" s="31">
        <f t="shared" si="11"/>
        <v>2.3189298356579647E-3</v>
      </c>
    </row>
    <row r="47" spans="2:19" s="14" customFormat="1" ht="16.2" thickBot="1" x14ac:dyDescent="0.35">
      <c r="B47" s="6">
        <v>18</v>
      </c>
      <c r="C47" s="6">
        <v>200</v>
      </c>
      <c r="D47" s="7">
        <f t="shared" si="13"/>
        <v>192.66666666666666</v>
      </c>
      <c r="E47" s="7">
        <f t="shared" si="14"/>
        <v>187.66666666666666</v>
      </c>
      <c r="F47" s="8">
        <f t="shared" si="15"/>
        <v>190.16666666666666</v>
      </c>
      <c r="G47" s="29">
        <f t="shared" si="3"/>
        <v>190.08591331269349</v>
      </c>
      <c r="H47" s="29">
        <f t="shared" si="16"/>
        <v>8.0753353973165076E-2</v>
      </c>
      <c r="I47" s="29">
        <f t="shared" si="17"/>
        <v>9.8333333333333428</v>
      </c>
      <c r="J47" s="29">
        <f t="shared" si="19"/>
        <v>9.6388888888888946</v>
      </c>
      <c r="K47" s="29">
        <f t="shared" si="19"/>
        <v>1.4680233624137529</v>
      </c>
      <c r="L47" s="29">
        <f t="shared" si="0"/>
        <v>6.7616159700945477</v>
      </c>
      <c r="M47" s="29">
        <f t="shared" si="1"/>
        <v>12.516161807683241</v>
      </c>
      <c r="N47" s="30" t="str">
        <f t="shared" si="18"/>
        <v>OK</v>
      </c>
      <c r="O47" s="29">
        <f t="shared" si="20"/>
        <v>9.6250000000000036</v>
      </c>
      <c r="P47" s="29">
        <f t="shared" si="12"/>
        <v>0.20833333333333925</v>
      </c>
      <c r="Q47" s="29">
        <f t="shared" si="9"/>
        <v>199.71091331269349</v>
      </c>
      <c r="R47" s="29">
        <f t="shared" si="10"/>
        <v>0.28908668730650788</v>
      </c>
      <c r="S47" s="31">
        <f t="shared" si="11"/>
        <v>1.4454334365325394E-3</v>
      </c>
    </row>
    <row r="48" spans="2:19" ht="15.6" x14ac:dyDescent="0.3">
      <c r="B48" s="6">
        <v>19</v>
      </c>
      <c r="C48" s="6">
        <v>219</v>
      </c>
      <c r="D48" s="7">
        <f t="shared" si="13"/>
        <v>197.83333333333334</v>
      </c>
      <c r="E48" s="7">
        <f t="shared" si="14"/>
        <v>192.66666666666666</v>
      </c>
      <c r="F48" s="8">
        <f t="shared" si="15"/>
        <v>195.25</v>
      </c>
      <c r="G48" s="29">
        <f t="shared" si="3"/>
        <v>195.10405916752666</v>
      </c>
      <c r="H48" s="29">
        <f t="shared" si="16"/>
        <v>0.14594083247334311</v>
      </c>
      <c r="I48" s="29">
        <f t="shared" si="17"/>
        <v>23.75</v>
      </c>
      <c r="J48" s="29">
        <f t="shared" si="19"/>
        <v>21.027777777777771</v>
      </c>
      <c r="K48" s="29">
        <f t="shared" si="19"/>
        <v>2.7084401688330044</v>
      </c>
      <c r="L48" s="29">
        <f t="shared" si="0"/>
        <v>15.719332592583502</v>
      </c>
      <c r="M48" s="29">
        <f t="shared" si="1"/>
        <v>26.336222962972041</v>
      </c>
      <c r="N48" s="30" t="str">
        <f t="shared" si="18"/>
        <v>OK</v>
      </c>
      <c r="O48" s="29">
        <f t="shared" si="20"/>
        <v>21.013888888888879</v>
      </c>
      <c r="P48" s="29">
        <f t="shared" si="12"/>
        <v>2.7361111111111214</v>
      </c>
      <c r="Q48" s="29">
        <f t="shared" si="9"/>
        <v>216.11794805641554</v>
      </c>
      <c r="R48" s="29">
        <f t="shared" si="10"/>
        <v>2.8820519435844574</v>
      </c>
      <c r="S48" s="31">
        <f t="shared" si="11"/>
        <v>1.3160054536915331E-2</v>
      </c>
    </row>
    <row r="49" spans="2:19" ht="15.6" x14ac:dyDescent="0.3">
      <c r="B49" s="6">
        <v>20</v>
      </c>
      <c r="C49" s="6">
        <v>202</v>
      </c>
      <c r="D49" s="7">
        <f t="shared" si="13"/>
        <v>202.83333333333334</v>
      </c>
      <c r="E49" s="7">
        <f t="shared" si="14"/>
        <v>197.83333333333334</v>
      </c>
      <c r="F49" s="8">
        <f t="shared" si="15"/>
        <v>200.33333333333334</v>
      </c>
      <c r="G49" s="29">
        <f t="shared" si="3"/>
        <v>200.12220502235982</v>
      </c>
      <c r="H49" s="29">
        <f t="shared" si="16"/>
        <v>0.21112831097352114</v>
      </c>
      <c r="I49" s="29">
        <f t="shared" si="17"/>
        <v>1.6666666666666572</v>
      </c>
      <c r="J49" s="29">
        <f t="shared" si="19"/>
        <v>2.0555555555555522</v>
      </c>
      <c r="K49" s="29">
        <f t="shared" si="19"/>
        <v>0.47385339192310139</v>
      </c>
      <c r="L49" s="29">
        <f t="shared" si="0"/>
        <v>1.1268199734341309</v>
      </c>
      <c r="M49" s="29">
        <f t="shared" si="1"/>
        <v>2.9842911376769736</v>
      </c>
      <c r="N49" s="30" t="str">
        <f t="shared" si="18"/>
        <v>OK</v>
      </c>
      <c r="O49" s="29">
        <f t="shared" si="20"/>
        <v>2.0416666666666607</v>
      </c>
      <c r="P49" s="29">
        <f t="shared" si="12"/>
        <v>-0.37500000000000355</v>
      </c>
      <c r="Q49" s="29">
        <f t="shared" si="9"/>
        <v>202.16387168902648</v>
      </c>
      <c r="R49" s="29">
        <f t="shared" si="10"/>
        <v>-0.16387168902647886</v>
      </c>
      <c r="S49" s="31">
        <f t="shared" si="11"/>
        <v>8.112459852795983E-4</v>
      </c>
    </row>
    <row r="50" spans="2:19" ht="15.6" x14ac:dyDescent="0.3">
      <c r="B50" s="6">
        <v>21</v>
      </c>
      <c r="C50" s="6">
        <v>215</v>
      </c>
      <c r="D50" s="7">
        <f t="shared" si="13"/>
        <v>208.16666666666666</v>
      </c>
      <c r="E50" s="7">
        <f t="shared" si="14"/>
        <v>202.83333333333334</v>
      </c>
      <c r="F50" s="8">
        <f t="shared" si="15"/>
        <v>205.5</v>
      </c>
      <c r="G50" s="29">
        <f t="shared" si="3"/>
        <v>205.14035087719299</v>
      </c>
      <c r="H50" s="29">
        <f t="shared" si="16"/>
        <v>0.35964912280701355</v>
      </c>
      <c r="I50" s="29">
        <f t="shared" si="17"/>
        <v>9.5</v>
      </c>
      <c r="J50" s="29">
        <f t="shared" si="19"/>
        <v>10.611111111111114</v>
      </c>
      <c r="K50" s="29">
        <f t="shared" si="19"/>
        <v>1.0485881160098307</v>
      </c>
      <c r="L50" s="29">
        <f t="shared" si="0"/>
        <v>8.5559161691151395</v>
      </c>
      <c r="M50" s="29">
        <f t="shared" si="1"/>
        <v>12.666306053107089</v>
      </c>
      <c r="N50" s="30" t="str">
        <f t="shared" si="18"/>
        <v>OK</v>
      </c>
      <c r="O50" s="29">
        <f t="shared" si="20"/>
        <v>10.597222222222223</v>
      </c>
      <c r="P50" s="29">
        <f t="shared" si="12"/>
        <v>-1.0972222222222232</v>
      </c>
      <c r="Q50" s="29">
        <f t="shared" si="9"/>
        <v>215.73757309941521</v>
      </c>
      <c r="R50" s="29">
        <f t="shared" si="10"/>
        <v>-0.73757309941521498</v>
      </c>
      <c r="S50" s="31">
        <f t="shared" si="11"/>
        <v>3.4305725554196046E-3</v>
      </c>
    </row>
    <row r="51" spans="2:19" ht="15.6" x14ac:dyDescent="0.3">
      <c r="B51" s="6">
        <v>22</v>
      </c>
      <c r="C51" s="6">
        <v>196</v>
      </c>
      <c r="D51" s="7" t="s">
        <v>51</v>
      </c>
      <c r="E51" s="7" t="s">
        <v>51</v>
      </c>
      <c r="F51" s="7" t="s">
        <v>51</v>
      </c>
      <c r="G51" s="29">
        <f t="shared" si="3"/>
        <v>210.15849673202615</v>
      </c>
      <c r="H51" s="7" t="str">
        <f>IF($D51="-","-","")</f>
        <v>-</v>
      </c>
      <c r="I51" s="7" t="str">
        <f>IF($D51="-","-","")</f>
        <v>-</v>
      </c>
      <c r="J51" s="29">
        <f t="shared" si="19"/>
        <v>-13.555555555555552</v>
      </c>
      <c r="K51" s="29">
        <f t="shared" si="19"/>
        <v>1.0485881160098176</v>
      </c>
      <c r="L51" s="29">
        <f t="shared" si="0"/>
        <v>-15.610750497551502</v>
      </c>
      <c r="M51" s="29">
        <f t="shared" si="1"/>
        <v>-11.500360613559602</v>
      </c>
      <c r="N51" s="7" t="str">
        <f>IF($D51="-","-","")</f>
        <v>-</v>
      </c>
      <c r="O51" s="29">
        <f t="shared" si="20"/>
        <v>-13.569444444444443</v>
      </c>
      <c r="P51" s="29"/>
      <c r="Q51" s="29">
        <f t="shared" si="9"/>
        <v>196.58905228758169</v>
      </c>
      <c r="R51" s="29">
        <f t="shared" si="10"/>
        <v>-0.58905228758169415</v>
      </c>
      <c r="S51" s="31">
        <f t="shared" si="11"/>
        <v>3.0053688141923169E-3</v>
      </c>
    </row>
    <row r="52" spans="2:19" ht="15.6" x14ac:dyDescent="0.3">
      <c r="B52" s="6">
        <v>23</v>
      </c>
      <c r="C52" s="6">
        <v>185</v>
      </c>
      <c r="D52" s="7" t="s">
        <v>51</v>
      </c>
      <c r="E52" s="7" t="s">
        <v>51</v>
      </c>
      <c r="F52" s="7" t="s">
        <v>51</v>
      </c>
      <c r="G52" s="29">
        <f t="shared" si="3"/>
        <v>215.17664258685932</v>
      </c>
      <c r="H52" s="7" t="str">
        <f t="shared" ref="H52:H53" si="21">IF($D52="-","-","")</f>
        <v>-</v>
      </c>
      <c r="I52" s="7" t="str">
        <f t="shared" ref="I52:I53" si="22">IF($D52="-","-","")</f>
        <v>-</v>
      </c>
      <c r="J52" s="29">
        <f t="shared" si="19"/>
        <v>-29.694444444444439</v>
      </c>
      <c r="K52" s="29">
        <f t="shared" si="19"/>
        <v>0.50230948111180951</v>
      </c>
      <c r="L52" s="29">
        <f t="shared" si="0"/>
        <v>-30.678952936516588</v>
      </c>
      <c r="M52" s="29">
        <f t="shared" si="1"/>
        <v>-28.709935952372291</v>
      </c>
      <c r="N52" s="7" t="str">
        <f t="shared" ref="N52:N53" si="23">IF($D52="-","-","")</f>
        <v>-</v>
      </c>
      <c r="O52" s="29">
        <f t="shared" si="20"/>
        <v>-29.708333333333332</v>
      </c>
      <c r="P52" s="29"/>
      <c r="Q52" s="29">
        <f t="shared" si="9"/>
        <v>185.46830925352597</v>
      </c>
      <c r="R52" s="29">
        <f t="shared" si="10"/>
        <v>-0.46830925352597319</v>
      </c>
      <c r="S52" s="31">
        <f t="shared" si="11"/>
        <v>2.5314013704106661E-3</v>
      </c>
    </row>
    <row r="53" spans="2:19" s="14" customFormat="1" ht="16.2" thickBot="1" x14ac:dyDescent="0.35">
      <c r="B53" s="6">
        <v>24</v>
      </c>
      <c r="C53" s="6">
        <v>232</v>
      </c>
      <c r="D53" s="7" t="s">
        <v>51</v>
      </c>
      <c r="E53" s="7" t="s">
        <v>51</v>
      </c>
      <c r="F53" s="7" t="s">
        <v>51</v>
      </c>
      <c r="G53" s="29">
        <f t="shared" si="3"/>
        <v>220.19478844169248</v>
      </c>
      <c r="H53" s="7" t="str">
        <f t="shared" si="21"/>
        <v>-</v>
      </c>
      <c r="I53" s="7" t="str">
        <f t="shared" si="22"/>
        <v>-</v>
      </c>
      <c r="J53" s="29">
        <f t="shared" si="19"/>
        <v>9.6388888888888946</v>
      </c>
      <c r="K53" s="29">
        <f t="shared" si="19"/>
        <v>1.4680233624137529</v>
      </c>
      <c r="L53" s="29">
        <f t="shared" si="0"/>
        <v>6.7616159700945477</v>
      </c>
      <c r="M53" s="29">
        <f t="shared" si="1"/>
        <v>12.516161807683241</v>
      </c>
      <c r="N53" s="7" t="str">
        <f t="shared" si="23"/>
        <v>-</v>
      </c>
      <c r="O53" s="29">
        <f t="shared" si="20"/>
        <v>9.6250000000000036</v>
      </c>
      <c r="P53" s="29"/>
      <c r="Q53" s="29">
        <f t="shared" si="9"/>
        <v>229.81978844169248</v>
      </c>
      <c r="R53" s="29">
        <f t="shared" si="10"/>
        <v>2.1802115583075192</v>
      </c>
      <c r="S53" s="31">
        <f t="shared" si="11"/>
        <v>9.3974636133944793E-3</v>
      </c>
    </row>
    <row r="54" spans="2:19" ht="15.6" x14ac:dyDescent="0.3">
      <c r="B54" s="6">
        <v>25</v>
      </c>
      <c r="C54" s="30"/>
      <c r="D54" s="30"/>
      <c r="E54" s="30"/>
      <c r="F54" s="30"/>
      <c r="G54" s="29">
        <f t="shared" ref="G54:G59" si="24">$H$25+$H$26*B54</f>
        <v>225.21293429652565</v>
      </c>
      <c r="H54" s="30"/>
      <c r="I54" s="29"/>
      <c r="J54" s="30"/>
      <c r="K54" s="30"/>
      <c r="L54" s="30"/>
      <c r="M54" s="30"/>
      <c r="N54" s="30"/>
      <c r="O54" s="29">
        <f t="shared" si="20"/>
        <v>21.013888888888879</v>
      </c>
      <c r="P54" s="29"/>
      <c r="Q54" s="29">
        <f t="shared" si="9"/>
        <v>246.22682318541453</v>
      </c>
      <c r="R54" s="29"/>
      <c r="S54" s="31"/>
    </row>
    <row r="55" spans="2:19" ht="15.6" x14ac:dyDescent="0.3">
      <c r="B55" s="6">
        <v>26</v>
      </c>
      <c r="C55" s="30"/>
      <c r="D55" s="30"/>
      <c r="E55" s="30"/>
      <c r="F55" s="30"/>
      <c r="G55" s="29">
        <f t="shared" si="24"/>
        <v>230.23108015135881</v>
      </c>
      <c r="H55" s="30"/>
      <c r="I55" s="29"/>
      <c r="J55" s="30"/>
      <c r="K55" s="30"/>
      <c r="L55" s="30"/>
      <c r="M55" s="30"/>
      <c r="N55" s="30"/>
      <c r="O55" s="29">
        <f t="shared" si="20"/>
        <v>2.0416666666666607</v>
      </c>
      <c r="P55" s="29"/>
      <c r="Q55" s="29">
        <f t="shared" si="9"/>
        <v>232.27274681802547</v>
      </c>
      <c r="R55" s="29"/>
      <c r="S55" s="31"/>
    </row>
    <row r="56" spans="2:19" ht="15.6" x14ac:dyDescent="0.3">
      <c r="B56" s="6">
        <v>27</v>
      </c>
      <c r="C56" s="30"/>
      <c r="D56" s="30"/>
      <c r="E56" s="30"/>
      <c r="F56" s="30"/>
      <c r="G56" s="29">
        <f t="shared" si="24"/>
        <v>235.24922600619195</v>
      </c>
      <c r="H56" s="30"/>
      <c r="I56" s="29"/>
      <c r="J56" s="30"/>
      <c r="K56" s="30"/>
      <c r="L56" s="30"/>
      <c r="M56" s="30"/>
      <c r="N56" s="30"/>
      <c r="O56" s="29">
        <f t="shared" si="20"/>
        <v>10.597222222222223</v>
      </c>
      <c r="P56" s="29"/>
      <c r="Q56" s="29">
        <f t="shared" si="9"/>
        <v>245.84644822841418</v>
      </c>
      <c r="R56" s="29"/>
      <c r="S56" s="31"/>
    </row>
    <row r="57" spans="2:19" ht="15.6" x14ac:dyDescent="0.3">
      <c r="B57" s="6">
        <v>28</v>
      </c>
      <c r="C57" s="30"/>
      <c r="D57" s="30"/>
      <c r="E57" s="30"/>
      <c r="F57" s="30"/>
      <c r="G57" s="29">
        <f t="shared" si="24"/>
        <v>240.26737186102511</v>
      </c>
      <c r="H57" s="30"/>
      <c r="I57" s="29"/>
      <c r="J57" s="30"/>
      <c r="K57" s="30"/>
      <c r="L57" s="30"/>
      <c r="M57" s="30"/>
      <c r="N57" s="30"/>
      <c r="O57" s="29">
        <f t="shared" si="20"/>
        <v>-13.569444444444443</v>
      </c>
      <c r="P57" s="29"/>
      <c r="Q57" s="29">
        <f t="shared" si="9"/>
        <v>226.69792741658068</v>
      </c>
      <c r="R57" s="29"/>
      <c r="S57" s="31"/>
    </row>
    <row r="58" spans="2:19" ht="15.6" x14ac:dyDescent="0.3">
      <c r="B58" s="6">
        <v>29</v>
      </c>
      <c r="C58" s="30"/>
      <c r="D58" s="30"/>
      <c r="E58" s="30"/>
      <c r="F58" s="30"/>
      <c r="G58" s="29">
        <f t="shared" si="24"/>
        <v>245.28551771585828</v>
      </c>
      <c r="H58" s="30"/>
      <c r="I58" s="29"/>
      <c r="J58" s="30"/>
      <c r="K58" s="30"/>
      <c r="L58" s="30"/>
      <c r="M58" s="30"/>
      <c r="N58" s="30"/>
      <c r="O58" s="29">
        <f t="shared" si="20"/>
        <v>-29.708333333333332</v>
      </c>
      <c r="P58" s="29"/>
      <c r="Q58" s="29">
        <f t="shared" si="9"/>
        <v>215.57718438252493</v>
      </c>
      <c r="R58" s="29"/>
      <c r="S58" s="31"/>
    </row>
    <row r="59" spans="2:19" ht="15.6" x14ac:dyDescent="0.3">
      <c r="B59" s="6">
        <v>30</v>
      </c>
      <c r="C59" s="30"/>
      <c r="D59" s="30"/>
      <c r="E59" s="30"/>
      <c r="F59" s="30"/>
      <c r="G59" s="29">
        <f t="shared" si="24"/>
        <v>250.30366357069144</v>
      </c>
      <c r="H59" s="30"/>
      <c r="I59" s="29"/>
      <c r="J59" s="30"/>
      <c r="K59" s="30"/>
      <c r="L59" s="30"/>
      <c r="M59" s="30"/>
      <c r="N59" s="30"/>
      <c r="O59" s="29">
        <f t="shared" si="20"/>
        <v>9.6250000000000036</v>
      </c>
      <c r="P59" s="29"/>
      <c r="Q59" s="29">
        <f t="shared" si="9"/>
        <v>259.92866357069147</v>
      </c>
      <c r="R59" s="29"/>
      <c r="S59" s="31"/>
    </row>
  </sheetData>
  <mergeCells count="15">
    <mergeCell ref="T8:U9"/>
    <mergeCell ref="E13:K17"/>
    <mergeCell ref="E12:K12"/>
    <mergeCell ref="L20:O24"/>
    <mergeCell ref="L18:O19"/>
    <mergeCell ref="M12:S13"/>
    <mergeCell ref="Q16:T16"/>
    <mergeCell ref="Q17:T18"/>
    <mergeCell ref="S21:T26"/>
    <mergeCell ref="R19:T20"/>
    <mergeCell ref="V16:Y16"/>
    <mergeCell ref="V17:Y18"/>
    <mergeCell ref="W19:Y20"/>
    <mergeCell ref="X21:Y24"/>
    <mergeCell ref="F25:F26"/>
  </mergeCells>
  <conditionalFormatting sqref="N33:N50">
    <cfRule type="cellIs" dxfId="52" priority="9" operator="equal">
      <formula>"NOT OK"</formula>
    </cfRule>
    <cfRule type="cellIs" dxfId="51" priority="10" operator="equal">
      <formula>"OK"</formula>
    </cfRule>
  </conditionalFormatting>
  <conditionalFormatting sqref="P30:P53">
    <cfRule type="cellIs" dxfId="50" priority="5" operator="equal">
      <formula>0</formula>
    </cfRule>
    <cfRule type="cellIs" dxfId="49" priority="6" operator="equal">
      <formula>1</formula>
    </cfRule>
  </conditionalFormatting>
  <conditionalFormatting sqref="R26">
    <cfRule type="cellIs" dxfId="48" priority="7" operator="equal">
      <formula>"H0 Rejected"</formula>
    </cfRule>
    <cfRule type="cellIs" dxfId="47" priority="8" operator="equal">
      <formula>"H0 Accepted"</formula>
    </cfRule>
  </conditionalFormatting>
  <conditionalFormatting sqref="W24">
    <cfRule type="cellIs" dxfId="46" priority="1" operator="equal">
      <formula>"H0 Rejected"</formula>
    </cfRule>
    <cfRule type="cellIs" dxfId="45" priority="2" operator="equal">
      <formula>"H0 Accepted"</formula>
    </cfRule>
  </conditionalFormatting>
  <pageMargins left="0.7" right="0.7" top="0.75" bottom="0.75" header="0.3" footer="0.3"/>
  <pageSetup paperSize="9" orientation="portrait" r:id="rId1"/>
  <ignoredErrors>
    <ignoredError sqref="B33:F50 B29:E29 B30:C30 B31:C32 B51:C53 H25:H26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A6BC-E20A-466E-AEC6-F42D7A9CBFD0}">
  <dimension ref="B2:Y59"/>
  <sheetViews>
    <sheetView workbookViewId="0">
      <selection activeCell="D29" sqref="D29"/>
    </sheetView>
  </sheetViews>
  <sheetFormatPr defaultRowHeight="14.4" x14ac:dyDescent="0.3"/>
  <cols>
    <col min="2" max="2" width="4.6640625" customWidth="1"/>
    <col min="3" max="3" width="6.33203125" customWidth="1"/>
    <col min="4" max="4" width="9.44140625" bestFit="1" customWidth="1"/>
    <col min="5" max="5" width="9.44140625" customWidth="1"/>
    <col min="6" max="6" width="9" bestFit="1" customWidth="1"/>
    <col min="12" max="12" width="11" customWidth="1"/>
    <col min="17" max="17" width="10.6640625" customWidth="1"/>
    <col min="22" max="22" width="10.88671875" customWidth="1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  <c r="V2" t="s">
        <v>52</v>
      </c>
    </row>
    <row r="3" spans="2:25" ht="15.6" x14ac:dyDescent="0.3">
      <c r="B3" s="4">
        <v>1</v>
      </c>
      <c r="C3" s="4">
        <v>125</v>
      </c>
      <c r="V3" t="s">
        <v>53</v>
      </c>
    </row>
    <row r="4" spans="2:25" ht="15.6" x14ac:dyDescent="0.3">
      <c r="B4" s="4">
        <v>2</v>
      </c>
      <c r="C4" s="4">
        <v>111</v>
      </c>
      <c r="V4" t="s">
        <v>54</v>
      </c>
    </row>
    <row r="5" spans="2:25" ht="15.6" x14ac:dyDescent="0.3">
      <c r="B5" s="4">
        <v>3</v>
      </c>
      <c r="C5" s="4">
        <v>126</v>
      </c>
    </row>
    <row r="6" spans="2:25" ht="15.6" x14ac:dyDescent="0.3">
      <c r="B6" s="4">
        <v>4</v>
      </c>
      <c r="C6" s="4">
        <v>107</v>
      </c>
    </row>
    <row r="7" spans="2:25" ht="15.6" x14ac:dyDescent="0.3">
      <c r="B7" s="4">
        <v>5</v>
      </c>
      <c r="C7" s="4">
        <v>95</v>
      </c>
    </row>
    <row r="8" spans="2:25" ht="15.6" x14ac:dyDescent="0.3">
      <c r="B8" s="4">
        <v>6</v>
      </c>
      <c r="C8" s="4">
        <v>138</v>
      </c>
      <c r="T8" s="119" t="s">
        <v>2</v>
      </c>
      <c r="U8" s="120"/>
    </row>
    <row r="9" spans="2:25" ht="15.6" x14ac:dyDescent="0.3">
      <c r="B9" s="4">
        <v>7</v>
      </c>
      <c r="C9" s="4">
        <v>156</v>
      </c>
      <c r="T9" s="121"/>
      <c r="U9" s="122"/>
    </row>
    <row r="10" spans="2:25" ht="15.6" x14ac:dyDescent="0.3">
      <c r="B10" s="4">
        <v>8</v>
      </c>
      <c r="C10" s="4">
        <v>142</v>
      </c>
      <c r="T10" s="37" t="s">
        <v>3</v>
      </c>
      <c r="U10" s="38">
        <f>AVERAGE(R30:R53)</f>
        <v>0.48584342054208979</v>
      </c>
    </row>
    <row r="11" spans="2:25" ht="15.6" x14ac:dyDescent="0.3">
      <c r="B11" s="4">
        <v>9</v>
      </c>
      <c r="C11" s="4">
        <v>157</v>
      </c>
      <c r="T11" s="37" t="s">
        <v>4</v>
      </c>
      <c r="U11" s="39" cm="1">
        <f t="array" ref="U11">AVERAGE(ABS(R30:R53))</f>
        <v>2.8166446997006322</v>
      </c>
    </row>
    <row r="12" spans="2:25" ht="15.6" x14ac:dyDescent="0.3">
      <c r="B12" s="4">
        <v>10</v>
      </c>
      <c r="C12" s="4">
        <v>137</v>
      </c>
      <c r="E12" s="124" t="s">
        <v>5</v>
      </c>
      <c r="F12" s="124"/>
      <c r="G12" s="124"/>
      <c r="H12" s="124"/>
      <c r="I12" s="124"/>
      <c r="J12" s="124"/>
      <c r="K12" s="124"/>
      <c r="M12" s="127" t="s">
        <v>55</v>
      </c>
      <c r="N12" s="127"/>
      <c r="O12" s="127"/>
      <c r="P12" s="127"/>
      <c r="Q12" s="127"/>
      <c r="R12" s="127"/>
      <c r="S12" s="127"/>
      <c r="T12" s="40" t="s">
        <v>7</v>
      </c>
      <c r="U12" s="41">
        <f>AVERAGE(S30:S53)</f>
        <v>1.8206220700333203E-2</v>
      </c>
    </row>
    <row r="13" spans="2:25" ht="15.6" customHeight="1" x14ac:dyDescent="0.3">
      <c r="B13" s="4">
        <v>11</v>
      </c>
      <c r="C13" s="4">
        <v>126</v>
      </c>
      <c r="E13" s="123" t="s">
        <v>8</v>
      </c>
      <c r="F13" s="123"/>
      <c r="G13" s="123"/>
      <c r="H13" s="123"/>
      <c r="I13" s="123"/>
      <c r="J13" s="123"/>
      <c r="K13" s="123"/>
      <c r="M13" s="127"/>
      <c r="N13" s="127"/>
      <c r="O13" s="127"/>
      <c r="P13" s="127"/>
      <c r="Q13" s="127"/>
      <c r="R13" s="127"/>
      <c r="S13" s="127"/>
      <c r="T13" t="s">
        <v>9</v>
      </c>
      <c r="U13" t="s">
        <v>10</v>
      </c>
    </row>
    <row r="14" spans="2:25" ht="15.6" x14ac:dyDescent="0.3">
      <c r="B14" s="4">
        <v>12</v>
      </c>
      <c r="C14" s="4">
        <v>171</v>
      </c>
      <c r="E14" s="123"/>
      <c r="F14" s="123"/>
      <c r="G14" s="123"/>
      <c r="H14" s="123"/>
      <c r="I14" s="123"/>
      <c r="J14" s="123"/>
      <c r="K14" s="123"/>
    </row>
    <row r="15" spans="2:25" ht="15.6" x14ac:dyDescent="0.3">
      <c r="B15" s="4">
        <v>13</v>
      </c>
      <c r="C15" s="4">
        <v>183</v>
      </c>
      <c r="E15" s="123"/>
      <c r="F15" s="123"/>
      <c r="G15" s="123"/>
      <c r="H15" s="123"/>
      <c r="I15" s="123"/>
      <c r="J15" s="123"/>
      <c r="K15" s="123"/>
    </row>
    <row r="16" spans="2:25" ht="15.75" customHeight="1" x14ac:dyDescent="0.3">
      <c r="B16" s="4">
        <v>14</v>
      </c>
      <c r="C16" s="4">
        <v>172</v>
      </c>
      <c r="E16" s="123"/>
      <c r="F16" s="123"/>
      <c r="G16" s="123"/>
      <c r="H16" s="123"/>
      <c r="I16" s="123"/>
      <c r="J16" s="123"/>
      <c r="K16" s="123"/>
      <c r="Q16" s="128" t="s">
        <v>11</v>
      </c>
      <c r="R16" s="129"/>
      <c r="S16" s="129"/>
      <c r="T16" s="130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3"/>
      <c r="F17" s="123"/>
      <c r="G17" s="123"/>
      <c r="H17" s="123"/>
      <c r="I17" s="123"/>
      <c r="J17" s="123"/>
      <c r="K17" s="123"/>
      <c r="Q17" s="131" t="s">
        <v>12</v>
      </c>
      <c r="R17" s="132"/>
      <c r="S17" s="132"/>
      <c r="T17" s="133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28"/>
      <c r="J18" s="28"/>
      <c r="L18" s="126" t="s">
        <v>14</v>
      </c>
      <c r="M18" s="126"/>
      <c r="N18" s="126"/>
      <c r="O18" s="126"/>
      <c r="Q18" s="131"/>
      <c r="R18" s="132"/>
      <c r="S18" s="132"/>
      <c r="T18" s="133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28"/>
      <c r="J19" s="28"/>
      <c r="L19" s="126"/>
      <c r="M19" s="126"/>
      <c r="N19" s="126"/>
      <c r="O19" s="126"/>
      <c r="Q19" s="32" t="s">
        <v>56</v>
      </c>
      <c r="R19" s="138" t="s">
        <v>57</v>
      </c>
      <c r="S19" s="139"/>
      <c r="T19" s="140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58</v>
      </c>
      <c r="M20" s="125"/>
      <c r="N20" s="125"/>
      <c r="O20" s="125"/>
      <c r="Q20" s="32" t="s">
        <v>59</v>
      </c>
      <c r="R20" s="141"/>
      <c r="S20" s="142"/>
      <c r="T20" s="143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33" t="s">
        <v>22</v>
      </c>
      <c r="R21" s="43">
        <f>MAX(B30:B53)- COUNTIF(P30:P53,1)</f>
        <v>24</v>
      </c>
      <c r="S21" s="134"/>
      <c r="T21" s="135"/>
      <c r="V21" s="98" t="s">
        <v>23</v>
      </c>
      <c r="W21" s="95">
        <f>CORREL(P33:P49,P34:P50)</f>
        <v>0.16341450394503187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33" t="s">
        <v>24</v>
      </c>
      <c r="R22" s="19">
        <f>AVERAGE(P30:P59)</f>
        <v>0.99614544291570029</v>
      </c>
      <c r="S22" s="134"/>
      <c r="T22" s="135"/>
      <c r="V22" s="98" t="s">
        <v>25</v>
      </c>
      <c r="W22" s="95">
        <f>(W21)/(1/SQRT(R21))</f>
        <v>0.80056430247071342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33" t="s">
        <v>26</v>
      </c>
      <c r="R23" s="19">
        <f>_xlfn.STDEV.S(P30:P59)</f>
        <v>1.9377263322715142E-2</v>
      </c>
      <c r="S23" s="134"/>
      <c r="T23" s="135"/>
      <c r="V23" s="99" t="s">
        <v>27</v>
      </c>
      <c r="W23" s="96">
        <v>0.05</v>
      </c>
      <c r="X23" s="113"/>
      <c r="Y23" s="114"/>
    </row>
    <row r="24" spans="2:25" ht="15.6" x14ac:dyDescent="0.3">
      <c r="B24" s="4">
        <v>22</v>
      </c>
      <c r="C24" s="4">
        <v>196</v>
      </c>
      <c r="L24" s="125"/>
      <c r="M24" s="125"/>
      <c r="N24" s="125"/>
      <c r="O24" s="125"/>
      <c r="Q24" s="33" t="s">
        <v>25</v>
      </c>
      <c r="R24" s="5">
        <f>(R22-1)/(R23/SQRT(R21))</f>
        <v>-0.97451305519456732</v>
      </c>
      <c r="S24" s="134"/>
      <c r="T24" s="135"/>
      <c r="V24" s="100" t="s">
        <v>28</v>
      </c>
      <c r="W24" s="101" t="str">
        <f>IF(AND(W22&gt;_xlfn.NORM.INV(W23/2,0,1),W22&lt;_xlfn.NORM.INV(1-W23/2,0,1)),"H0 Accepted","H0 Rejected")</f>
        <v>H0 Accepted</v>
      </c>
      <c r="X24" s="115"/>
      <c r="Y24" s="116"/>
    </row>
    <row r="25" spans="2:25" ht="15.6" x14ac:dyDescent="0.3">
      <c r="B25" s="4">
        <v>23</v>
      </c>
      <c r="C25" s="4">
        <v>185</v>
      </c>
      <c r="F25" s="117" t="s">
        <v>29</v>
      </c>
      <c r="G25" s="13" t="s">
        <v>30</v>
      </c>
      <c r="H25" s="11">
        <f>INTERCEPT(F33:F50,B33:B50)</f>
        <v>99.759287925696583</v>
      </c>
      <c r="Q25" s="34" t="s">
        <v>27</v>
      </c>
      <c r="R25" s="16">
        <v>0.05</v>
      </c>
      <c r="S25" s="134"/>
      <c r="T25" s="135"/>
    </row>
    <row r="26" spans="2:25" ht="16.2" thickBot="1" x14ac:dyDescent="0.35">
      <c r="B26" s="4">
        <v>24</v>
      </c>
      <c r="C26" s="4">
        <v>232</v>
      </c>
      <c r="F26" s="118"/>
      <c r="G26" s="13" t="s">
        <v>31</v>
      </c>
      <c r="H26" s="11">
        <f>SLOPE(F33:F50,B33:B50)</f>
        <v>5.0181458548331621</v>
      </c>
      <c r="J26" s="15" t="s">
        <v>32</v>
      </c>
      <c r="L26" s="15" t="s">
        <v>60</v>
      </c>
      <c r="M26" s="42">
        <v>6</v>
      </c>
      <c r="O26" s="18" t="s">
        <v>61</v>
      </c>
      <c r="Q26" s="35" t="s">
        <v>28</v>
      </c>
      <c r="R26" s="36" t="str">
        <f>IF(AND(R24&gt;_xlfn.NORM.INV(R25/2,0,1),R24&lt;_xlfn.NORM.INV(1-R25/2,0,1)),"H0 Accepted","H0 Rejected")</f>
        <v>H0 Accepted</v>
      </c>
      <c r="S26" s="136"/>
      <c r="T26" s="137"/>
    </row>
    <row r="27" spans="2:25" x14ac:dyDescent="0.3">
      <c r="J27" s="12">
        <f>SUM(J30:J35)</f>
        <v>5.9768726574942006</v>
      </c>
      <c r="L27" s="15" t="s">
        <v>27</v>
      </c>
      <c r="M27" s="16">
        <v>0.05</v>
      </c>
      <c r="O27" s="12">
        <f>SUM(O30:O35)</f>
        <v>6.0000000000000009</v>
      </c>
    </row>
    <row r="28" spans="2:25" ht="6.6" customHeight="1" x14ac:dyDescent="0.3"/>
    <row r="29" spans="2:25" ht="27.6" x14ac:dyDescent="0.3">
      <c r="B29" s="9" t="s">
        <v>0</v>
      </c>
      <c r="C29" s="9" t="s">
        <v>34</v>
      </c>
      <c r="D29" s="10" t="s">
        <v>35</v>
      </c>
      <c r="E29" s="10" t="s">
        <v>36</v>
      </c>
      <c r="F29" s="10" t="s">
        <v>37</v>
      </c>
      <c r="G29" s="10" t="s">
        <v>38</v>
      </c>
      <c r="H29" s="10" t="s">
        <v>39</v>
      </c>
      <c r="I29" s="10" t="s">
        <v>62</v>
      </c>
      <c r="J29" s="10" t="s">
        <v>41</v>
      </c>
      <c r="K29" s="10" t="s">
        <v>63</v>
      </c>
      <c r="L29" s="10" t="s">
        <v>43</v>
      </c>
      <c r="M29" s="17" t="s">
        <v>44</v>
      </c>
      <c r="N29" s="10" t="s">
        <v>45</v>
      </c>
      <c r="O29" s="10" t="s">
        <v>46</v>
      </c>
      <c r="P29" s="10" t="s">
        <v>47</v>
      </c>
      <c r="Q29" s="17" t="s">
        <v>64</v>
      </c>
      <c r="R29" s="10" t="s">
        <v>49</v>
      </c>
      <c r="S29" s="10" t="s">
        <v>50</v>
      </c>
    </row>
    <row r="30" spans="2:25" ht="15.6" x14ac:dyDescent="0.3">
      <c r="B30" s="6">
        <v>1</v>
      </c>
      <c r="C30" s="6">
        <v>125</v>
      </c>
      <c r="D30" s="7" t="s">
        <v>51</v>
      </c>
      <c r="E30" s="7" t="str">
        <f>IF(D30="-","-","")</f>
        <v>-</v>
      </c>
      <c r="F30" s="7" t="str">
        <f>IF(E30="-","-","")</f>
        <v>-</v>
      </c>
      <c r="G30" s="29">
        <f>$H$25+$H$26*B30</f>
        <v>104.77743378052975</v>
      </c>
      <c r="H30" s="7" t="str">
        <f>IF(D30="-","-","")</f>
        <v>-</v>
      </c>
      <c r="I30" s="7" t="str">
        <f>IF(E30="-","-","")</f>
        <v>-</v>
      </c>
      <c r="J30" s="29">
        <f>AVERAGE(I30,I36,I42,I48)</f>
        <v>1.129510170800015</v>
      </c>
      <c r="K30" s="29">
        <f>_xlfn.STDEV.S(I30,I36,I42,I48)</f>
        <v>2.3136744510302218E-2</v>
      </c>
      <c r="L30" s="29">
        <f>J30-K30*2</f>
        <v>1.0832366817794106</v>
      </c>
      <c r="M30" s="29">
        <f>J30+K30*2</f>
        <v>1.1757836598206195</v>
      </c>
      <c r="N30" s="7" t="str">
        <f>IF(D30="-","-","")</f>
        <v>-</v>
      </c>
      <c r="O30" s="29">
        <f>J30*COUNT($J$30:$J$35)/$J$27</f>
        <v>1.1338807789894203</v>
      </c>
      <c r="P30" s="29"/>
      <c r="Q30" s="29">
        <f>IF($R$26 = "H0 Accepted", G30*O30, G30*O30*P30)</f>
        <v>118.80511823557947</v>
      </c>
      <c r="R30" s="29">
        <f>C30-Q30</f>
        <v>6.1948817644205292</v>
      </c>
      <c r="S30" s="31">
        <f>ABS(R30)/C30</f>
        <v>4.955905411536423E-2</v>
      </c>
    </row>
    <row r="31" spans="2:25" ht="15.6" x14ac:dyDescent="0.3">
      <c r="B31" s="6">
        <v>2</v>
      </c>
      <c r="C31" s="6">
        <v>111</v>
      </c>
      <c r="D31" s="7" t="s">
        <v>51</v>
      </c>
      <c r="E31" s="7" t="str">
        <f t="shared" ref="E31:F31" si="0">IF(D31="-","-","")</f>
        <v>-</v>
      </c>
      <c r="F31" s="7" t="str">
        <f t="shared" si="0"/>
        <v>-</v>
      </c>
      <c r="G31" s="29">
        <f t="shared" ref="G31:G59" si="1">$H$25+$H$26*B31</f>
        <v>109.79557963536291</v>
      </c>
      <c r="H31" s="7" t="str">
        <f t="shared" ref="H31:H32" si="2">IF(D31="-","-","")</f>
        <v>-</v>
      </c>
      <c r="I31" s="7" t="str">
        <f t="shared" ref="I31:I32" si="3">IF(E31="-","-","")</f>
        <v>-</v>
      </c>
      <c r="J31" s="29">
        <f t="shared" ref="J31:J35" si="4">AVERAGE(I31,I37,I43,I49)</f>
        <v>1.0124167336255407</v>
      </c>
      <c r="K31" s="29">
        <f t="shared" ref="K31:K35" si="5">_xlfn.STDEV.S(I31,I37,I43,I49)</f>
        <v>3.6337082039898639E-3</v>
      </c>
      <c r="L31" s="29">
        <f t="shared" ref="L31:L53" si="6">J31-K31*2</f>
        <v>1.005149317217561</v>
      </c>
      <c r="M31" s="29">
        <f t="shared" ref="M31:M53" si="7">J31+K31*2</f>
        <v>1.0196841500335205</v>
      </c>
      <c r="N31" s="7" t="str">
        <f t="shared" ref="N31:N32" si="8">IF(D31="-","-","")</f>
        <v>-</v>
      </c>
      <c r="O31" s="29">
        <f t="shared" ref="O31:O35" si="9">J31*COUNT($J$30:$J$35)/$J$27</f>
        <v>1.0163342520166683</v>
      </c>
      <c r="P31" s="29"/>
      <c r="Q31" s="29">
        <f t="shared" ref="Q31:Q59" si="10">IF($R$26 = "H0 Accepted", G31*O31, G31*O31*P31)</f>
        <v>111.58900830344309</v>
      </c>
      <c r="R31" s="29">
        <f t="shared" ref="R31:R53" si="11">C31-Q31</f>
        <v>-0.58900830344309441</v>
      </c>
      <c r="S31" s="31">
        <f t="shared" ref="S31:S53" si="12">ABS(R31)/C31</f>
        <v>5.3063811120999498E-3</v>
      </c>
    </row>
    <row r="32" spans="2:25" ht="15.6" x14ac:dyDescent="0.3">
      <c r="B32" s="6">
        <v>3</v>
      </c>
      <c r="C32" s="6">
        <v>126</v>
      </c>
      <c r="D32" s="7" t="s">
        <v>51</v>
      </c>
      <c r="E32" s="7" t="str">
        <f t="shared" ref="E32:F32" si="13">IF(D32="-","-","")</f>
        <v>-</v>
      </c>
      <c r="F32" s="7" t="str">
        <f t="shared" si="13"/>
        <v>-</v>
      </c>
      <c r="G32" s="29">
        <f t="shared" si="1"/>
        <v>114.81372549019608</v>
      </c>
      <c r="H32" s="7" t="str">
        <f t="shared" si="2"/>
        <v>-</v>
      </c>
      <c r="I32" s="7" t="str">
        <f t="shared" si="3"/>
        <v>-</v>
      </c>
      <c r="J32" s="29">
        <f t="shared" si="4"/>
        <v>1.0625259469305384</v>
      </c>
      <c r="K32" s="29">
        <f t="shared" si="5"/>
        <v>1.672928544194224E-2</v>
      </c>
      <c r="L32" s="29">
        <f t="shared" si="6"/>
        <v>1.029067376046654</v>
      </c>
      <c r="M32" s="29">
        <f t="shared" si="7"/>
        <v>1.0959845178144227</v>
      </c>
      <c r="N32" s="7" t="str">
        <f t="shared" si="8"/>
        <v>-</v>
      </c>
      <c r="O32" s="29">
        <f t="shared" si="9"/>
        <v>1.0666373615287981</v>
      </c>
      <c r="P32" s="29"/>
      <c r="Q32" s="29">
        <f t="shared" si="10"/>
        <v>122.46460922415446</v>
      </c>
      <c r="R32" s="29">
        <f t="shared" si="11"/>
        <v>3.5353907758455421</v>
      </c>
      <c r="S32" s="31">
        <f t="shared" si="12"/>
        <v>2.8058656951155097E-2</v>
      </c>
    </row>
    <row r="33" spans="2:19" ht="15.6" x14ac:dyDescent="0.3">
      <c r="B33" s="6">
        <v>4</v>
      </c>
      <c r="C33" s="6">
        <v>107</v>
      </c>
      <c r="D33" s="7">
        <f>SUM(C31:C36)/6</f>
        <v>122.16666666666667</v>
      </c>
      <c r="E33" s="7">
        <f>SUM(C30:C35)/6</f>
        <v>117</v>
      </c>
      <c r="F33" s="8">
        <f>AVERAGE(D33:E33)</f>
        <v>119.58333333333334</v>
      </c>
      <c r="G33" s="29">
        <f t="shared" si="1"/>
        <v>119.83187134502923</v>
      </c>
      <c r="H33" s="29">
        <f>F33/G33</f>
        <v>0.99792594400048817</v>
      </c>
      <c r="I33" s="29">
        <f>C33/F33</f>
        <v>0.89477351916376302</v>
      </c>
      <c r="J33" s="29">
        <f t="shared" si="4"/>
        <v>0.90798139673408718</v>
      </c>
      <c r="K33" s="29">
        <f t="shared" si="5"/>
        <v>1.2047391120567616E-2</v>
      </c>
      <c r="L33" s="29">
        <f t="shared" si="6"/>
        <v>0.88388661449295192</v>
      </c>
      <c r="M33" s="29">
        <f t="shared" si="7"/>
        <v>0.93207617897522244</v>
      </c>
      <c r="N33" s="30" t="str">
        <f>IF(AND(I33&gt;L33,I33&lt;M33),"OK","NOT OK")</f>
        <v>OK</v>
      </c>
      <c r="O33" s="29">
        <f t="shared" si="9"/>
        <v>0.91149480549390627</v>
      </c>
      <c r="P33" s="29">
        <f t="shared" ref="P33:P50" si="14">IF(D33="-",1,I33/O33)</f>
        <v>0.98165509421517483</v>
      </c>
      <c r="Q33" s="29">
        <f t="shared" si="10"/>
        <v>109.22612826360822</v>
      </c>
      <c r="R33" s="29">
        <f t="shared" si="11"/>
        <v>-2.2261282636082171</v>
      </c>
      <c r="S33" s="31">
        <f t="shared" si="12"/>
        <v>2.0804937043067451E-2</v>
      </c>
    </row>
    <row r="34" spans="2:19" ht="15.6" x14ac:dyDescent="0.3">
      <c r="B34" s="6">
        <v>5</v>
      </c>
      <c r="C34" s="6">
        <v>95</v>
      </c>
      <c r="D34" s="7">
        <f t="shared" ref="D34:D50" si="15">SUM(C32:C37)/6</f>
        <v>127.33333333333333</v>
      </c>
      <c r="E34" s="7">
        <f t="shared" ref="E34:E50" si="16">SUM(C31:C36)/6</f>
        <v>122.16666666666667</v>
      </c>
      <c r="F34" s="8">
        <f t="shared" ref="F34:F50" si="17">AVERAGE(D34:E34)</f>
        <v>124.75</v>
      </c>
      <c r="G34" s="29">
        <f t="shared" si="1"/>
        <v>124.85001719986239</v>
      </c>
      <c r="H34" s="29">
        <f t="shared" ref="H34:H50" si="18">F34/G34</f>
        <v>0.99919890119276245</v>
      </c>
      <c r="I34" s="29">
        <f t="shared" ref="I34:I50" si="19">C34/F34</f>
        <v>0.76152304609218435</v>
      </c>
      <c r="J34" s="29">
        <f t="shared" si="4"/>
        <v>0.80354560988366386</v>
      </c>
      <c r="K34" s="29">
        <f t="shared" si="5"/>
        <v>3.8488219426496419E-2</v>
      </c>
      <c r="L34" s="29">
        <f t="shared" si="6"/>
        <v>0.72656917103067098</v>
      </c>
      <c r="M34" s="29">
        <f t="shared" si="7"/>
        <v>0.88052204873665674</v>
      </c>
      <c r="N34" s="30" t="str">
        <f t="shared" ref="N34:N50" si="20">IF(AND(I34&gt;L34,I34&lt;M34),"OK","NOT OK")</f>
        <v>OK</v>
      </c>
      <c r="O34" s="29">
        <f t="shared" si="9"/>
        <v>0.80665490727107092</v>
      </c>
      <c r="P34" s="29">
        <f t="shared" si="14"/>
        <v>0.94405059614455389</v>
      </c>
      <c r="Q34" s="29">
        <f t="shared" si="10"/>
        <v>100.71087904714661</v>
      </c>
      <c r="R34" s="29">
        <f t="shared" si="11"/>
        <v>-5.7108790471466051</v>
      </c>
      <c r="S34" s="31">
        <f t="shared" si="12"/>
        <v>6.011451628575374E-2</v>
      </c>
    </row>
    <row r="35" spans="2:19" s="14" customFormat="1" ht="16.2" thickBot="1" x14ac:dyDescent="0.35">
      <c r="B35" s="6">
        <v>6</v>
      </c>
      <c r="C35" s="6">
        <v>138</v>
      </c>
      <c r="D35" s="7">
        <f t="shared" si="15"/>
        <v>132.5</v>
      </c>
      <c r="E35" s="7">
        <f t="shared" si="16"/>
        <v>127.33333333333333</v>
      </c>
      <c r="F35" s="8">
        <f t="shared" si="17"/>
        <v>129.91666666666666</v>
      </c>
      <c r="G35" s="29">
        <f t="shared" si="1"/>
        <v>129.86816305469557</v>
      </c>
      <c r="H35" s="29">
        <f t="shared" si="18"/>
        <v>1.0003734834683899</v>
      </c>
      <c r="I35" s="29">
        <f t="shared" si="19"/>
        <v>1.0622193713919179</v>
      </c>
      <c r="J35" s="29">
        <f t="shared" si="4"/>
        <v>1.0608927995203559</v>
      </c>
      <c r="K35" s="29">
        <f t="shared" si="5"/>
        <v>8.5975888162471929E-3</v>
      </c>
      <c r="L35" s="29">
        <f t="shared" si="6"/>
        <v>1.0436976218878615</v>
      </c>
      <c r="M35" s="29">
        <f t="shared" si="7"/>
        <v>1.0780879771528502</v>
      </c>
      <c r="N35" s="30" t="str">
        <f t="shared" si="20"/>
        <v>OK</v>
      </c>
      <c r="O35" s="29">
        <f t="shared" si="9"/>
        <v>1.0649978947001368</v>
      </c>
      <c r="P35" s="29">
        <f t="shared" si="14"/>
        <v>0.99739105276916884</v>
      </c>
      <c r="Q35" s="29">
        <f t="shared" si="10"/>
        <v>138.30932024182488</v>
      </c>
      <c r="R35" s="29">
        <f t="shared" si="11"/>
        <v>-0.30932024182487794</v>
      </c>
      <c r="S35" s="31">
        <f t="shared" si="12"/>
        <v>2.2414510277165068E-3</v>
      </c>
    </row>
    <row r="36" spans="2:19" ht="15.6" x14ac:dyDescent="0.3">
      <c r="B36" s="6">
        <v>7</v>
      </c>
      <c r="C36" s="6">
        <v>156</v>
      </c>
      <c r="D36" s="7">
        <f t="shared" si="15"/>
        <v>137.5</v>
      </c>
      <c r="E36" s="7">
        <f t="shared" si="16"/>
        <v>132.5</v>
      </c>
      <c r="F36" s="8">
        <f t="shared" si="17"/>
        <v>135</v>
      </c>
      <c r="G36" s="29">
        <f t="shared" si="1"/>
        <v>134.88630890952871</v>
      </c>
      <c r="H36" s="29">
        <f t="shared" si="18"/>
        <v>1.0008428660506052</v>
      </c>
      <c r="I36" s="29">
        <f t="shared" si="19"/>
        <v>1.1555555555555554</v>
      </c>
      <c r="J36" s="29">
        <f>J30</f>
        <v>1.129510170800015</v>
      </c>
      <c r="K36" s="29">
        <f>K30</f>
        <v>2.3136744510302218E-2</v>
      </c>
      <c r="L36" s="29">
        <f t="shared" si="6"/>
        <v>1.0832366817794106</v>
      </c>
      <c r="M36" s="29">
        <f t="shared" si="7"/>
        <v>1.1757836598206195</v>
      </c>
      <c r="N36" s="30" t="str">
        <f t="shared" si="20"/>
        <v>OK</v>
      </c>
      <c r="O36" s="29">
        <f>O30</f>
        <v>1.1338807789894203</v>
      </c>
      <c r="P36" s="29">
        <f t="shared" si="14"/>
        <v>1.0191155692624518</v>
      </c>
      <c r="Q36" s="29">
        <f t="shared" si="10"/>
        <v>152.944993021344</v>
      </c>
      <c r="R36" s="29">
        <f t="shared" si="11"/>
        <v>3.0550069786559959</v>
      </c>
      <c r="S36" s="31">
        <f t="shared" si="12"/>
        <v>1.9583378068307667E-2</v>
      </c>
    </row>
    <row r="37" spans="2:19" ht="15.6" x14ac:dyDescent="0.3">
      <c r="B37" s="6">
        <v>8</v>
      </c>
      <c r="C37" s="6">
        <v>142</v>
      </c>
      <c r="D37" s="7">
        <f t="shared" si="15"/>
        <v>142.66666666666666</v>
      </c>
      <c r="E37" s="7">
        <f t="shared" si="16"/>
        <v>137.5</v>
      </c>
      <c r="F37" s="8">
        <f t="shared" si="17"/>
        <v>140.08333333333331</v>
      </c>
      <c r="G37" s="29">
        <f t="shared" si="1"/>
        <v>139.90445476436187</v>
      </c>
      <c r="H37" s="29">
        <f t="shared" si="18"/>
        <v>1.0012785766491332</v>
      </c>
      <c r="I37" s="29">
        <f t="shared" si="19"/>
        <v>1.0136823319452708</v>
      </c>
      <c r="J37" s="29">
        <f t="shared" ref="J37:K52" si="21">J31</f>
        <v>1.0124167336255407</v>
      </c>
      <c r="K37" s="29">
        <f t="shared" si="21"/>
        <v>3.6337082039898639E-3</v>
      </c>
      <c r="L37" s="29">
        <f t="shared" si="6"/>
        <v>1.005149317217561</v>
      </c>
      <c r="M37" s="29">
        <f t="shared" si="7"/>
        <v>1.0196841500335205</v>
      </c>
      <c r="N37" s="30" t="str">
        <f t="shared" si="20"/>
        <v>OK</v>
      </c>
      <c r="O37" s="29">
        <f t="shared" ref="O37:O59" si="22">O31</f>
        <v>1.0163342520166683</v>
      </c>
      <c r="P37" s="29">
        <f t="shared" si="14"/>
        <v>0.99739070087804738</v>
      </c>
      <c r="Q37" s="29">
        <f t="shared" si="10"/>
        <v>142.18968938673751</v>
      </c>
      <c r="R37" s="29">
        <f t="shared" si="11"/>
        <v>-0.18968938673751268</v>
      </c>
      <c r="S37" s="31">
        <f t="shared" si="12"/>
        <v>1.3358407516726246E-3</v>
      </c>
    </row>
    <row r="38" spans="2:19" ht="15.6" x14ac:dyDescent="0.3">
      <c r="B38" s="6">
        <v>9</v>
      </c>
      <c r="C38" s="6">
        <v>157</v>
      </c>
      <c r="D38" s="7">
        <f t="shared" si="15"/>
        <v>148.16666666666666</v>
      </c>
      <c r="E38" s="7">
        <f t="shared" si="16"/>
        <v>142.66666666666666</v>
      </c>
      <c r="F38" s="8">
        <f t="shared" si="17"/>
        <v>145.41666666666666</v>
      </c>
      <c r="G38" s="29">
        <f t="shared" si="1"/>
        <v>144.92260061919504</v>
      </c>
      <c r="H38" s="29">
        <f t="shared" si="18"/>
        <v>1.0034091718293812</v>
      </c>
      <c r="I38" s="29">
        <f t="shared" si="19"/>
        <v>1.0796561604584527</v>
      </c>
      <c r="J38" s="29">
        <f t="shared" si="21"/>
        <v>1.0625259469305384</v>
      </c>
      <c r="K38" s="29">
        <f t="shared" si="21"/>
        <v>1.672928544194224E-2</v>
      </c>
      <c r="L38" s="29">
        <f t="shared" si="6"/>
        <v>1.029067376046654</v>
      </c>
      <c r="M38" s="29">
        <f t="shared" si="7"/>
        <v>1.0959845178144227</v>
      </c>
      <c r="N38" s="30" t="str">
        <f t="shared" si="20"/>
        <v>OK</v>
      </c>
      <c r="O38" s="29">
        <f t="shared" si="22"/>
        <v>1.0666373615287981</v>
      </c>
      <c r="P38" s="29">
        <f t="shared" si="14"/>
        <v>1.0122054593240526</v>
      </c>
      <c r="Q38" s="29">
        <f t="shared" si="10"/>
        <v>154.57986035034995</v>
      </c>
      <c r="R38" s="29">
        <f t="shared" si="11"/>
        <v>2.4201396496500536</v>
      </c>
      <c r="S38" s="31">
        <f t="shared" si="12"/>
        <v>1.5414902227070405E-2</v>
      </c>
    </row>
    <row r="39" spans="2:19" ht="15.6" x14ac:dyDescent="0.3">
      <c r="B39" s="6">
        <v>10</v>
      </c>
      <c r="C39" s="6">
        <v>137</v>
      </c>
      <c r="D39" s="7">
        <f t="shared" si="15"/>
        <v>152.66666666666666</v>
      </c>
      <c r="E39" s="7">
        <f t="shared" si="16"/>
        <v>148.16666666666666</v>
      </c>
      <c r="F39" s="8">
        <f t="shared" si="17"/>
        <v>150.41666666666666</v>
      </c>
      <c r="G39" s="29">
        <f t="shared" si="1"/>
        <v>149.9407464740282</v>
      </c>
      <c r="H39" s="29">
        <f t="shared" si="18"/>
        <v>1.0031740551106358</v>
      </c>
      <c r="I39" s="29">
        <f t="shared" si="19"/>
        <v>0.91080332409972309</v>
      </c>
      <c r="J39" s="29">
        <f t="shared" si="21"/>
        <v>0.90798139673408718</v>
      </c>
      <c r="K39" s="29">
        <f t="shared" si="21"/>
        <v>1.2047391120567616E-2</v>
      </c>
      <c r="L39" s="29">
        <f t="shared" si="6"/>
        <v>0.88388661449295192</v>
      </c>
      <c r="M39" s="29">
        <f t="shared" si="7"/>
        <v>0.93207617897522244</v>
      </c>
      <c r="N39" s="30" t="str">
        <f t="shared" si="20"/>
        <v>OK</v>
      </c>
      <c r="O39" s="29">
        <f t="shared" si="22"/>
        <v>0.91149480549390627</v>
      </c>
      <c r="P39" s="29">
        <f t="shared" si="14"/>
        <v>0.99924137648397404</v>
      </c>
      <c r="Q39" s="29">
        <f t="shared" si="10"/>
        <v>136.67021154295546</v>
      </c>
      <c r="R39" s="29">
        <f t="shared" si="11"/>
        <v>0.32978845704454329</v>
      </c>
      <c r="S39" s="31">
        <f t="shared" si="12"/>
        <v>2.4072150149236737E-3</v>
      </c>
    </row>
    <row r="40" spans="2:19" ht="15.6" x14ac:dyDescent="0.3">
      <c r="B40" s="6">
        <v>11</v>
      </c>
      <c r="C40" s="6">
        <v>126</v>
      </c>
      <c r="D40" s="7">
        <f t="shared" si="15"/>
        <v>157.66666666666666</v>
      </c>
      <c r="E40" s="7">
        <f t="shared" si="16"/>
        <v>152.66666666666666</v>
      </c>
      <c r="F40" s="8">
        <f t="shared" si="17"/>
        <v>155.16666666666666</v>
      </c>
      <c r="G40" s="29">
        <f t="shared" si="1"/>
        <v>154.95889232886137</v>
      </c>
      <c r="H40" s="29">
        <f>F40/G40</f>
        <v>1.0013408352026958</v>
      </c>
      <c r="I40" s="29">
        <f t="shared" si="19"/>
        <v>0.81203007518796999</v>
      </c>
      <c r="J40" s="29">
        <f t="shared" si="21"/>
        <v>0.80354560988366386</v>
      </c>
      <c r="K40" s="29">
        <f t="shared" si="21"/>
        <v>3.8488219426496419E-2</v>
      </c>
      <c r="L40" s="29">
        <f t="shared" si="6"/>
        <v>0.72656917103067098</v>
      </c>
      <c r="M40" s="29">
        <f t="shared" si="7"/>
        <v>0.88052204873665674</v>
      </c>
      <c r="N40" s="30" t="str">
        <f t="shared" si="20"/>
        <v>OK</v>
      </c>
      <c r="O40" s="29">
        <f t="shared" si="22"/>
        <v>0.80665490727107092</v>
      </c>
      <c r="P40" s="29">
        <f t="shared" si="14"/>
        <v>1.0066635284412802</v>
      </c>
      <c r="Q40" s="29">
        <f t="shared" si="10"/>
        <v>124.99835092236553</v>
      </c>
      <c r="R40" s="29">
        <f t="shared" si="11"/>
        <v>1.0016490776344682</v>
      </c>
      <c r="S40" s="31">
        <f t="shared" si="12"/>
        <v>7.9495958542418112E-3</v>
      </c>
    </row>
    <row r="41" spans="2:19" s="14" customFormat="1" ht="16.2" thickBot="1" x14ac:dyDescent="0.35">
      <c r="B41" s="6">
        <v>12</v>
      </c>
      <c r="C41" s="6">
        <v>171</v>
      </c>
      <c r="D41" s="7">
        <f t="shared" si="15"/>
        <v>162.33333333333334</v>
      </c>
      <c r="E41" s="7">
        <f t="shared" si="16"/>
        <v>157.66666666666666</v>
      </c>
      <c r="F41" s="8">
        <f t="shared" si="17"/>
        <v>160</v>
      </c>
      <c r="G41" s="29">
        <f t="shared" si="1"/>
        <v>159.97703818369453</v>
      </c>
      <c r="H41" s="29">
        <f t="shared" si="18"/>
        <v>1.0001435319503733</v>
      </c>
      <c r="I41" s="29">
        <f t="shared" si="19"/>
        <v>1.0687500000000001</v>
      </c>
      <c r="J41" s="29">
        <f t="shared" si="21"/>
        <v>1.0608927995203559</v>
      </c>
      <c r="K41" s="29">
        <f t="shared" si="21"/>
        <v>8.5975888162471929E-3</v>
      </c>
      <c r="L41" s="29">
        <f t="shared" si="6"/>
        <v>1.0436976218878615</v>
      </c>
      <c r="M41" s="29">
        <f t="shared" si="7"/>
        <v>1.0780879771528502</v>
      </c>
      <c r="N41" s="30" t="str">
        <f t="shared" si="20"/>
        <v>OK</v>
      </c>
      <c r="O41" s="29">
        <f t="shared" si="22"/>
        <v>1.0649978947001368</v>
      </c>
      <c r="P41" s="29">
        <f t="shared" si="14"/>
        <v>1.0035231105324576</v>
      </c>
      <c r="Q41" s="29">
        <f t="shared" si="10"/>
        <v>170.37520886599808</v>
      </c>
      <c r="R41" s="29">
        <f t="shared" si="11"/>
        <v>0.62479113400192432</v>
      </c>
      <c r="S41" s="31">
        <f t="shared" si="12"/>
        <v>3.6537493216486803E-3</v>
      </c>
    </row>
    <row r="42" spans="2:19" ht="15.6" x14ac:dyDescent="0.3">
      <c r="B42" s="6">
        <v>13</v>
      </c>
      <c r="C42" s="6">
        <v>183</v>
      </c>
      <c r="D42" s="7">
        <f t="shared" si="15"/>
        <v>167</v>
      </c>
      <c r="E42" s="7">
        <f t="shared" si="16"/>
        <v>162.33333333333334</v>
      </c>
      <c r="F42" s="8">
        <f t="shared" si="17"/>
        <v>164.66666666666669</v>
      </c>
      <c r="G42" s="29">
        <f t="shared" si="1"/>
        <v>164.9951840385277</v>
      </c>
      <c r="H42" s="29">
        <f t="shared" si="18"/>
        <v>0.99800892751036718</v>
      </c>
      <c r="I42" s="29">
        <f t="shared" si="19"/>
        <v>1.1113360323886639</v>
      </c>
      <c r="J42" s="29">
        <f t="shared" si="21"/>
        <v>1.129510170800015</v>
      </c>
      <c r="K42" s="29">
        <f t="shared" si="21"/>
        <v>2.3136744510302218E-2</v>
      </c>
      <c r="L42" s="29">
        <f t="shared" si="6"/>
        <v>1.0832366817794106</v>
      </c>
      <c r="M42" s="29">
        <f t="shared" si="7"/>
        <v>1.1757836598206195</v>
      </c>
      <c r="N42" s="30" t="str">
        <f t="shared" si="20"/>
        <v>OK</v>
      </c>
      <c r="O42" s="29">
        <f t="shared" si="22"/>
        <v>1.1338807789894203</v>
      </c>
      <c r="P42" s="29">
        <f t="shared" si="14"/>
        <v>0.98011718073142606</v>
      </c>
      <c r="Q42" s="29">
        <f t="shared" si="10"/>
        <v>187.08486780710854</v>
      </c>
      <c r="R42" s="29">
        <f t="shared" si="11"/>
        <v>-4.0848678071085374</v>
      </c>
      <c r="S42" s="31">
        <f t="shared" si="12"/>
        <v>2.232168200605758E-2</v>
      </c>
    </row>
    <row r="43" spans="2:19" ht="15.6" x14ac:dyDescent="0.3">
      <c r="B43" s="6">
        <v>14</v>
      </c>
      <c r="C43" s="6">
        <v>172</v>
      </c>
      <c r="D43" s="7">
        <f t="shared" si="15"/>
        <v>171.83333333333334</v>
      </c>
      <c r="E43" s="7">
        <f t="shared" si="16"/>
        <v>167</v>
      </c>
      <c r="F43" s="8">
        <f t="shared" si="17"/>
        <v>169.41666666666669</v>
      </c>
      <c r="G43" s="29">
        <f t="shared" si="1"/>
        <v>170.01332989336083</v>
      </c>
      <c r="H43" s="29">
        <f t="shared" si="18"/>
        <v>0.99649049149811719</v>
      </c>
      <c r="I43" s="29">
        <f t="shared" si="19"/>
        <v>1.0152484013772749</v>
      </c>
      <c r="J43" s="29">
        <f t="shared" si="21"/>
        <v>1.0124167336255407</v>
      </c>
      <c r="K43" s="29">
        <f t="shared" si="21"/>
        <v>3.6337082039898639E-3</v>
      </c>
      <c r="L43" s="29">
        <f t="shared" si="6"/>
        <v>1.005149317217561</v>
      </c>
      <c r="M43" s="29">
        <f t="shared" si="7"/>
        <v>1.0196841500335205</v>
      </c>
      <c r="N43" s="30" t="str">
        <f t="shared" si="20"/>
        <v>OK</v>
      </c>
      <c r="O43" s="29">
        <f t="shared" si="22"/>
        <v>1.0163342520166683</v>
      </c>
      <c r="P43" s="29">
        <f t="shared" si="14"/>
        <v>0.9989316008613911</v>
      </c>
      <c r="Q43" s="29">
        <f t="shared" si="10"/>
        <v>172.79037047003195</v>
      </c>
      <c r="R43" s="29">
        <f t="shared" si="11"/>
        <v>-0.79037047003194516</v>
      </c>
      <c r="S43" s="31">
        <f t="shared" si="12"/>
        <v>4.5951771513485186E-3</v>
      </c>
    </row>
    <row r="44" spans="2:19" ht="15.6" x14ac:dyDescent="0.3">
      <c r="B44" s="6">
        <v>15</v>
      </c>
      <c r="C44" s="6">
        <v>185</v>
      </c>
      <c r="D44" s="7">
        <f t="shared" si="15"/>
        <v>176.66666666666666</v>
      </c>
      <c r="E44" s="7">
        <f t="shared" si="16"/>
        <v>171.83333333333334</v>
      </c>
      <c r="F44" s="8">
        <f t="shared" si="17"/>
        <v>174.25</v>
      </c>
      <c r="G44" s="29">
        <f t="shared" si="1"/>
        <v>175.031475748194</v>
      </c>
      <c r="H44" s="29">
        <f t="shared" si="18"/>
        <v>0.99553522733637778</v>
      </c>
      <c r="I44" s="29">
        <f t="shared" si="19"/>
        <v>1.0616929698708752</v>
      </c>
      <c r="J44" s="29">
        <f t="shared" si="21"/>
        <v>1.0625259469305384</v>
      </c>
      <c r="K44" s="29">
        <f t="shared" si="21"/>
        <v>1.672928544194224E-2</v>
      </c>
      <c r="L44" s="29">
        <f t="shared" si="6"/>
        <v>1.029067376046654</v>
      </c>
      <c r="M44" s="29">
        <f t="shared" si="7"/>
        <v>1.0959845178144227</v>
      </c>
      <c r="N44" s="30" t="str">
        <f t="shared" si="20"/>
        <v>OK</v>
      </c>
      <c r="O44" s="29">
        <f t="shared" si="22"/>
        <v>1.0666373615287981</v>
      </c>
      <c r="P44" s="29">
        <f t="shared" si="14"/>
        <v>0.99536450546712885</v>
      </c>
      <c r="Q44" s="29">
        <f t="shared" si="10"/>
        <v>186.69511147654546</v>
      </c>
      <c r="R44" s="29">
        <f t="shared" si="11"/>
        <v>-1.6951114765454633</v>
      </c>
      <c r="S44" s="31">
        <f t="shared" si="12"/>
        <v>9.1627647380835859E-3</v>
      </c>
    </row>
    <row r="45" spans="2:19" ht="15.6" x14ac:dyDescent="0.3">
      <c r="B45" s="6">
        <v>16</v>
      </c>
      <c r="C45" s="6">
        <v>165</v>
      </c>
      <c r="D45" s="7">
        <f t="shared" si="15"/>
        <v>182.66666666666666</v>
      </c>
      <c r="E45" s="7">
        <f t="shared" si="16"/>
        <v>176.66666666666666</v>
      </c>
      <c r="F45" s="8">
        <f t="shared" si="17"/>
        <v>179.66666666666666</v>
      </c>
      <c r="G45" s="29">
        <f t="shared" si="1"/>
        <v>180.04962160302716</v>
      </c>
      <c r="H45" s="29">
        <f t="shared" si="18"/>
        <v>0.99787305892147415</v>
      </c>
      <c r="I45" s="29">
        <f t="shared" si="19"/>
        <v>0.91836734693877553</v>
      </c>
      <c r="J45" s="29">
        <f t="shared" si="21"/>
        <v>0.90798139673408718</v>
      </c>
      <c r="K45" s="29">
        <f t="shared" si="21"/>
        <v>1.2047391120567616E-2</v>
      </c>
      <c r="L45" s="29">
        <f t="shared" si="6"/>
        <v>0.88388661449295192</v>
      </c>
      <c r="M45" s="29">
        <f t="shared" si="7"/>
        <v>0.93207617897522244</v>
      </c>
      <c r="N45" s="30" t="str">
        <f t="shared" si="20"/>
        <v>OK</v>
      </c>
      <c r="O45" s="29">
        <f t="shared" si="22"/>
        <v>0.91149480549390627</v>
      </c>
      <c r="P45" s="29">
        <f t="shared" si="14"/>
        <v>1.0075398580479515</v>
      </c>
      <c r="Q45" s="29">
        <f t="shared" si="10"/>
        <v>164.11429482230267</v>
      </c>
      <c r="R45" s="29">
        <f t="shared" si="11"/>
        <v>0.88570517769733215</v>
      </c>
      <c r="S45" s="31">
        <f t="shared" si="12"/>
        <v>5.3679101678626188E-3</v>
      </c>
    </row>
    <row r="46" spans="2:19" ht="15.6" x14ac:dyDescent="0.3">
      <c r="B46" s="6">
        <v>17</v>
      </c>
      <c r="C46" s="6">
        <v>155</v>
      </c>
      <c r="D46" s="7">
        <f t="shared" si="15"/>
        <v>187.66666666666666</v>
      </c>
      <c r="E46" s="7">
        <f t="shared" si="16"/>
        <v>182.66666666666666</v>
      </c>
      <c r="F46" s="8">
        <f t="shared" si="17"/>
        <v>185.16666666666666</v>
      </c>
      <c r="G46" s="29">
        <f t="shared" si="1"/>
        <v>185.06776745786033</v>
      </c>
      <c r="H46" s="29">
        <f t="shared" si="18"/>
        <v>1.0005343945634879</v>
      </c>
      <c r="I46" s="29">
        <f t="shared" si="19"/>
        <v>0.83708370837083712</v>
      </c>
      <c r="J46" s="29">
        <f t="shared" si="21"/>
        <v>0.80354560988366386</v>
      </c>
      <c r="K46" s="29">
        <f t="shared" si="21"/>
        <v>3.8488219426496419E-2</v>
      </c>
      <c r="L46" s="29">
        <f t="shared" si="6"/>
        <v>0.72656917103067098</v>
      </c>
      <c r="M46" s="29">
        <f t="shared" si="7"/>
        <v>0.88052204873665674</v>
      </c>
      <c r="N46" s="30" t="str">
        <f t="shared" si="20"/>
        <v>OK</v>
      </c>
      <c r="O46" s="29">
        <f t="shared" si="22"/>
        <v>0.80665490727107092</v>
      </c>
      <c r="P46" s="29">
        <f t="shared" si="14"/>
        <v>1.0377222041612657</v>
      </c>
      <c r="Q46" s="29">
        <f t="shared" si="10"/>
        <v>149.28582279758444</v>
      </c>
      <c r="R46" s="29">
        <f t="shared" si="11"/>
        <v>5.7141772024155557</v>
      </c>
      <c r="S46" s="31">
        <f t="shared" si="12"/>
        <v>3.6865659370422937E-2</v>
      </c>
    </row>
    <row r="47" spans="2:19" s="14" customFormat="1" ht="16.2" thickBot="1" x14ac:dyDescent="0.35">
      <c r="B47" s="6">
        <v>18</v>
      </c>
      <c r="C47" s="6">
        <v>200</v>
      </c>
      <c r="D47" s="7">
        <f t="shared" si="15"/>
        <v>192.66666666666666</v>
      </c>
      <c r="E47" s="7">
        <f t="shared" si="16"/>
        <v>187.66666666666666</v>
      </c>
      <c r="F47" s="8">
        <f t="shared" si="17"/>
        <v>190.16666666666666</v>
      </c>
      <c r="G47" s="29">
        <f t="shared" si="1"/>
        <v>190.08591331269349</v>
      </c>
      <c r="H47" s="29">
        <f t="shared" si="18"/>
        <v>1.000424825556854</v>
      </c>
      <c r="I47" s="29">
        <f t="shared" si="19"/>
        <v>1.0517090271691498</v>
      </c>
      <c r="J47" s="29">
        <f t="shared" si="21"/>
        <v>1.0608927995203559</v>
      </c>
      <c r="K47" s="29">
        <f t="shared" si="21"/>
        <v>8.5975888162471929E-3</v>
      </c>
      <c r="L47" s="29">
        <f t="shared" si="6"/>
        <v>1.0436976218878615</v>
      </c>
      <c r="M47" s="29">
        <f t="shared" si="7"/>
        <v>1.0780879771528502</v>
      </c>
      <c r="N47" s="30" t="str">
        <f t="shared" si="20"/>
        <v>OK</v>
      </c>
      <c r="O47" s="29">
        <f t="shared" si="22"/>
        <v>1.0649978947001368</v>
      </c>
      <c r="P47" s="29">
        <f t="shared" si="14"/>
        <v>0.98752216544547378</v>
      </c>
      <c r="Q47" s="29">
        <f t="shared" si="10"/>
        <v>202.44109749017127</v>
      </c>
      <c r="R47" s="29">
        <f t="shared" si="11"/>
        <v>-2.4410974901712734</v>
      </c>
      <c r="S47" s="31">
        <f t="shared" si="12"/>
        <v>1.2205487450856367E-2</v>
      </c>
    </row>
    <row r="48" spans="2:19" ht="15.6" x14ac:dyDescent="0.3">
      <c r="B48" s="6">
        <v>19</v>
      </c>
      <c r="C48" s="6">
        <v>219</v>
      </c>
      <c r="D48" s="7">
        <f t="shared" si="15"/>
        <v>197.83333333333334</v>
      </c>
      <c r="E48" s="7">
        <f t="shared" si="16"/>
        <v>192.66666666666666</v>
      </c>
      <c r="F48" s="8">
        <f t="shared" si="17"/>
        <v>195.25</v>
      </c>
      <c r="G48" s="29">
        <f t="shared" si="1"/>
        <v>195.10405916752666</v>
      </c>
      <c r="H48" s="29">
        <f t="shared" si="18"/>
        <v>1.0007480153570154</v>
      </c>
      <c r="I48" s="29">
        <f t="shared" si="19"/>
        <v>1.1216389244558258</v>
      </c>
      <c r="J48" s="29">
        <f t="shared" si="21"/>
        <v>1.129510170800015</v>
      </c>
      <c r="K48" s="29">
        <f t="shared" si="21"/>
        <v>2.3136744510302218E-2</v>
      </c>
      <c r="L48" s="29">
        <f t="shared" si="6"/>
        <v>1.0832366817794106</v>
      </c>
      <c r="M48" s="29">
        <f t="shared" si="7"/>
        <v>1.1757836598206195</v>
      </c>
      <c r="N48" s="30" t="str">
        <f t="shared" si="20"/>
        <v>OK</v>
      </c>
      <c r="O48" s="29">
        <f t="shared" si="22"/>
        <v>1.1338807789894203</v>
      </c>
      <c r="P48" s="29">
        <f t="shared" si="14"/>
        <v>0.98920357875322207</v>
      </c>
      <c r="Q48" s="29">
        <f t="shared" si="10"/>
        <v>221.22474259287307</v>
      </c>
      <c r="R48" s="29">
        <f t="shared" si="11"/>
        <v>-2.2247425928730706</v>
      </c>
      <c r="S48" s="31">
        <f t="shared" si="12"/>
        <v>1.0158641976589364E-2</v>
      </c>
    </row>
    <row r="49" spans="2:19" ht="15.6" x14ac:dyDescent="0.3">
      <c r="B49" s="6">
        <v>20</v>
      </c>
      <c r="C49" s="6">
        <v>202</v>
      </c>
      <c r="D49" s="7">
        <f t="shared" si="15"/>
        <v>202.83333333333334</v>
      </c>
      <c r="E49" s="7">
        <f t="shared" si="16"/>
        <v>197.83333333333334</v>
      </c>
      <c r="F49" s="8">
        <f t="shared" si="17"/>
        <v>200.33333333333334</v>
      </c>
      <c r="G49" s="29">
        <f t="shared" si="1"/>
        <v>200.12220502235982</v>
      </c>
      <c r="H49" s="29">
        <f t="shared" si="18"/>
        <v>1.0010549969252533</v>
      </c>
      <c r="I49" s="29">
        <f t="shared" si="19"/>
        <v>1.0083194675540765</v>
      </c>
      <c r="J49" s="29">
        <f t="shared" si="21"/>
        <v>1.0124167336255407</v>
      </c>
      <c r="K49" s="29">
        <f t="shared" si="21"/>
        <v>3.6337082039898639E-3</v>
      </c>
      <c r="L49" s="29">
        <f t="shared" si="6"/>
        <v>1.005149317217561</v>
      </c>
      <c r="M49" s="29">
        <f t="shared" si="7"/>
        <v>1.0196841500335205</v>
      </c>
      <c r="N49" s="30" t="str">
        <f t="shared" si="20"/>
        <v>OK</v>
      </c>
      <c r="O49" s="29">
        <f t="shared" si="22"/>
        <v>1.0163342520166683</v>
      </c>
      <c r="P49" s="29">
        <f t="shared" si="14"/>
        <v>0.99211402700766171</v>
      </c>
      <c r="Q49" s="29">
        <f t="shared" si="10"/>
        <v>203.39105155332641</v>
      </c>
      <c r="R49" s="29">
        <f t="shared" si="11"/>
        <v>-1.3910515533264061</v>
      </c>
      <c r="S49" s="31">
        <f t="shared" si="12"/>
        <v>6.8863938283485445E-3</v>
      </c>
    </row>
    <row r="50" spans="2:19" ht="15.6" x14ac:dyDescent="0.3">
      <c r="B50" s="6">
        <v>21</v>
      </c>
      <c r="C50" s="6">
        <v>215</v>
      </c>
      <c r="D50" s="7">
        <f t="shared" si="15"/>
        <v>208.16666666666666</v>
      </c>
      <c r="E50" s="7">
        <f t="shared" si="16"/>
        <v>202.83333333333334</v>
      </c>
      <c r="F50" s="8">
        <f t="shared" si="17"/>
        <v>205.5</v>
      </c>
      <c r="G50" s="29">
        <f t="shared" si="1"/>
        <v>205.14035087719299</v>
      </c>
      <c r="H50" s="29">
        <f t="shared" si="18"/>
        <v>1.0017531856666382</v>
      </c>
      <c r="I50" s="29">
        <f t="shared" si="19"/>
        <v>1.0462287104622872</v>
      </c>
      <c r="J50" s="29">
        <f t="shared" si="21"/>
        <v>1.0625259469305384</v>
      </c>
      <c r="K50" s="29">
        <f t="shared" si="21"/>
        <v>1.672928544194224E-2</v>
      </c>
      <c r="L50" s="29">
        <f t="shared" si="6"/>
        <v>1.029067376046654</v>
      </c>
      <c r="M50" s="29">
        <f t="shared" si="7"/>
        <v>1.0959845178144227</v>
      </c>
      <c r="N50" s="30" t="str">
        <f t="shared" si="20"/>
        <v>OK</v>
      </c>
      <c r="O50" s="29">
        <f t="shared" si="22"/>
        <v>1.0666373615287981</v>
      </c>
      <c r="P50" s="29">
        <f t="shared" si="14"/>
        <v>0.98086636395591897</v>
      </c>
      <c r="Q50" s="29">
        <f t="shared" si="10"/>
        <v>218.81036260274098</v>
      </c>
      <c r="R50" s="29">
        <f t="shared" si="11"/>
        <v>-3.8103626027409803</v>
      </c>
      <c r="S50" s="31">
        <f t="shared" si="12"/>
        <v>1.7722616756934793E-2</v>
      </c>
    </row>
    <row r="51" spans="2:19" ht="15.6" x14ac:dyDescent="0.3">
      <c r="B51" s="6">
        <v>22</v>
      </c>
      <c r="C51" s="6">
        <v>196</v>
      </c>
      <c r="D51" s="7" t="s">
        <v>51</v>
      </c>
      <c r="E51" s="7" t="s">
        <v>51</v>
      </c>
      <c r="F51" s="7" t="s">
        <v>51</v>
      </c>
      <c r="G51" s="29">
        <f t="shared" si="1"/>
        <v>210.15849673202615</v>
      </c>
      <c r="H51" s="7" t="str">
        <f>IF(D51="-","-","")</f>
        <v>-</v>
      </c>
      <c r="I51" s="7" t="str">
        <f>IF(E51="-","-","")</f>
        <v>-</v>
      </c>
      <c r="J51" s="29">
        <f t="shared" si="21"/>
        <v>0.90798139673408718</v>
      </c>
      <c r="K51" s="29">
        <f t="shared" si="21"/>
        <v>1.2047391120567616E-2</v>
      </c>
      <c r="L51" s="29">
        <f t="shared" si="6"/>
        <v>0.88388661449295192</v>
      </c>
      <c r="M51" s="29">
        <f t="shared" si="7"/>
        <v>0.93207617897522244</v>
      </c>
      <c r="N51" s="7" t="str">
        <f>IF(D51="-","-","")</f>
        <v>-</v>
      </c>
      <c r="O51" s="29">
        <f t="shared" si="22"/>
        <v>0.91149480549390627</v>
      </c>
      <c r="P51" s="29"/>
      <c r="Q51" s="29">
        <f t="shared" si="10"/>
        <v>191.55837810164991</v>
      </c>
      <c r="R51" s="29">
        <f t="shared" si="11"/>
        <v>4.4416218983500926</v>
      </c>
      <c r="S51" s="31">
        <f t="shared" si="12"/>
        <v>2.2661336216071901E-2</v>
      </c>
    </row>
    <row r="52" spans="2:19" ht="15.6" x14ac:dyDescent="0.3">
      <c r="B52" s="6">
        <v>23</v>
      </c>
      <c r="C52" s="6">
        <v>185</v>
      </c>
      <c r="D52" s="7" t="s">
        <v>51</v>
      </c>
      <c r="E52" s="7" t="s">
        <v>51</v>
      </c>
      <c r="F52" s="7" t="s">
        <v>51</v>
      </c>
      <c r="G52" s="29">
        <f t="shared" si="1"/>
        <v>215.17664258685932</v>
      </c>
      <c r="H52" s="7" t="str">
        <f t="shared" ref="H52:I53" si="23">IF(D52="-","-","")</f>
        <v>-</v>
      </c>
      <c r="I52" s="7" t="str">
        <f t="shared" si="23"/>
        <v>-</v>
      </c>
      <c r="J52" s="29">
        <f t="shared" si="21"/>
        <v>0.80354560988366386</v>
      </c>
      <c r="K52" s="29">
        <f t="shared" si="21"/>
        <v>3.8488219426496419E-2</v>
      </c>
      <c r="L52" s="29">
        <f t="shared" si="6"/>
        <v>0.72656917103067098</v>
      </c>
      <c r="M52" s="29">
        <f t="shared" si="7"/>
        <v>0.88052204873665674</v>
      </c>
      <c r="N52" s="7" t="str">
        <f t="shared" ref="N52:N53" si="24">IF(D52="-","-","")</f>
        <v>-</v>
      </c>
      <c r="O52" s="29">
        <f t="shared" si="22"/>
        <v>0.80665490727107092</v>
      </c>
      <c r="P52" s="29"/>
      <c r="Q52" s="29">
        <f t="shared" si="10"/>
        <v>173.57329467280337</v>
      </c>
      <c r="R52" s="29">
        <f t="shared" si="11"/>
        <v>11.426705327196629</v>
      </c>
      <c r="S52" s="31">
        <f t="shared" si="12"/>
        <v>6.1765974741603398E-2</v>
      </c>
    </row>
    <row r="53" spans="2:19" s="14" customFormat="1" ht="16.2" thickBot="1" x14ac:dyDescent="0.35">
      <c r="B53" s="6">
        <v>24</v>
      </c>
      <c r="C53" s="6">
        <v>232</v>
      </c>
      <c r="D53" s="7" t="s">
        <v>51</v>
      </c>
      <c r="E53" s="7" t="s">
        <v>51</v>
      </c>
      <c r="F53" s="7" t="s">
        <v>51</v>
      </c>
      <c r="G53" s="29">
        <f t="shared" si="1"/>
        <v>220.19478844169248</v>
      </c>
      <c r="H53" s="7" t="str">
        <f t="shared" si="23"/>
        <v>-</v>
      </c>
      <c r="I53" s="7" t="str">
        <f t="shared" si="23"/>
        <v>-</v>
      </c>
      <c r="J53" s="29">
        <f t="shared" ref="J53:K53" si="25">J47</f>
        <v>1.0608927995203559</v>
      </c>
      <c r="K53" s="29">
        <f t="shared" si="25"/>
        <v>8.5975888162471929E-3</v>
      </c>
      <c r="L53" s="29">
        <f t="shared" si="6"/>
        <v>1.0436976218878615</v>
      </c>
      <c r="M53" s="29">
        <f t="shared" si="7"/>
        <v>1.0780879771528502</v>
      </c>
      <c r="N53" s="7" t="str">
        <f t="shared" si="24"/>
        <v>-</v>
      </c>
      <c r="O53" s="29">
        <f t="shared" si="22"/>
        <v>1.0649978947001368</v>
      </c>
      <c r="P53" s="29"/>
      <c r="Q53" s="29">
        <f t="shared" si="10"/>
        <v>234.50698611434453</v>
      </c>
      <c r="R53" s="29">
        <f t="shared" si="11"/>
        <v>-2.506986114344528</v>
      </c>
      <c r="S53" s="31">
        <f t="shared" si="12"/>
        <v>1.0805974630795379E-2</v>
      </c>
    </row>
    <row r="54" spans="2:19" ht="15.6" x14ac:dyDescent="0.3">
      <c r="B54" s="6">
        <v>25</v>
      </c>
      <c r="C54" s="30"/>
      <c r="D54" s="30"/>
      <c r="E54" s="30"/>
      <c r="F54" s="30"/>
      <c r="G54" s="29">
        <f t="shared" si="1"/>
        <v>225.21293429652565</v>
      </c>
      <c r="H54" s="30"/>
      <c r="I54" s="29"/>
      <c r="J54" s="30"/>
      <c r="K54" s="30"/>
      <c r="L54" s="30"/>
      <c r="M54" s="30"/>
      <c r="N54" s="30"/>
      <c r="O54" s="29">
        <f t="shared" si="22"/>
        <v>1.1338807789894203</v>
      </c>
      <c r="P54" s="29"/>
      <c r="Q54" s="29">
        <f t="shared" si="10"/>
        <v>255.36461737863763</v>
      </c>
      <c r="R54" s="29"/>
      <c r="S54" s="31"/>
    </row>
    <row r="55" spans="2:19" ht="15.6" x14ac:dyDescent="0.3">
      <c r="B55" s="6">
        <v>26</v>
      </c>
      <c r="C55" s="30"/>
      <c r="D55" s="30"/>
      <c r="E55" s="30"/>
      <c r="F55" s="30"/>
      <c r="G55" s="29">
        <f t="shared" si="1"/>
        <v>230.23108015135881</v>
      </c>
      <c r="H55" s="30"/>
      <c r="I55" s="29"/>
      <c r="J55" s="30"/>
      <c r="K55" s="30"/>
      <c r="L55" s="30"/>
      <c r="M55" s="30"/>
      <c r="N55" s="30"/>
      <c r="O55" s="29">
        <f t="shared" si="22"/>
        <v>1.0163342520166683</v>
      </c>
      <c r="P55" s="29"/>
      <c r="Q55" s="29">
        <f t="shared" si="10"/>
        <v>233.99173263662087</v>
      </c>
      <c r="R55" s="29"/>
      <c r="S55" s="31"/>
    </row>
    <row r="56" spans="2:19" ht="15.6" x14ac:dyDescent="0.3">
      <c r="B56" s="6">
        <v>27</v>
      </c>
      <c r="C56" s="30"/>
      <c r="D56" s="30"/>
      <c r="E56" s="30"/>
      <c r="F56" s="30"/>
      <c r="G56" s="29">
        <f t="shared" si="1"/>
        <v>235.24922600619195</v>
      </c>
      <c r="H56" s="30"/>
      <c r="I56" s="29"/>
      <c r="J56" s="30"/>
      <c r="K56" s="30"/>
      <c r="L56" s="30"/>
      <c r="M56" s="30"/>
      <c r="N56" s="30"/>
      <c r="O56" s="29">
        <f t="shared" si="22"/>
        <v>1.0666373615287981</v>
      </c>
      <c r="P56" s="29"/>
      <c r="Q56" s="29">
        <f t="shared" si="10"/>
        <v>250.9256137289365</v>
      </c>
      <c r="R56" s="29"/>
      <c r="S56" s="31"/>
    </row>
    <row r="57" spans="2:19" ht="15.6" x14ac:dyDescent="0.3">
      <c r="B57" s="6">
        <v>28</v>
      </c>
      <c r="C57" s="30"/>
      <c r="D57" s="30"/>
      <c r="E57" s="30"/>
      <c r="F57" s="30"/>
      <c r="G57" s="29">
        <f t="shared" si="1"/>
        <v>240.26737186102511</v>
      </c>
      <c r="H57" s="30"/>
      <c r="I57" s="29"/>
      <c r="J57" s="30"/>
      <c r="K57" s="30"/>
      <c r="L57" s="30"/>
      <c r="M57" s="30"/>
      <c r="N57" s="30"/>
      <c r="O57" s="29">
        <f t="shared" si="22"/>
        <v>0.91149480549390627</v>
      </c>
      <c r="P57" s="29"/>
      <c r="Q57" s="29">
        <f t="shared" si="10"/>
        <v>219.00246138099712</v>
      </c>
      <c r="R57" s="29"/>
      <c r="S57" s="31"/>
    </row>
    <row r="58" spans="2:19" ht="15.6" x14ac:dyDescent="0.3">
      <c r="B58" s="6">
        <v>29</v>
      </c>
      <c r="C58" s="30"/>
      <c r="D58" s="30"/>
      <c r="E58" s="30"/>
      <c r="F58" s="30"/>
      <c r="G58" s="29">
        <f t="shared" si="1"/>
        <v>245.28551771585828</v>
      </c>
      <c r="H58" s="30"/>
      <c r="I58" s="29"/>
      <c r="J58" s="30"/>
      <c r="K58" s="30"/>
      <c r="L58" s="30"/>
      <c r="M58" s="30"/>
      <c r="N58" s="30"/>
      <c r="O58" s="29">
        <f t="shared" si="22"/>
        <v>0.80665490727107092</v>
      </c>
      <c r="P58" s="29"/>
      <c r="Q58" s="29">
        <f t="shared" si="10"/>
        <v>197.86076654802227</v>
      </c>
      <c r="R58" s="29"/>
      <c r="S58" s="31"/>
    </row>
    <row r="59" spans="2:19" ht="15.6" x14ac:dyDescent="0.3">
      <c r="B59" s="6">
        <v>30</v>
      </c>
      <c r="C59" s="30"/>
      <c r="D59" s="30"/>
      <c r="E59" s="30"/>
      <c r="F59" s="30"/>
      <c r="G59" s="29">
        <f t="shared" si="1"/>
        <v>250.30366357069144</v>
      </c>
      <c r="H59" s="30"/>
      <c r="I59" s="29"/>
      <c r="J59" s="30"/>
      <c r="K59" s="30"/>
      <c r="L59" s="30"/>
      <c r="M59" s="30"/>
      <c r="N59" s="30"/>
      <c r="O59" s="29">
        <f t="shared" si="22"/>
        <v>1.0649978947001368</v>
      </c>
      <c r="P59" s="29"/>
      <c r="Q59" s="29">
        <f t="shared" si="10"/>
        <v>266.57287473851773</v>
      </c>
      <c r="R59" s="29"/>
      <c r="S59" s="31"/>
    </row>
  </sheetData>
  <mergeCells count="15">
    <mergeCell ref="E12:K12"/>
    <mergeCell ref="M12:S13"/>
    <mergeCell ref="E13:K17"/>
    <mergeCell ref="Q16:T16"/>
    <mergeCell ref="L18:O19"/>
    <mergeCell ref="R19:T20"/>
    <mergeCell ref="L20:O24"/>
    <mergeCell ref="S21:T26"/>
    <mergeCell ref="F25:F26"/>
    <mergeCell ref="V16:Y16"/>
    <mergeCell ref="V17:Y18"/>
    <mergeCell ref="W19:Y20"/>
    <mergeCell ref="X21:Y24"/>
    <mergeCell ref="T8:U9"/>
    <mergeCell ref="Q17:T18"/>
  </mergeCells>
  <conditionalFormatting sqref="N33:N50">
    <cfRule type="cellIs" dxfId="44" priority="8" operator="equal">
      <formula>"NOT OK"</formula>
    </cfRule>
    <cfRule type="cellIs" dxfId="43" priority="9" operator="equal">
      <formula>"OK"</formula>
    </cfRule>
  </conditionalFormatting>
  <conditionalFormatting sqref="O27">
    <cfRule type="cellIs" dxfId="42" priority="4" operator="notEqual">
      <formula>$M$26</formula>
    </cfRule>
    <cfRule type="cellIs" dxfId="41" priority="5" operator="equal">
      <formula>$M$26</formula>
    </cfRule>
  </conditionalFormatting>
  <conditionalFormatting sqref="P30:P32 P51:P53">
    <cfRule type="cellIs" dxfId="40" priority="3" operator="equal">
      <formula>1</formula>
    </cfRule>
  </conditionalFormatting>
  <conditionalFormatting sqref="R26">
    <cfRule type="cellIs" dxfId="39" priority="6" operator="equal">
      <formula>"H0 Rejected"</formula>
    </cfRule>
    <cfRule type="cellIs" dxfId="38" priority="7" operator="equal">
      <formula>"H0 Accepted"</formula>
    </cfRule>
  </conditionalFormatting>
  <conditionalFormatting sqref="W24">
    <cfRule type="cellIs" dxfId="37" priority="1" operator="equal">
      <formula>"H0 Rejected"</formula>
    </cfRule>
    <cfRule type="cellIs" dxfId="36" priority="2" operator="equal">
      <formula>"H0 Accepted"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9C24-83CF-45A7-A00D-A574D0741426}">
  <dimension ref="B1:Q86"/>
  <sheetViews>
    <sheetView topLeftCell="A20" workbookViewId="0">
      <selection activeCell="B29" sqref="B29:E32"/>
    </sheetView>
  </sheetViews>
  <sheetFormatPr defaultRowHeight="14.4" x14ac:dyDescent="0.3"/>
  <cols>
    <col min="2" max="2" width="20.5546875" customWidth="1"/>
  </cols>
  <sheetData>
    <row r="1" spans="2:17" ht="15" thickBot="1" x14ac:dyDescent="0.35"/>
    <row r="2" spans="2:17" ht="16.2" thickBot="1" x14ac:dyDescent="0.35">
      <c r="B2" s="20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P2" s="44" t="s">
        <v>0</v>
      </c>
      <c r="Q2" s="44" t="s">
        <v>78</v>
      </c>
    </row>
    <row r="3" spans="2:17" ht="15.6" x14ac:dyDescent="0.3">
      <c r="B3" s="22">
        <v>2017</v>
      </c>
      <c r="C3" s="1">
        <v>84</v>
      </c>
      <c r="D3" s="1">
        <v>89</v>
      </c>
      <c r="E3" s="1">
        <v>99</v>
      </c>
      <c r="F3" s="1">
        <v>97</v>
      </c>
      <c r="G3" s="1">
        <v>91</v>
      </c>
      <c r="H3" s="1">
        <v>101</v>
      </c>
      <c r="I3" s="1">
        <v>111</v>
      </c>
      <c r="J3" s="1">
        <v>111</v>
      </c>
      <c r="K3" s="1">
        <v>102</v>
      </c>
      <c r="L3" s="1">
        <v>98</v>
      </c>
      <c r="M3" s="1">
        <v>78</v>
      </c>
      <c r="N3" s="1">
        <v>89</v>
      </c>
      <c r="P3" s="1">
        <v>1</v>
      </c>
      <c r="Q3" cm="1">
        <f t="array" ref="Q3:Q14">TRANSPOSE(C3:N3)</f>
        <v>84</v>
      </c>
    </row>
    <row r="4" spans="2:17" ht="15.6" x14ac:dyDescent="0.3">
      <c r="B4" s="22">
        <v>2018</v>
      </c>
      <c r="C4" s="1">
        <v>86</v>
      </c>
      <c r="D4" s="1">
        <v>95</v>
      </c>
      <c r="E4" s="1">
        <v>106</v>
      </c>
      <c r="F4" s="1">
        <v>101</v>
      </c>
      <c r="G4" s="1">
        <v>94</v>
      </c>
      <c r="H4" s="1">
        <v>112</v>
      </c>
      <c r="I4" s="1">
        <v>128</v>
      </c>
      <c r="J4" s="1">
        <v>128</v>
      </c>
      <c r="K4" s="1">
        <v>119</v>
      </c>
      <c r="L4" s="1">
        <v>100</v>
      </c>
      <c r="M4" s="1">
        <v>86</v>
      </c>
      <c r="N4" s="1">
        <v>105</v>
      </c>
      <c r="P4" s="1">
        <v>2</v>
      </c>
      <c r="Q4">
        <v>89</v>
      </c>
    </row>
    <row r="5" spans="2:17" ht="15.6" x14ac:dyDescent="0.3">
      <c r="B5" s="22">
        <v>2019</v>
      </c>
      <c r="C5" s="1">
        <v>109</v>
      </c>
      <c r="D5" s="1">
        <v>113</v>
      </c>
      <c r="E5" s="1">
        <v>134</v>
      </c>
      <c r="F5" s="1">
        <v>122</v>
      </c>
      <c r="G5" s="1">
        <v>129</v>
      </c>
      <c r="H5" s="1">
        <v>134</v>
      </c>
      <c r="I5" s="1">
        <v>149</v>
      </c>
      <c r="J5" s="1">
        <v>149</v>
      </c>
      <c r="K5" s="1">
        <v>138</v>
      </c>
      <c r="L5" s="1">
        <v>122</v>
      </c>
      <c r="M5" s="1">
        <v>110</v>
      </c>
      <c r="N5" s="1">
        <v>125</v>
      </c>
      <c r="P5" s="1">
        <v>3</v>
      </c>
      <c r="Q5">
        <v>99</v>
      </c>
    </row>
    <row r="6" spans="2:17" ht="15.6" x14ac:dyDescent="0.3">
      <c r="B6" s="22">
        <v>2020</v>
      </c>
      <c r="C6" s="1">
        <v>128</v>
      </c>
      <c r="D6" s="1">
        <v>135</v>
      </c>
      <c r="E6" s="1">
        <v>145</v>
      </c>
      <c r="F6" s="1">
        <v>136</v>
      </c>
      <c r="G6" s="1">
        <v>137</v>
      </c>
      <c r="H6" s="1">
        <v>164</v>
      </c>
      <c r="I6" s="1">
        <v>173</v>
      </c>
      <c r="J6" s="1">
        <v>182</v>
      </c>
      <c r="K6" s="1">
        <v>157</v>
      </c>
      <c r="L6" s="1">
        <v>143</v>
      </c>
      <c r="M6" s="1">
        <v>129</v>
      </c>
      <c r="N6" s="1">
        <v>146</v>
      </c>
      <c r="P6" s="1">
        <v>4</v>
      </c>
      <c r="Q6">
        <v>97</v>
      </c>
    </row>
    <row r="7" spans="2:17" ht="15.6" x14ac:dyDescent="0.3">
      <c r="B7" s="22">
        <v>2021</v>
      </c>
      <c r="C7" s="1">
        <v>147</v>
      </c>
      <c r="D7" s="1">
        <v>147</v>
      </c>
      <c r="E7" s="1">
        <v>177</v>
      </c>
      <c r="F7" s="1">
        <v>176</v>
      </c>
      <c r="G7" s="1">
        <v>172</v>
      </c>
      <c r="H7" s="1">
        <v>182</v>
      </c>
      <c r="I7" s="1">
        <v>198</v>
      </c>
      <c r="J7" s="1">
        <v>204</v>
      </c>
      <c r="K7" s="1">
        <v>178</v>
      </c>
      <c r="L7" s="1">
        <v>158</v>
      </c>
      <c r="M7" s="1">
        <v>135</v>
      </c>
      <c r="N7" s="1">
        <v>151</v>
      </c>
      <c r="P7" s="1">
        <v>5</v>
      </c>
      <c r="Q7">
        <v>91</v>
      </c>
    </row>
    <row r="8" spans="2:17" ht="15.6" x14ac:dyDescent="0.3">
      <c r="B8" s="22">
        <v>2022</v>
      </c>
      <c r="C8" s="1">
        <v>153</v>
      </c>
      <c r="D8" s="1">
        <v>141</v>
      </c>
      <c r="E8" s="1">
        <v>176</v>
      </c>
      <c r="F8" s="1">
        <v>170</v>
      </c>
      <c r="G8" s="1">
        <v>176</v>
      </c>
      <c r="H8" s="1">
        <v>198</v>
      </c>
      <c r="I8" s="1">
        <v>227</v>
      </c>
      <c r="J8" s="1">
        <v>220</v>
      </c>
      <c r="K8" s="1">
        <v>194</v>
      </c>
      <c r="L8" s="1">
        <v>172</v>
      </c>
      <c r="M8" s="1">
        <v>152</v>
      </c>
      <c r="N8" s="1">
        <v>172</v>
      </c>
      <c r="P8" s="1">
        <v>6</v>
      </c>
      <c r="Q8">
        <v>101</v>
      </c>
    </row>
    <row r="9" spans="2:17" ht="16.2" thickBot="1" x14ac:dyDescent="0.35">
      <c r="B9" s="23">
        <v>2023</v>
      </c>
      <c r="C9" s="2">
        <v>182</v>
      </c>
      <c r="D9" s="2">
        <v>175</v>
      </c>
      <c r="E9" s="2">
        <v>200</v>
      </c>
      <c r="F9" s="2">
        <v>202</v>
      </c>
      <c r="G9" s="2">
        <v>203</v>
      </c>
      <c r="H9" s="2">
        <v>236</v>
      </c>
      <c r="I9" s="2">
        <v>273</v>
      </c>
      <c r="J9" s="2">
        <v>260</v>
      </c>
      <c r="K9" s="2">
        <v>234</v>
      </c>
      <c r="L9" s="2">
        <v>206</v>
      </c>
      <c r="M9" s="2">
        <v>178</v>
      </c>
      <c r="N9" s="2">
        <v>209</v>
      </c>
      <c r="P9" s="1">
        <v>7</v>
      </c>
      <c r="Q9">
        <v>111</v>
      </c>
    </row>
    <row r="10" spans="2:17" ht="16.8" thickTop="1" thickBot="1" x14ac:dyDescent="0.35">
      <c r="P10" s="1">
        <v>8</v>
      </c>
      <c r="Q10">
        <v>111</v>
      </c>
    </row>
    <row r="11" spans="2:17" ht="16.2" thickTop="1" x14ac:dyDescent="0.3">
      <c r="B11" s="24" t="s">
        <v>79</v>
      </c>
      <c r="C11" s="25" t="s">
        <v>80</v>
      </c>
      <c r="D11" s="25" t="s">
        <v>81</v>
      </c>
      <c r="E11" s="25" t="s">
        <v>82</v>
      </c>
      <c r="F11" s="25" t="s">
        <v>83</v>
      </c>
      <c r="G11" s="25" t="s">
        <v>84</v>
      </c>
      <c r="H11" s="25" t="s">
        <v>85</v>
      </c>
      <c r="P11" s="1">
        <v>9</v>
      </c>
      <c r="Q11">
        <v>102</v>
      </c>
    </row>
    <row r="12" spans="2:17" ht="15.6" x14ac:dyDescent="0.3">
      <c r="B12" s="26" t="s">
        <v>86</v>
      </c>
      <c r="C12" s="1">
        <v>153</v>
      </c>
      <c r="D12" s="1">
        <v>158</v>
      </c>
      <c r="E12" s="1">
        <v>172</v>
      </c>
      <c r="F12" s="1">
        <v>176</v>
      </c>
      <c r="G12" s="1">
        <v>194</v>
      </c>
      <c r="H12" s="1">
        <v>198</v>
      </c>
      <c r="P12" s="1">
        <v>10</v>
      </c>
      <c r="Q12">
        <v>98</v>
      </c>
    </row>
    <row r="13" spans="2:17" ht="20.25" customHeight="1" x14ac:dyDescent="0.3">
      <c r="B13" s="26" t="s">
        <v>87</v>
      </c>
      <c r="C13" s="1">
        <v>150</v>
      </c>
      <c r="D13" s="1">
        <v>166</v>
      </c>
      <c r="E13" s="1">
        <v>184</v>
      </c>
      <c r="F13" s="1">
        <v>169</v>
      </c>
      <c r="G13" s="1">
        <v>200</v>
      </c>
      <c r="H13" s="1">
        <v>186</v>
      </c>
      <c r="P13" s="1">
        <v>11</v>
      </c>
      <c r="Q13">
        <v>78</v>
      </c>
    </row>
    <row r="14" spans="2:17" ht="16.2" thickBot="1" x14ac:dyDescent="0.35">
      <c r="B14" s="27" t="s">
        <v>88</v>
      </c>
      <c r="C14" s="2">
        <v>5.03</v>
      </c>
      <c r="D14" s="2">
        <v>7.11</v>
      </c>
      <c r="E14" s="2">
        <v>8.48</v>
      </c>
      <c r="F14" s="2">
        <v>9.07</v>
      </c>
      <c r="G14" s="2">
        <v>3.15</v>
      </c>
      <c r="H14" s="2">
        <v>14.5</v>
      </c>
      <c r="P14" s="1">
        <v>12</v>
      </c>
      <c r="Q14">
        <v>89</v>
      </c>
    </row>
    <row r="15" spans="2:17" ht="16.2" thickTop="1" x14ac:dyDescent="0.3">
      <c r="P15" s="1">
        <v>13</v>
      </c>
      <c r="Q15" cm="1">
        <f t="array" ref="Q15:Q26">TRANSPOSE(C4:N4)</f>
        <v>86</v>
      </c>
    </row>
    <row r="16" spans="2:17" ht="15.6" customHeight="1" x14ac:dyDescent="0.3">
      <c r="I16" s="123" t="s">
        <v>89</v>
      </c>
      <c r="J16" s="123"/>
      <c r="K16" s="123"/>
      <c r="L16" s="123"/>
      <c r="M16" s="123"/>
      <c r="N16" s="123"/>
      <c r="P16" s="1">
        <v>14</v>
      </c>
      <c r="Q16">
        <v>95</v>
      </c>
    </row>
    <row r="17" spans="2:17" ht="15.6" x14ac:dyDescent="0.3">
      <c r="I17" s="123"/>
      <c r="J17" s="123"/>
      <c r="K17" s="123"/>
      <c r="L17" s="123"/>
      <c r="M17" s="123"/>
      <c r="N17" s="123"/>
      <c r="P17" s="1">
        <v>15</v>
      </c>
      <c r="Q17">
        <v>106</v>
      </c>
    </row>
    <row r="18" spans="2:17" ht="15.6" x14ac:dyDescent="0.3">
      <c r="I18" s="123"/>
      <c r="J18" s="123"/>
      <c r="K18" s="123"/>
      <c r="L18" s="123"/>
      <c r="M18" s="123"/>
      <c r="N18" s="123"/>
      <c r="P18" s="1">
        <v>16</v>
      </c>
      <c r="Q18">
        <v>101</v>
      </c>
    </row>
    <row r="19" spans="2:17" ht="15.6" x14ac:dyDescent="0.3">
      <c r="I19" s="123"/>
      <c r="J19" s="123"/>
      <c r="K19" s="123"/>
      <c r="L19" s="123"/>
      <c r="M19" s="123"/>
      <c r="N19" s="123"/>
      <c r="P19" s="1">
        <v>17</v>
      </c>
      <c r="Q19">
        <v>94</v>
      </c>
    </row>
    <row r="20" spans="2:17" ht="15.6" x14ac:dyDescent="0.3">
      <c r="P20" s="1">
        <v>18</v>
      </c>
      <c r="Q20">
        <v>112</v>
      </c>
    </row>
    <row r="21" spans="2:17" ht="15.6" x14ac:dyDescent="0.3">
      <c r="P21" s="1">
        <v>19</v>
      </c>
      <c r="Q21">
        <v>128</v>
      </c>
    </row>
    <row r="22" spans="2:17" ht="15.6" x14ac:dyDescent="0.3">
      <c r="P22" s="1">
        <v>20</v>
      </c>
      <c r="Q22">
        <v>128</v>
      </c>
    </row>
    <row r="23" spans="2:17" ht="15.6" x14ac:dyDescent="0.3">
      <c r="P23" s="1">
        <v>21</v>
      </c>
      <c r="Q23">
        <v>119</v>
      </c>
    </row>
    <row r="24" spans="2:17" ht="15.6" x14ac:dyDescent="0.3">
      <c r="P24" s="1">
        <v>22</v>
      </c>
      <c r="Q24">
        <v>100</v>
      </c>
    </row>
    <row r="25" spans="2:17" ht="15.6" x14ac:dyDescent="0.3">
      <c r="P25" s="1">
        <v>23</v>
      </c>
      <c r="Q25">
        <v>86</v>
      </c>
    </row>
    <row r="26" spans="2:17" ht="15.6" x14ac:dyDescent="0.3">
      <c r="P26" s="1">
        <v>24</v>
      </c>
      <c r="Q26">
        <v>105</v>
      </c>
    </row>
    <row r="27" spans="2:17" ht="15.6" x14ac:dyDescent="0.3">
      <c r="B27" t="s">
        <v>90</v>
      </c>
      <c r="C27">
        <f>C12-C13</f>
        <v>3</v>
      </c>
      <c r="D27">
        <f t="shared" ref="D27:H27" si="0">D12-D13</f>
        <v>-8</v>
      </c>
      <c r="E27">
        <f t="shared" si="0"/>
        <v>-12</v>
      </c>
      <c r="F27">
        <f t="shared" si="0"/>
        <v>7</v>
      </c>
      <c r="G27">
        <f t="shared" si="0"/>
        <v>-6</v>
      </c>
      <c r="H27">
        <f t="shared" si="0"/>
        <v>12</v>
      </c>
      <c r="P27" s="1">
        <v>25</v>
      </c>
      <c r="Q27" cm="1">
        <f t="array" ref="Q27:Q38">TRANSPOSE(C5:N5)</f>
        <v>109</v>
      </c>
    </row>
    <row r="28" spans="2:17" ht="15.6" x14ac:dyDescent="0.3">
      <c r="C28">
        <f>C14</f>
        <v>5.03</v>
      </c>
      <c r="D28">
        <f t="shared" ref="D28:H28" si="1">D14</f>
        <v>7.11</v>
      </c>
      <c r="E28">
        <f t="shared" si="1"/>
        <v>8.48</v>
      </c>
      <c r="F28">
        <f t="shared" si="1"/>
        <v>9.07</v>
      </c>
      <c r="G28">
        <f t="shared" si="1"/>
        <v>3.15</v>
      </c>
      <c r="H28">
        <f t="shared" si="1"/>
        <v>14.5</v>
      </c>
      <c r="P28" s="1">
        <v>26</v>
      </c>
      <c r="Q28">
        <v>113</v>
      </c>
    </row>
    <row r="29" spans="2:17" ht="15.6" x14ac:dyDescent="0.3">
      <c r="B29" s="144" t="s">
        <v>91</v>
      </c>
      <c r="C29">
        <v>3</v>
      </c>
      <c r="D29">
        <v>7</v>
      </c>
      <c r="E29">
        <v>12</v>
      </c>
      <c r="P29" s="1">
        <v>27</v>
      </c>
      <c r="Q29">
        <v>134</v>
      </c>
    </row>
    <row r="30" spans="2:17" ht="15.6" x14ac:dyDescent="0.3">
      <c r="B30" s="144"/>
      <c r="C30">
        <v>5.03</v>
      </c>
      <c r="D30">
        <v>9.07</v>
      </c>
      <c r="E30">
        <v>14.5</v>
      </c>
      <c r="P30" s="1">
        <v>28</v>
      </c>
      <c r="Q30">
        <v>122</v>
      </c>
    </row>
    <row r="31" spans="2:17" ht="15.6" x14ac:dyDescent="0.3">
      <c r="B31" s="52" t="s">
        <v>30</v>
      </c>
      <c r="C31" s="145">
        <f>INTERCEPT(C30:E30,C29:E29)</f>
        <v>1.8068852459016407</v>
      </c>
      <c r="D31" s="145"/>
      <c r="E31" s="145"/>
      <c r="P31" s="1">
        <v>29</v>
      </c>
      <c r="Q31">
        <v>129</v>
      </c>
    </row>
    <row r="32" spans="2:17" ht="15.6" x14ac:dyDescent="0.3">
      <c r="B32" s="52" t="s">
        <v>31</v>
      </c>
      <c r="C32" s="145">
        <f>SLOPE(C30:E30,C29:E29)</f>
        <v>1.053606557377049</v>
      </c>
      <c r="D32" s="145"/>
      <c r="E32" s="145"/>
      <c r="P32" s="1">
        <v>30</v>
      </c>
      <c r="Q32">
        <v>134</v>
      </c>
    </row>
    <row r="33" spans="2:17" ht="15.6" x14ac:dyDescent="0.3">
      <c r="P33" s="1">
        <v>31</v>
      </c>
      <c r="Q33">
        <v>149</v>
      </c>
    </row>
    <row r="34" spans="2:17" ht="15.6" x14ac:dyDescent="0.3">
      <c r="B34" s="144" t="s">
        <v>91</v>
      </c>
      <c r="C34">
        <v>-8</v>
      </c>
      <c r="D34">
        <v>-12</v>
      </c>
      <c r="E34">
        <v>-6</v>
      </c>
      <c r="F34">
        <v>12</v>
      </c>
      <c r="P34" s="1">
        <v>32</v>
      </c>
      <c r="Q34">
        <v>149</v>
      </c>
    </row>
    <row r="35" spans="2:17" ht="15.6" x14ac:dyDescent="0.3">
      <c r="B35" s="144"/>
      <c r="C35">
        <v>7.11</v>
      </c>
      <c r="D35">
        <v>8.48</v>
      </c>
      <c r="E35">
        <v>3.15</v>
      </c>
      <c r="F35">
        <v>14.5</v>
      </c>
      <c r="P35" s="1">
        <v>33</v>
      </c>
      <c r="Q35">
        <v>138</v>
      </c>
    </row>
    <row r="36" spans="2:17" ht="15.6" x14ac:dyDescent="0.3">
      <c r="B36" s="52" t="s">
        <v>30</v>
      </c>
      <c r="C36" s="145">
        <f>INTERCEPT(C35:F35,C34:F34)</f>
        <v>9.4746017699115033</v>
      </c>
      <c r="D36" s="145"/>
      <c r="E36" s="145"/>
      <c r="P36" s="1">
        <v>34</v>
      </c>
      <c r="Q36">
        <v>122</v>
      </c>
    </row>
    <row r="37" spans="2:17" ht="15.6" x14ac:dyDescent="0.3">
      <c r="B37" s="52" t="s">
        <v>31</v>
      </c>
      <c r="C37" s="145">
        <f>SLOPE(C35:F35,C34:F34)</f>
        <v>0.3327433628318584</v>
      </c>
      <c r="D37" s="145"/>
      <c r="E37" s="145"/>
      <c r="P37" s="1">
        <v>35</v>
      </c>
      <c r="Q37">
        <v>110</v>
      </c>
    </row>
    <row r="38" spans="2:17" ht="15.6" x14ac:dyDescent="0.3">
      <c r="P38" s="1">
        <v>36</v>
      </c>
      <c r="Q38">
        <v>125</v>
      </c>
    </row>
    <row r="39" spans="2:17" ht="15.6" x14ac:dyDescent="0.3">
      <c r="P39" s="1">
        <v>37</v>
      </c>
      <c r="Q39" cm="1">
        <f t="array" ref="Q39:Q50">TRANSPOSE(C6:N6)</f>
        <v>128</v>
      </c>
    </row>
    <row r="40" spans="2:17" ht="15.6" x14ac:dyDescent="0.3">
      <c r="P40" s="1">
        <v>38</v>
      </c>
      <c r="Q40">
        <v>135</v>
      </c>
    </row>
    <row r="41" spans="2:17" ht="15.6" x14ac:dyDescent="0.3">
      <c r="P41" s="1">
        <v>39</v>
      </c>
      <c r="Q41">
        <v>145</v>
      </c>
    </row>
    <row r="42" spans="2:17" ht="15.6" x14ac:dyDescent="0.3">
      <c r="P42" s="1">
        <v>40</v>
      </c>
      <c r="Q42">
        <v>136</v>
      </c>
    </row>
    <row r="43" spans="2:17" ht="15.6" x14ac:dyDescent="0.3">
      <c r="P43" s="1">
        <v>41</v>
      </c>
      <c r="Q43">
        <v>137</v>
      </c>
    </row>
    <row r="44" spans="2:17" ht="15.6" x14ac:dyDescent="0.3">
      <c r="P44" s="1">
        <v>42</v>
      </c>
      <c r="Q44">
        <v>164</v>
      </c>
    </row>
    <row r="45" spans="2:17" ht="15.6" x14ac:dyDescent="0.3">
      <c r="P45" s="1">
        <v>43</v>
      </c>
      <c r="Q45">
        <v>173</v>
      </c>
    </row>
    <row r="46" spans="2:17" ht="15.6" x14ac:dyDescent="0.3">
      <c r="P46" s="1">
        <v>44</v>
      </c>
      <c r="Q46">
        <v>182</v>
      </c>
    </row>
    <row r="47" spans="2:17" ht="15.6" x14ac:dyDescent="0.3">
      <c r="P47" s="1">
        <v>45</v>
      </c>
      <c r="Q47">
        <v>157</v>
      </c>
    </row>
    <row r="48" spans="2:17" ht="15.6" x14ac:dyDescent="0.3">
      <c r="P48" s="1">
        <v>46</v>
      </c>
      <c r="Q48">
        <v>143</v>
      </c>
    </row>
    <row r="49" spans="16:17" ht="15.6" x14ac:dyDescent="0.3">
      <c r="P49" s="1">
        <v>47</v>
      </c>
      <c r="Q49">
        <v>129</v>
      </c>
    </row>
    <row r="50" spans="16:17" ht="15.6" x14ac:dyDescent="0.3">
      <c r="P50" s="1">
        <v>48</v>
      </c>
      <c r="Q50">
        <v>146</v>
      </c>
    </row>
    <row r="51" spans="16:17" ht="15.6" x14ac:dyDescent="0.3">
      <c r="P51" s="1">
        <v>49</v>
      </c>
      <c r="Q51" cm="1">
        <f t="array" ref="Q51:Q62">TRANSPOSE(C7:N7)</f>
        <v>147</v>
      </c>
    </row>
    <row r="52" spans="16:17" ht="15.6" x14ac:dyDescent="0.3">
      <c r="P52" s="1">
        <v>50</v>
      </c>
      <c r="Q52">
        <v>147</v>
      </c>
    </row>
    <row r="53" spans="16:17" ht="15.6" x14ac:dyDescent="0.3">
      <c r="P53" s="1">
        <v>51</v>
      </c>
      <c r="Q53">
        <v>177</v>
      </c>
    </row>
    <row r="54" spans="16:17" ht="15.6" x14ac:dyDescent="0.3">
      <c r="P54" s="1">
        <v>52</v>
      </c>
      <c r="Q54">
        <v>176</v>
      </c>
    </row>
    <row r="55" spans="16:17" ht="15.6" x14ac:dyDescent="0.3">
      <c r="P55" s="1">
        <v>53</v>
      </c>
      <c r="Q55">
        <v>172</v>
      </c>
    </row>
    <row r="56" spans="16:17" ht="15.6" x14ac:dyDescent="0.3">
      <c r="P56" s="1">
        <v>54</v>
      </c>
      <c r="Q56">
        <v>182</v>
      </c>
    </row>
    <row r="57" spans="16:17" ht="15.6" x14ac:dyDescent="0.3">
      <c r="P57" s="1">
        <v>55</v>
      </c>
      <c r="Q57">
        <v>198</v>
      </c>
    </row>
    <row r="58" spans="16:17" ht="15.6" x14ac:dyDescent="0.3">
      <c r="P58" s="1">
        <v>56</v>
      </c>
      <c r="Q58">
        <v>204</v>
      </c>
    </row>
    <row r="59" spans="16:17" ht="15.6" x14ac:dyDescent="0.3">
      <c r="P59" s="1">
        <v>57</v>
      </c>
      <c r="Q59">
        <v>178</v>
      </c>
    </row>
    <row r="60" spans="16:17" ht="15.6" x14ac:dyDescent="0.3">
      <c r="P60" s="1">
        <v>58</v>
      </c>
      <c r="Q60">
        <v>158</v>
      </c>
    </row>
    <row r="61" spans="16:17" ht="15.6" x14ac:dyDescent="0.3">
      <c r="P61" s="1">
        <v>59</v>
      </c>
      <c r="Q61">
        <v>135</v>
      </c>
    </row>
    <row r="62" spans="16:17" ht="15.6" x14ac:dyDescent="0.3">
      <c r="P62" s="1">
        <v>60</v>
      </c>
      <c r="Q62">
        <v>151</v>
      </c>
    </row>
    <row r="63" spans="16:17" ht="15.6" x14ac:dyDescent="0.3">
      <c r="P63" s="1">
        <v>61</v>
      </c>
      <c r="Q63" cm="1">
        <f t="array" ref="Q63:Q74">TRANSPOSE(C8:N8)</f>
        <v>153</v>
      </c>
    </row>
    <row r="64" spans="16:17" ht="15.6" x14ac:dyDescent="0.3">
      <c r="P64" s="1">
        <v>62</v>
      </c>
      <c r="Q64">
        <v>141</v>
      </c>
    </row>
    <row r="65" spans="16:17" ht="15.6" x14ac:dyDescent="0.3">
      <c r="P65" s="1">
        <v>63</v>
      </c>
      <c r="Q65">
        <v>176</v>
      </c>
    </row>
    <row r="66" spans="16:17" ht="15.6" x14ac:dyDescent="0.3">
      <c r="P66" s="1">
        <v>64</v>
      </c>
      <c r="Q66">
        <v>170</v>
      </c>
    </row>
    <row r="67" spans="16:17" ht="15.6" x14ac:dyDescent="0.3">
      <c r="P67" s="1">
        <v>65</v>
      </c>
      <c r="Q67">
        <v>176</v>
      </c>
    </row>
    <row r="68" spans="16:17" ht="15.6" x14ac:dyDescent="0.3">
      <c r="P68" s="1">
        <v>66</v>
      </c>
      <c r="Q68">
        <v>198</v>
      </c>
    </row>
    <row r="69" spans="16:17" ht="15.6" x14ac:dyDescent="0.3">
      <c r="P69" s="1">
        <v>67</v>
      </c>
      <c r="Q69">
        <v>227</v>
      </c>
    </row>
    <row r="70" spans="16:17" ht="15.6" x14ac:dyDescent="0.3">
      <c r="P70" s="1">
        <v>68</v>
      </c>
      <c r="Q70">
        <v>220</v>
      </c>
    </row>
    <row r="71" spans="16:17" ht="15.6" x14ac:dyDescent="0.3">
      <c r="P71" s="1">
        <v>69</v>
      </c>
      <c r="Q71">
        <v>194</v>
      </c>
    </row>
    <row r="72" spans="16:17" ht="15.6" x14ac:dyDescent="0.3">
      <c r="P72" s="1">
        <v>70</v>
      </c>
      <c r="Q72">
        <v>172</v>
      </c>
    </row>
    <row r="73" spans="16:17" ht="15.6" x14ac:dyDescent="0.3">
      <c r="P73" s="1">
        <v>71</v>
      </c>
      <c r="Q73">
        <v>152</v>
      </c>
    </row>
    <row r="74" spans="16:17" ht="15.6" x14ac:dyDescent="0.3">
      <c r="P74" s="1">
        <v>72</v>
      </c>
      <c r="Q74">
        <v>172</v>
      </c>
    </row>
    <row r="75" spans="16:17" ht="15.6" x14ac:dyDescent="0.3">
      <c r="P75" s="1">
        <v>73</v>
      </c>
      <c r="Q75" cm="1">
        <f t="array" ref="Q75:Q86">TRANSPOSE(C9:N9)</f>
        <v>182</v>
      </c>
    </row>
    <row r="76" spans="16:17" ht="15.6" x14ac:dyDescent="0.3">
      <c r="P76" s="1">
        <v>74</v>
      </c>
      <c r="Q76">
        <v>175</v>
      </c>
    </row>
    <row r="77" spans="16:17" ht="15.6" x14ac:dyDescent="0.3">
      <c r="P77" s="1">
        <v>75</v>
      </c>
      <c r="Q77">
        <v>200</v>
      </c>
    </row>
    <row r="78" spans="16:17" ht="15.6" x14ac:dyDescent="0.3">
      <c r="P78" s="1">
        <v>76</v>
      </c>
      <c r="Q78">
        <v>202</v>
      </c>
    </row>
    <row r="79" spans="16:17" ht="15.6" x14ac:dyDescent="0.3">
      <c r="P79" s="1">
        <v>77</v>
      </c>
      <c r="Q79">
        <v>203</v>
      </c>
    </row>
    <row r="80" spans="16:17" ht="15.6" x14ac:dyDescent="0.3">
      <c r="P80" s="1">
        <v>78</v>
      </c>
      <c r="Q80">
        <v>236</v>
      </c>
    </row>
    <row r="81" spans="16:17" ht="15.6" x14ac:dyDescent="0.3">
      <c r="P81" s="1">
        <v>79</v>
      </c>
      <c r="Q81">
        <v>273</v>
      </c>
    </row>
    <row r="82" spans="16:17" ht="15.6" x14ac:dyDescent="0.3">
      <c r="P82" s="1">
        <v>80</v>
      </c>
      <c r="Q82">
        <v>260</v>
      </c>
    </row>
    <row r="83" spans="16:17" ht="15.6" x14ac:dyDescent="0.3">
      <c r="P83" s="1">
        <v>81</v>
      </c>
      <c r="Q83">
        <v>234</v>
      </c>
    </row>
    <row r="84" spans="16:17" ht="15.6" x14ac:dyDescent="0.3">
      <c r="P84" s="1">
        <v>82</v>
      </c>
      <c r="Q84">
        <v>206</v>
      </c>
    </row>
    <row r="85" spans="16:17" ht="15.6" x14ac:dyDescent="0.3">
      <c r="P85" s="1">
        <v>83</v>
      </c>
      <c r="Q85">
        <v>178</v>
      </c>
    </row>
    <row r="86" spans="16:17" ht="15.6" x14ac:dyDescent="0.3">
      <c r="P86" s="1">
        <v>84</v>
      </c>
      <c r="Q86">
        <v>209</v>
      </c>
    </row>
  </sheetData>
  <mergeCells count="7">
    <mergeCell ref="B34:B35"/>
    <mergeCell ref="C36:E36"/>
    <mergeCell ref="C37:E37"/>
    <mergeCell ref="I16:N19"/>
    <mergeCell ref="B29:B30"/>
    <mergeCell ref="C31:E31"/>
    <mergeCell ref="C32:E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B31B-3115-46D6-A1DD-FF0686C4F468}">
  <dimension ref="A2:Y113"/>
  <sheetViews>
    <sheetView tabSelected="1" zoomScale="70" zoomScaleNormal="70" workbookViewId="0">
      <selection activeCell="R26" sqref="R26"/>
    </sheetView>
  </sheetViews>
  <sheetFormatPr defaultRowHeight="14.4" x14ac:dyDescent="0.3"/>
  <cols>
    <col min="1" max="1" width="8.88671875" style="57"/>
    <col min="2" max="2" width="4.6640625" style="57" customWidth="1"/>
    <col min="3" max="3" width="6.33203125" style="57" customWidth="1"/>
    <col min="4" max="5" width="9.5546875" style="57" bestFit="1" customWidth="1"/>
    <col min="6" max="6" width="9.109375" style="57" bestFit="1" customWidth="1"/>
    <col min="7" max="11" width="9" style="57" bestFit="1" customWidth="1"/>
    <col min="12" max="12" width="11" style="57" customWidth="1"/>
    <col min="13" max="13" width="9" style="57" bestFit="1" customWidth="1"/>
    <col min="14" max="14" width="8.88671875" style="57"/>
    <col min="15" max="16" width="9" style="57" bestFit="1" customWidth="1"/>
    <col min="17" max="17" width="10.6640625" style="57" customWidth="1"/>
    <col min="18" max="19" width="9" style="57" bestFit="1" customWidth="1"/>
    <col min="20" max="20" width="18.109375" style="57" customWidth="1"/>
    <col min="21" max="21" width="10.6640625" style="57" customWidth="1"/>
    <col min="22" max="22" width="10.109375" style="57" customWidth="1"/>
    <col min="23" max="23" width="11" style="57" bestFit="1" customWidth="1"/>
    <col min="24" max="24" width="8.88671875" style="57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</row>
    <row r="3" spans="2:25" ht="15.6" x14ac:dyDescent="0.3">
      <c r="B3" s="4">
        <v>1</v>
      </c>
      <c r="C3" s="4">
        <v>125</v>
      </c>
    </row>
    <row r="4" spans="2:25" ht="15.6" x14ac:dyDescent="0.3">
      <c r="B4" s="4">
        <v>2</v>
      </c>
      <c r="C4" s="4">
        <v>111</v>
      </c>
    </row>
    <row r="5" spans="2:25" ht="15.6" x14ac:dyDescent="0.3">
      <c r="B5" s="4">
        <v>3</v>
      </c>
      <c r="C5" s="4">
        <v>126</v>
      </c>
    </row>
    <row r="6" spans="2:25" ht="28.2" x14ac:dyDescent="0.3">
      <c r="B6" s="4">
        <v>4</v>
      </c>
      <c r="C6" s="4">
        <v>107</v>
      </c>
      <c r="T6" s="93" t="s">
        <v>2</v>
      </c>
      <c r="U6" s="94"/>
    </row>
    <row r="7" spans="2:25" ht="15.75" customHeight="1" x14ac:dyDescent="0.3">
      <c r="B7" s="4">
        <v>5</v>
      </c>
      <c r="C7" s="4">
        <v>95</v>
      </c>
      <c r="T7" s="59" t="s">
        <v>3</v>
      </c>
      <c r="U7" s="60">
        <f>AVERAGE(R30:R113)</f>
        <v>1.4860270184436875</v>
      </c>
    </row>
    <row r="8" spans="2:25" ht="15.6" x14ac:dyDescent="0.3">
      <c r="B8" s="4">
        <v>6</v>
      </c>
      <c r="C8" s="4">
        <v>138</v>
      </c>
      <c r="T8" s="59" t="s">
        <v>4</v>
      </c>
      <c r="U8" s="62" cm="1">
        <f t="array" ref="U8">AVERAGE(ABS(R30:R113))</f>
        <v>5.7984885373764925</v>
      </c>
    </row>
    <row r="9" spans="2:25" ht="15.6" x14ac:dyDescent="0.3">
      <c r="B9" s="4">
        <v>7</v>
      </c>
      <c r="C9" s="4">
        <v>156</v>
      </c>
      <c r="T9" s="63" t="s">
        <v>7</v>
      </c>
      <c r="U9" s="64">
        <f>AVERAGE(S30:S113)</f>
        <v>4.0248046932981577E-2</v>
      </c>
    </row>
    <row r="10" spans="2:25" ht="15.6" x14ac:dyDescent="0.3">
      <c r="B10" s="4">
        <v>8</v>
      </c>
      <c r="C10" s="4">
        <v>142</v>
      </c>
      <c r="T10" s="57" t="s">
        <v>9</v>
      </c>
      <c r="U10" s="57" t="s">
        <v>10</v>
      </c>
    </row>
    <row r="11" spans="2:25" ht="15.6" x14ac:dyDescent="0.3">
      <c r="B11" s="4">
        <v>9</v>
      </c>
      <c r="C11" s="4">
        <v>157</v>
      </c>
    </row>
    <row r="12" spans="2:25" ht="15.6" x14ac:dyDescent="0.3">
      <c r="B12" s="4">
        <v>10</v>
      </c>
      <c r="C12" s="4">
        <v>137</v>
      </c>
      <c r="E12" s="149" t="s">
        <v>5</v>
      </c>
      <c r="F12" s="149"/>
      <c r="G12" s="149"/>
      <c r="H12" s="149"/>
      <c r="I12" s="149"/>
      <c r="J12" s="149"/>
      <c r="K12" s="149"/>
      <c r="M12" s="126" t="s">
        <v>55</v>
      </c>
      <c r="N12" s="126"/>
      <c r="O12" s="126"/>
      <c r="P12" s="126"/>
      <c r="Q12" s="126"/>
      <c r="R12" s="126"/>
      <c r="S12" s="126"/>
      <c r="T12" s="68" t="s">
        <v>92</v>
      </c>
      <c r="U12" s="69">
        <f>SUM(T30:T113)</f>
        <v>9124.426183978243</v>
      </c>
    </row>
    <row r="13" spans="2:25" ht="15.6" customHeight="1" x14ac:dyDescent="0.3">
      <c r="B13" s="4">
        <v>11</v>
      </c>
      <c r="C13" s="4">
        <v>126</v>
      </c>
      <c r="E13" s="125" t="s">
        <v>8</v>
      </c>
      <c r="F13" s="125"/>
      <c r="G13" s="125"/>
      <c r="H13" s="125"/>
      <c r="I13" s="125"/>
      <c r="J13" s="125"/>
      <c r="K13" s="125"/>
      <c r="M13" s="126"/>
      <c r="N13" s="126"/>
      <c r="O13" s="126"/>
      <c r="P13" s="126"/>
      <c r="Q13" s="126"/>
      <c r="R13" s="126"/>
      <c r="S13" s="126"/>
    </row>
    <row r="14" spans="2:25" ht="15.6" x14ac:dyDescent="0.3">
      <c r="B14" s="4">
        <v>12</v>
      </c>
      <c r="C14" s="4">
        <v>171</v>
      </c>
      <c r="E14" s="125"/>
      <c r="F14" s="125"/>
      <c r="G14" s="125"/>
      <c r="H14" s="125"/>
      <c r="I14" s="125"/>
      <c r="J14" s="125"/>
      <c r="K14" s="125"/>
    </row>
    <row r="15" spans="2:25" ht="15.6" x14ac:dyDescent="0.3">
      <c r="B15" s="4">
        <v>13</v>
      </c>
      <c r="C15" s="4">
        <v>183</v>
      </c>
      <c r="E15" s="125"/>
      <c r="F15" s="125"/>
      <c r="G15" s="125"/>
      <c r="H15" s="125"/>
      <c r="I15" s="125"/>
      <c r="J15" s="125"/>
      <c r="K15" s="125"/>
    </row>
    <row r="16" spans="2:25" ht="15.75" customHeight="1" x14ac:dyDescent="0.3">
      <c r="B16" s="4">
        <v>14</v>
      </c>
      <c r="C16" s="4">
        <v>172</v>
      </c>
      <c r="E16" s="125"/>
      <c r="F16" s="125"/>
      <c r="G16" s="125"/>
      <c r="H16" s="125"/>
      <c r="I16" s="125"/>
      <c r="J16" s="125"/>
      <c r="K16" s="125"/>
      <c r="Q16" s="150" t="s">
        <v>11</v>
      </c>
      <c r="R16" s="151"/>
      <c r="S16" s="151"/>
      <c r="T16" s="152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5"/>
      <c r="F17" s="125"/>
      <c r="G17" s="125"/>
      <c r="H17" s="125"/>
      <c r="I17" s="125"/>
      <c r="J17" s="125"/>
      <c r="K17" s="125"/>
      <c r="Q17" s="146" t="s">
        <v>12</v>
      </c>
      <c r="R17" s="147"/>
      <c r="S17" s="147"/>
      <c r="T17" s="148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58"/>
      <c r="J18" s="58"/>
      <c r="L18" s="126" t="s">
        <v>14</v>
      </c>
      <c r="M18" s="126"/>
      <c r="N18" s="126"/>
      <c r="O18" s="126"/>
      <c r="Q18" s="146"/>
      <c r="R18" s="147"/>
      <c r="S18" s="147"/>
      <c r="T18" s="148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58"/>
      <c r="J19" s="58"/>
      <c r="L19" s="126"/>
      <c r="M19" s="126"/>
      <c r="N19" s="126"/>
      <c r="O19" s="126"/>
      <c r="Q19" s="61" t="s">
        <v>93</v>
      </c>
      <c r="R19" s="153" t="s">
        <v>57</v>
      </c>
      <c r="S19" s="154"/>
      <c r="T19" s="155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58</v>
      </c>
      <c r="M20" s="125"/>
      <c r="N20" s="125"/>
      <c r="O20" s="125"/>
      <c r="Q20" s="61" t="s">
        <v>94</v>
      </c>
      <c r="R20" s="156"/>
      <c r="S20" s="157"/>
      <c r="T20" s="158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65" t="s">
        <v>22</v>
      </c>
      <c r="R21" s="66">
        <f>COUNT(P30:P113)</f>
        <v>72</v>
      </c>
      <c r="S21" s="159"/>
      <c r="T21" s="160"/>
      <c r="V21" s="98" t="s">
        <v>23</v>
      </c>
      <c r="W21" s="95">
        <f>CORREL(P36:P106,P37:P107)</f>
        <v>0.2435922001791137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65" t="s">
        <v>24</v>
      </c>
      <c r="R22" s="67">
        <f>AVERAGE(P30:P113)</f>
        <v>0.99747031695559074</v>
      </c>
      <c r="S22" s="159"/>
      <c r="T22" s="160"/>
      <c r="V22" s="98" t="s">
        <v>25</v>
      </c>
      <c r="W22" s="95">
        <f>(W21)/(1/SQRT(R21))</f>
        <v>2.0669483590896265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65" t="s">
        <v>26</v>
      </c>
      <c r="R23" s="67">
        <f>_xlfn.STDEV.S(P30:P113)</f>
        <v>3.2669775529685849E-2</v>
      </c>
      <c r="S23" s="159"/>
      <c r="T23" s="160"/>
      <c r="V23" s="99" t="s">
        <v>27</v>
      </c>
      <c r="W23" s="96">
        <v>0.05</v>
      </c>
      <c r="X23" s="113"/>
      <c r="Y23" s="114"/>
    </row>
    <row r="24" spans="2:25" ht="15.6" x14ac:dyDescent="0.3">
      <c r="B24" s="4">
        <v>22</v>
      </c>
      <c r="C24" s="4">
        <v>196</v>
      </c>
      <c r="L24" s="125"/>
      <c r="M24" s="125"/>
      <c r="N24" s="125"/>
      <c r="O24" s="125"/>
      <c r="Q24" s="65" t="s">
        <v>25</v>
      </c>
      <c r="R24" s="30">
        <f>(R22-1)/(R23/SQRT(R21))</f>
        <v>-0.65703152444217028</v>
      </c>
      <c r="S24" s="159"/>
      <c r="T24" s="160"/>
      <c r="V24" s="100" t="s">
        <v>28</v>
      </c>
      <c r="W24" s="101" t="str">
        <f>IF(AND(W22&gt;_xlfn.NORM.INV(W23/2,0,1),W22&lt;_xlfn.NORM.INV(1-W23/2,0,1)),"H0 Accepted","H0 Rejected")</f>
        <v>H0 Rejected</v>
      </c>
      <c r="X24" s="115"/>
      <c r="Y24" s="116"/>
    </row>
    <row r="25" spans="2:25" ht="15.6" x14ac:dyDescent="0.3">
      <c r="B25" s="4">
        <v>23</v>
      </c>
      <c r="C25" s="4">
        <v>185</v>
      </c>
      <c r="F25" s="163" t="s">
        <v>95</v>
      </c>
      <c r="G25" s="70" t="s">
        <v>30</v>
      </c>
      <c r="H25" s="71">
        <f>INTERCEPT(F36:F107,B36:B107)</f>
        <v>79.047006640298392</v>
      </c>
      <c r="Q25" s="65" t="s">
        <v>27</v>
      </c>
      <c r="R25" s="72">
        <v>0.05</v>
      </c>
      <c r="S25" s="159"/>
      <c r="T25" s="160"/>
    </row>
    <row r="26" spans="2:25" ht="16.2" thickBot="1" x14ac:dyDescent="0.35">
      <c r="B26" s="4">
        <v>24</v>
      </c>
      <c r="C26" s="4">
        <v>232</v>
      </c>
      <c r="F26" s="164"/>
      <c r="G26" s="70" t="s">
        <v>31</v>
      </c>
      <c r="H26" s="71">
        <f>SLOPE(F36:F107,B36:B107)</f>
        <v>1.5944004973524559</v>
      </c>
      <c r="J26" s="73" t="s">
        <v>32</v>
      </c>
      <c r="L26" s="73" t="s">
        <v>60</v>
      </c>
      <c r="M26" s="74">
        <v>12</v>
      </c>
      <c r="O26" s="68" t="s">
        <v>61</v>
      </c>
      <c r="Q26" s="75" t="s">
        <v>28</v>
      </c>
      <c r="R26" s="76" t="str">
        <f>IF(AND(R24&gt;_xlfn.NORM.INV(R25/2,0,1),R24&lt;_xlfn.NORM.INV(1-R25/2,0,1)),"H0 Accepted","H0 Rejected")</f>
        <v>H0 Accepted</v>
      </c>
      <c r="S26" s="161"/>
      <c r="T26" s="162"/>
    </row>
    <row r="27" spans="2:25" x14ac:dyDescent="0.3">
      <c r="J27" s="78">
        <f>SUM(J30:J41)</f>
        <v>11.969643803467086</v>
      </c>
      <c r="L27" s="73" t="s">
        <v>27</v>
      </c>
      <c r="M27" s="72">
        <v>0.05</v>
      </c>
      <c r="O27" s="29">
        <f>SUM(O30:O41)</f>
        <v>12.000000000000002</v>
      </c>
    </row>
    <row r="28" spans="2:25" ht="6.6" customHeight="1" thickBot="1" x14ac:dyDescent="0.35"/>
    <row r="29" spans="2:25" ht="27.6" x14ac:dyDescent="0.3">
      <c r="B29" s="45" t="s">
        <v>0</v>
      </c>
      <c r="C29" s="46" t="s">
        <v>34</v>
      </c>
      <c r="D29" s="47" t="s">
        <v>35</v>
      </c>
      <c r="E29" s="47" t="s">
        <v>36</v>
      </c>
      <c r="F29" s="47" t="s">
        <v>37</v>
      </c>
      <c r="G29" s="47" t="s">
        <v>38</v>
      </c>
      <c r="H29" s="47" t="s">
        <v>39</v>
      </c>
      <c r="I29" s="47" t="s">
        <v>62</v>
      </c>
      <c r="J29" s="47" t="s">
        <v>41</v>
      </c>
      <c r="K29" s="47" t="s">
        <v>63</v>
      </c>
      <c r="L29" s="47" t="s">
        <v>43</v>
      </c>
      <c r="M29" s="48" t="s">
        <v>44</v>
      </c>
      <c r="N29" s="47" t="s">
        <v>45</v>
      </c>
      <c r="O29" s="47" t="s">
        <v>46</v>
      </c>
      <c r="P29" s="47" t="s">
        <v>47</v>
      </c>
      <c r="Q29" s="48" t="s">
        <v>64</v>
      </c>
      <c r="R29" s="47" t="s">
        <v>49</v>
      </c>
      <c r="S29" s="47" t="s">
        <v>50</v>
      </c>
      <c r="T29" s="49" t="s">
        <v>96</v>
      </c>
    </row>
    <row r="30" spans="2:25" ht="15.6" x14ac:dyDescent="0.3">
      <c r="B30" s="50">
        <v>1</v>
      </c>
      <c r="C30" s="6">
        <v>84</v>
      </c>
      <c r="D30" s="7" t="s">
        <v>51</v>
      </c>
      <c r="E30" s="7" t="str">
        <f>IF(D30="-","-","")</f>
        <v>-</v>
      </c>
      <c r="F30" s="7" t="str">
        <f>IF(E30="-","-","")</f>
        <v>-</v>
      </c>
      <c r="G30" s="8">
        <f>$H$25+$H$26*B30</f>
        <v>80.641407137650845</v>
      </c>
      <c r="H30" s="7" t="str">
        <f>IF(D30="-","-","")</f>
        <v>-</v>
      </c>
      <c r="I30" s="7" t="str">
        <f>IF(E30="-","-","")</f>
        <v>-</v>
      </c>
      <c r="J30" s="8">
        <f>AVERAGE(I30,I42,I54,I66,I78,I90,I102)</f>
        <v>0.90802732039965628</v>
      </c>
      <c r="K30" s="8">
        <f>_xlfn.STDEV.S(I30,I42,I54,I66,I78,I90,I102)</f>
        <v>2.4529638946851097E-2</v>
      </c>
      <c r="L30" s="8">
        <f>J30-K30*2</f>
        <v>0.85896804250595404</v>
      </c>
      <c r="M30" s="8">
        <f>J30+K30*2</f>
        <v>0.95708659829335851</v>
      </c>
      <c r="N30" s="7" t="str">
        <f>IF(D30="-","-","")</f>
        <v>-</v>
      </c>
      <c r="O30" s="8">
        <f>J30*$M$26/$J$27</f>
        <v>0.9103301671884072</v>
      </c>
      <c r="P30" s="8"/>
      <c r="Q30" s="8">
        <f>IF($R$26 = "H0 Accepted", G30*O30, G30*O30*P30)</f>
        <v>73.410305641926101</v>
      </c>
      <c r="R30" s="8">
        <f>C30-Q30</f>
        <v>10.589694358073899</v>
      </c>
      <c r="S30" s="55">
        <f>ABS(R30)/C30</f>
        <v>0.12606778997707022</v>
      </c>
      <c r="T30" s="79">
        <f>IF(R30&gt;0,Q30*GorGeus!$C$32+GorGeus!$C$31,Q30*GorGeus!$C$37+GorGeus!$C$36)</f>
        <v>79.152464649288362</v>
      </c>
    </row>
    <row r="31" spans="2:25" ht="15.6" x14ac:dyDescent="0.3">
      <c r="B31" s="50">
        <v>2</v>
      </c>
      <c r="C31" s="6">
        <v>89</v>
      </c>
      <c r="D31" s="7" t="s">
        <v>51</v>
      </c>
      <c r="E31" s="7" t="str">
        <f t="shared" ref="E31:F32" si="0">IF(D31="-","-","")</f>
        <v>-</v>
      </c>
      <c r="F31" s="7" t="str">
        <f t="shared" si="0"/>
        <v>-</v>
      </c>
      <c r="G31" s="8">
        <f t="shared" ref="G31:G94" si="1">$H$25+$H$26*B31</f>
        <v>82.235807635003297</v>
      </c>
      <c r="H31" s="7" t="str">
        <f t="shared" ref="H31:I35" si="2">IF(D31="-","-","")</f>
        <v>-</v>
      </c>
      <c r="I31" s="7" t="str">
        <f t="shared" si="2"/>
        <v>-</v>
      </c>
      <c r="J31" s="8">
        <f t="shared" ref="J31:J41" si="3">AVERAGE(I31,I43,I55,I67,I79,I91,I103)</f>
        <v>0.90632810277729259</v>
      </c>
      <c r="K31" s="8">
        <f t="shared" ref="K31:K41" si="4">_xlfn.STDEV.S(I31,I43,I55,I67,I79,I91,I103)</f>
        <v>5.5689120465829793E-2</v>
      </c>
      <c r="L31" s="8">
        <f t="shared" ref="L31:L94" si="5">J31-K31*2</f>
        <v>0.79494986184563299</v>
      </c>
      <c r="M31" s="8">
        <f t="shared" ref="M31:M94" si="6">J31+K31*2</f>
        <v>1.0177063437089522</v>
      </c>
      <c r="N31" s="7" t="str">
        <f t="shared" ref="N31:N35" si="7">IF(D31="-","-","")</f>
        <v>-</v>
      </c>
      <c r="O31" s="8">
        <f t="shared" ref="O31:O41" si="8">J31*$M$26/$J$27</f>
        <v>0.90862664018266137</v>
      </c>
      <c r="P31" s="8"/>
      <c r="Q31" s="8">
        <f t="shared" ref="Q31:Q94" si="9">IF($R$26 = "H0 Accepted", G31*O31, G31*O31*P31)</f>
        <v>74.721645594100693</v>
      </c>
      <c r="R31" s="8">
        <f t="shared" ref="R31:R94" si="10">C31-Q31</f>
        <v>14.278354405899307</v>
      </c>
      <c r="S31" s="55">
        <f t="shared" ref="S31:S94" si="11">ABS(R31)/C31</f>
        <v>0.16043094838089109</v>
      </c>
      <c r="T31" s="79">
        <f>IF(R31&gt;0,Q31*GorGeus!$C$32+GorGeus!$C$31,Q31*GorGeus!$C$37+GorGeus!$C$36)</f>
        <v>80.534101021850006</v>
      </c>
    </row>
    <row r="32" spans="2:25" ht="15.6" x14ac:dyDescent="0.3">
      <c r="B32" s="50">
        <v>3</v>
      </c>
      <c r="C32" s="6">
        <v>99</v>
      </c>
      <c r="D32" s="7" t="s">
        <v>51</v>
      </c>
      <c r="E32" s="7" t="str">
        <f t="shared" si="0"/>
        <v>-</v>
      </c>
      <c r="F32" s="7" t="str">
        <f t="shared" si="0"/>
        <v>-</v>
      </c>
      <c r="G32" s="8">
        <f t="shared" si="1"/>
        <v>83.830208132355764</v>
      </c>
      <c r="H32" s="7" t="str">
        <f t="shared" si="2"/>
        <v>-</v>
      </c>
      <c r="I32" s="7" t="str">
        <f t="shared" si="2"/>
        <v>-</v>
      </c>
      <c r="J32" s="8">
        <f t="shared" si="3"/>
        <v>1.0371103252949927</v>
      </c>
      <c r="K32" s="8">
        <f t="shared" si="4"/>
        <v>4.2763314851817932E-2</v>
      </c>
      <c r="L32" s="8">
        <f t="shared" si="5"/>
        <v>0.9515836955913568</v>
      </c>
      <c r="M32" s="8">
        <f t="shared" si="6"/>
        <v>1.1226369549986286</v>
      </c>
      <c r="N32" s="7" t="str">
        <f t="shared" si="7"/>
        <v>-</v>
      </c>
      <c r="O32" s="8">
        <f t="shared" si="8"/>
        <v>1.0397405393078649</v>
      </c>
      <c r="P32" s="8"/>
      <c r="Q32" s="8">
        <f t="shared" si="9"/>
        <v>87.161665813826147</v>
      </c>
      <c r="R32" s="8">
        <f t="shared" si="10"/>
        <v>11.838334186173853</v>
      </c>
      <c r="S32" s="55">
        <f t="shared" si="11"/>
        <v>0.11957913319367529</v>
      </c>
      <c r="T32" s="79">
        <f>IF(R32&gt;0,Q32*GorGeus!$C$32+GorGeus!$C$31,Q32*GorGeus!$C$37+GorGeus!$C$36)</f>
        <v>93.640987899255833</v>
      </c>
      <c r="U32" s="80"/>
    </row>
    <row r="33" spans="2:20" ht="15.6" x14ac:dyDescent="0.3">
      <c r="B33" s="50">
        <v>4</v>
      </c>
      <c r="C33" s="6">
        <v>97</v>
      </c>
      <c r="D33" s="7" t="s">
        <v>51</v>
      </c>
      <c r="E33" s="7" t="s">
        <v>51</v>
      </c>
      <c r="F33" s="7" t="str">
        <f t="shared" ref="F33" si="12">IF(E33="-","-","")</f>
        <v>-</v>
      </c>
      <c r="G33" s="8">
        <f t="shared" si="1"/>
        <v>85.424608629708217</v>
      </c>
      <c r="H33" s="7" t="str">
        <f t="shared" si="2"/>
        <v>-</v>
      </c>
      <c r="I33" s="7" t="str">
        <f t="shared" si="2"/>
        <v>-</v>
      </c>
      <c r="J33" s="8">
        <f t="shared" si="3"/>
        <v>0.9861740189161603</v>
      </c>
      <c r="K33" s="8">
        <f t="shared" si="4"/>
        <v>3.5781115445275478E-2</v>
      </c>
      <c r="L33" s="8">
        <f t="shared" si="5"/>
        <v>0.91461178802560938</v>
      </c>
      <c r="M33" s="8">
        <f t="shared" si="6"/>
        <v>1.0577362498067113</v>
      </c>
      <c r="N33" s="7" t="str">
        <f t="shared" si="7"/>
        <v>-</v>
      </c>
      <c r="O33" s="8">
        <f t="shared" si="8"/>
        <v>0.98867505343526618</v>
      </c>
      <c r="P33" s="8"/>
      <c r="Q33" s="8">
        <f t="shared" si="9"/>
        <v>84.457179501663475</v>
      </c>
      <c r="R33" s="8">
        <f t="shared" si="10"/>
        <v>12.542820498336525</v>
      </c>
      <c r="S33" s="55">
        <f t="shared" si="11"/>
        <v>0.1293074278179023</v>
      </c>
      <c r="T33" s="79">
        <f>IF(R33&gt;0,Q33*GorGeus!$C$32+GorGeus!$C$31,Q33*GorGeus!$C$37+GorGeus!$C$36)</f>
        <v>90.791523386424771</v>
      </c>
    </row>
    <row r="34" spans="2:20" ht="15.6" x14ac:dyDescent="0.3">
      <c r="B34" s="50">
        <v>5</v>
      </c>
      <c r="C34" s="6">
        <v>91</v>
      </c>
      <c r="D34" s="7" t="s">
        <v>51</v>
      </c>
      <c r="E34" s="7" t="s">
        <v>51</v>
      </c>
      <c r="F34" s="7" t="str">
        <f t="shared" ref="F34" si="13">IF(E34="-","-","")</f>
        <v>-</v>
      </c>
      <c r="G34" s="8">
        <f t="shared" si="1"/>
        <v>87.01900912706067</v>
      </c>
      <c r="H34" s="7" t="str">
        <f t="shared" si="2"/>
        <v>-</v>
      </c>
      <c r="I34" s="7" t="str">
        <f t="shared" si="2"/>
        <v>-</v>
      </c>
      <c r="J34" s="8">
        <f t="shared" si="3"/>
        <v>0.97880157620007846</v>
      </c>
      <c r="K34" s="8">
        <f t="shared" si="4"/>
        <v>4.7129459717990208E-2</v>
      </c>
      <c r="L34" s="8">
        <f t="shared" si="5"/>
        <v>0.88454265676409805</v>
      </c>
      <c r="M34" s="8">
        <f t="shared" si="6"/>
        <v>1.0730604956360588</v>
      </c>
      <c r="N34" s="7" t="str">
        <f t="shared" si="7"/>
        <v>-</v>
      </c>
      <c r="O34" s="8">
        <f t="shared" si="8"/>
        <v>0.9812839134777549</v>
      </c>
      <c r="P34" s="8"/>
      <c r="Q34" s="8">
        <f t="shared" si="9"/>
        <v>85.390353823158563</v>
      </c>
      <c r="R34" s="8">
        <f t="shared" si="10"/>
        <v>5.6096461768414372</v>
      </c>
      <c r="S34" s="55">
        <f t="shared" si="11"/>
        <v>6.1644463481774034E-2</v>
      </c>
      <c r="T34" s="79">
        <f>IF(R34&gt;0,Q34*GorGeus!$C$32+GorGeus!$C$31,Q34*GorGeus!$C$37+GorGeus!$C$36)</f>
        <v>91.774721970727867</v>
      </c>
    </row>
    <row r="35" spans="2:20" ht="15.6" x14ac:dyDescent="0.3">
      <c r="B35" s="91">
        <v>6</v>
      </c>
      <c r="C35" s="92">
        <v>101</v>
      </c>
      <c r="D35" s="51" t="s">
        <v>51</v>
      </c>
      <c r="E35" s="51" t="s">
        <v>51</v>
      </c>
      <c r="F35" s="51" t="str">
        <f t="shared" ref="F35" si="14">IF(E35="-","-","")</f>
        <v>-</v>
      </c>
      <c r="G35" s="54">
        <f t="shared" si="1"/>
        <v>88.613409624413123</v>
      </c>
      <c r="H35" s="51" t="str">
        <f t="shared" si="2"/>
        <v>-</v>
      </c>
      <c r="I35" s="51" t="str">
        <f t="shared" si="2"/>
        <v>-</v>
      </c>
      <c r="J35" s="54">
        <f t="shared" si="3"/>
        <v>1.0914972509374308</v>
      </c>
      <c r="K35" s="54">
        <f t="shared" si="4"/>
        <v>2.5517096440106059E-2</v>
      </c>
      <c r="L35" s="54">
        <f t="shared" si="5"/>
        <v>1.0404630580572187</v>
      </c>
      <c r="M35" s="54">
        <f t="shared" si="6"/>
        <v>1.1425314438176428</v>
      </c>
      <c r="N35" s="54" t="str">
        <f t="shared" si="7"/>
        <v>-</v>
      </c>
      <c r="O35" s="54">
        <f t="shared" si="8"/>
        <v>1.0942653955546493</v>
      </c>
      <c r="P35" s="54"/>
      <c r="Q35" s="54">
        <f t="shared" si="9"/>
        <v>96.966587734104593</v>
      </c>
      <c r="R35" s="54">
        <f t="shared" si="10"/>
        <v>4.0334122658954072</v>
      </c>
      <c r="S35" s="56">
        <f t="shared" si="11"/>
        <v>3.9934774909855517E-2</v>
      </c>
      <c r="T35" s="81">
        <f>IF(R35&gt;0,Q35*GorGeus!$C$32+GorGeus!$C$31,Q35*GorGeus!$C$37+GorGeus!$C$36)</f>
        <v>103.97151792903117</v>
      </c>
    </row>
    <row r="36" spans="2:20" ht="15.6" x14ac:dyDescent="0.3">
      <c r="B36" s="84">
        <v>7</v>
      </c>
      <c r="C36" s="85">
        <v>111</v>
      </c>
      <c r="D36" s="86">
        <f>SUM(C31:C42)/$M$26</f>
        <v>96</v>
      </c>
      <c r="E36" s="86">
        <f>SUM(C30:C41)/$M$26</f>
        <v>95.833333333333329</v>
      </c>
      <c r="F36" s="87">
        <f>AVERAGE(D36:E36)</f>
        <v>95.916666666666657</v>
      </c>
      <c r="G36" s="87">
        <f t="shared" si="1"/>
        <v>90.20781012176559</v>
      </c>
      <c r="H36" s="87">
        <f>F36/G36</f>
        <v>1.0632856128221608</v>
      </c>
      <c r="I36" s="87">
        <f>C36/F36</f>
        <v>1.1572545612510861</v>
      </c>
      <c r="J36" s="87">
        <f t="shared" si="3"/>
        <v>1.1860899363916799</v>
      </c>
      <c r="K36" s="87">
        <f t="shared" si="4"/>
        <v>3.9909435302689915E-2</v>
      </c>
      <c r="L36" s="87">
        <f t="shared" si="5"/>
        <v>1.1062710657863002</v>
      </c>
      <c r="M36" s="87">
        <f t="shared" si="6"/>
        <v>1.2659088069970597</v>
      </c>
      <c r="N36" s="88" t="str">
        <f>IF(AND(I36&gt;L36,I36&lt;M36),"OK","NOT OK")</f>
        <v>OK</v>
      </c>
      <c r="O36" s="8">
        <f t="shared" si="8"/>
        <v>1.189097977383208</v>
      </c>
      <c r="P36" s="87">
        <f>IF(D36="-",1,I36/O36)</f>
        <v>0.97322052788097557</v>
      </c>
      <c r="Q36" s="87">
        <f t="shared" si="9"/>
        <v>107.26592455995994</v>
      </c>
      <c r="R36" s="87">
        <f t="shared" si="10"/>
        <v>3.7340754400400584</v>
      </c>
      <c r="S36" s="89">
        <f t="shared" si="11"/>
        <v>3.3640319279640167E-2</v>
      </c>
      <c r="T36" s="90">
        <f>IF(R36&gt;0,Q36*GorGeus!$C$32+GorGeus!$C$31,Q36*GorGeus!$C$37+GorGeus!$C$36)</f>
        <v>114.82296674538729</v>
      </c>
    </row>
    <row r="37" spans="2:20" ht="15.6" x14ac:dyDescent="0.3">
      <c r="B37" s="50">
        <v>8</v>
      </c>
      <c r="C37" s="6">
        <v>111</v>
      </c>
      <c r="D37" s="7">
        <f t="shared" ref="D37:D100" si="15">SUM(C32:C43)/$M$26</f>
        <v>96.5</v>
      </c>
      <c r="E37" s="7">
        <f t="shared" ref="E37:E100" si="16">SUM(C31:C42)/$M$26</f>
        <v>96</v>
      </c>
      <c r="F37" s="8">
        <f t="shared" ref="F37:F100" si="17">AVERAGE(D37:E37)</f>
        <v>96.25</v>
      </c>
      <c r="G37" s="8">
        <f t="shared" si="1"/>
        <v>91.802210619118043</v>
      </c>
      <c r="H37" s="8">
        <f t="shared" ref="H37:H97" si="18">F37/G37</f>
        <v>1.0484496980071163</v>
      </c>
      <c r="I37" s="8">
        <f t="shared" ref="I37:I97" si="19">C37/F37</f>
        <v>1.1532467532467532</v>
      </c>
      <c r="J37" s="8">
        <f t="shared" si="3"/>
        <v>1.184566045323719</v>
      </c>
      <c r="K37" s="8">
        <f t="shared" si="4"/>
        <v>2.9446261957848757E-2</v>
      </c>
      <c r="L37" s="8">
        <f t="shared" si="5"/>
        <v>1.1256735214080216</v>
      </c>
      <c r="M37" s="8">
        <f t="shared" si="6"/>
        <v>1.2434585692394164</v>
      </c>
      <c r="N37" s="53" t="str">
        <f t="shared" ref="N37:N100" si="20">IF(AND(I37&gt;L37,I37&lt;M37),"OK","NOT OK")</f>
        <v>OK</v>
      </c>
      <c r="O37" s="8">
        <f t="shared" si="8"/>
        <v>1.1875702215772885</v>
      </c>
      <c r="P37" s="8">
        <f t="shared" ref="P37:P94" si="21">IF(D37="-",1,I37/O37)</f>
        <v>0.97109773577435432</v>
      </c>
      <c r="Q37" s="8">
        <f t="shared" si="9"/>
        <v>109.02157160623092</v>
      </c>
      <c r="R37" s="8">
        <f t="shared" si="10"/>
        <v>1.9784283937690788</v>
      </c>
      <c r="S37" s="55">
        <f t="shared" si="11"/>
        <v>1.7823679223144855E-2</v>
      </c>
      <c r="T37" s="79">
        <f>IF(R37&gt;0,Q37*GorGeus!$C$32+GorGeus!$C$31,Q37*GorGeus!$C$37+GorGeus!$C$36)</f>
        <v>116.67272798577804</v>
      </c>
    </row>
    <row r="38" spans="2:20" ht="15.6" x14ac:dyDescent="0.3">
      <c r="B38" s="50">
        <v>9</v>
      </c>
      <c r="C38" s="6">
        <v>102</v>
      </c>
      <c r="D38" s="7">
        <f t="shared" si="15"/>
        <v>97.083333333333329</v>
      </c>
      <c r="E38" s="7">
        <f t="shared" si="16"/>
        <v>96.5</v>
      </c>
      <c r="F38" s="8">
        <f t="shared" si="17"/>
        <v>96.791666666666657</v>
      </c>
      <c r="G38" s="8">
        <f t="shared" si="1"/>
        <v>93.396611116470496</v>
      </c>
      <c r="H38" s="8">
        <f t="shared" si="18"/>
        <v>1.0363509500999168</v>
      </c>
      <c r="I38" s="8">
        <f t="shared" si="19"/>
        <v>1.0538097287989669</v>
      </c>
      <c r="J38" s="8">
        <f t="shared" si="3"/>
        <v>1.0537394917670739</v>
      </c>
      <c r="K38" s="8">
        <f t="shared" si="4"/>
        <v>1.7464041599105796E-2</v>
      </c>
      <c r="L38" s="8">
        <f t="shared" si="5"/>
        <v>1.0188114085688624</v>
      </c>
      <c r="M38" s="8">
        <f t="shared" si="6"/>
        <v>1.0886675749652854</v>
      </c>
      <c r="N38" s="53" t="str">
        <f t="shared" si="20"/>
        <v>OK</v>
      </c>
      <c r="O38" s="8">
        <f t="shared" si="8"/>
        <v>1.0564118789852557</v>
      </c>
      <c r="P38" s="8">
        <f t="shared" si="21"/>
        <v>0.99753680336424444</v>
      </c>
      <c r="Q38" s="8">
        <f t="shared" si="9"/>
        <v>98.665289440405815</v>
      </c>
      <c r="R38" s="8">
        <f t="shared" si="10"/>
        <v>3.3347105595941855</v>
      </c>
      <c r="S38" s="55">
        <f t="shared" si="11"/>
        <v>3.2693240780335149E-2</v>
      </c>
      <c r="T38" s="79">
        <f>IF(R38&gt;0,Q38*GorGeus!$C$32+GorGeus!$C$31,Q38*GorGeus!$C$37+GorGeus!$C$36)</f>
        <v>105.76128118581772</v>
      </c>
    </row>
    <row r="39" spans="2:20" ht="15.6" x14ac:dyDescent="0.3">
      <c r="B39" s="50">
        <v>10</v>
      </c>
      <c r="C39" s="6">
        <v>98</v>
      </c>
      <c r="D39" s="7">
        <f t="shared" si="15"/>
        <v>97.416666666666671</v>
      </c>
      <c r="E39" s="7">
        <f t="shared" si="16"/>
        <v>97.083333333333329</v>
      </c>
      <c r="F39" s="8">
        <f t="shared" si="17"/>
        <v>97.25</v>
      </c>
      <c r="G39" s="8">
        <f t="shared" si="1"/>
        <v>94.991011613822948</v>
      </c>
      <c r="H39" s="8">
        <f t="shared" si="18"/>
        <v>1.0237810751543606</v>
      </c>
      <c r="I39" s="8">
        <f t="shared" si="19"/>
        <v>1.0077120822622108</v>
      </c>
      <c r="J39" s="8">
        <f t="shared" si="3"/>
        <v>0.93333633993345888</v>
      </c>
      <c r="K39" s="8">
        <f t="shared" si="4"/>
        <v>3.8912050137017269E-2</v>
      </c>
      <c r="L39" s="8">
        <f t="shared" si="5"/>
        <v>0.85551223965942436</v>
      </c>
      <c r="M39" s="8">
        <f t="shared" si="6"/>
        <v>1.0111604402074934</v>
      </c>
      <c r="N39" s="53" t="str">
        <f t="shared" si="20"/>
        <v>OK</v>
      </c>
      <c r="O39" s="8">
        <f t="shared" si="8"/>
        <v>0.93570337289045669</v>
      </c>
      <c r="P39" s="8">
        <f t="shared" si="21"/>
        <v>1.0769567701239697</v>
      </c>
      <c r="Q39" s="8">
        <f t="shared" si="9"/>
        <v>88.883409961330671</v>
      </c>
      <c r="R39" s="8">
        <f t="shared" si="10"/>
        <v>9.1165900386693295</v>
      </c>
      <c r="S39" s="55">
        <f t="shared" si="11"/>
        <v>9.3026428966013569E-2</v>
      </c>
      <c r="T39" s="79">
        <f>IF(R39&gt;0,Q39*GorGeus!$C$32+GorGeus!$C$31,Q39*GorGeus!$C$37+GorGeus!$C$36)</f>
        <v>95.455028823192151</v>
      </c>
    </row>
    <row r="40" spans="2:20" ht="15.6" x14ac:dyDescent="0.3">
      <c r="B40" s="50">
        <v>11</v>
      </c>
      <c r="C40" s="6">
        <v>78</v>
      </c>
      <c r="D40" s="7">
        <f t="shared" si="15"/>
        <v>97.666666666666671</v>
      </c>
      <c r="E40" s="7">
        <f t="shared" si="16"/>
        <v>97.416666666666671</v>
      </c>
      <c r="F40" s="8">
        <f t="shared" si="17"/>
        <v>97.541666666666671</v>
      </c>
      <c r="G40" s="8">
        <f t="shared" si="1"/>
        <v>96.585412111175401</v>
      </c>
      <c r="H40" s="8">
        <f>F40/G40</f>
        <v>1.0099006106055701</v>
      </c>
      <c r="I40" s="8">
        <f t="shared" si="19"/>
        <v>0.79965826569841947</v>
      </c>
      <c r="J40" s="8">
        <f t="shared" si="3"/>
        <v>0.79911462897913144</v>
      </c>
      <c r="K40" s="8">
        <f t="shared" si="4"/>
        <v>2.3919366976353492E-2</v>
      </c>
      <c r="L40" s="8">
        <f t="shared" si="5"/>
        <v>0.75127589502642445</v>
      </c>
      <c r="M40" s="8">
        <f t="shared" si="6"/>
        <v>0.84695336293183843</v>
      </c>
      <c r="N40" s="53" t="str">
        <f t="shared" si="20"/>
        <v>OK</v>
      </c>
      <c r="O40" s="8">
        <f t="shared" si="8"/>
        <v>0.8011412624469203</v>
      </c>
      <c r="P40" s="8">
        <f t="shared" si="21"/>
        <v>0.99814889481042168</v>
      </c>
      <c r="Q40" s="8">
        <f t="shared" si="9"/>
        <v>77.37855899270312</v>
      </c>
      <c r="R40" s="8">
        <f t="shared" si="10"/>
        <v>0.62144100729688034</v>
      </c>
      <c r="S40" s="55">
        <f t="shared" si="11"/>
        <v>7.9671924012420549E-3</v>
      </c>
      <c r="T40" s="79">
        <f>IF(R40&gt;0,Q40*GorGeus!$C$32+GorGeus!$C$31,Q40*GorGeus!$C$37+GorGeus!$C$36)</f>
        <v>83.333442401000468</v>
      </c>
    </row>
    <row r="41" spans="2:20" ht="15.6" x14ac:dyDescent="0.3">
      <c r="B41" s="91">
        <v>12</v>
      </c>
      <c r="C41" s="92">
        <v>89</v>
      </c>
      <c r="D41" s="51">
        <f t="shared" si="15"/>
        <v>98.583333333333329</v>
      </c>
      <c r="E41" s="51">
        <f t="shared" si="16"/>
        <v>97.666666666666671</v>
      </c>
      <c r="F41" s="54">
        <f t="shared" si="17"/>
        <v>98.125</v>
      </c>
      <c r="G41" s="54">
        <f t="shared" si="1"/>
        <v>98.179812608527868</v>
      </c>
      <c r="H41" s="54">
        <f t="shared" si="18"/>
        <v>0.99944171202743659</v>
      </c>
      <c r="I41" s="54">
        <f t="shared" si="19"/>
        <v>0.90700636942675161</v>
      </c>
      <c r="J41" s="54">
        <f t="shared" si="3"/>
        <v>0.90485876654641384</v>
      </c>
      <c r="K41" s="54">
        <f t="shared" si="4"/>
        <v>1.23776473754979E-2</v>
      </c>
      <c r="L41" s="54">
        <f t="shared" si="5"/>
        <v>0.88010347179541804</v>
      </c>
      <c r="M41" s="54">
        <f t="shared" si="6"/>
        <v>0.92961406129740964</v>
      </c>
      <c r="N41" s="77" t="str">
        <f t="shared" si="20"/>
        <v>OK</v>
      </c>
      <c r="O41" s="54">
        <f t="shared" si="8"/>
        <v>0.90715357757026871</v>
      </c>
      <c r="P41" s="54">
        <f t="shared" si="21"/>
        <v>0.99983772522408898</v>
      </c>
      <c r="Q41" s="54">
        <f t="shared" si="9"/>
        <v>89.064168253004638</v>
      </c>
      <c r="R41" s="54">
        <f t="shared" si="10"/>
        <v>-6.4168253004638132E-2</v>
      </c>
      <c r="S41" s="56">
        <f t="shared" si="11"/>
        <v>7.2099160679368684E-4</v>
      </c>
      <c r="T41" s="81">
        <f>IF(R41&gt;0,Q41*GorGeus!$C$32+GorGeus!$C$31,Q41*GorGeus!$C$37+GorGeus!$C$36)</f>
        <v>39.110112622238709</v>
      </c>
    </row>
    <row r="42" spans="2:20" ht="15.6" x14ac:dyDescent="0.3">
      <c r="B42" s="84">
        <v>13</v>
      </c>
      <c r="C42" s="85">
        <v>86</v>
      </c>
      <c r="D42" s="86">
        <f t="shared" si="15"/>
        <v>100</v>
      </c>
      <c r="E42" s="86">
        <f t="shared" si="16"/>
        <v>98.583333333333329</v>
      </c>
      <c r="F42" s="87">
        <f t="shared" si="17"/>
        <v>99.291666666666657</v>
      </c>
      <c r="G42" s="87">
        <f t="shared" si="1"/>
        <v>99.774213105880321</v>
      </c>
      <c r="H42" s="87">
        <f t="shared" si="18"/>
        <v>0.99516361568593292</v>
      </c>
      <c r="I42" s="87">
        <f t="shared" si="19"/>
        <v>0.86613512379353763</v>
      </c>
      <c r="J42" s="87">
        <f>J30</f>
        <v>0.90802732039965628</v>
      </c>
      <c r="K42" s="87">
        <f>K30</f>
        <v>2.4529638946851097E-2</v>
      </c>
      <c r="L42" s="87">
        <f t="shared" si="5"/>
        <v>0.85896804250595404</v>
      </c>
      <c r="M42" s="87">
        <f t="shared" si="6"/>
        <v>0.95708659829335851</v>
      </c>
      <c r="N42" s="88" t="str">
        <f t="shared" si="20"/>
        <v>OK</v>
      </c>
      <c r="O42" s="87">
        <f>O30</f>
        <v>0.9103301671884072</v>
      </c>
      <c r="P42" s="87">
        <f t="shared" si="21"/>
        <v>0.95145163261878074</v>
      </c>
      <c r="Q42" s="87">
        <f t="shared" si="9"/>
        <v>90.8274760977678</v>
      </c>
      <c r="R42" s="87">
        <f t="shared" si="10"/>
        <v>-4.8274760977678</v>
      </c>
      <c r="S42" s="89">
        <f t="shared" si="11"/>
        <v>5.6133442997299998E-2</v>
      </c>
      <c r="T42" s="90">
        <f>IF(R42&gt;0,Q42*GorGeus!$C$32+GorGeus!$C$31,Q42*GorGeus!$C$37+GorGeus!$C$36)</f>
        <v>39.696841604212999</v>
      </c>
    </row>
    <row r="43" spans="2:20" ht="15.6" x14ac:dyDescent="0.3">
      <c r="B43" s="50">
        <v>14</v>
      </c>
      <c r="C43" s="6">
        <v>95</v>
      </c>
      <c r="D43" s="7">
        <f t="shared" si="15"/>
        <v>101.41666666666667</v>
      </c>
      <c r="E43" s="7">
        <f t="shared" si="16"/>
        <v>100</v>
      </c>
      <c r="F43" s="8">
        <f t="shared" si="17"/>
        <v>100.70833333333334</v>
      </c>
      <c r="G43" s="8">
        <f t="shared" si="1"/>
        <v>101.36861360323277</v>
      </c>
      <c r="H43" s="8">
        <f t="shared" si="18"/>
        <v>0.99348634408196768</v>
      </c>
      <c r="I43" s="8">
        <f t="shared" si="19"/>
        <v>0.94331816301199822</v>
      </c>
      <c r="J43" s="8">
        <f t="shared" ref="J43:K106" si="22">J31</f>
        <v>0.90632810277729259</v>
      </c>
      <c r="K43" s="8">
        <f t="shared" si="22"/>
        <v>5.5689120465829793E-2</v>
      </c>
      <c r="L43" s="8">
        <f t="shared" si="5"/>
        <v>0.79494986184563299</v>
      </c>
      <c r="M43" s="8">
        <f t="shared" si="6"/>
        <v>1.0177063437089522</v>
      </c>
      <c r="N43" s="53" t="str">
        <f t="shared" si="20"/>
        <v>OK</v>
      </c>
      <c r="O43" s="8">
        <f t="shared" ref="O43:O106" si="23">O31</f>
        <v>0.90862664018266137</v>
      </c>
      <c r="P43" s="8">
        <f t="shared" si="21"/>
        <v>1.0381801735665188</v>
      </c>
      <c r="Q43" s="8">
        <f t="shared" si="9"/>
        <v>92.106222798279816</v>
      </c>
      <c r="R43" s="8">
        <f t="shared" si="10"/>
        <v>2.8937772017201837</v>
      </c>
      <c r="S43" s="55">
        <f t="shared" si="11"/>
        <v>3.0460812649686145E-2</v>
      </c>
      <c r="T43" s="79">
        <f>IF(R43&gt;0,Q43*GorGeus!$C$32+GorGeus!$C$31,Q43*GorGeus!$C$37+GorGeus!$C$36)</f>
        <v>98.850605561400698</v>
      </c>
    </row>
    <row r="44" spans="2:20" ht="15.6" x14ac:dyDescent="0.3">
      <c r="B44" s="50">
        <v>15</v>
      </c>
      <c r="C44" s="6">
        <v>106</v>
      </c>
      <c r="D44" s="7">
        <f t="shared" si="15"/>
        <v>102.83333333333333</v>
      </c>
      <c r="E44" s="7">
        <f t="shared" si="16"/>
        <v>101.41666666666667</v>
      </c>
      <c r="F44" s="8">
        <f t="shared" si="17"/>
        <v>102.125</v>
      </c>
      <c r="G44" s="8">
        <f t="shared" si="1"/>
        <v>102.96301410058523</v>
      </c>
      <c r="H44" s="8">
        <f t="shared" si="18"/>
        <v>0.9918610181733164</v>
      </c>
      <c r="I44" s="8">
        <f t="shared" si="19"/>
        <v>1.0379436964504285</v>
      </c>
      <c r="J44" s="8">
        <f t="shared" si="22"/>
        <v>1.0371103252949927</v>
      </c>
      <c r="K44" s="8">
        <f t="shared" si="22"/>
        <v>4.2763314851817932E-2</v>
      </c>
      <c r="L44" s="8">
        <f t="shared" si="5"/>
        <v>0.9515836955913568</v>
      </c>
      <c r="M44" s="8">
        <f t="shared" si="6"/>
        <v>1.1226369549986286</v>
      </c>
      <c r="N44" s="53" t="str">
        <f t="shared" si="20"/>
        <v>OK</v>
      </c>
      <c r="O44" s="8">
        <f t="shared" si="23"/>
        <v>1.0397405393078649</v>
      </c>
      <c r="P44" s="8">
        <f t="shared" si="21"/>
        <v>0.99827183533823494</v>
      </c>
      <c r="Q44" s="8">
        <f t="shared" si="9"/>
        <v>107.05481980970579</v>
      </c>
      <c r="R44" s="8">
        <f t="shared" si="10"/>
        <v>-1.0548198097057906</v>
      </c>
      <c r="S44" s="55">
        <f t="shared" si="11"/>
        <v>9.9511302802433067E-3</v>
      </c>
      <c r="T44" s="79">
        <f>IF(R44&gt;0,Q44*GorGeus!$C$32+GorGeus!$C$31,Q44*GorGeus!$C$37+GorGeus!$C$36)</f>
        <v>45.096382520751661</v>
      </c>
    </row>
    <row r="45" spans="2:20" ht="15.6" x14ac:dyDescent="0.3">
      <c r="B45" s="50">
        <v>16</v>
      </c>
      <c r="C45" s="6">
        <v>101</v>
      </c>
      <c r="D45" s="7">
        <f t="shared" si="15"/>
        <v>103</v>
      </c>
      <c r="E45" s="7">
        <f t="shared" si="16"/>
        <v>102.83333333333333</v>
      </c>
      <c r="F45" s="8">
        <f t="shared" si="17"/>
        <v>102.91666666666666</v>
      </c>
      <c r="G45" s="8">
        <f t="shared" si="1"/>
        <v>104.55741459793768</v>
      </c>
      <c r="H45" s="8">
        <f t="shared" si="18"/>
        <v>0.9843076845618236</v>
      </c>
      <c r="I45" s="8">
        <f t="shared" si="19"/>
        <v>0.98137651821862359</v>
      </c>
      <c r="J45" s="8">
        <f t="shared" si="22"/>
        <v>0.9861740189161603</v>
      </c>
      <c r="K45" s="8">
        <f t="shared" si="22"/>
        <v>3.5781115445275478E-2</v>
      </c>
      <c r="L45" s="8">
        <f t="shared" si="5"/>
        <v>0.91461178802560938</v>
      </c>
      <c r="M45" s="8">
        <f t="shared" si="6"/>
        <v>1.0577362498067113</v>
      </c>
      <c r="N45" s="53" t="str">
        <f t="shared" si="20"/>
        <v>OK</v>
      </c>
      <c r="O45" s="8">
        <f t="shared" si="23"/>
        <v>0.98867505343526618</v>
      </c>
      <c r="P45" s="8">
        <f t="shared" si="21"/>
        <v>0.99261786247030004</v>
      </c>
      <c r="Q45" s="8">
        <f t="shared" si="9"/>
        <v>103.37330746466931</v>
      </c>
      <c r="R45" s="8">
        <f t="shared" si="10"/>
        <v>-2.3733074646693098</v>
      </c>
      <c r="S45" s="55">
        <f t="shared" si="11"/>
        <v>2.3498093709597125E-2</v>
      </c>
      <c r="T45" s="79">
        <f>IF(R45&gt;0,Q45*GorGeus!$C$32+GorGeus!$C$31,Q45*GorGeus!$C$37+GorGeus!$C$36)</f>
        <v>43.871383722757216</v>
      </c>
    </row>
    <row r="46" spans="2:20" ht="15.6" x14ac:dyDescent="0.3">
      <c r="B46" s="50">
        <v>17</v>
      </c>
      <c r="C46" s="6">
        <v>94</v>
      </c>
      <c r="D46" s="7">
        <f t="shared" si="15"/>
        <v>103.66666666666667</v>
      </c>
      <c r="E46" s="7">
        <f t="shared" si="16"/>
        <v>103</v>
      </c>
      <c r="F46" s="8">
        <f t="shared" si="17"/>
        <v>103.33333333333334</v>
      </c>
      <c r="G46" s="8">
        <f t="shared" si="1"/>
        <v>106.15181509529015</v>
      </c>
      <c r="H46" s="8">
        <f t="shared" si="18"/>
        <v>0.97344857683849573</v>
      </c>
      <c r="I46" s="8">
        <f t="shared" si="19"/>
        <v>0.90967741935483859</v>
      </c>
      <c r="J46" s="8">
        <f t="shared" si="22"/>
        <v>0.97880157620007846</v>
      </c>
      <c r="K46" s="8">
        <f t="shared" si="22"/>
        <v>4.7129459717990208E-2</v>
      </c>
      <c r="L46" s="8">
        <f t="shared" si="5"/>
        <v>0.88454265676409805</v>
      </c>
      <c r="M46" s="8">
        <f t="shared" si="6"/>
        <v>1.0730604956360588</v>
      </c>
      <c r="N46" s="53" t="str">
        <f t="shared" si="20"/>
        <v>OK</v>
      </c>
      <c r="O46" s="8">
        <f t="shared" si="23"/>
        <v>0.9812839134777549</v>
      </c>
      <c r="P46" s="8">
        <f t="shared" si="21"/>
        <v>0.92702775095014378</v>
      </c>
      <c r="Q46" s="8">
        <f t="shared" si="9"/>
        <v>104.16506853947334</v>
      </c>
      <c r="R46" s="8">
        <f t="shared" si="10"/>
        <v>-10.165068539473339</v>
      </c>
      <c r="S46" s="55">
        <f t="shared" si="11"/>
        <v>0.10813902701567382</v>
      </c>
      <c r="T46" s="79">
        <f>IF(R46&gt;0,Q46*GorGeus!$C$32+GorGeus!$C$31,Q46*GorGeus!$C$37+GorGeus!$C$36)</f>
        <v>44.134836965346878</v>
      </c>
    </row>
    <row r="47" spans="2:20" ht="16.2" thickBot="1" x14ac:dyDescent="0.35">
      <c r="B47" s="91">
        <v>18</v>
      </c>
      <c r="C47" s="92">
        <v>112</v>
      </c>
      <c r="D47" s="51">
        <f t="shared" si="15"/>
        <v>105</v>
      </c>
      <c r="E47" s="51">
        <f t="shared" si="16"/>
        <v>103.66666666666667</v>
      </c>
      <c r="F47" s="54">
        <f t="shared" si="17"/>
        <v>104.33333333333334</v>
      </c>
      <c r="G47" s="54">
        <f t="shared" si="1"/>
        <v>107.7462155926426</v>
      </c>
      <c r="H47" s="54">
        <f t="shared" si="18"/>
        <v>0.96832480620746453</v>
      </c>
      <c r="I47" s="54">
        <f t="shared" si="19"/>
        <v>1.0734824281150159</v>
      </c>
      <c r="J47" s="54">
        <f t="shared" si="22"/>
        <v>1.0914972509374308</v>
      </c>
      <c r="K47" s="54">
        <f t="shared" si="22"/>
        <v>2.5517096440106059E-2</v>
      </c>
      <c r="L47" s="54">
        <f t="shared" si="5"/>
        <v>1.0404630580572187</v>
      </c>
      <c r="M47" s="54">
        <f t="shared" si="6"/>
        <v>1.1425314438176428</v>
      </c>
      <c r="N47" s="77" t="str">
        <f t="shared" si="20"/>
        <v>OK</v>
      </c>
      <c r="O47" s="54">
        <f t="shared" si="23"/>
        <v>1.0942653955546493</v>
      </c>
      <c r="P47" s="54">
        <f t="shared" si="21"/>
        <v>0.98100737944920657</v>
      </c>
      <c r="Q47" s="54">
        <f t="shared" si="9"/>
        <v>117.90295522499957</v>
      </c>
      <c r="R47" s="54">
        <f t="shared" si="10"/>
        <v>-5.9029552249995731</v>
      </c>
      <c r="S47" s="56">
        <f t="shared" si="11"/>
        <v>5.2704957366067617E-2</v>
      </c>
      <c r="T47" s="81">
        <f>IF(R47&gt;0,Q47*GorGeus!$C$32+GorGeus!$C$31,Q47*GorGeus!$C$37+GorGeus!$C$36)</f>
        <v>48.706027579291892</v>
      </c>
    </row>
    <row r="48" spans="2:20" ht="15.6" x14ac:dyDescent="0.3">
      <c r="B48" s="50">
        <v>19</v>
      </c>
      <c r="C48" s="6">
        <v>128</v>
      </c>
      <c r="D48" s="7">
        <f t="shared" si="15"/>
        <v>106.91666666666667</v>
      </c>
      <c r="E48" s="7">
        <f t="shared" si="16"/>
        <v>105</v>
      </c>
      <c r="F48" s="8">
        <f t="shared" si="17"/>
        <v>105.95833333333334</v>
      </c>
      <c r="G48" s="8">
        <f t="shared" si="1"/>
        <v>109.34061608999505</v>
      </c>
      <c r="H48" s="8">
        <f t="shared" si="18"/>
        <v>0.96906654747694254</v>
      </c>
      <c r="I48" s="8">
        <f t="shared" si="19"/>
        <v>1.2080220212347619</v>
      </c>
      <c r="J48" s="8">
        <f t="shared" si="22"/>
        <v>1.1860899363916799</v>
      </c>
      <c r="K48" s="8">
        <f t="shared" si="22"/>
        <v>3.9909435302689915E-2</v>
      </c>
      <c r="L48" s="8">
        <f t="shared" si="5"/>
        <v>1.1062710657863002</v>
      </c>
      <c r="M48" s="8">
        <f t="shared" si="6"/>
        <v>1.2659088069970597</v>
      </c>
      <c r="N48" s="53" t="str">
        <f t="shared" si="20"/>
        <v>OK</v>
      </c>
      <c r="O48" s="8">
        <f t="shared" si="23"/>
        <v>1.189097977383208</v>
      </c>
      <c r="P48" s="8">
        <f t="shared" si="21"/>
        <v>1.0159146211762964</v>
      </c>
      <c r="Q48" s="8">
        <f t="shared" si="9"/>
        <v>130.01670543844696</v>
      </c>
      <c r="R48" s="8">
        <f t="shared" si="10"/>
        <v>-2.0167054384469623</v>
      </c>
      <c r="S48" s="55">
        <f t="shared" si="11"/>
        <v>1.5755511237866893E-2</v>
      </c>
      <c r="T48" s="79">
        <f>IF(R48&gt;0,Q48*GorGeus!$C$32+GorGeus!$C$31,Q48*GorGeus!$C$37+GorGeus!$C$36)</f>
        <v>52.736797561819515</v>
      </c>
    </row>
    <row r="49" spans="2:20" ht="15.6" x14ac:dyDescent="0.3">
      <c r="B49" s="50">
        <v>20</v>
      </c>
      <c r="C49" s="6">
        <v>128</v>
      </c>
      <c r="D49" s="7">
        <f t="shared" si="15"/>
        <v>108.41666666666667</v>
      </c>
      <c r="E49" s="7">
        <f t="shared" si="16"/>
        <v>106.91666666666667</v>
      </c>
      <c r="F49" s="8">
        <f t="shared" si="17"/>
        <v>107.66666666666667</v>
      </c>
      <c r="G49" s="8">
        <f t="shared" si="1"/>
        <v>110.93501658734752</v>
      </c>
      <c r="H49" s="8">
        <f t="shared" si="18"/>
        <v>0.97053815809269361</v>
      </c>
      <c r="I49" s="8">
        <f t="shared" si="19"/>
        <v>1.1888544891640866</v>
      </c>
      <c r="J49" s="8">
        <f t="shared" si="22"/>
        <v>1.184566045323719</v>
      </c>
      <c r="K49" s="8">
        <f t="shared" si="22"/>
        <v>2.9446261957848757E-2</v>
      </c>
      <c r="L49" s="8">
        <f t="shared" si="5"/>
        <v>1.1256735214080216</v>
      </c>
      <c r="M49" s="8">
        <f t="shared" si="6"/>
        <v>1.2434585692394164</v>
      </c>
      <c r="N49" s="53" t="str">
        <f t="shared" si="20"/>
        <v>OK</v>
      </c>
      <c r="O49" s="8">
        <f t="shared" si="23"/>
        <v>1.1875702215772885</v>
      </c>
      <c r="P49" s="8">
        <f t="shared" si="21"/>
        <v>1.0010814245452302</v>
      </c>
      <c r="Q49" s="8">
        <f t="shared" si="9"/>
        <v>131.74312222931647</v>
      </c>
      <c r="R49" s="8">
        <f t="shared" si="10"/>
        <v>-3.7431222293164694</v>
      </c>
      <c r="S49" s="55">
        <f t="shared" si="11"/>
        <v>2.9243142416534917E-2</v>
      </c>
      <c r="T49" s="79">
        <f>IF(R49&gt;0,Q49*GorGeus!$C$32+GorGeus!$C$31,Q49*GorGeus!$C$37+GorGeus!$C$36)</f>
        <v>53.31125129046282</v>
      </c>
    </row>
    <row r="50" spans="2:20" ht="15.6" x14ac:dyDescent="0.3">
      <c r="B50" s="50">
        <v>21</v>
      </c>
      <c r="C50" s="6">
        <v>119</v>
      </c>
      <c r="D50" s="7">
        <f t="shared" si="15"/>
        <v>110.75</v>
      </c>
      <c r="E50" s="7">
        <f t="shared" si="16"/>
        <v>108.41666666666667</v>
      </c>
      <c r="F50" s="8">
        <f t="shared" si="17"/>
        <v>109.58333333333334</v>
      </c>
      <c r="G50" s="8">
        <f t="shared" si="1"/>
        <v>112.52941708469996</v>
      </c>
      <c r="H50" s="8">
        <f t="shared" si="18"/>
        <v>0.97381943470702315</v>
      </c>
      <c r="I50" s="8">
        <f t="shared" si="19"/>
        <v>1.0859315589353611</v>
      </c>
      <c r="J50" s="8">
        <f t="shared" si="22"/>
        <v>1.0537394917670739</v>
      </c>
      <c r="K50" s="8">
        <f t="shared" si="22"/>
        <v>1.7464041599105796E-2</v>
      </c>
      <c r="L50" s="8">
        <f t="shared" si="5"/>
        <v>1.0188114085688624</v>
      </c>
      <c r="M50" s="8">
        <f t="shared" si="6"/>
        <v>1.0886675749652854</v>
      </c>
      <c r="N50" s="53" t="str">
        <f t="shared" si="20"/>
        <v>OK</v>
      </c>
      <c r="O50" s="8">
        <f t="shared" si="23"/>
        <v>1.0564118789852557</v>
      </c>
      <c r="P50" s="8">
        <f t="shared" si="21"/>
        <v>1.0279433434414433</v>
      </c>
      <c r="Q50" s="8">
        <f t="shared" si="9"/>
        <v>118.87741294356341</v>
      </c>
      <c r="R50" s="8">
        <f t="shared" si="10"/>
        <v>0.12258705643658629</v>
      </c>
      <c r="S50" s="55">
        <f t="shared" si="11"/>
        <v>1.0301433313998848E-3</v>
      </c>
      <c r="T50" s="79">
        <f>IF(R50&gt;0,Q50*GorGeus!$C$32+GorGeus!$C$31,Q50*GorGeus!$C$37+GorGeus!$C$36)</f>
        <v>127.05690704725933</v>
      </c>
    </row>
    <row r="51" spans="2:20" ht="15.6" x14ac:dyDescent="0.3">
      <c r="B51" s="50">
        <v>22</v>
      </c>
      <c r="C51" s="6">
        <v>100</v>
      </c>
      <c r="D51" s="7">
        <f t="shared" si="15"/>
        <v>112.5</v>
      </c>
      <c r="E51" s="7">
        <f t="shared" si="16"/>
        <v>110.75</v>
      </c>
      <c r="F51" s="8">
        <f t="shared" si="17"/>
        <v>111.625</v>
      </c>
      <c r="G51" s="8">
        <f t="shared" si="1"/>
        <v>114.12381758205242</v>
      </c>
      <c r="H51" s="8">
        <f t="shared" si="18"/>
        <v>0.97810432883341081</v>
      </c>
      <c r="I51" s="8">
        <f t="shared" si="19"/>
        <v>0.89585666293393063</v>
      </c>
      <c r="J51" s="8">
        <f t="shared" si="22"/>
        <v>0.93333633993345888</v>
      </c>
      <c r="K51" s="8">
        <f t="shared" si="22"/>
        <v>3.8912050137017269E-2</v>
      </c>
      <c r="L51" s="8">
        <f t="shared" si="5"/>
        <v>0.85551223965942436</v>
      </c>
      <c r="M51" s="8">
        <f t="shared" si="6"/>
        <v>1.0111604402074934</v>
      </c>
      <c r="N51" s="53" t="str">
        <f t="shared" si="20"/>
        <v>OK</v>
      </c>
      <c r="O51" s="8">
        <f t="shared" si="23"/>
        <v>0.93570337289045669</v>
      </c>
      <c r="P51" s="8">
        <f t="shared" si="21"/>
        <v>0.95741523317006261</v>
      </c>
      <c r="Q51" s="8">
        <f t="shared" si="9"/>
        <v>106.78604103866165</v>
      </c>
      <c r="R51" s="8">
        <f t="shared" si="10"/>
        <v>-6.7860410386616508</v>
      </c>
      <c r="S51" s="55">
        <f t="shared" si="11"/>
        <v>6.7860410386616513E-2</v>
      </c>
      <c r="T51" s="79">
        <f>IF(R51&gt;0,Q51*GorGeus!$C$32+GorGeus!$C$31,Q51*GorGeus!$C$37+GorGeus!$C$36)</f>
        <v>45.006948168616617</v>
      </c>
    </row>
    <row r="52" spans="2:20" ht="15.6" x14ac:dyDescent="0.3">
      <c r="B52" s="50">
        <v>23</v>
      </c>
      <c r="C52" s="6">
        <v>86</v>
      </c>
      <c r="D52" s="7">
        <f t="shared" si="15"/>
        <v>115.41666666666667</v>
      </c>
      <c r="E52" s="7">
        <f t="shared" si="16"/>
        <v>112.5</v>
      </c>
      <c r="F52" s="8">
        <f t="shared" si="17"/>
        <v>113.95833333333334</v>
      </c>
      <c r="G52" s="8">
        <f t="shared" si="1"/>
        <v>115.71821807940488</v>
      </c>
      <c r="H52" s="8">
        <f t="shared" si="18"/>
        <v>0.98479163631033517</v>
      </c>
      <c r="I52" s="8">
        <f t="shared" si="19"/>
        <v>0.75466179159049351</v>
      </c>
      <c r="J52" s="8">
        <f t="shared" si="22"/>
        <v>0.79911462897913144</v>
      </c>
      <c r="K52" s="8">
        <f t="shared" si="22"/>
        <v>2.3919366976353492E-2</v>
      </c>
      <c r="L52" s="8">
        <f t="shared" si="5"/>
        <v>0.75127589502642445</v>
      </c>
      <c r="M52" s="8">
        <f t="shared" si="6"/>
        <v>0.84695336293183843</v>
      </c>
      <c r="N52" s="53" t="str">
        <f t="shared" si="20"/>
        <v>OK</v>
      </c>
      <c r="O52" s="8">
        <f t="shared" si="23"/>
        <v>0.8011412624469203</v>
      </c>
      <c r="P52" s="8">
        <f t="shared" si="21"/>
        <v>0.94198342660011691</v>
      </c>
      <c r="Q52" s="8">
        <f t="shared" si="9"/>
        <v>92.706639320242459</v>
      </c>
      <c r="R52" s="8">
        <f t="shared" si="10"/>
        <v>-6.7066393202424592</v>
      </c>
      <c r="S52" s="55">
        <f t="shared" si="11"/>
        <v>7.7984178142354171E-2</v>
      </c>
      <c r="T52" s="79">
        <f>IF(R52&gt;0,Q52*GorGeus!$C$32+GorGeus!$C$31,Q52*GorGeus!$C$37+GorGeus!$C$36)</f>
        <v>40.322120694169172</v>
      </c>
    </row>
    <row r="53" spans="2:20" ht="16.2" thickBot="1" x14ac:dyDescent="0.35">
      <c r="B53" s="91">
        <v>24</v>
      </c>
      <c r="C53" s="92">
        <v>105</v>
      </c>
      <c r="D53" s="51">
        <f t="shared" si="15"/>
        <v>117.25</v>
      </c>
      <c r="E53" s="51">
        <f t="shared" si="16"/>
        <v>115.41666666666667</v>
      </c>
      <c r="F53" s="54">
        <f t="shared" si="17"/>
        <v>116.33333333333334</v>
      </c>
      <c r="G53" s="54">
        <f t="shared" si="1"/>
        <v>117.31261857675733</v>
      </c>
      <c r="H53" s="54">
        <f t="shared" si="18"/>
        <v>0.99165234520118362</v>
      </c>
      <c r="I53" s="54">
        <f t="shared" si="19"/>
        <v>0.90257879656160456</v>
      </c>
      <c r="J53" s="54">
        <f t="shared" si="22"/>
        <v>0.90485876654641384</v>
      </c>
      <c r="K53" s="54">
        <f t="shared" si="22"/>
        <v>1.23776473754979E-2</v>
      </c>
      <c r="L53" s="54">
        <f t="shared" si="5"/>
        <v>0.88010347179541804</v>
      </c>
      <c r="M53" s="54">
        <f t="shared" si="6"/>
        <v>0.92961406129740964</v>
      </c>
      <c r="N53" s="77" t="str">
        <f t="shared" si="20"/>
        <v>OK</v>
      </c>
      <c r="O53" s="54">
        <f t="shared" si="23"/>
        <v>0.90715357757026871</v>
      </c>
      <c r="P53" s="54">
        <f t="shared" si="21"/>
        <v>0.99495699391836467</v>
      </c>
      <c r="Q53" s="54">
        <f t="shared" si="9"/>
        <v>106.42056163604178</v>
      </c>
      <c r="R53" s="54">
        <f t="shared" si="10"/>
        <v>-1.4205616360417821</v>
      </c>
      <c r="S53" s="56">
        <f t="shared" si="11"/>
        <v>1.3529158438493163E-2</v>
      </c>
      <c r="T53" s="81">
        <f>IF(R53&gt;0,Q53*GorGeus!$C$32+GorGeus!$C$31,Q53*GorGeus!$C$37+GorGeus!$C$36)</f>
        <v>44.885337323143105</v>
      </c>
    </row>
    <row r="54" spans="2:20" ht="15.6" x14ac:dyDescent="0.3">
      <c r="B54" s="50">
        <v>25</v>
      </c>
      <c r="C54" s="53">
        <v>109</v>
      </c>
      <c r="D54" s="7">
        <f t="shared" si="15"/>
        <v>119</v>
      </c>
      <c r="E54" s="7">
        <f t="shared" si="16"/>
        <v>117.25</v>
      </c>
      <c r="F54" s="8">
        <f t="shared" si="17"/>
        <v>118.125</v>
      </c>
      <c r="G54" s="8">
        <f t="shared" si="1"/>
        <v>118.9070190741098</v>
      </c>
      <c r="H54" s="8">
        <f t="shared" si="18"/>
        <v>0.99342327240057715</v>
      </c>
      <c r="I54" s="8">
        <f t="shared" si="19"/>
        <v>0.92275132275132277</v>
      </c>
      <c r="J54" s="8">
        <f t="shared" si="22"/>
        <v>0.90802732039965628</v>
      </c>
      <c r="K54" s="8">
        <f t="shared" si="22"/>
        <v>2.4529638946851097E-2</v>
      </c>
      <c r="L54" s="8">
        <f t="shared" si="5"/>
        <v>0.85896804250595404</v>
      </c>
      <c r="M54" s="8">
        <f t="shared" si="6"/>
        <v>0.95708659829335851</v>
      </c>
      <c r="N54" s="53" t="str">
        <f t="shared" si="20"/>
        <v>OK</v>
      </c>
      <c r="O54" s="8">
        <f t="shared" si="23"/>
        <v>0.9103301671884072</v>
      </c>
      <c r="P54" s="8">
        <f t="shared" si="21"/>
        <v>1.0136446709233846</v>
      </c>
      <c r="Q54" s="8">
        <f t="shared" si="9"/>
        <v>108.2446465536095</v>
      </c>
      <c r="R54" s="8">
        <f t="shared" si="10"/>
        <v>0.75535344639050095</v>
      </c>
      <c r="S54" s="55">
        <f t="shared" si="11"/>
        <v>6.9298481320229444E-3</v>
      </c>
      <c r="T54" s="79">
        <f>IF(R54&gt;0,Q54*GorGeus!$C$32+GorGeus!$C$31,Q54*GorGeus!$C$37+GorGeus!$C$36)</f>
        <v>115.8541546557456</v>
      </c>
    </row>
    <row r="55" spans="2:20" ht="15.6" x14ac:dyDescent="0.3">
      <c r="B55" s="50">
        <v>26</v>
      </c>
      <c r="C55" s="53">
        <v>113</v>
      </c>
      <c r="D55" s="7">
        <f t="shared" si="15"/>
        <v>120.75</v>
      </c>
      <c r="E55" s="7">
        <f t="shared" si="16"/>
        <v>119</v>
      </c>
      <c r="F55" s="8">
        <f t="shared" si="17"/>
        <v>119.875</v>
      </c>
      <c r="G55" s="8">
        <f t="shared" si="1"/>
        <v>120.50141957146224</v>
      </c>
      <c r="H55" s="8">
        <f t="shared" si="18"/>
        <v>0.9948015585734179</v>
      </c>
      <c r="I55" s="8">
        <f t="shared" si="19"/>
        <v>0.94264859228362874</v>
      </c>
      <c r="J55" s="8">
        <f t="shared" si="22"/>
        <v>0.90632810277729259</v>
      </c>
      <c r="K55" s="8">
        <f t="shared" ref="K55" si="24">K43</f>
        <v>5.5689120465829793E-2</v>
      </c>
      <c r="L55" s="8">
        <f t="shared" si="5"/>
        <v>0.79494986184563299</v>
      </c>
      <c r="M55" s="8">
        <f t="shared" si="6"/>
        <v>1.0177063437089522</v>
      </c>
      <c r="N55" s="53" t="str">
        <f t="shared" si="20"/>
        <v>OK</v>
      </c>
      <c r="O55" s="8">
        <f t="shared" si="23"/>
        <v>0.90862664018266137</v>
      </c>
      <c r="P55" s="8">
        <f t="shared" si="21"/>
        <v>1.0374432694314664</v>
      </c>
      <c r="Q55" s="8">
        <f t="shared" si="9"/>
        <v>109.49080000245893</v>
      </c>
      <c r="R55" s="8">
        <f t="shared" si="10"/>
        <v>3.5091999975410744</v>
      </c>
      <c r="S55" s="55">
        <f t="shared" si="11"/>
        <v>3.1054867234876764E-2</v>
      </c>
      <c r="T55" s="79">
        <f>IF(R55&gt;0,Q55*GorGeus!$C$32+GorGeus!$C$31,Q55*GorGeus!$C$37+GorGeus!$C$36)</f>
        <v>117.16711010095138</v>
      </c>
    </row>
    <row r="56" spans="2:20" ht="15.6" x14ac:dyDescent="0.3">
      <c r="B56" s="50">
        <v>27</v>
      </c>
      <c r="C56" s="53">
        <v>134</v>
      </c>
      <c r="D56" s="7">
        <f t="shared" si="15"/>
        <v>122.33333333333333</v>
      </c>
      <c r="E56" s="7">
        <f t="shared" si="16"/>
        <v>120.75</v>
      </c>
      <c r="F56" s="8">
        <f t="shared" si="17"/>
        <v>121.54166666666666</v>
      </c>
      <c r="G56" s="8">
        <f t="shared" si="1"/>
        <v>122.0958200688147</v>
      </c>
      <c r="H56" s="8">
        <f t="shared" si="18"/>
        <v>0.99546132372233775</v>
      </c>
      <c r="I56" s="8">
        <f t="shared" si="19"/>
        <v>1.1025025711347276</v>
      </c>
      <c r="J56" s="8">
        <f t="shared" si="22"/>
        <v>1.0371103252949927</v>
      </c>
      <c r="K56" s="8">
        <f t="shared" ref="K56" si="25">K44</f>
        <v>4.2763314851817932E-2</v>
      </c>
      <c r="L56" s="8">
        <f t="shared" si="5"/>
        <v>0.9515836955913568</v>
      </c>
      <c r="M56" s="8">
        <f t="shared" si="6"/>
        <v>1.1226369549986286</v>
      </c>
      <c r="N56" s="53" t="str">
        <f t="shared" si="20"/>
        <v>OK</v>
      </c>
      <c r="O56" s="8">
        <f t="shared" si="23"/>
        <v>1.0397405393078649</v>
      </c>
      <c r="P56" s="8">
        <f t="shared" si="21"/>
        <v>1.0603631670153422</v>
      </c>
      <c r="Q56" s="8">
        <f t="shared" si="9"/>
        <v>126.94797380558543</v>
      </c>
      <c r="R56" s="8">
        <f t="shared" si="10"/>
        <v>7.0520261944145659</v>
      </c>
      <c r="S56" s="55">
        <f t="shared" si="11"/>
        <v>5.2627061152347505E-2</v>
      </c>
      <c r="T56" s="79">
        <f>IF(R56&gt;0,Q56*GorGeus!$C$32+GorGeus!$C$31,Q56*GorGeus!$C$37+GorGeus!$C$36)</f>
        <v>135.5601028931963</v>
      </c>
    </row>
    <row r="57" spans="2:20" ht="15.6" x14ac:dyDescent="0.3">
      <c r="B57" s="50">
        <v>28</v>
      </c>
      <c r="C57" s="53">
        <v>122</v>
      </c>
      <c r="D57" s="7">
        <f t="shared" si="15"/>
        <v>124.16666666666667</v>
      </c>
      <c r="E57" s="7">
        <f t="shared" si="16"/>
        <v>122.33333333333333</v>
      </c>
      <c r="F57" s="8">
        <f t="shared" si="17"/>
        <v>123.25</v>
      </c>
      <c r="G57" s="8">
        <f t="shared" si="1"/>
        <v>123.69022056616716</v>
      </c>
      <c r="H57" s="8">
        <f t="shared" si="18"/>
        <v>0.99644094283159867</v>
      </c>
      <c r="I57" s="8">
        <f t="shared" si="19"/>
        <v>0.98985801217038538</v>
      </c>
      <c r="J57" s="8">
        <f t="shared" si="22"/>
        <v>0.9861740189161603</v>
      </c>
      <c r="K57" s="8">
        <f t="shared" ref="K57" si="26">K45</f>
        <v>3.5781115445275478E-2</v>
      </c>
      <c r="L57" s="8">
        <f t="shared" si="5"/>
        <v>0.91461178802560938</v>
      </c>
      <c r="M57" s="8">
        <f t="shared" si="6"/>
        <v>1.0577362498067113</v>
      </c>
      <c r="N57" s="53" t="str">
        <f t="shared" si="20"/>
        <v>OK</v>
      </c>
      <c r="O57" s="8">
        <f t="shared" si="23"/>
        <v>0.98867505343526618</v>
      </c>
      <c r="P57" s="8">
        <f t="shared" si="21"/>
        <v>1.0011965091371617</v>
      </c>
      <c r="Q57" s="8">
        <f t="shared" si="9"/>
        <v>122.28943542767517</v>
      </c>
      <c r="R57" s="8">
        <f t="shared" si="10"/>
        <v>-0.28943542767517272</v>
      </c>
      <c r="S57" s="55">
        <f t="shared" si="11"/>
        <v>2.3724215383210878E-3</v>
      </c>
      <c r="T57" s="79">
        <f>IF(R57&gt;0,Q57*GorGeus!$C$32+GorGeus!$C$31,Q57*GorGeus!$C$37+GorGeus!$C$36)</f>
        <v>50.165599752925537</v>
      </c>
    </row>
    <row r="58" spans="2:20" ht="15.6" x14ac:dyDescent="0.3">
      <c r="B58" s="50">
        <v>29</v>
      </c>
      <c r="C58" s="53">
        <v>129</v>
      </c>
      <c r="D58" s="7">
        <f t="shared" si="15"/>
        <v>126.16666666666667</v>
      </c>
      <c r="E58" s="7">
        <f t="shared" si="16"/>
        <v>124.16666666666667</v>
      </c>
      <c r="F58" s="8">
        <f t="shared" si="17"/>
        <v>125.16666666666667</v>
      </c>
      <c r="G58" s="8">
        <f t="shared" si="1"/>
        <v>125.28462106351961</v>
      </c>
      <c r="H58" s="8">
        <f t="shared" si="18"/>
        <v>0.99905850857150991</v>
      </c>
      <c r="I58" s="8">
        <f t="shared" si="19"/>
        <v>1.0306258322237016</v>
      </c>
      <c r="J58" s="8">
        <f t="shared" si="22"/>
        <v>0.97880157620007846</v>
      </c>
      <c r="K58" s="8">
        <f t="shared" ref="K58" si="27">K46</f>
        <v>4.7129459717990208E-2</v>
      </c>
      <c r="L58" s="8">
        <f t="shared" si="5"/>
        <v>0.88454265676409805</v>
      </c>
      <c r="M58" s="8">
        <f t="shared" si="6"/>
        <v>1.0730604956360588</v>
      </c>
      <c r="N58" s="53" t="str">
        <f t="shared" si="20"/>
        <v>OK</v>
      </c>
      <c r="O58" s="8">
        <f t="shared" si="23"/>
        <v>0.9812839134777549</v>
      </c>
      <c r="P58" s="8">
        <f t="shared" si="21"/>
        <v>1.0502830201007523</v>
      </c>
      <c r="Q58" s="8">
        <f t="shared" si="9"/>
        <v>122.93978325578809</v>
      </c>
      <c r="R58" s="8">
        <f t="shared" si="10"/>
        <v>6.0602167442119139</v>
      </c>
      <c r="S58" s="55">
        <f t="shared" si="11"/>
        <v>4.6978424373735769E-2</v>
      </c>
      <c r="T58" s="79">
        <f>IF(R58&gt;0,Q58*GorGeus!$C$32+GorGeus!$C$31,Q58*GorGeus!$C$37+GorGeus!$C$36)</f>
        <v>131.33704704671311</v>
      </c>
    </row>
    <row r="59" spans="2:20" ht="16.2" thickBot="1" x14ac:dyDescent="0.35">
      <c r="B59" s="91">
        <v>30</v>
      </c>
      <c r="C59" s="92">
        <v>134</v>
      </c>
      <c r="D59" s="51">
        <f t="shared" si="15"/>
        <v>127.83333333333333</v>
      </c>
      <c r="E59" s="51">
        <f t="shared" si="16"/>
        <v>126.16666666666667</v>
      </c>
      <c r="F59" s="54">
        <f t="shared" si="17"/>
        <v>127</v>
      </c>
      <c r="G59" s="54">
        <f t="shared" si="1"/>
        <v>126.87902156087208</v>
      </c>
      <c r="H59" s="54">
        <f t="shared" si="18"/>
        <v>1.0009534944204301</v>
      </c>
      <c r="I59" s="54">
        <f t="shared" si="19"/>
        <v>1.0551181102362204</v>
      </c>
      <c r="J59" s="54">
        <f t="shared" si="22"/>
        <v>1.0914972509374308</v>
      </c>
      <c r="K59" s="54">
        <f t="shared" ref="K59" si="28">K47</f>
        <v>2.5517096440106059E-2</v>
      </c>
      <c r="L59" s="54">
        <f t="shared" si="5"/>
        <v>1.0404630580572187</v>
      </c>
      <c r="M59" s="54">
        <f t="shared" si="6"/>
        <v>1.1425314438176428</v>
      </c>
      <c r="N59" s="77" t="str">
        <f t="shared" si="20"/>
        <v>OK</v>
      </c>
      <c r="O59" s="54">
        <f t="shared" si="23"/>
        <v>1.0942653955546493</v>
      </c>
      <c r="P59" s="54">
        <f t="shared" si="21"/>
        <v>0.96422505410711046</v>
      </c>
      <c r="Q59" s="54">
        <f t="shared" si="9"/>
        <v>138.83932271589455</v>
      </c>
      <c r="R59" s="54">
        <f t="shared" si="10"/>
        <v>-4.8393227158945535</v>
      </c>
      <c r="S59" s="56">
        <f t="shared" si="11"/>
        <v>3.6114348626078756E-2</v>
      </c>
      <c r="T59" s="81">
        <f>IF(R59&gt;0,Q59*GorGeus!$C$32+GorGeus!$C$31,Q59*GorGeus!$C$37+GorGeus!$C$36)</f>
        <v>55.672464903695882</v>
      </c>
    </row>
    <row r="60" spans="2:20" x14ac:dyDescent="0.3">
      <c r="B60" s="82">
        <v>31</v>
      </c>
      <c r="C60" s="53">
        <v>149</v>
      </c>
      <c r="D60" s="7">
        <f t="shared" si="15"/>
        <v>129.41666666666666</v>
      </c>
      <c r="E60" s="7">
        <f t="shared" si="16"/>
        <v>127.83333333333333</v>
      </c>
      <c r="F60" s="8">
        <f t="shared" si="17"/>
        <v>128.625</v>
      </c>
      <c r="G60" s="8">
        <f t="shared" si="1"/>
        <v>128.47342205822451</v>
      </c>
      <c r="H60" s="8">
        <f t="shared" si="18"/>
        <v>1.0011798389063442</v>
      </c>
      <c r="I60" s="8">
        <f t="shared" si="19"/>
        <v>1.1584062196307094</v>
      </c>
      <c r="J60" s="8">
        <f t="shared" si="22"/>
        <v>1.1860899363916799</v>
      </c>
      <c r="K60" s="8">
        <f t="shared" ref="K60" si="29">K48</f>
        <v>3.9909435302689915E-2</v>
      </c>
      <c r="L60" s="8">
        <f t="shared" si="5"/>
        <v>1.1062710657863002</v>
      </c>
      <c r="M60" s="8">
        <f t="shared" si="6"/>
        <v>1.2659088069970597</v>
      </c>
      <c r="N60" s="53" t="str">
        <f t="shared" si="20"/>
        <v>OK</v>
      </c>
      <c r="O60" s="8">
        <f t="shared" si="23"/>
        <v>1.189097977383208</v>
      </c>
      <c r="P60" s="8">
        <f t="shared" si="21"/>
        <v>0.97418904216787883</v>
      </c>
      <c r="Q60" s="8">
        <f t="shared" si="9"/>
        <v>152.767486316934</v>
      </c>
      <c r="R60" s="8">
        <f t="shared" si="10"/>
        <v>-3.7674863169339972</v>
      </c>
      <c r="S60" s="55">
        <f t="shared" si="11"/>
        <v>2.5285143066671123E-2</v>
      </c>
      <c r="T60" s="79">
        <f>IF(R60&gt;0,Q60*GorGeus!$C$32+GorGeus!$C$31,Q60*GorGeus!$C$37+GorGeus!$C$36)</f>
        <v>60.306968898378031</v>
      </c>
    </row>
    <row r="61" spans="2:20" x14ac:dyDescent="0.3">
      <c r="B61" s="82">
        <v>32</v>
      </c>
      <c r="C61" s="53">
        <v>149</v>
      </c>
      <c r="D61" s="7">
        <f t="shared" si="15"/>
        <v>131.25</v>
      </c>
      <c r="E61" s="7">
        <f t="shared" si="16"/>
        <v>129.41666666666666</v>
      </c>
      <c r="F61" s="8">
        <f t="shared" si="17"/>
        <v>130.33333333333331</v>
      </c>
      <c r="G61" s="8">
        <f t="shared" si="1"/>
        <v>130.06782255557698</v>
      </c>
      <c r="H61" s="8">
        <f t="shared" si="18"/>
        <v>1.0020413256141263</v>
      </c>
      <c r="I61" s="8">
        <f t="shared" si="19"/>
        <v>1.1432225063938621</v>
      </c>
      <c r="J61" s="8">
        <f t="shared" si="22"/>
        <v>1.184566045323719</v>
      </c>
      <c r="K61" s="8">
        <f t="shared" ref="K61" si="30">K49</f>
        <v>2.9446261957848757E-2</v>
      </c>
      <c r="L61" s="8">
        <f t="shared" si="5"/>
        <v>1.1256735214080216</v>
      </c>
      <c r="M61" s="8">
        <f t="shared" si="6"/>
        <v>1.2434585692394164</v>
      </c>
      <c r="N61" s="53" t="str">
        <f t="shared" si="20"/>
        <v>OK</v>
      </c>
      <c r="O61" s="8">
        <f t="shared" si="23"/>
        <v>1.1875702215772885</v>
      </c>
      <c r="P61" s="8">
        <f t="shared" si="21"/>
        <v>0.96265676388843324</v>
      </c>
      <c r="Q61" s="8">
        <f t="shared" si="9"/>
        <v>154.464672852402</v>
      </c>
      <c r="R61" s="8">
        <f t="shared" si="10"/>
        <v>-5.4646728524020034</v>
      </c>
      <c r="S61" s="55">
        <f t="shared" si="11"/>
        <v>3.6675656727530224E-2</v>
      </c>
      <c r="T61" s="79">
        <f>IF(R61&gt;0,Q61*GorGeus!$C$32+GorGeus!$C$31,Q61*GorGeus!$C$37+GorGeus!$C$36)</f>
        <v>60.871696453542611</v>
      </c>
    </row>
    <row r="62" spans="2:20" x14ac:dyDescent="0.3">
      <c r="B62" s="82">
        <v>33</v>
      </c>
      <c r="C62" s="53">
        <v>138</v>
      </c>
      <c r="D62" s="7">
        <f t="shared" si="15"/>
        <v>132.16666666666666</v>
      </c>
      <c r="E62" s="7">
        <f t="shared" si="16"/>
        <v>131.25</v>
      </c>
      <c r="F62" s="8">
        <f t="shared" si="17"/>
        <v>131.70833333333331</v>
      </c>
      <c r="G62" s="8">
        <f t="shared" si="1"/>
        <v>131.66222305292945</v>
      </c>
      <c r="H62" s="8">
        <f t="shared" si="18"/>
        <v>1.000350216480739</v>
      </c>
      <c r="I62" s="8">
        <f t="shared" si="19"/>
        <v>1.0477696931350839</v>
      </c>
      <c r="J62" s="8">
        <f t="shared" si="22"/>
        <v>1.0537394917670739</v>
      </c>
      <c r="K62" s="8">
        <f t="shared" ref="K62" si="31">K50</f>
        <v>1.7464041599105796E-2</v>
      </c>
      <c r="L62" s="8">
        <f t="shared" si="5"/>
        <v>1.0188114085688624</v>
      </c>
      <c r="M62" s="8">
        <f t="shared" si="6"/>
        <v>1.0886675749652854</v>
      </c>
      <c r="N62" s="53" t="str">
        <f t="shared" si="20"/>
        <v>OK</v>
      </c>
      <c r="O62" s="8">
        <f t="shared" si="23"/>
        <v>1.0564118789852557</v>
      </c>
      <c r="P62" s="8">
        <f t="shared" si="21"/>
        <v>0.99181930265828411</v>
      </c>
      <c r="Q62" s="8">
        <f t="shared" si="9"/>
        <v>139.08953644672104</v>
      </c>
      <c r="R62" s="8">
        <f t="shared" si="10"/>
        <v>-1.0895364467210413</v>
      </c>
      <c r="S62" s="55">
        <f t="shared" si="11"/>
        <v>7.8951916429060957E-3</v>
      </c>
      <c r="T62" s="79">
        <f>IF(R62&gt;0,Q62*GorGeus!$C$32+GorGeus!$C$31,Q62*GorGeus!$C$37+GorGeus!$C$36)</f>
        <v>55.755721861917792</v>
      </c>
    </row>
    <row r="63" spans="2:20" x14ac:dyDescent="0.3">
      <c r="B63" s="82">
        <v>34</v>
      </c>
      <c r="C63" s="53">
        <v>122</v>
      </c>
      <c r="D63" s="7">
        <f t="shared" si="15"/>
        <v>133.33333333333334</v>
      </c>
      <c r="E63" s="7">
        <f t="shared" si="16"/>
        <v>132.16666666666666</v>
      </c>
      <c r="F63" s="8">
        <f t="shared" si="17"/>
        <v>132.75</v>
      </c>
      <c r="G63" s="8">
        <f t="shared" si="1"/>
        <v>133.25662355028189</v>
      </c>
      <c r="H63" s="8">
        <f t="shared" si="18"/>
        <v>0.99619813607170737</v>
      </c>
      <c r="I63" s="8">
        <f t="shared" si="19"/>
        <v>0.91902071563088517</v>
      </c>
      <c r="J63" s="8">
        <f t="shared" si="22"/>
        <v>0.93333633993345888</v>
      </c>
      <c r="K63" s="8">
        <f t="shared" ref="K63" si="32">K51</f>
        <v>3.8912050137017269E-2</v>
      </c>
      <c r="L63" s="8">
        <f t="shared" si="5"/>
        <v>0.85551223965942436</v>
      </c>
      <c r="M63" s="8">
        <f t="shared" si="6"/>
        <v>1.0111604402074934</v>
      </c>
      <c r="N63" s="53" t="str">
        <f t="shared" si="20"/>
        <v>OK</v>
      </c>
      <c r="O63" s="8">
        <f t="shared" si="23"/>
        <v>0.93570337289045669</v>
      </c>
      <c r="P63" s="8">
        <f t="shared" si="21"/>
        <v>0.98217099805033559</v>
      </c>
      <c r="Q63" s="8">
        <f t="shared" si="9"/>
        <v>124.68867211599263</v>
      </c>
      <c r="R63" s="8">
        <f t="shared" si="10"/>
        <v>-2.688672115992631</v>
      </c>
      <c r="S63" s="55">
        <f t="shared" si="11"/>
        <v>2.2038296032726484E-2</v>
      </c>
      <c r="T63" s="79">
        <f>IF(R63&gt;0,Q63*GorGeus!$C$32+GorGeus!$C$31,Q63*GorGeus!$C$37+GorGeus!$C$36)</f>
        <v>50.963929836825862</v>
      </c>
    </row>
    <row r="64" spans="2:20" x14ac:dyDescent="0.3">
      <c r="B64" s="82">
        <v>35</v>
      </c>
      <c r="C64" s="53">
        <v>110</v>
      </c>
      <c r="D64" s="7">
        <f t="shared" si="15"/>
        <v>134</v>
      </c>
      <c r="E64" s="7">
        <f t="shared" si="16"/>
        <v>133.33333333333334</v>
      </c>
      <c r="F64" s="8">
        <f t="shared" si="17"/>
        <v>133.66666666666669</v>
      </c>
      <c r="G64" s="8">
        <f t="shared" si="1"/>
        <v>134.85102404763435</v>
      </c>
      <c r="H64" s="8">
        <f t="shared" si="18"/>
        <v>0.99121729041857842</v>
      </c>
      <c r="I64" s="8">
        <f t="shared" si="19"/>
        <v>0.82294264339152112</v>
      </c>
      <c r="J64" s="8">
        <f t="shared" si="22"/>
        <v>0.79911462897913144</v>
      </c>
      <c r="K64" s="8">
        <f t="shared" ref="K64" si="33">K52</f>
        <v>2.3919366976353492E-2</v>
      </c>
      <c r="L64" s="8">
        <f t="shared" si="5"/>
        <v>0.75127589502642445</v>
      </c>
      <c r="M64" s="8">
        <f t="shared" si="6"/>
        <v>0.84695336293183843</v>
      </c>
      <c r="N64" s="53" t="str">
        <f t="shared" si="20"/>
        <v>OK</v>
      </c>
      <c r="O64" s="8">
        <f t="shared" si="23"/>
        <v>0.8011412624469203</v>
      </c>
      <c r="P64" s="8">
        <f t="shared" si="21"/>
        <v>1.0272129048477829</v>
      </c>
      <c r="Q64" s="8">
        <f t="shared" si="9"/>
        <v>108.0347196477818</v>
      </c>
      <c r="R64" s="8">
        <f t="shared" si="10"/>
        <v>1.9652803522182012</v>
      </c>
      <c r="S64" s="55">
        <f t="shared" si="11"/>
        <v>1.7866185020165466E-2</v>
      </c>
      <c r="T64" s="79">
        <f>IF(R64&gt;0,Q64*GorGeus!$C$32+GorGeus!$C$31,Q64*GorGeus!$C$37+GorGeus!$C$36)</f>
        <v>115.63297429119565</v>
      </c>
    </row>
    <row r="65" spans="2:20" ht="16.2" thickBot="1" x14ac:dyDescent="0.35">
      <c r="B65" s="91">
        <v>36</v>
      </c>
      <c r="C65" s="92">
        <v>125</v>
      </c>
      <c r="D65" s="51">
        <f t="shared" si="15"/>
        <v>136.5</v>
      </c>
      <c r="E65" s="51">
        <f t="shared" si="16"/>
        <v>134</v>
      </c>
      <c r="F65" s="54">
        <f t="shared" si="17"/>
        <v>135.25</v>
      </c>
      <c r="G65" s="54">
        <f t="shared" si="1"/>
        <v>136.44542454498679</v>
      </c>
      <c r="H65" s="54">
        <f t="shared" si="18"/>
        <v>0.99123880812439658</v>
      </c>
      <c r="I65" s="54">
        <f t="shared" si="19"/>
        <v>0.92421441774491686</v>
      </c>
      <c r="J65" s="54">
        <f t="shared" si="22"/>
        <v>0.90485876654641384</v>
      </c>
      <c r="K65" s="54">
        <f t="shared" ref="K65:K66" si="34">K53</f>
        <v>1.23776473754979E-2</v>
      </c>
      <c r="L65" s="54">
        <f t="shared" si="5"/>
        <v>0.88010347179541804</v>
      </c>
      <c r="M65" s="54">
        <f t="shared" si="6"/>
        <v>0.92961406129740964</v>
      </c>
      <c r="N65" s="77" t="str">
        <f t="shared" si="20"/>
        <v>OK</v>
      </c>
      <c r="O65" s="54">
        <f t="shared" si="23"/>
        <v>0.90715357757026871</v>
      </c>
      <c r="P65" s="54">
        <f t="shared" si="21"/>
        <v>1.0188070031320873</v>
      </c>
      <c r="Q65" s="54">
        <f t="shared" si="9"/>
        <v>123.77695501907893</v>
      </c>
      <c r="R65" s="54">
        <f t="shared" si="10"/>
        <v>1.2230449809210739</v>
      </c>
      <c r="S65" s="56">
        <f t="shared" si="11"/>
        <v>9.7843598473685914E-3</v>
      </c>
      <c r="T65" s="81">
        <f>IF(R65&gt;0,Q65*GorGeus!$C$32+GorGeus!$C$31,Q65*GorGeus!$C$37+GorGeus!$C$36)</f>
        <v>132.21909670616722</v>
      </c>
    </row>
    <row r="66" spans="2:20" x14ac:dyDescent="0.3">
      <c r="B66" s="82">
        <v>37</v>
      </c>
      <c r="C66" s="53">
        <v>128</v>
      </c>
      <c r="D66" s="7">
        <f t="shared" si="15"/>
        <v>138.5</v>
      </c>
      <c r="E66" s="7">
        <f t="shared" si="16"/>
        <v>136.5</v>
      </c>
      <c r="F66" s="8">
        <f t="shared" si="17"/>
        <v>137.5</v>
      </c>
      <c r="G66" s="8">
        <f t="shared" si="1"/>
        <v>138.03982504233926</v>
      </c>
      <c r="H66" s="8">
        <f t="shared" si="18"/>
        <v>0.99608935289382117</v>
      </c>
      <c r="I66" s="8">
        <f t="shared" si="19"/>
        <v>0.93090909090909091</v>
      </c>
      <c r="J66" s="8">
        <f t="shared" si="22"/>
        <v>0.90802732039965628</v>
      </c>
      <c r="K66" s="8">
        <f t="shared" si="34"/>
        <v>2.4529638946851097E-2</v>
      </c>
      <c r="L66" s="8">
        <f t="shared" si="5"/>
        <v>0.85896804250595404</v>
      </c>
      <c r="M66" s="8">
        <f t="shared" si="6"/>
        <v>0.95708659829335851</v>
      </c>
      <c r="N66" s="53" t="str">
        <f t="shared" si="20"/>
        <v>OK</v>
      </c>
      <c r="O66" s="8">
        <f t="shared" si="23"/>
        <v>0.9103301671884072</v>
      </c>
      <c r="P66" s="8">
        <f t="shared" si="21"/>
        <v>1.0226059999574029</v>
      </c>
      <c r="Q66" s="8">
        <f t="shared" si="9"/>
        <v>125.66181700945118</v>
      </c>
      <c r="R66" s="8">
        <f t="shared" si="10"/>
        <v>2.3381829905488161</v>
      </c>
      <c r="S66" s="55">
        <f t="shared" si="11"/>
        <v>1.8267054613662626E-2</v>
      </c>
      <c r="T66" s="79">
        <f>IF(R66&gt;0,Q66*GorGeus!$C$32+GorGeus!$C$31,Q66*GorGeus!$C$37+GorGeus!$C$36)</f>
        <v>134.2049996589742</v>
      </c>
    </row>
    <row r="67" spans="2:20" x14ac:dyDescent="0.3">
      <c r="B67" s="82">
        <v>38</v>
      </c>
      <c r="C67" s="53">
        <v>135</v>
      </c>
      <c r="D67" s="7">
        <f t="shared" si="15"/>
        <v>141.25</v>
      </c>
      <c r="E67" s="7">
        <f t="shared" si="16"/>
        <v>138.5</v>
      </c>
      <c r="F67" s="8">
        <f t="shared" si="17"/>
        <v>139.875</v>
      </c>
      <c r="G67" s="8">
        <f t="shared" si="1"/>
        <v>139.63422553969173</v>
      </c>
      <c r="H67" s="8">
        <f t="shared" si="18"/>
        <v>1.001724322667868</v>
      </c>
      <c r="I67" s="8">
        <f t="shared" si="19"/>
        <v>0.9651474530831099</v>
      </c>
      <c r="J67" s="8">
        <f t="shared" si="22"/>
        <v>0.90632810277729259</v>
      </c>
      <c r="K67" s="8">
        <f t="shared" ref="K67" si="35">K55</f>
        <v>5.5689120465829793E-2</v>
      </c>
      <c r="L67" s="8">
        <f t="shared" si="5"/>
        <v>0.79494986184563299</v>
      </c>
      <c r="M67" s="8">
        <f t="shared" si="6"/>
        <v>1.0177063437089522</v>
      </c>
      <c r="N67" s="53" t="str">
        <f t="shared" si="20"/>
        <v>OK</v>
      </c>
      <c r="O67" s="8">
        <f t="shared" si="23"/>
        <v>0.90862664018266137</v>
      </c>
      <c r="P67" s="8">
        <f t="shared" si="21"/>
        <v>1.062204661849983</v>
      </c>
      <c r="Q67" s="8">
        <f t="shared" si="9"/>
        <v>126.87537720663806</v>
      </c>
      <c r="R67" s="8">
        <f t="shared" si="10"/>
        <v>8.1246227933619366</v>
      </c>
      <c r="S67" s="55">
        <f t="shared" si="11"/>
        <v>6.0182391061940274E-2</v>
      </c>
      <c r="T67" s="79">
        <f>IF(R67&gt;0,Q67*GorGeus!$C$32+GorGeus!$C$31,Q67*GorGeus!$C$37+GorGeus!$C$36)</f>
        <v>135.48361464050208</v>
      </c>
    </row>
    <row r="68" spans="2:20" x14ac:dyDescent="0.3">
      <c r="B68" s="82">
        <v>39</v>
      </c>
      <c r="C68" s="53">
        <v>145</v>
      </c>
      <c r="D68" s="7">
        <f t="shared" si="15"/>
        <v>142.83333333333334</v>
      </c>
      <c r="E68" s="7">
        <f t="shared" si="16"/>
        <v>141.25</v>
      </c>
      <c r="F68" s="8">
        <f t="shared" si="17"/>
        <v>142.04166666666669</v>
      </c>
      <c r="G68" s="8">
        <f t="shared" si="1"/>
        <v>141.22862603704417</v>
      </c>
      <c r="H68" s="8">
        <f t="shared" si="18"/>
        <v>1.0057569109920339</v>
      </c>
      <c r="I68" s="8">
        <f t="shared" si="19"/>
        <v>1.0208272220592547</v>
      </c>
      <c r="J68" s="8">
        <f t="shared" si="22"/>
        <v>1.0371103252949927</v>
      </c>
      <c r="K68" s="8">
        <f t="shared" ref="K68" si="36">K56</f>
        <v>4.2763314851817932E-2</v>
      </c>
      <c r="L68" s="8">
        <f t="shared" si="5"/>
        <v>0.9515836955913568</v>
      </c>
      <c r="M68" s="8">
        <f t="shared" si="6"/>
        <v>1.1226369549986286</v>
      </c>
      <c r="N68" s="53" t="str">
        <f t="shared" si="20"/>
        <v>OK</v>
      </c>
      <c r="O68" s="8">
        <f t="shared" si="23"/>
        <v>1.0397405393078649</v>
      </c>
      <c r="P68" s="8">
        <f t="shared" si="21"/>
        <v>0.98180957985806683</v>
      </c>
      <c r="Q68" s="8">
        <f t="shared" si="9"/>
        <v>146.84112780146506</v>
      </c>
      <c r="R68" s="8">
        <f t="shared" si="10"/>
        <v>-1.8411278014650634</v>
      </c>
      <c r="S68" s="55">
        <f t="shared" si="11"/>
        <v>1.2697433113552162E-2</v>
      </c>
      <c r="T68" s="79">
        <f>IF(R68&gt;0,Q68*GorGeus!$C$32+GorGeus!$C$31,Q68*GorGeus!$C$37+GorGeus!$C$36)</f>
        <v>58.335012436593679</v>
      </c>
    </row>
    <row r="69" spans="2:20" x14ac:dyDescent="0.3">
      <c r="B69" s="82">
        <v>40</v>
      </c>
      <c r="C69" s="53">
        <v>136</v>
      </c>
      <c r="D69" s="7">
        <f t="shared" si="15"/>
        <v>144.58333333333334</v>
      </c>
      <c r="E69" s="7">
        <f t="shared" si="16"/>
        <v>142.83333333333334</v>
      </c>
      <c r="F69" s="8">
        <f t="shared" si="17"/>
        <v>143.70833333333334</v>
      </c>
      <c r="G69" s="8">
        <f t="shared" si="1"/>
        <v>142.82302653439663</v>
      </c>
      <c r="H69" s="8">
        <f t="shared" si="18"/>
        <v>1.0061986279132902</v>
      </c>
      <c r="I69" s="8">
        <f t="shared" si="19"/>
        <v>0.9463612641345317</v>
      </c>
      <c r="J69" s="8">
        <f t="shared" si="22"/>
        <v>0.9861740189161603</v>
      </c>
      <c r="K69" s="8">
        <f t="shared" ref="K69" si="37">K57</f>
        <v>3.5781115445275478E-2</v>
      </c>
      <c r="L69" s="8">
        <f t="shared" si="5"/>
        <v>0.91461178802560938</v>
      </c>
      <c r="M69" s="8">
        <f t="shared" si="6"/>
        <v>1.0577362498067113</v>
      </c>
      <c r="N69" s="53" t="str">
        <f t="shared" si="20"/>
        <v>OK</v>
      </c>
      <c r="O69" s="8">
        <f t="shared" si="23"/>
        <v>0.98867505343526618</v>
      </c>
      <c r="P69" s="8">
        <f t="shared" si="21"/>
        <v>0.95720152020250704</v>
      </c>
      <c r="Q69" s="8">
        <f t="shared" si="9"/>
        <v>141.20556339068102</v>
      </c>
      <c r="R69" s="8">
        <f t="shared" si="10"/>
        <v>-5.2055633906810215</v>
      </c>
      <c r="S69" s="55">
        <f t="shared" si="11"/>
        <v>3.8276201402066334E-2</v>
      </c>
      <c r="T69" s="79">
        <f>IF(R69&gt;0,Q69*GorGeus!$C$32+GorGeus!$C$31,Q69*GorGeus!$C$37+GorGeus!$C$36)</f>
        <v>56.459815783093859</v>
      </c>
    </row>
    <row r="70" spans="2:20" x14ac:dyDescent="0.3">
      <c r="B70" s="82">
        <v>41</v>
      </c>
      <c r="C70" s="53">
        <v>137</v>
      </c>
      <c r="D70" s="7">
        <f t="shared" si="15"/>
        <v>146.16666666666666</v>
      </c>
      <c r="E70" s="7">
        <f t="shared" si="16"/>
        <v>144.58333333333334</v>
      </c>
      <c r="F70" s="8">
        <f t="shared" si="17"/>
        <v>145.375</v>
      </c>
      <c r="G70" s="8">
        <f t="shared" si="1"/>
        <v>144.41742703174907</v>
      </c>
      <c r="H70" s="8">
        <f t="shared" si="18"/>
        <v>1.0066305915285447</v>
      </c>
      <c r="I70" s="8">
        <f t="shared" si="19"/>
        <v>0.94239036973344803</v>
      </c>
      <c r="J70" s="8">
        <f t="shared" si="22"/>
        <v>0.97880157620007846</v>
      </c>
      <c r="K70" s="8">
        <f t="shared" ref="K70" si="38">K58</f>
        <v>4.7129459717990208E-2</v>
      </c>
      <c r="L70" s="8">
        <f t="shared" si="5"/>
        <v>0.88454265676409805</v>
      </c>
      <c r="M70" s="8">
        <f t="shared" si="6"/>
        <v>1.0730604956360588</v>
      </c>
      <c r="N70" s="53" t="str">
        <f t="shared" si="20"/>
        <v>OK</v>
      </c>
      <c r="O70" s="8">
        <f t="shared" si="23"/>
        <v>0.9812839134777549</v>
      </c>
      <c r="P70" s="8">
        <f t="shared" si="21"/>
        <v>0.96036463737954825</v>
      </c>
      <c r="Q70" s="8">
        <f t="shared" si="9"/>
        <v>141.71449797210283</v>
      </c>
      <c r="R70" s="8">
        <f t="shared" si="10"/>
        <v>-4.7144979721028335</v>
      </c>
      <c r="S70" s="55">
        <f t="shared" si="11"/>
        <v>3.4412393956954987E-2</v>
      </c>
      <c r="T70" s="79">
        <f>IF(R70&gt;0,Q70*GorGeus!$C$32+GorGeus!$C$31,Q70*GorGeus!$C$37+GorGeus!$C$36)</f>
        <v>56.629160387177578</v>
      </c>
    </row>
    <row r="71" spans="2:20" ht="16.2" thickBot="1" x14ac:dyDescent="0.35">
      <c r="B71" s="91">
        <v>42</v>
      </c>
      <c r="C71" s="92">
        <v>164</v>
      </c>
      <c r="D71" s="51">
        <f t="shared" si="15"/>
        <v>147.91666666666666</v>
      </c>
      <c r="E71" s="51">
        <f t="shared" si="16"/>
        <v>146.16666666666666</v>
      </c>
      <c r="F71" s="54">
        <f t="shared" si="17"/>
        <v>147.04166666666666</v>
      </c>
      <c r="G71" s="54">
        <f t="shared" si="1"/>
        <v>146.01182752910154</v>
      </c>
      <c r="H71" s="54">
        <f t="shared" si="18"/>
        <v>1.0070531213463503</v>
      </c>
      <c r="I71" s="54">
        <f t="shared" si="19"/>
        <v>1.1153301218475489</v>
      </c>
      <c r="J71" s="54">
        <f t="shared" si="22"/>
        <v>1.0914972509374308</v>
      </c>
      <c r="K71" s="54">
        <f t="shared" ref="K71" si="39">K59</f>
        <v>2.5517096440106059E-2</v>
      </c>
      <c r="L71" s="54">
        <f t="shared" si="5"/>
        <v>1.0404630580572187</v>
      </c>
      <c r="M71" s="54">
        <f t="shared" si="6"/>
        <v>1.1425314438176428</v>
      </c>
      <c r="N71" s="77" t="str">
        <f t="shared" si="20"/>
        <v>OK</v>
      </c>
      <c r="O71" s="54">
        <f t="shared" si="23"/>
        <v>1.0942653955546493</v>
      </c>
      <c r="P71" s="54">
        <f t="shared" si="21"/>
        <v>1.0192501073126072</v>
      </c>
      <c r="Q71" s="54">
        <f t="shared" si="9"/>
        <v>159.77569020678953</v>
      </c>
      <c r="R71" s="54">
        <f t="shared" si="10"/>
        <v>4.2243097932104661</v>
      </c>
      <c r="S71" s="56">
        <f t="shared" si="11"/>
        <v>2.5757986543966258E-2</v>
      </c>
      <c r="T71" s="81">
        <f>IF(R71&gt;0,Q71*GorGeus!$C$32+GorGeus!$C$31,Q71*GorGeus!$C$37+GorGeus!$C$36)</f>
        <v>170.14760015721905</v>
      </c>
    </row>
    <row r="72" spans="2:20" x14ac:dyDescent="0.3">
      <c r="B72" s="82">
        <v>43</v>
      </c>
      <c r="C72" s="53">
        <v>173</v>
      </c>
      <c r="D72" s="7">
        <f t="shared" si="15"/>
        <v>149.5</v>
      </c>
      <c r="E72" s="7">
        <f t="shared" si="16"/>
        <v>147.91666666666666</v>
      </c>
      <c r="F72" s="8">
        <f t="shared" si="17"/>
        <v>148.70833333333331</v>
      </c>
      <c r="G72" s="8">
        <f t="shared" si="1"/>
        <v>147.606228026454</v>
      </c>
      <c r="H72" s="8">
        <f t="shared" si="18"/>
        <v>1.0074665230702988</v>
      </c>
      <c r="I72" s="8">
        <f t="shared" si="19"/>
        <v>1.163351078733539</v>
      </c>
      <c r="J72" s="8">
        <f t="shared" si="22"/>
        <v>1.1860899363916799</v>
      </c>
      <c r="K72" s="8">
        <f t="shared" ref="K72" si="40">K60</f>
        <v>3.9909435302689915E-2</v>
      </c>
      <c r="L72" s="8">
        <f t="shared" si="5"/>
        <v>1.1062710657863002</v>
      </c>
      <c r="M72" s="8">
        <f t="shared" si="6"/>
        <v>1.2659088069970597</v>
      </c>
      <c r="N72" s="53" t="str">
        <f t="shared" si="20"/>
        <v>OK</v>
      </c>
      <c r="O72" s="8">
        <f t="shared" si="23"/>
        <v>1.189097977383208</v>
      </c>
      <c r="P72" s="8">
        <f t="shared" si="21"/>
        <v>0.97834753810083086</v>
      </c>
      <c r="Q72" s="8">
        <f t="shared" si="9"/>
        <v>175.51826719542106</v>
      </c>
      <c r="R72" s="8">
        <f t="shared" si="10"/>
        <v>-2.5182671954210605</v>
      </c>
      <c r="S72" s="55">
        <f t="shared" si="11"/>
        <v>1.455645777700035E-2</v>
      </c>
      <c r="T72" s="79">
        <f>IF(R72&gt;0,Q72*GorGeus!$C$32+GorGeus!$C$31,Q72*GorGeus!$C$37+GorGeus!$C$36)</f>
        <v>67.877140234936562</v>
      </c>
    </row>
    <row r="73" spans="2:20" x14ac:dyDescent="0.3">
      <c r="B73" s="82">
        <v>44</v>
      </c>
      <c r="C73" s="53">
        <v>182</v>
      </c>
      <c r="D73" s="7">
        <f t="shared" si="15"/>
        <v>150.5</v>
      </c>
      <c r="E73" s="7">
        <f t="shared" si="16"/>
        <v>149.5</v>
      </c>
      <c r="F73" s="8">
        <f t="shared" si="17"/>
        <v>150</v>
      </c>
      <c r="G73" s="8">
        <f t="shared" si="1"/>
        <v>149.20062852380647</v>
      </c>
      <c r="H73" s="8">
        <f t="shared" si="18"/>
        <v>1.0053576950988914</v>
      </c>
      <c r="I73" s="8">
        <f t="shared" si="19"/>
        <v>1.2133333333333334</v>
      </c>
      <c r="J73" s="8">
        <f t="shared" si="22"/>
        <v>1.184566045323719</v>
      </c>
      <c r="K73" s="8">
        <f t="shared" ref="K73" si="41">K61</f>
        <v>2.9446261957848757E-2</v>
      </c>
      <c r="L73" s="8">
        <f t="shared" si="5"/>
        <v>1.1256735214080216</v>
      </c>
      <c r="M73" s="8">
        <f t="shared" si="6"/>
        <v>1.2434585692394164</v>
      </c>
      <c r="N73" s="53" t="str">
        <f t="shared" si="20"/>
        <v>OK</v>
      </c>
      <c r="O73" s="8">
        <f t="shared" si="23"/>
        <v>1.1875702215772885</v>
      </c>
      <c r="P73" s="8">
        <f t="shared" si="21"/>
        <v>1.0216939691547899</v>
      </c>
      <c r="Q73" s="8">
        <f t="shared" si="9"/>
        <v>177.18622347548757</v>
      </c>
      <c r="R73" s="8">
        <f t="shared" si="10"/>
        <v>4.8137765245124342</v>
      </c>
      <c r="S73" s="55">
        <f t="shared" si="11"/>
        <v>2.6449321563255131E-2</v>
      </c>
      <c r="T73" s="79">
        <f>IF(R73&gt;0,Q73*GorGeus!$C$32+GorGeus!$C$31,Q73*GorGeus!$C$37+GorGeus!$C$36)</f>
        <v>188.49145217655055</v>
      </c>
    </row>
    <row r="74" spans="2:20" x14ac:dyDescent="0.3">
      <c r="B74" s="82">
        <v>45</v>
      </c>
      <c r="C74" s="53">
        <v>157</v>
      </c>
      <c r="D74" s="7">
        <f t="shared" si="15"/>
        <v>153.16666666666666</v>
      </c>
      <c r="E74" s="7">
        <f t="shared" si="16"/>
        <v>150.5</v>
      </c>
      <c r="F74" s="8">
        <f t="shared" si="17"/>
        <v>151.83333333333331</v>
      </c>
      <c r="G74" s="8">
        <f t="shared" si="1"/>
        <v>150.79502902115891</v>
      </c>
      <c r="H74" s="8">
        <f t="shared" si="18"/>
        <v>1.0068855340850043</v>
      </c>
      <c r="I74" s="8">
        <f t="shared" si="19"/>
        <v>1.0340285400658618</v>
      </c>
      <c r="J74" s="8">
        <f t="shared" si="22"/>
        <v>1.0537394917670739</v>
      </c>
      <c r="K74" s="8">
        <f t="shared" ref="K74" si="42">K62</f>
        <v>1.7464041599105796E-2</v>
      </c>
      <c r="L74" s="8">
        <f t="shared" si="5"/>
        <v>1.0188114085688624</v>
      </c>
      <c r="M74" s="8">
        <f t="shared" si="6"/>
        <v>1.0886675749652854</v>
      </c>
      <c r="N74" s="53" t="str">
        <f t="shared" si="20"/>
        <v>OK</v>
      </c>
      <c r="O74" s="8">
        <f t="shared" si="23"/>
        <v>1.0564118789852557</v>
      </c>
      <c r="P74" s="8">
        <f t="shared" si="21"/>
        <v>0.97881192045957077</v>
      </c>
      <c r="Q74" s="8">
        <f t="shared" si="9"/>
        <v>159.30165994987865</v>
      </c>
      <c r="R74" s="8">
        <f t="shared" si="10"/>
        <v>-2.3016599498786547</v>
      </c>
      <c r="S74" s="55">
        <f t="shared" si="11"/>
        <v>1.4660254457825827E-2</v>
      </c>
      <c r="T74" s="79">
        <f>IF(R74&gt;0,Q74*GorGeus!$C$32+GorGeus!$C$31,Q74*GorGeus!$C$37+GorGeus!$C$36)</f>
        <v>62.481171806331304</v>
      </c>
    </row>
    <row r="75" spans="2:20" x14ac:dyDescent="0.3">
      <c r="B75" s="82">
        <v>46</v>
      </c>
      <c r="C75" s="53">
        <v>143</v>
      </c>
      <c r="D75" s="7">
        <f t="shared" si="15"/>
        <v>156.5</v>
      </c>
      <c r="E75" s="7">
        <f t="shared" si="16"/>
        <v>153.16666666666666</v>
      </c>
      <c r="F75" s="8">
        <f t="shared" si="17"/>
        <v>154.83333333333331</v>
      </c>
      <c r="G75" s="8">
        <f t="shared" si="1"/>
        <v>152.38942951851135</v>
      </c>
      <c r="H75" s="8">
        <f t="shared" si="18"/>
        <v>1.0160372266143636</v>
      </c>
      <c r="I75" s="8">
        <f t="shared" si="19"/>
        <v>0.92357373519913899</v>
      </c>
      <c r="J75" s="8">
        <f t="shared" si="22"/>
        <v>0.93333633993345888</v>
      </c>
      <c r="K75" s="8">
        <f t="shared" ref="K75" si="43">K63</f>
        <v>3.8912050137017269E-2</v>
      </c>
      <c r="L75" s="8">
        <f t="shared" si="5"/>
        <v>0.85551223965942436</v>
      </c>
      <c r="M75" s="8">
        <f t="shared" si="6"/>
        <v>1.0111604402074934</v>
      </c>
      <c r="N75" s="53" t="str">
        <f t="shared" si="20"/>
        <v>OK</v>
      </c>
      <c r="O75" s="8">
        <f t="shared" si="23"/>
        <v>0.93570337289045669</v>
      </c>
      <c r="P75" s="8">
        <f t="shared" si="21"/>
        <v>0.98703687723829792</v>
      </c>
      <c r="Q75" s="8">
        <f t="shared" si="9"/>
        <v>142.5913031933236</v>
      </c>
      <c r="R75" s="8">
        <f t="shared" si="10"/>
        <v>0.40869680667640296</v>
      </c>
      <c r="S75" s="55">
        <f t="shared" si="11"/>
        <v>2.8580196271077128E-3</v>
      </c>
      <c r="T75" s="79">
        <f>IF(R75&gt;0,Q75*GorGeus!$C$32+GorGeus!$C$31,Q75*GorGeus!$C$37+GorGeus!$C$36)</f>
        <v>152.04201731532632</v>
      </c>
    </row>
    <row r="76" spans="2:20" x14ac:dyDescent="0.3">
      <c r="B76" s="82">
        <v>47</v>
      </c>
      <c r="C76" s="53">
        <v>129</v>
      </c>
      <c r="D76" s="7">
        <f t="shared" si="15"/>
        <v>159.41666666666666</v>
      </c>
      <c r="E76" s="7">
        <f t="shared" si="16"/>
        <v>156.5</v>
      </c>
      <c r="F76" s="8">
        <f t="shared" si="17"/>
        <v>157.95833333333331</v>
      </c>
      <c r="G76" s="8">
        <f t="shared" si="1"/>
        <v>153.98383001586382</v>
      </c>
      <c r="H76" s="8">
        <f t="shared" si="18"/>
        <v>1.0258111732709858</v>
      </c>
      <c r="I76" s="8">
        <f t="shared" si="19"/>
        <v>0.81667106304405179</v>
      </c>
      <c r="J76" s="8">
        <f t="shared" si="22"/>
        <v>0.79911462897913144</v>
      </c>
      <c r="K76" s="8">
        <f t="shared" ref="K76" si="44">K64</f>
        <v>2.3919366976353492E-2</v>
      </c>
      <c r="L76" s="8">
        <f t="shared" si="5"/>
        <v>0.75127589502642445</v>
      </c>
      <c r="M76" s="8">
        <f t="shared" si="6"/>
        <v>0.84695336293183843</v>
      </c>
      <c r="N76" s="53" t="str">
        <f t="shared" si="20"/>
        <v>OK</v>
      </c>
      <c r="O76" s="8">
        <f t="shared" si="23"/>
        <v>0.8011412624469203</v>
      </c>
      <c r="P76" s="8">
        <f t="shared" si="21"/>
        <v>1.0193845971055078</v>
      </c>
      <c r="Q76" s="8">
        <f t="shared" si="9"/>
        <v>123.36279997532112</v>
      </c>
      <c r="R76" s="8">
        <f t="shared" si="10"/>
        <v>5.6372000246788758</v>
      </c>
      <c r="S76" s="55">
        <f t="shared" si="11"/>
        <v>4.3699224997510666E-2</v>
      </c>
      <c r="T76" s="79">
        <f>IF(R76&gt;0,Q76*GorGeus!$C$32+GorGeus!$C$31,Q76*GorGeus!$C$37+GorGeus!$C$36)</f>
        <v>131.78274023629322</v>
      </c>
    </row>
    <row r="77" spans="2:20" ht="16.2" thickBot="1" x14ac:dyDescent="0.35">
      <c r="B77" s="91">
        <v>48</v>
      </c>
      <c r="C77" s="92">
        <v>146</v>
      </c>
      <c r="D77" s="51">
        <f t="shared" si="15"/>
        <v>160.91666666666666</v>
      </c>
      <c r="E77" s="51">
        <f t="shared" si="16"/>
        <v>159.41666666666666</v>
      </c>
      <c r="F77" s="54">
        <f t="shared" si="17"/>
        <v>160.16666666666666</v>
      </c>
      <c r="G77" s="54">
        <f t="shared" si="1"/>
        <v>155.57823051321628</v>
      </c>
      <c r="H77" s="54">
        <f t="shared" si="18"/>
        <v>1.0294927904650555</v>
      </c>
      <c r="I77" s="54">
        <f t="shared" si="19"/>
        <v>0.91155046826222685</v>
      </c>
      <c r="J77" s="54">
        <f t="shared" si="22"/>
        <v>0.90485876654641384</v>
      </c>
      <c r="K77" s="54">
        <f t="shared" ref="K77:K78" si="45">K65</f>
        <v>1.23776473754979E-2</v>
      </c>
      <c r="L77" s="54">
        <f t="shared" si="5"/>
        <v>0.88010347179541804</v>
      </c>
      <c r="M77" s="54">
        <f t="shared" si="6"/>
        <v>0.92961406129740964</v>
      </c>
      <c r="N77" s="77" t="str">
        <f t="shared" si="20"/>
        <v>OK</v>
      </c>
      <c r="O77" s="54">
        <f t="shared" si="23"/>
        <v>0.90715357757026871</v>
      </c>
      <c r="P77" s="54">
        <f t="shared" si="21"/>
        <v>1.0048469088373491</v>
      </c>
      <c r="Q77" s="54">
        <f t="shared" si="9"/>
        <v>141.1333484021161</v>
      </c>
      <c r="R77" s="54">
        <f t="shared" si="10"/>
        <v>4.8666515978839016</v>
      </c>
      <c r="S77" s="56">
        <f t="shared" si="11"/>
        <v>3.333323012249248E-2</v>
      </c>
      <c r="T77" s="81">
        <f>IF(R77&gt;0,Q77*GorGeus!$C$32+GorGeus!$C$31,Q77*GorGeus!$C$37+GorGeus!$C$36)</f>
        <v>150.50590658695083</v>
      </c>
    </row>
    <row r="78" spans="2:20" x14ac:dyDescent="0.3">
      <c r="B78" s="82">
        <v>49</v>
      </c>
      <c r="C78" s="53">
        <v>147</v>
      </c>
      <c r="D78" s="7">
        <f t="shared" si="15"/>
        <v>163</v>
      </c>
      <c r="E78" s="7">
        <f t="shared" si="16"/>
        <v>160.91666666666666</v>
      </c>
      <c r="F78" s="8">
        <f t="shared" si="17"/>
        <v>161.95833333333331</v>
      </c>
      <c r="G78" s="8">
        <f t="shared" si="1"/>
        <v>157.17263101056875</v>
      </c>
      <c r="H78" s="8">
        <f t="shared" si="18"/>
        <v>1.0304487002094072</v>
      </c>
      <c r="I78" s="8">
        <f t="shared" si="19"/>
        <v>0.90764085412914852</v>
      </c>
      <c r="J78" s="8">
        <f t="shared" si="22"/>
        <v>0.90802732039965628</v>
      </c>
      <c r="K78" s="8">
        <f t="shared" si="45"/>
        <v>2.4529638946851097E-2</v>
      </c>
      <c r="L78" s="8">
        <f t="shared" si="5"/>
        <v>0.85896804250595404</v>
      </c>
      <c r="M78" s="8">
        <f t="shared" si="6"/>
        <v>0.95708659829335851</v>
      </c>
      <c r="N78" s="53" t="str">
        <f t="shared" si="20"/>
        <v>OK</v>
      </c>
      <c r="O78" s="8">
        <f t="shared" si="23"/>
        <v>0.9103301671884072</v>
      </c>
      <c r="P78" s="8">
        <f t="shared" si="21"/>
        <v>0.99704578277619349</v>
      </c>
      <c r="Q78" s="8">
        <f t="shared" si="9"/>
        <v>143.0789874652929</v>
      </c>
      <c r="R78" s="8">
        <f t="shared" si="10"/>
        <v>3.9210125347071028</v>
      </c>
      <c r="S78" s="55">
        <f t="shared" si="11"/>
        <v>2.6673554657871447E-2</v>
      </c>
      <c r="T78" s="79">
        <f>IF(R78&gt;0,Q78*GorGeus!$C$32+GorGeus!$C$31,Q78*GorGeus!$C$37+GorGeus!$C$36)</f>
        <v>152.55584466220284</v>
      </c>
    </row>
    <row r="79" spans="2:20" x14ac:dyDescent="0.3">
      <c r="B79" s="82">
        <v>50</v>
      </c>
      <c r="C79" s="53">
        <v>147</v>
      </c>
      <c r="D79" s="7">
        <f t="shared" si="15"/>
        <v>164.83333333333334</v>
      </c>
      <c r="E79" s="7">
        <f t="shared" si="16"/>
        <v>163</v>
      </c>
      <c r="F79" s="8">
        <f t="shared" si="17"/>
        <v>163.91666666666669</v>
      </c>
      <c r="G79" s="8">
        <f t="shared" si="1"/>
        <v>158.76703150792119</v>
      </c>
      <c r="H79" s="8">
        <f t="shared" si="18"/>
        <v>1.0324351668594911</v>
      </c>
      <c r="I79" s="8">
        <f t="shared" si="19"/>
        <v>0.89679715302491092</v>
      </c>
      <c r="J79" s="8">
        <f t="shared" si="22"/>
        <v>0.90632810277729259</v>
      </c>
      <c r="K79" s="8">
        <f t="shared" ref="K79" si="46">K67</f>
        <v>5.5689120465829793E-2</v>
      </c>
      <c r="L79" s="8">
        <f t="shared" si="5"/>
        <v>0.79494986184563299</v>
      </c>
      <c r="M79" s="8">
        <f t="shared" si="6"/>
        <v>1.0177063437089522</v>
      </c>
      <c r="N79" s="53" t="str">
        <f t="shared" si="20"/>
        <v>OK</v>
      </c>
      <c r="O79" s="8">
        <f t="shared" si="23"/>
        <v>0.90862664018266137</v>
      </c>
      <c r="P79" s="8">
        <f t="shared" si="21"/>
        <v>0.98698091533462817</v>
      </c>
      <c r="Q79" s="8">
        <f t="shared" si="9"/>
        <v>144.25995441081716</v>
      </c>
      <c r="R79" s="8">
        <f t="shared" si="10"/>
        <v>2.7400455891828415</v>
      </c>
      <c r="S79" s="55">
        <f t="shared" si="11"/>
        <v>1.8639765912808446E-2</v>
      </c>
      <c r="T79" s="79">
        <f>IF(R79&gt;0,Q79*GorGeus!$C$32+GorGeus!$C$31,Q79*GorGeus!$C$37+GorGeus!$C$36)</f>
        <v>153.80011918005275</v>
      </c>
    </row>
    <row r="80" spans="2:20" x14ac:dyDescent="0.3">
      <c r="B80" s="82">
        <v>51</v>
      </c>
      <c r="C80" s="53">
        <v>177</v>
      </c>
      <c r="D80" s="7">
        <f t="shared" si="15"/>
        <v>166.58333333333334</v>
      </c>
      <c r="E80" s="7">
        <f t="shared" si="16"/>
        <v>164.83333333333334</v>
      </c>
      <c r="F80" s="8">
        <f t="shared" si="17"/>
        <v>165.70833333333334</v>
      </c>
      <c r="G80" s="8">
        <f t="shared" si="1"/>
        <v>160.36143200527363</v>
      </c>
      <c r="H80" s="8">
        <f t="shared" si="18"/>
        <v>1.0333428135506042</v>
      </c>
      <c r="I80" s="8">
        <f t="shared" si="19"/>
        <v>1.068141815438773</v>
      </c>
      <c r="J80" s="8">
        <f t="shared" si="22"/>
        <v>1.0371103252949927</v>
      </c>
      <c r="K80" s="8">
        <f t="shared" ref="K80" si="47">K68</f>
        <v>4.2763314851817932E-2</v>
      </c>
      <c r="L80" s="8">
        <f t="shared" si="5"/>
        <v>0.9515836955913568</v>
      </c>
      <c r="M80" s="8">
        <f t="shared" si="6"/>
        <v>1.1226369549986286</v>
      </c>
      <c r="N80" s="53" t="str">
        <f t="shared" si="20"/>
        <v>OK</v>
      </c>
      <c r="O80" s="8">
        <f t="shared" si="23"/>
        <v>1.0397405393078649</v>
      </c>
      <c r="P80" s="8">
        <f t="shared" si="21"/>
        <v>1.0273157341251831</v>
      </c>
      <c r="Q80" s="8">
        <f t="shared" si="9"/>
        <v>166.73428179734472</v>
      </c>
      <c r="R80" s="8">
        <f t="shared" si="10"/>
        <v>10.265718202655279</v>
      </c>
      <c r="S80" s="55">
        <f t="shared" si="11"/>
        <v>5.7998407924606095E-2</v>
      </c>
      <c r="T80" s="79">
        <f>IF(R80&gt;0,Q80*GorGeus!$C$32+GorGeus!$C$31,Q80*GorGeus!$C$37+GorGeus!$C$36)</f>
        <v>177.47921788713677</v>
      </c>
    </row>
    <row r="81" spans="2:20" x14ac:dyDescent="0.3">
      <c r="B81" s="82">
        <v>52</v>
      </c>
      <c r="C81" s="53">
        <v>176</v>
      </c>
      <c r="D81" s="7">
        <f t="shared" si="15"/>
        <v>167.83333333333334</v>
      </c>
      <c r="E81" s="7">
        <f t="shared" si="16"/>
        <v>166.58333333333334</v>
      </c>
      <c r="F81" s="8">
        <f t="shared" si="17"/>
        <v>167.20833333333334</v>
      </c>
      <c r="G81" s="8">
        <f t="shared" si="1"/>
        <v>161.95583250262609</v>
      </c>
      <c r="H81" s="8">
        <f t="shared" si="18"/>
        <v>1.0324316867725161</v>
      </c>
      <c r="I81" s="8">
        <f t="shared" si="19"/>
        <v>1.0525791178669324</v>
      </c>
      <c r="J81" s="8">
        <f t="shared" si="22"/>
        <v>0.9861740189161603</v>
      </c>
      <c r="K81" s="8">
        <f t="shared" ref="K81" si="48">K69</f>
        <v>3.5781115445275478E-2</v>
      </c>
      <c r="L81" s="8">
        <f t="shared" si="5"/>
        <v>0.91461178802560938</v>
      </c>
      <c r="M81" s="8">
        <f t="shared" si="6"/>
        <v>1.0577362498067113</v>
      </c>
      <c r="N81" s="53" t="str">
        <f t="shared" si="20"/>
        <v>OK</v>
      </c>
      <c r="O81" s="8">
        <f t="shared" si="23"/>
        <v>0.98867505343526618</v>
      </c>
      <c r="P81" s="8">
        <f t="shared" si="21"/>
        <v>1.0646360644072328</v>
      </c>
      <c r="Q81" s="8">
        <f t="shared" si="9"/>
        <v>160.12169135368688</v>
      </c>
      <c r="R81" s="8">
        <f t="shared" si="10"/>
        <v>15.878308646313116</v>
      </c>
      <c r="S81" s="55">
        <f t="shared" si="11"/>
        <v>9.0217662763142706E-2</v>
      </c>
      <c r="T81" s="79">
        <f>IF(R81&gt;0,Q81*GorGeus!$C$32+GorGeus!$C$31,Q81*GorGeus!$C$37+GorGeus!$C$36)</f>
        <v>170.51214923445008</v>
      </c>
    </row>
    <row r="82" spans="2:20" x14ac:dyDescent="0.3">
      <c r="B82" s="82">
        <v>53</v>
      </c>
      <c r="C82" s="53">
        <v>172</v>
      </c>
      <c r="D82" s="7">
        <f t="shared" si="15"/>
        <v>168.33333333333334</v>
      </c>
      <c r="E82" s="7">
        <f t="shared" si="16"/>
        <v>167.83333333333334</v>
      </c>
      <c r="F82" s="8">
        <f t="shared" si="17"/>
        <v>168.08333333333334</v>
      </c>
      <c r="G82" s="8">
        <f t="shared" si="1"/>
        <v>163.55023299997856</v>
      </c>
      <c r="H82" s="8">
        <f t="shared" si="18"/>
        <v>1.0277168686965759</v>
      </c>
      <c r="I82" s="8">
        <f t="shared" si="19"/>
        <v>1.0233019335647</v>
      </c>
      <c r="J82" s="8">
        <f t="shared" si="22"/>
        <v>0.97880157620007846</v>
      </c>
      <c r="K82" s="8">
        <f t="shared" ref="K82" si="49">K70</f>
        <v>4.7129459717990208E-2</v>
      </c>
      <c r="L82" s="8">
        <f t="shared" si="5"/>
        <v>0.88454265676409805</v>
      </c>
      <c r="M82" s="8">
        <f t="shared" si="6"/>
        <v>1.0730604956360588</v>
      </c>
      <c r="N82" s="53" t="str">
        <f t="shared" si="20"/>
        <v>OK</v>
      </c>
      <c r="O82" s="8">
        <f t="shared" si="23"/>
        <v>0.9812839134777549</v>
      </c>
      <c r="P82" s="8">
        <f t="shared" si="21"/>
        <v>1.0428194322864517</v>
      </c>
      <c r="Q82" s="8">
        <f t="shared" si="9"/>
        <v>160.48921268841761</v>
      </c>
      <c r="R82" s="8">
        <f t="shared" si="10"/>
        <v>11.510787311582391</v>
      </c>
      <c r="S82" s="55">
        <f t="shared" si="11"/>
        <v>6.6923182044083665E-2</v>
      </c>
      <c r="T82" s="79">
        <f>IF(R82&gt;0,Q82*GorGeus!$C$32+GorGeus!$C$31,Q82*GorGeus!$C$37+GorGeus!$C$36)</f>
        <v>170.89937212269834</v>
      </c>
    </row>
    <row r="83" spans="2:20" ht="16.2" thickBot="1" x14ac:dyDescent="0.35">
      <c r="B83" s="91">
        <v>54</v>
      </c>
      <c r="C83" s="92">
        <v>182</v>
      </c>
      <c r="D83" s="51">
        <f t="shared" si="15"/>
        <v>168.75</v>
      </c>
      <c r="E83" s="51">
        <f t="shared" si="16"/>
        <v>168.33333333333334</v>
      </c>
      <c r="F83" s="54">
        <f t="shared" si="17"/>
        <v>168.54166666666669</v>
      </c>
      <c r="G83" s="54">
        <f t="shared" si="1"/>
        <v>165.14463349733103</v>
      </c>
      <c r="H83" s="54">
        <f t="shared" si="18"/>
        <v>1.0205700487953826</v>
      </c>
      <c r="I83" s="54">
        <f t="shared" si="19"/>
        <v>1.0798516687268231</v>
      </c>
      <c r="J83" s="54">
        <f t="shared" si="22"/>
        <v>1.0914972509374308</v>
      </c>
      <c r="K83" s="54">
        <f t="shared" ref="K83" si="50">K71</f>
        <v>2.5517096440106059E-2</v>
      </c>
      <c r="L83" s="54">
        <f t="shared" si="5"/>
        <v>1.0404630580572187</v>
      </c>
      <c r="M83" s="54">
        <f t="shared" si="6"/>
        <v>1.1425314438176428</v>
      </c>
      <c r="N83" s="77" t="str">
        <f t="shared" si="20"/>
        <v>OK</v>
      </c>
      <c r="O83" s="54">
        <f t="shared" si="23"/>
        <v>1.0942653955546493</v>
      </c>
      <c r="P83" s="54">
        <f t="shared" si="21"/>
        <v>0.98682794239278648</v>
      </c>
      <c r="Q83" s="54">
        <f t="shared" si="9"/>
        <v>180.71205769768451</v>
      </c>
      <c r="R83" s="54">
        <f t="shared" si="10"/>
        <v>1.2879423023154857</v>
      </c>
      <c r="S83" s="56">
        <f t="shared" si="11"/>
        <v>7.0766060566784927E-3</v>
      </c>
      <c r="T83" s="81">
        <f>IF(R83&gt;0,Q83*GorGeus!$C$32+GorGeus!$C$31,Q83*GorGeus!$C$37+GorGeus!$C$36)</f>
        <v>192.20629423328168</v>
      </c>
    </row>
    <row r="84" spans="2:20" x14ac:dyDescent="0.3">
      <c r="B84" s="82">
        <v>55</v>
      </c>
      <c r="C84" s="53">
        <v>198</v>
      </c>
      <c r="D84" s="7">
        <f t="shared" si="15"/>
        <v>169.25</v>
      </c>
      <c r="E84" s="7">
        <f t="shared" si="16"/>
        <v>168.75</v>
      </c>
      <c r="F84" s="8">
        <f t="shared" si="17"/>
        <v>169</v>
      </c>
      <c r="G84" s="8">
        <f t="shared" si="1"/>
        <v>166.73903399468347</v>
      </c>
      <c r="H84" s="8">
        <f t="shared" si="18"/>
        <v>1.013559908265923</v>
      </c>
      <c r="I84" s="8">
        <f t="shared" si="19"/>
        <v>1.1715976331360947</v>
      </c>
      <c r="J84" s="8">
        <f t="shared" si="22"/>
        <v>1.1860899363916799</v>
      </c>
      <c r="K84" s="8">
        <f t="shared" ref="K84" si="51">K72</f>
        <v>3.9909435302689915E-2</v>
      </c>
      <c r="L84" s="8">
        <f t="shared" si="5"/>
        <v>1.1062710657863002</v>
      </c>
      <c r="M84" s="8">
        <f t="shared" si="6"/>
        <v>1.2659088069970597</v>
      </c>
      <c r="N84" s="53" t="str">
        <f t="shared" si="20"/>
        <v>OK</v>
      </c>
      <c r="O84" s="8">
        <f t="shared" si="23"/>
        <v>1.189097977383208</v>
      </c>
      <c r="P84" s="8">
        <f t="shared" si="21"/>
        <v>0.98528267259723579</v>
      </c>
      <c r="Q84" s="8">
        <f t="shared" si="9"/>
        <v>198.26904807390807</v>
      </c>
      <c r="R84" s="8">
        <f t="shared" si="10"/>
        <v>-0.26904807390806695</v>
      </c>
      <c r="S84" s="55">
        <f t="shared" si="11"/>
        <v>1.3588286561013482E-3</v>
      </c>
      <c r="T84" s="79">
        <f>IF(R84&gt;0,Q84*GorGeus!$C$32+GorGeus!$C$31,Q84*GorGeus!$C$37+GorGeus!$C$36)</f>
        <v>75.447311571495064</v>
      </c>
    </row>
    <row r="85" spans="2:20" x14ac:dyDescent="0.3">
      <c r="B85" s="82">
        <v>56</v>
      </c>
      <c r="C85" s="53">
        <v>204</v>
      </c>
      <c r="D85" s="7">
        <f t="shared" si="15"/>
        <v>168.75</v>
      </c>
      <c r="E85" s="7">
        <f t="shared" si="16"/>
        <v>169.25</v>
      </c>
      <c r="F85" s="8">
        <f t="shared" si="17"/>
        <v>169</v>
      </c>
      <c r="G85" s="8">
        <f t="shared" si="1"/>
        <v>168.33343449203591</v>
      </c>
      <c r="H85" s="8">
        <f t="shared" si="18"/>
        <v>1.0039597927172075</v>
      </c>
      <c r="I85" s="8">
        <f t="shared" si="19"/>
        <v>1.2071005917159763</v>
      </c>
      <c r="J85" s="8">
        <f t="shared" si="22"/>
        <v>1.184566045323719</v>
      </c>
      <c r="K85" s="8">
        <f t="shared" ref="K85" si="52">K73</f>
        <v>2.9446261957848757E-2</v>
      </c>
      <c r="L85" s="8">
        <f t="shared" si="5"/>
        <v>1.1256735214080216</v>
      </c>
      <c r="M85" s="8">
        <f t="shared" si="6"/>
        <v>1.2434585692394164</v>
      </c>
      <c r="N85" s="53" t="str">
        <f t="shared" si="20"/>
        <v>OK</v>
      </c>
      <c r="O85" s="8">
        <f t="shared" si="23"/>
        <v>1.1875702215772885</v>
      </c>
      <c r="P85" s="8">
        <f t="shared" si="21"/>
        <v>1.0164456549885095</v>
      </c>
      <c r="Q85" s="8">
        <f t="shared" si="9"/>
        <v>199.90777409857307</v>
      </c>
      <c r="R85" s="8">
        <f t="shared" si="10"/>
        <v>4.0922259014269287</v>
      </c>
      <c r="S85" s="55">
        <f t="shared" si="11"/>
        <v>2.0059930889347689E-2</v>
      </c>
      <c r="T85" s="79">
        <f>IF(R85&gt;0,Q85*GorGeus!$C$32+GorGeus!$C$31,Q85*GorGeus!$C$37+GorGeus!$C$36)</f>
        <v>212.43102690680803</v>
      </c>
    </row>
    <row r="86" spans="2:20" x14ac:dyDescent="0.3">
      <c r="B86" s="82">
        <v>57</v>
      </c>
      <c r="C86" s="53">
        <v>178</v>
      </c>
      <c r="D86" s="7">
        <f t="shared" si="15"/>
        <v>168.66666666666666</v>
      </c>
      <c r="E86" s="7">
        <f t="shared" si="16"/>
        <v>168.75</v>
      </c>
      <c r="F86" s="8">
        <f t="shared" si="17"/>
        <v>168.70833333333331</v>
      </c>
      <c r="G86" s="8">
        <f t="shared" si="1"/>
        <v>169.92783498938837</v>
      </c>
      <c r="H86" s="8">
        <f t="shared" si="18"/>
        <v>0.99282341438569366</v>
      </c>
      <c r="I86" s="8">
        <f t="shared" si="19"/>
        <v>1.0550753272412943</v>
      </c>
      <c r="J86" s="8">
        <f t="shared" si="22"/>
        <v>1.0537394917670739</v>
      </c>
      <c r="K86" s="8">
        <f t="shared" ref="K86" si="53">K74</f>
        <v>1.7464041599105796E-2</v>
      </c>
      <c r="L86" s="8">
        <f t="shared" si="5"/>
        <v>1.0188114085688624</v>
      </c>
      <c r="M86" s="8">
        <f t="shared" si="6"/>
        <v>1.0886675749652854</v>
      </c>
      <c r="N86" s="53" t="str">
        <f t="shared" si="20"/>
        <v>OK</v>
      </c>
      <c r="O86" s="8">
        <f t="shared" si="23"/>
        <v>1.0564118789852557</v>
      </c>
      <c r="P86" s="8">
        <f t="shared" si="21"/>
        <v>0.99873481946715215</v>
      </c>
      <c r="Q86" s="8">
        <f t="shared" si="9"/>
        <v>179.51378345303624</v>
      </c>
      <c r="R86" s="8">
        <f t="shared" si="10"/>
        <v>-1.5137834530362397</v>
      </c>
      <c r="S86" s="55">
        <f t="shared" si="11"/>
        <v>8.5044014215519079E-3</v>
      </c>
      <c r="T86" s="79">
        <f>IF(R86&gt;0,Q86*GorGeus!$C$32+GorGeus!$C$31,Q86*GorGeus!$C$37+GorGeus!$C$36)</f>
        <v>69.206621750744802</v>
      </c>
    </row>
    <row r="87" spans="2:20" x14ac:dyDescent="0.3">
      <c r="B87" s="82">
        <v>58</v>
      </c>
      <c r="C87" s="53">
        <v>158</v>
      </c>
      <c r="D87" s="7">
        <f t="shared" si="15"/>
        <v>168.16666666666666</v>
      </c>
      <c r="E87" s="7">
        <f t="shared" si="16"/>
        <v>168.66666666666666</v>
      </c>
      <c r="F87" s="8">
        <f t="shared" si="17"/>
        <v>168.41666666666666</v>
      </c>
      <c r="G87" s="8">
        <f t="shared" si="1"/>
        <v>171.52223548674084</v>
      </c>
      <c r="H87" s="8">
        <f t="shared" si="18"/>
        <v>0.98189407448392163</v>
      </c>
      <c r="I87" s="8">
        <f t="shared" si="19"/>
        <v>0.938149430974765</v>
      </c>
      <c r="J87" s="8">
        <f t="shared" si="22"/>
        <v>0.93333633993345888</v>
      </c>
      <c r="K87" s="8">
        <f t="shared" ref="K87" si="54">K75</f>
        <v>3.8912050137017269E-2</v>
      </c>
      <c r="L87" s="8">
        <f t="shared" si="5"/>
        <v>0.85551223965942436</v>
      </c>
      <c r="M87" s="8">
        <f t="shared" si="6"/>
        <v>1.0111604402074934</v>
      </c>
      <c r="N87" s="53" t="str">
        <f t="shared" si="20"/>
        <v>OK</v>
      </c>
      <c r="O87" s="8">
        <f t="shared" si="23"/>
        <v>0.93570337289045669</v>
      </c>
      <c r="P87" s="8">
        <f t="shared" si="21"/>
        <v>1.0026141383639051</v>
      </c>
      <c r="Q87" s="8">
        <f t="shared" si="9"/>
        <v>160.49393427065459</v>
      </c>
      <c r="R87" s="8">
        <f t="shared" si="10"/>
        <v>-2.4939342706545915</v>
      </c>
      <c r="S87" s="55">
        <f t="shared" si="11"/>
        <v>1.5784394118067036E-2</v>
      </c>
      <c r="T87" s="79">
        <f>IF(R87&gt;0,Q87*GorGeus!$C$32+GorGeus!$C$31,Q87*GorGeus!$C$37+GorGeus!$C$36)</f>
        <v>62.877893173244352</v>
      </c>
    </row>
    <row r="88" spans="2:20" x14ac:dyDescent="0.3">
      <c r="B88" s="82">
        <v>59</v>
      </c>
      <c r="C88" s="53">
        <v>135</v>
      </c>
      <c r="D88" s="7">
        <f t="shared" si="15"/>
        <v>168.5</v>
      </c>
      <c r="E88" s="7">
        <f t="shared" si="16"/>
        <v>168.16666666666666</v>
      </c>
      <c r="F88" s="8">
        <f t="shared" si="17"/>
        <v>168.33333333333331</v>
      </c>
      <c r="G88" s="8">
        <f t="shared" si="1"/>
        <v>173.11663598409331</v>
      </c>
      <c r="H88" s="8">
        <f t="shared" si="18"/>
        <v>0.97236948012783997</v>
      </c>
      <c r="I88" s="8">
        <f t="shared" si="19"/>
        <v>0.80198019801980203</v>
      </c>
      <c r="J88" s="8">
        <f t="shared" si="22"/>
        <v>0.79911462897913144</v>
      </c>
      <c r="K88" s="8">
        <f t="shared" ref="K88" si="55">K76</f>
        <v>2.3919366976353492E-2</v>
      </c>
      <c r="L88" s="8">
        <f t="shared" si="5"/>
        <v>0.75127589502642445</v>
      </c>
      <c r="M88" s="8">
        <f t="shared" si="6"/>
        <v>0.84695336293183843</v>
      </c>
      <c r="N88" s="53" t="str">
        <f t="shared" si="20"/>
        <v>OK</v>
      </c>
      <c r="O88" s="8">
        <f t="shared" si="23"/>
        <v>0.8011412624469203</v>
      </c>
      <c r="P88" s="8">
        <f t="shared" si="21"/>
        <v>1.0010471755883843</v>
      </c>
      <c r="Q88" s="8">
        <f t="shared" si="9"/>
        <v>138.69088030286045</v>
      </c>
      <c r="R88" s="8">
        <f t="shared" si="10"/>
        <v>-3.6908803028604495</v>
      </c>
      <c r="S88" s="55">
        <f t="shared" si="11"/>
        <v>2.733985409526259E-2</v>
      </c>
      <c r="T88" s="79">
        <f>IF(R88&gt;0,Q88*GorGeus!$C$32+GorGeus!$C$31,Q88*GorGeus!$C$37+GorGeus!$C$36)</f>
        <v>55.623071675996037</v>
      </c>
    </row>
    <row r="89" spans="2:20" ht="16.2" thickBot="1" x14ac:dyDescent="0.35">
      <c r="B89" s="91">
        <v>60</v>
      </c>
      <c r="C89" s="92">
        <v>151</v>
      </c>
      <c r="D89" s="51">
        <f t="shared" si="15"/>
        <v>169.83333333333334</v>
      </c>
      <c r="E89" s="51">
        <f t="shared" si="16"/>
        <v>168.5</v>
      </c>
      <c r="F89" s="54">
        <f t="shared" si="17"/>
        <v>169.16666666666669</v>
      </c>
      <c r="G89" s="54">
        <f t="shared" si="1"/>
        <v>174.71103648144575</v>
      </c>
      <c r="H89" s="54">
        <f t="shared" si="18"/>
        <v>0.96826548610529328</v>
      </c>
      <c r="I89" s="54">
        <f t="shared" si="19"/>
        <v>0.89261083743842351</v>
      </c>
      <c r="J89" s="54">
        <f t="shared" si="22"/>
        <v>0.90485876654641384</v>
      </c>
      <c r="K89" s="54">
        <f t="shared" ref="K89:K90" si="56">K77</f>
        <v>1.23776473754979E-2</v>
      </c>
      <c r="L89" s="54">
        <f t="shared" si="5"/>
        <v>0.88010347179541804</v>
      </c>
      <c r="M89" s="54">
        <f t="shared" si="6"/>
        <v>0.92961406129740964</v>
      </c>
      <c r="N89" s="77" t="str">
        <f t="shared" si="20"/>
        <v>OK</v>
      </c>
      <c r="O89" s="54">
        <f t="shared" si="23"/>
        <v>0.90715357757026871</v>
      </c>
      <c r="P89" s="54">
        <f t="shared" si="21"/>
        <v>0.98396882237867966</v>
      </c>
      <c r="Q89" s="54">
        <f t="shared" si="9"/>
        <v>158.48974178515323</v>
      </c>
      <c r="R89" s="54">
        <f t="shared" si="10"/>
        <v>-7.4897417851532282</v>
      </c>
      <c r="S89" s="56">
        <f t="shared" si="11"/>
        <v>4.9600938974524687E-2</v>
      </c>
      <c r="T89" s="81">
        <f>IF(R89&gt;0,Q89*GorGeus!$C$32+GorGeus!$C$31,Q89*GorGeus!$C$37+GorGeus!$C$36)</f>
        <v>62.211011425856292</v>
      </c>
    </row>
    <row r="90" spans="2:20" x14ac:dyDescent="0.3">
      <c r="B90" s="82">
        <v>61</v>
      </c>
      <c r="C90" s="53">
        <v>153</v>
      </c>
      <c r="D90" s="7">
        <f t="shared" si="15"/>
        <v>172.25</v>
      </c>
      <c r="E90" s="7">
        <f t="shared" si="16"/>
        <v>169.83333333333334</v>
      </c>
      <c r="F90" s="8">
        <f t="shared" si="17"/>
        <v>171.04166666666669</v>
      </c>
      <c r="G90" s="8">
        <f t="shared" si="1"/>
        <v>176.30543697879818</v>
      </c>
      <c r="H90" s="8">
        <f t="shared" si="18"/>
        <v>0.97014402730663096</v>
      </c>
      <c r="I90" s="8">
        <f t="shared" si="19"/>
        <v>0.89451887941534702</v>
      </c>
      <c r="J90" s="8">
        <f t="shared" si="22"/>
        <v>0.90802732039965628</v>
      </c>
      <c r="K90" s="8">
        <f t="shared" si="56"/>
        <v>2.4529638946851097E-2</v>
      </c>
      <c r="L90" s="8">
        <f t="shared" si="5"/>
        <v>0.85896804250595404</v>
      </c>
      <c r="M90" s="8">
        <f t="shared" si="6"/>
        <v>0.95708659829335851</v>
      </c>
      <c r="N90" s="53" t="str">
        <f t="shared" si="20"/>
        <v>OK</v>
      </c>
      <c r="O90" s="8">
        <f t="shared" si="23"/>
        <v>0.9103301671884072</v>
      </c>
      <c r="P90" s="8">
        <f t="shared" si="21"/>
        <v>0.98263126023616898</v>
      </c>
      <c r="Q90" s="8">
        <f t="shared" si="9"/>
        <v>160.49615792113454</v>
      </c>
      <c r="R90" s="8">
        <f t="shared" si="10"/>
        <v>-7.4961579211345395</v>
      </c>
      <c r="S90" s="55">
        <f t="shared" si="11"/>
        <v>4.8994496216565618E-2</v>
      </c>
      <c r="T90" s="79">
        <f>IF(R90&gt;0,Q90*GorGeus!$C$32+GorGeus!$C$31,Q90*GorGeus!$C$37+GorGeus!$C$36)</f>
        <v>62.878633078182816</v>
      </c>
    </row>
    <row r="91" spans="2:20" x14ac:dyDescent="0.3">
      <c r="B91" s="82">
        <v>62</v>
      </c>
      <c r="C91" s="53">
        <v>141</v>
      </c>
      <c r="D91" s="7">
        <f t="shared" si="15"/>
        <v>173.58333333333334</v>
      </c>
      <c r="E91" s="7">
        <f t="shared" si="16"/>
        <v>172.25</v>
      </c>
      <c r="F91" s="8">
        <f t="shared" si="17"/>
        <v>172.91666666666669</v>
      </c>
      <c r="G91" s="8">
        <f t="shared" si="1"/>
        <v>177.89983747615065</v>
      </c>
      <c r="H91" s="8">
        <f t="shared" si="18"/>
        <v>0.97198889622284224</v>
      </c>
      <c r="I91" s="8">
        <f t="shared" si="19"/>
        <v>0.81542168674698789</v>
      </c>
      <c r="J91" s="8">
        <f t="shared" si="22"/>
        <v>0.90632810277729259</v>
      </c>
      <c r="K91" s="8">
        <f t="shared" ref="K91" si="57">K79</f>
        <v>5.5689120465829793E-2</v>
      </c>
      <c r="L91" s="8">
        <f t="shared" si="5"/>
        <v>0.79494986184563299</v>
      </c>
      <c r="M91" s="8">
        <f t="shared" si="6"/>
        <v>1.0177063437089522</v>
      </c>
      <c r="N91" s="53" t="str">
        <f t="shared" si="20"/>
        <v>OK</v>
      </c>
      <c r="O91" s="8">
        <f t="shared" si="23"/>
        <v>0.90862664018266137</v>
      </c>
      <c r="P91" s="8">
        <f t="shared" si="21"/>
        <v>0.89742216515142403</v>
      </c>
      <c r="Q91" s="8">
        <f t="shared" si="9"/>
        <v>161.64453161499628</v>
      </c>
      <c r="R91" s="8">
        <f t="shared" si="10"/>
        <v>-20.644531614996282</v>
      </c>
      <c r="S91" s="55">
        <f t="shared" si="11"/>
        <v>0.14641511783685307</v>
      </c>
      <c r="T91" s="79">
        <f>IF(R91&gt;0,Q91*GorGeus!$C$32+GorGeus!$C$31,Q91*GorGeus!$C$37+GorGeus!$C$36)</f>
        <v>63.260746802866016</v>
      </c>
    </row>
    <row r="92" spans="2:20" x14ac:dyDescent="0.3">
      <c r="B92" s="82">
        <v>63</v>
      </c>
      <c r="C92" s="53">
        <v>176</v>
      </c>
      <c r="D92" s="7">
        <f t="shared" si="15"/>
        <v>174.91666666666666</v>
      </c>
      <c r="E92" s="7">
        <f t="shared" si="16"/>
        <v>173.58333333333334</v>
      </c>
      <c r="F92" s="8">
        <f t="shared" si="17"/>
        <v>174.25</v>
      </c>
      <c r="G92" s="8">
        <f t="shared" si="1"/>
        <v>179.49423797350312</v>
      </c>
      <c r="H92" s="8">
        <f t="shared" si="18"/>
        <v>0.97078325169258484</v>
      </c>
      <c r="I92" s="8">
        <f t="shared" si="19"/>
        <v>1.0100430416068866</v>
      </c>
      <c r="J92" s="8">
        <f t="shared" si="22"/>
        <v>1.0371103252949927</v>
      </c>
      <c r="K92" s="8">
        <f t="shared" ref="K92" si="58">K80</f>
        <v>4.2763314851817932E-2</v>
      </c>
      <c r="L92" s="8">
        <f t="shared" si="5"/>
        <v>0.9515836955913568</v>
      </c>
      <c r="M92" s="8">
        <f t="shared" si="6"/>
        <v>1.1226369549986286</v>
      </c>
      <c r="N92" s="53" t="str">
        <f t="shared" si="20"/>
        <v>OK</v>
      </c>
      <c r="O92" s="8">
        <f t="shared" si="23"/>
        <v>1.0397405393078649</v>
      </c>
      <c r="P92" s="8">
        <f t="shared" si="21"/>
        <v>0.97143758795752322</v>
      </c>
      <c r="Q92" s="8">
        <f t="shared" si="9"/>
        <v>186.62743579322438</v>
      </c>
      <c r="R92" s="8">
        <f t="shared" si="10"/>
        <v>-10.627435793224379</v>
      </c>
      <c r="S92" s="55">
        <f t="shared" si="11"/>
        <v>6.0383157916047606E-2</v>
      </c>
      <c r="T92" s="79">
        <f>IF(R92&gt;0,Q92*GorGeus!$C$32+GorGeus!$C$31,Q92*GorGeus!$C$37+GorGeus!$C$36)</f>
        <v>71.573642352435726</v>
      </c>
    </row>
    <row r="93" spans="2:20" x14ac:dyDescent="0.3">
      <c r="B93" s="82">
        <v>64</v>
      </c>
      <c r="C93" s="53">
        <v>170</v>
      </c>
      <c r="D93" s="7">
        <f t="shared" si="15"/>
        <v>176.08333333333334</v>
      </c>
      <c r="E93" s="7">
        <f t="shared" si="16"/>
        <v>174.91666666666666</v>
      </c>
      <c r="F93" s="8">
        <f t="shared" si="17"/>
        <v>175.5</v>
      </c>
      <c r="G93" s="8">
        <f t="shared" si="1"/>
        <v>181.08863847085559</v>
      </c>
      <c r="H93" s="8">
        <f t="shared" si="18"/>
        <v>0.96913865763171536</v>
      </c>
      <c r="I93" s="8">
        <f t="shared" si="19"/>
        <v>0.96866096866096862</v>
      </c>
      <c r="J93" s="8">
        <f t="shared" si="22"/>
        <v>0.9861740189161603</v>
      </c>
      <c r="K93" s="8">
        <f t="shared" ref="K93" si="59">K81</f>
        <v>3.5781115445275478E-2</v>
      </c>
      <c r="L93" s="8">
        <f t="shared" si="5"/>
        <v>0.91461178802560938</v>
      </c>
      <c r="M93" s="8">
        <f t="shared" si="6"/>
        <v>1.0577362498067113</v>
      </c>
      <c r="N93" s="53" t="str">
        <f t="shared" si="20"/>
        <v>OK</v>
      </c>
      <c r="O93" s="8">
        <f t="shared" si="23"/>
        <v>0.98867505343526618</v>
      </c>
      <c r="P93" s="8">
        <f t="shared" si="21"/>
        <v>0.97975666048743082</v>
      </c>
      <c r="Q93" s="8">
        <f t="shared" si="9"/>
        <v>179.03781931669275</v>
      </c>
      <c r="R93" s="8">
        <f t="shared" si="10"/>
        <v>-9.0378193166927474</v>
      </c>
      <c r="S93" s="55">
        <f t="shared" si="11"/>
        <v>5.3163643039369102E-2</v>
      </c>
      <c r="T93" s="79">
        <f>IF(R93&gt;0,Q93*GorGeus!$C$32+GorGeus!$C$31,Q93*GorGeus!$C$37+GorGeus!$C$36)</f>
        <v>69.048247843430502</v>
      </c>
    </row>
    <row r="94" spans="2:20" x14ac:dyDescent="0.3">
      <c r="B94" s="82">
        <v>65</v>
      </c>
      <c r="C94" s="53">
        <v>176</v>
      </c>
      <c r="D94" s="7">
        <f t="shared" si="15"/>
        <v>177.5</v>
      </c>
      <c r="E94" s="7">
        <f t="shared" si="16"/>
        <v>176.08333333333334</v>
      </c>
      <c r="F94" s="8">
        <f t="shared" si="17"/>
        <v>176.79166666666669</v>
      </c>
      <c r="G94" s="8">
        <f t="shared" si="1"/>
        <v>182.68303896820802</v>
      </c>
      <c r="H94" s="8">
        <f t="shared" si="18"/>
        <v>0.96775085232424563</v>
      </c>
      <c r="I94" s="8">
        <f t="shared" si="19"/>
        <v>0.99552203629507419</v>
      </c>
      <c r="J94" s="8">
        <f t="shared" si="22"/>
        <v>0.97880157620007846</v>
      </c>
      <c r="K94" s="8">
        <f t="shared" ref="K94" si="60">K82</f>
        <v>4.7129459717990208E-2</v>
      </c>
      <c r="L94" s="8">
        <f t="shared" si="5"/>
        <v>0.88454265676409805</v>
      </c>
      <c r="M94" s="8">
        <f t="shared" si="6"/>
        <v>1.0730604956360588</v>
      </c>
      <c r="N94" s="53" t="str">
        <f t="shared" si="20"/>
        <v>OK</v>
      </c>
      <c r="O94" s="8">
        <f t="shared" si="23"/>
        <v>0.9812839134777549</v>
      </c>
      <c r="P94" s="8">
        <f t="shared" si="21"/>
        <v>1.0145096873817672</v>
      </c>
      <c r="Q94" s="8">
        <f t="shared" si="9"/>
        <v>179.26392740473236</v>
      </c>
      <c r="R94" s="8">
        <f t="shared" si="10"/>
        <v>-3.2639274047323568</v>
      </c>
      <c r="S94" s="55">
        <f t="shared" si="11"/>
        <v>1.8545042072342935E-2</v>
      </c>
      <c r="T94" s="79">
        <f>IF(R94&gt;0,Q94*GorGeus!$C$32+GorGeus!$C$31,Q94*GorGeus!$C$37+GorGeus!$C$36)</f>
        <v>69.123483809008292</v>
      </c>
    </row>
    <row r="95" spans="2:20" ht="16.2" thickBot="1" x14ac:dyDescent="0.35">
      <c r="B95" s="91">
        <v>66</v>
      </c>
      <c r="C95" s="92">
        <v>198</v>
      </c>
      <c r="D95" s="51">
        <f t="shared" si="15"/>
        <v>179.25</v>
      </c>
      <c r="E95" s="51">
        <f t="shared" si="16"/>
        <v>177.5</v>
      </c>
      <c r="F95" s="54">
        <f t="shared" si="17"/>
        <v>178.375</v>
      </c>
      <c r="G95" s="54">
        <f t="shared" ref="G95:G113" si="61">$H$25+$H$26*B95</f>
        <v>184.27743946556046</v>
      </c>
      <c r="H95" s="54">
        <f t="shared" si="18"/>
        <v>0.9679698204908932</v>
      </c>
      <c r="I95" s="54">
        <f t="shared" si="19"/>
        <v>1.1100210231254379</v>
      </c>
      <c r="J95" s="54">
        <f t="shared" si="22"/>
        <v>1.0914972509374308</v>
      </c>
      <c r="K95" s="54">
        <f t="shared" ref="K95" si="62">K83</f>
        <v>2.5517096440106059E-2</v>
      </c>
      <c r="L95" s="54">
        <f t="shared" ref="L95:L113" si="63">J95-K95*2</f>
        <v>1.0404630580572187</v>
      </c>
      <c r="M95" s="54">
        <f t="shared" ref="M95:M113" si="64">J95+K95*2</f>
        <v>1.1425314438176428</v>
      </c>
      <c r="N95" s="77" t="str">
        <f t="shared" si="20"/>
        <v>OK</v>
      </c>
      <c r="O95" s="54">
        <f t="shared" si="23"/>
        <v>1.0942653955546493</v>
      </c>
      <c r="P95" s="54">
        <f t="shared" ref="P95:P107" si="65">IF(D95="-",1,I95/O95)</f>
        <v>1.0143983604295579</v>
      </c>
      <c r="Q95" s="54">
        <f t="shared" ref="Q95:Q113" si="66">IF($R$26 = "H0 Accepted", G95*O95, G95*O95*P95)</f>
        <v>201.64842518857947</v>
      </c>
      <c r="R95" s="54">
        <f t="shared" ref="R95:R113" si="67">C95-Q95</f>
        <v>-3.6484251885794663</v>
      </c>
      <c r="S95" s="56">
        <f t="shared" ref="S95:S113" si="68">ABS(R95)/C95</f>
        <v>1.8426389841310436E-2</v>
      </c>
      <c r="T95" s="81">
        <f>IF(R95&gt;0,Q95*GorGeus!$C$32+GorGeus!$C$31,Q95*GorGeus!$C$37+GorGeus!$C$36)</f>
        <v>76.571776876907848</v>
      </c>
    </row>
    <row r="96" spans="2:20" x14ac:dyDescent="0.3">
      <c r="B96" s="82">
        <v>67</v>
      </c>
      <c r="C96" s="53">
        <v>227</v>
      </c>
      <c r="D96" s="7">
        <f t="shared" si="15"/>
        <v>181.66666666666666</v>
      </c>
      <c r="E96" s="7">
        <f t="shared" si="16"/>
        <v>179.25</v>
      </c>
      <c r="F96" s="8">
        <f t="shared" si="17"/>
        <v>180.45833333333331</v>
      </c>
      <c r="G96" s="8">
        <f t="shared" si="61"/>
        <v>185.87183996291293</v>
      </c>
      <c r="H96" s="8">
        <f t="shared" si="18"/>
        <v>0.97087505761679782</v>
      </c>
      <c r="I96" s="8">
        <f t="shared" si="19"/>
        <v>1.2579081043638884</v>
      </c>
      <c r="J96" s="8">
        <f t="shared" si="22"/>
        <v>1.1860899363916799</v>
      </c>
      <c r="K96" s="8">
        <f t="shared" ref="K96" si="69">K84</f>
        <v>3.9909435302689915E-2</v>
      </c>
      <c r="L96" s="8">
        <f t="shared" si="63"/>
        <v>1.1062710657863002</v>
      </c>
      <c r="M96" s="8">
        <f t="shared" si="64"/>
        <v>1.2659088069970597</v>
      </c>
      <c r="N96" s="53" t="str">
        <f t="shared" si="20"/>
        <v>OK</v>
      </c>
      <c r="O96" s="8">
        <f t="shared" si="23"/>
        <v>1.189097977383208</v>
      </c>
      <c r="P96" s="8">
        <f t="shared" si="65"/>
        <v>1.0578674998103248</v>
      </c>
      <c r="Q96" s="8">
        <f t="shared" si="66"/>
        <v>221.0198289523951</v>
      </c>
      <c r="R96" s="8">
        <f t="shared" si="67"/>
        <v>5.9801710476048981</v>
      </c>
      <c r="S96" s="55">
        <f t="shared" si="68"/>
        <v>2.6344365848479729E-2</v>
      </c>
      <c r="T96" s="79">
        <f>IF(R96&gt;0,Q96*GorGeus!$C$32+GorGeus!$C$31,Q96*GorGeus!$C$37+GorGeus!$C$36)</f>
        <v>234.67482634049887</v>
      </c>
    </row>
    <row r="97" spans="2:20" x14ac:dyDescent="0.3">
      <c r="B97" s="82">
        <v>68</v>
      </c>
      <c r="C97" s="53">
        <v>220</v>
      </c>
      <c r="D97" s="7">
        <f t="shared" si="15"/>
        <v>184.5</v>
      </c>
      <c r="E97" s="7">
        <f t="shared" si="16"/>
        <v>181.66666666666666</v>
      </c>
      <c r="F97" s="8">
        <f t="shared" si="17"/>
        <v>183.08333333333331</v>
      </c>
      <c r="G97" s="8">
        <f t="shared" si="61"/>
        <v>187.4662404602654</v>
      </c>
      <c r="H97" s="8">
        <f t="shared" si="18"/>
        <v>0.97662028578494342</v>
      </c>
      <c r="I97" s="8">
        <f t="shared" si="19"/>
        <v>1.2016385980883024</v>
      </c>
      <c r="J97" s="8">
        <f t="shared" si="22"/>
        <v>1.184566045323719</v>
      </c>
      <c r="K97" s="8">
        <f t="shared" ref="K97" si="70">K85</f>
        <v>2.9446261957848757E-2</v>
      </c>
      <c r="L97" s="8">
        <f t="shared" si="63"/>
        <v>1.1256735214080216</v>
      </c>
      <c r="M97" s="8">
        <f t="shared" si="64"/>
        <v>1.2434585692394164</v>
      </c>
      <c r="N97" s="53" t="str">
        <f t="shared" si="20"/>
        <v>OK</v>
      </c>
      <c r="O97" s="8">
        <f t="shared" si="23"/>
        <v>1.1875702215772885</v>
      </c>
      <c r="P97" s="8">
        <f t="shared" si="65"/>
        <v>1.0118463533822268</v>
      </c>
      <c r="Q97" s="8">
        <f t="shared" si="66"/>
        <v>222.62932472165863</v>
      </c>
      <c r="R97" s="8">
        <f t="shared" si="67"/>
        <v>-2.6293247216586337</v>
      </c>
      <c r="S97" s="55">
        <f t="shared" si="68"/>
        <v>1.1951476007539244E-2</v>
      </c>
      <c r="T97" s="79">
        <f>IF(R97&gt;0,Q97*GorGeus!$C$32+GorGeus!$C$31,Q97*GorGeus!$C$37+GorGeus!$C$36)</f>
        <v>83.553031942781985</v>
      </c>
    </row>
    <row r="98" spans="2:20" x14ac:dyDescent="0.3">
      <c r="B98" s="82">
        <v>69</v>
      </c>
      <c r="C98" s="53">
        <v>194</v>
      </c>
      <c r="D98" s="7">
        <f t="shared" si="15"/>
        <v>186.5</v>
      </c>
      <c r="E98" s="7">
        <f t="shared" si="16"/>
        <v>184.5</v>
      </c>
      <c r="F98" s="8">
        <f t="shared" si="17"/>
        <v>185.5</v>
      </c>
      <c r="G98" s="8">
        <f t="shared" si="61"/>
        <v>189.06064095761786</v>
      </c>
      <c r="H98" s="8">
        <f t="shared" ref="H98:H107" si="71">F98/G98</f>
        <v>0.9811666725576369</v>
      </c>
      <c r="I98" s="8">
        <f t="shared" ref="I98:I107" si="72">C98/F98</f>
        <v>1.045822102425876</v>
      </c>
      <c r="J98" s="8">
        <f t="shared" si="22"/>
        <v>1.0537394917670739</v>
      </c>
      <c r="K98" s="8">
        <f t="shared" ref="K98" si="73">K86</f>
        <v>1.7464041599105796E-2</v>
      </c>
      <c r="L98" s="8">
        <f t="shared" si="63"/>
        <v>1.0188114085688624</v>
      </c>
      <c r="M98" s="8">
        <f t="shared" si="64"/>
        <v>1.0886675749652854</v>
      </c>
      <c r="N98" s="53" t="str">
        <f t="shared" si="20"/>
        <v>OK</v>
      </c>
      <c r="O98" s="8">
        <f t="shared" si="23"/>
        <v>1.0564118789852557</v>
      </c>
      <c r="P98" s="8">
        <f t="shared" si="65"/>
        <v>0.98997571234284898</v>
      </c>
      <c r="Q98" s="8">
        <f t="shared" si="66"/>
        <v>199.72590695619388</v>
      </c>
      <c r="R98" s="8">
        <f t="shared" si="67"/>
        <v>-5.7259069561938816</v>
      </c>
      <c r="S98" s="55">
        <f t="shared" si="68"/>
        <v>2.9514984310277739E-2</v>
      </c>
      <c r="T98" s="79">
        <f>IF(R98&gt;0,Q98*GorGeus!$C$32+GorGeus!$C$31,Q98*GorGeus!$C$37+GorGeus!$C$36)</f>
        <v>75.932071695158314</v>
      </c>
    </row>
    <row r="99" spans="2:20" x14ac:dyDescent="0.3">
      <c r="B99" s="82">
        <v>70</v>
      </c>
      <c r="C99" s="53">
        <v>172</v>
      </c>
      <c r="D99" s="7">
        <f t="shared" si="15"/>
        <v>189.16666666666666</v>
      </c>
      <c r="E99" s="7">
        <f t="shared" si="16"/>
        <v>186.5</v>
      </c>
      <c r="F99" s="8">
        <f t="shared" si="17"/>
        <v>187.83333333333331</v>
      </c>
      <c r="G99" s="8">
        <f t="shared" si="61"/>
        <v>190.6550414549703</v>
      </c>
      <c r="H99" s="8">
        <f t="shared" si="71"/>
        <v>0.9851999291489838</v>
      </c>
      <c r="I99" s="8">
        <f t="shared" si="72"/>
        <v>0.91570541259982263</v>
      </c>
      <c r="J99" s="8">
        <f t="shared" si="22"/>
        <v>0.93333633993345888</v>
      </c>
      <c r="K99" s="8">
        <f t="shared" ref="K99" si="74">K87</f>
        <v>3.8912050137017269E-2</v>
      </c>
      <c r="L99" s="8">
        <f t="shared" si="63"/>
        <v>0.85551223965942436</v>
      </c>
      <c r="M99" s="8">
        <f t="shared" si="64"/>
        <v>1.0111604402074934</v>
      </c>
      <c r="N99" s="53" t="str">
        <f t="shared" si="20"/>
        <v>OK</v>
      </c>
      <c r="O99" s="8">
        <f t="shared" si="23"/>
        <v>0.93570337289045669</v>
      </c>
      <c r="P99" s="8">
        <f t="shared" si="65"/>
        <v>0.97862788478697171</v>
      </c>
      <c r="Q99" s="8">
        <f t="shared" si="66"/>
        <v>178.39656534798556</v>
      </c>
      <c r="R99" s="8">
        <f t="shared" si="67"/>
        <v>-6.3965653479855575</v>
      </c>
      <c r="S99" s="55">
        <f t="shared" si="68"/>
        <v>3.7189333418520681E-2</v>
      </c>
      <c r="T99" s="79">
        <f>IF(R99&gt;0,Q99*GorGeus!$C$32+GorGeus!$C$31,Q99*GorGeus!$C$37+GorGeus!$C$36)</f>
        <v>68.834874841453598</v>
      </c>
    </row>
    <row r="100" spans="2:20" x14ac:dyDescent="0.3">
      <c r="B100" s="82">
        <v>71</v>
      </c>
      <c r="C100" s="53">
        <v>152</v>
      </c>
      <c r="D100" s="7">
        <f t="shared" si="15"/>
        <v>191.41666666666666</v>
      </c>
      <c r="E100" s="7">
        <f t="shared" si="16"/>
        <v>189.16666666666666</v>
      </c>
      <c r="F100" s="8">
        <f t="shared" si="17"/>
        <v>190.29166666666666</v>
      </c>
      <c r="G100" s="8">
        <f t="shared" si="61"/>
        <v>192.24944195232277</v>
      </c>
      <c r="H100" s="8">
        <f t="shared" si="71"/>
        <v>0.98981648390874588</v>
      </c>
      <c r="I100" s="8">
        <f t="shared" si="72"/>
        <v>0.79877381213050147</v>
      </c>
      <c r="J100" s="8">
        <f t="shared" si="22"/>
        <v>0.79911462897913144</v>
      </c>
      <c r="K100" s="8">
        <f t="shared" ref="K100" si="75">K88</f>
        <v>2.3919366976353492E-2</v>
      </c>
      <c r="L100" s="8">
        <f t="shared" si="63"/>
        <v>0.75127589502642445</v>
      </c>
      <c r="M100" s="8">
        <f t="shared" si="64"/>
        <v>0.84695336293183843</v>
      </c>
      <c r="N100" s="53" t="str">
        <f t="shared" si="20"/>
        <v>OK</v>
      </c>
      <c r="O100" s="8">
        <f t="shared" si="23"/>
        <v>0.8011412624469203</v>
      </c>
      <c r="P100" s="8">
        <f t="shared" si="65"/>
        <v>0.99704490278132984</v>
      </c>
      <c r="Q100" s="8">
        <f t="shared" si="66"/>
        <v>154.01896063039979</v>
      </c>
      <c r="R100" s="8">
        <f t="shared" si="67"/>
        <v>-2.0189606303997891</v>
      </c>
      <c r="S100" s="55">
        <f t="shared" si="68"/>
        <v>1.3282635726314402E-2</v>
      </c>
      <c r="T100" s="79">
        <f>IF(R100&gt;0,Q100*GorGeus!$C$32+GorGeus!$C$31,Q100*GorGeus!$C$37+GorGeus!$C$36)</f>
        <v>60.723388669938331</v>
      </c>
    </row>
    <row r="101" spans="2:20" ht="16.2" thickBot="1" x14ac:dyDescent="0.35">
      <c r="B101" s="91">
        <v>72</v>
      </c>
      <c r="C101" s="92">
        <v>172</v>
      </c>
      <c r="D101" s="51">
        <f t="shared" ref="D101:D105" si="76">SUM(C96:C107)/$M$26</f>
        <v>194.58333333333334</v>
      </c>
      <c r="E101" s="51">
        <f t="shared" ref="E101:E107" si="77">SUM(C95:C106)/$M$26</f>
        <v>191.41666666666666</v>
      </c>
      <c r="F101" s="54">
        <f t="shared" ref="F101:F107" si="78">AVERAGE(D101:E101)</f>
        <v>193</v>
      </c>
      <c r="G101" s="54">
        <f t="shared" si="61"/>
        <v>193.84384244967521</v>
      </c>
      <c r="H101" s="54">
        <f t="shared" si="71"/>
        <v>0.99564679259856148</v>
      </c>
      <c r="I101" s="54">
        <f t="shared" si="72"/>
        <v>0.89119170984455953</v>
      </c>
      <c r="J101" s="54">
        <f t="shared" si="22"/>
        <v>0.90485876654641384</v>
      </c>
      <c r="K101" s="54">
        <f t="shared" ref="K101:K102" si="79">K89</f>
        <v>1.23776473754979E-2</v>
      </c>
      <c r="L101" s="54">
        <f t="shared" si="63"/>
        <v>0.88010347179541804</v>
      </c>
      <c r="M101" s="54">
        <f t="shared" si="64"/>
        <v>0.92961406129740964</v>
      </c>
      <c r="N101" s="77" t="str">
        <f t="shared" ref="N101:N107" si="80">IF(AND(I101&gt;L101,I101&lt;M101),"OK","NOT OK")</f>
        <v>OK</v>
      </c>
      <c r="O101" s="54">
        <f t="shared" si="23"/>
        <v>0.90715357757026871</v>
      </c>
      <c r="P101" s="54">
        <f t="shared" si="65"/>
        <v>0.98240444824297379</v>
      </c>
      <c r="Q101" s="54">
        <f t="shared" si="66"/>
        <v>175.84613516819039</v>
      </c>
      <c r="R101" s="54">
        <f t="shared" si="67"/>
        <v>-3.8461351681903864</v>
      </c>
      <c r="S101" s="56">
        <f t="shared" si="68"/>
        <v>2.2361250977851084E-2</v>
      </c>
      <c r="T101" s="81">
        <f>IF(R101&gt;0,Q101*GorGeus!$C$32+GorGeus!$C$31,Q101*GorGeus!$C$37+GorGeus!$C$36)</f>
        <v>67.986236126760701</v>
      </c>
    </row>
    <row r="102" spans="2:20" x14ac:dyDescent="0.3">
      <c r="B102" s="82">
        <v>73</v>
      </c>
      <c r="C102" s="53">
        <v>182</v>
      </c>
      <c r="D102" s="7">
        <f t="shared" si="76"/>
        <v>198.41666666666666</v>
      </c>
      <c r="E102" s="7">
        <f t="shared" si="77"/>
        <v>194.58333333333334</v>
      </c>
      <c r="F102" s="8">
        <f t="shared" si="78"/>
        <v>196.5</v>
      </c>
      <c r="G102" s="8">
        <f t="shared" si="61"/>
        <v>195.43824294702767</v>
      </c>
      <c r="H102" s="8">
        <f t="shared" si="71"/>
        <v>1.0054326985187854</v>
      </c>
      <c r="I102" s="8">
        <f t="shared" si="72"/>
        <v>0.92620865139949105</v>
      </c>
      <c r="J102" s="8">
        <f t="shared" si="22"/>
        <v>0.90802732039965628</v>
      </c>
      <c r="K102" s="8">
        <f t="shared" si="79"/>
        <v>2.4529638946851097E-2</v>
      </c>
      <c r="L102" s="8">
        <f t="shared" si="63"/>
        <v>0.85896804250595404</v>
      </c>
      <c r="M102" s="8">
        <f t="shared" si="64"/>
        <v>0.95708659829335851</v>
      </c>
      <c r="N102" s="53" t="str">
        <f t="shared" si="80"/>
        <v>OK</v>
      </c>
      <c r="O102" s="8">
        <f t="shared" si="23"/>
        <v>0.9103301671884072</v>
      </c>
      <c r="P102" s="8">
        <f t="shared" si="65"/>
        <v>1.0174425552216129</v>
      </c>
      <c r="Q102" s="8">
        <f t="shared" si="66"/>
        <v>177.91332837697624</v>
      </c>
      <c r="R102" s="8">
        <f t="shared" si="67"/>
        <v>4.0866716230237614</v>
      </c>
      <c r="S102" s="55">
        <f t="shared" si="68"/>
        <v>2.2454239686943742E-2</v>
      </c>
      <c r="T102" s="79">
        <f>IF(R102&gt;0,Q102*GorGeus!$C$32+GorGeus!$C$31,Q102*GorGeus!$C$37+GorGeus!$C$36)</f>
        <v>189.25753466866001</v>
      </c>
    </row>
    <row r="103" spans="2:20" x14ac:dyDescent="0.3">
      <c r="B103" s="82">
        <v>74</v>
      </c>
      <c r="C103" s="53">
        <v>175</v>
      </c>
      <c r="D103" s="7">
        <f t="shared" si="76"/>
        <v>201.75</v>
      </c>
      <c r="E103" s="7">
        <f t="shared" si="77"/>
        <v>198.41666666666666</v>
      </c>
      <c r="F103" s="8">
        <f t="shared" si="78"/>
        <v>200.08333333333331</v>
      </c>
      <c r="G103" s="8">
        <f t="shared" si="61"/>
        <v>197.03264344438014</v>
      </c>
      <c r="H103" s="8">
        <f t="shared" si="71"/>
        <v>1.0154831698728863</v>
      </c>
      <c r="I103" s="8">
        <f t="shared" si="72"/>
        <v>0.87463556851311963</v>
      </c>
      <c r="J103" s="8">
        <f t="shared" si="22"/>
        <v>0.90632810277729259</v>
      </c>
      <c r="K103" s="8">
        <f t="shared" ref="K103" si="81">K91</f>
        <v>5.5689120465829793E-2</v>
      </c>
      <c r="L103" s="8">
        <f t="shared" si="63"/>
        <v>0.79494986184563299</v>
      </c>
      <c r="M103" s="8">
        <f t="shared" si="64"/>
        <v>1.0177063437089522</v>
      </c>
      <c r="N103" s="53" t="str">
        <f t="shared" si="80"/>
        <v>OK</v>
      </c>
      <c r="O103" s="8">
        <f t="shared" si="23"/>
        <v>0.90862664018266137</v>
      </c>
      <c r="P103" s="8">
        <f t="shared" si="65"/>
        <v>0.96259071639952298</v>
      </c>
      <c r="Q103" s="8">
        <f t="shared" si="66"/>
        <v>179.02910881917541</v>
      </c>
      <c r="R103" s="8">
        <f t="shared" si="67"/>
        <v>-4.0291088191754056</v>
      </c>
      <c r="S103" s="55">
        <f t="shared" si="68"/>
        <v>2.3023478966716603E-2</v>
      </c>
      <c r="T103" s="79">
        <f>IF(R103&gt;0,Q103*GorGeus!$C$32+GorGeus!$C$31,Q103*GorGeus!$C$37+GorGeus!$C$36)</f>
        <v>69.045349483194641</v>
      </c>
    </row>
    <row r="104" spans="2:20" x14ac:dyDescent="0.3">
      <c r="B104" s="82">
        <v>75</v>
      </c>
      <c r="C104" s="53">
        <v>200</v>
      </c>
      <c r="D104" s="7">
        <f t="shared" si="76"/>
        <v>205.08333333333334</v>
      </c>
      <c r="E104" s="7">
        <f t="shared" si="77"/>
        <v>201.75</v>
      </c>
      <c r="F104" s="8">
        <f t="shared" si="78"/>
        <v>203.41666666666669</v>
      </c>
      <c r="G104" s="8">
        <f t="shared" si="61"/>
        <v>198.62704394173258</v>
      </c>
      <c r="H104" s="8">
        <f t="shared" si="71"/>
        <v>1.0241136485238089</v>
      </c>
      <c r="I104" s="8">
        <f t="shared" si="72"/>
        <v>0.98320360507988525</v>
      </c>
      <c r="J104" s="8">
        <f t="shared" si="22"/>
        <v>1.0371103252949927</v>
      </c>
      <c r="K104" s="8">
        <f t="shared" ref="K104" si="82">K92</f>
        <v>4.2763314851817932E-2</v>
      </c>
      <c r="L104" s="8">
        <f t="shared" si="63"/>
        <v>0.9515836955913568</v>
      </c>
      <c r="M104" s="8">
        <f t="shared" si="64"/>
        <v>1.1226369549986286</v>
      </c>
      <c r="N104" s="53" t="str">
        <f t="shared" si="80"/>
        <v>OK</v>
      </c>
      <c r="O104" s="8">
        <f t="shared" si="23"/>
        <v>1.0397405393078649</v>
      </c>
      <c r="P104" s="8">
        <f t="shared" si="65"/>
        <v>0.94562399743919268</v>
      </c>
      <c r="Q104" s="8">
        <f t="shared" si="66"/>
        <v>206.52058978910401</v>
      </c>
      <c r="R104" s="8">
        <f t="shared" si="67"/>
        <v>-6.5205897891040081</v>
      </c>
      <c r="S104" s="55">
        <f t="shared" si="68"/>
        <v>3.2602948945520044E-2</v>
      </c>
      <c r="T104" s="79">
        <f>IF(R104&gt;0,Q104*GorGeus!$C$32+GorGeus!$C$31,Q104*GorGeus!$C$37+GorGeus!$C$36)</f>
        <v>78.192957310356732</v>
      </c>
    </row>
    <row r="105" spans="2:20" x14ac:dyDescent="0.3">
      <c r="B105" s="82">
        <v>76</v>
      </c>
      <c r="C105" s="53">
        <v>202</v>
      </c>
      <c r="D105" s="7">
        <f t="shared" si="76"/>
        <v>207.91666666666666</v>
      </c>
      <c r="E105" s="7">
        <f t="shared" si="77"/>
        <v>205.08333333333334</v>
      </c>
      <c r="F105" s="8">
        <f t="shared" si="78"/>
        <v>206.5</v>
      </c>
      <c r="G105" s="8">
        <f t="shared" si="61"/>
        <v>200.22144443908505</v>
      </c>
      <c r="H105" s="8">
        <f t="shared" si="71"/>
        <v>1.0313580574673415</v>
      </c>
      <c r="I105" s="8">
        <f t="shared" si="72"/>
        <v>0.97820823244552058</v>
      </c>
      <c r="J105" s="8">
        <f t="shared" si="22"/>
        <v>0.9861740189161603</v>
      </c>
      <c r="K105" s="8">
        <f t="shared" ref="K105" si="83">K93</f>
        <v>3.5781115445275478E-2</v>
      </c>
      <c r="L105" s="8">
        <f t="shared" si="63"/>
        <v>0.91461178802560938</v>
      </c>
      <c r="M105" s="8">
        <f t="shared" si="64"/>
        <v>1.0577362498067113</v>
      </c>
      <c r="N105" s="53" t="str">
        <f t="shared" si="80"/>
        <v>OK</v>
      </c>
      <c r="O105" s="8">
        <f t="shared" si="23"/>
        <v>0.98867505343526618</v>
      </c>
      <c r="P105" s="8">
        <f t="shared" si="65"/>
        <v>0.98941328502891079</v>
      </c>
      <c r="Q105" s="8">
        <f t="shared" si="66"/>
        <v>197.95394727969858</v>
      </c>
      <c r="R105" s="8">
        <f t="shared" si="67"/>
        <v>4.046052720301418</v>
      </c>
      <c r="S105" s="55">
        <f t="shared" si="68"/>
        <v>2.0029963961888209E-2</v>
      </c>
      <c r="T105" s="79">
        <f>IF(R105&gt;0,Q105*GorGeus!$C$32+GorGeus!$C$31,Q105*GorGeus!$C$37+GorGeus!$C$36)</f>
        <v>210.37246215846272</v>
      </c>
    </row>
    <row r="106" spans="2:20" x14ac:dyDescent="0.3">
      <c r="B106" s="82">
        <v>77</v>
      </c>
      <c r="C106" s="53">
        <v>203</v>
      </c>
      <c r="D106" s="7">
        <f>SUM(C101:C112)/$M$26</f>
        <v>210.08333333333334</v>
      </c>
      <c r="E106" s="7">
        <f t="shared" si="77"/>
        <v>207.91666666666666</v>
      </c>
      <c r="F106" s="8">
        <f t="shared" si="78"/>
        <v>209</v>
      </c>
      <c r="G106" s="8">
        <f t="shared" si="61"/>
        <v>201.81584493643749</v>
      </c>
      <c r="H106" s="8">
        <f t="shared" si="71"/>
        <v>1.035597576918825</v>
      </c>
      <c r="I106" s="8">
        <f t="shared" si="72"/>
        <v>0.9712918660287081</v>
      </c>
      <c r="J106" s="8">
        <f t="shared" si="22"/>
        <v>0.97880157620007846</v>
      </c>
      <c r="K106" s="8">
        <f t="shared" ref="K106" si="84">K94</f>
        <v>4.7129459717990208E-2</v>
      </c>
      <c r="L106" s="8">
        <f t="shared" si="63"/>
        <v>0.88454265676409805</v>
      </c>
      <c r="M106" s="8">
        <f t="shared" si="64"/>
        <v>1.0730604956360588</v>
      </c>
      <c r="N106" s="53" t="str">
        <f t="shared" si="80"/>
        <v>OK</v>
      </c>
      <c r="O106" s="8">
        <f t="shared" si="23"/>
        <v>0.9812839134777549</v>
      </c>
      <c r="P106" s="8">
        <f t="shared" si="65"/>
        <v>0.98981737363487987</v>
      </c>
      <c r="Q106" s="8">
        <f t="shared" si="66"/>
        <v>198.03864212104713</v>
      </c>
      <c r="R106" s="8">
        <f t="shared" si="67"/>
        <v>4.9613578789528674</v>
      </c>
      <c r="S106" s="55">
        <f t="shared" si="68"/>
        <v>2.4440186595826932E-2</v>
      </c>
      <c r="T106" s="79">
        <f>IF(R106&gt;0,Q106*GorGeus!$C$32+GorGeus!$C$31,Q106*GorGeus!$C$37+GorGeus!$C$36)</f>
        <v>210.46169719868357</v>
      </c>
    </row>
    <row r="107" spans="2:20" ht="16.2" thickBot="1" x14ac:dyDescent="0.35">
      <c r="B107" s="91">
        <v>78</v>
      </c>
      <c r="C107" s="92">
        <v>236</v>
      </c>
      <c r="D107" s="51">
        <f>SUM(C102:C113)/$M$26</f>
        <v>213.16666666666666</v>
      </c>
      <c r="E107" s="51">
        <f t="shared" si="77"/>
        <v>210.08333333333334</v>
      </c>
      <c r="F107" s="54">
        <f t="shared" si="78"/>
        <v>211.625</v>
      </c>
      <c r="G107" s="54">
        <f t="shared" si="61"/>
        <v>203.41024543378995</v>
      </c>
      <c r="H107" s="54">
        <f t="shared" si="71"/>
        <v>1.0403851563557744</v>
      </c>
      <c r="I107" s="54">
        <f t="shared" si="72"/>
        <v>1.1151801535735382</v>
      </c>
      <c r="J107" s="54">
        <f t="shared" ref="J107:K113" si="85">J95</f>
        <v>1.0914972509374308</v>
      </c>
      <c r="K107" s="54">
        <f t="shared" si="85"/>
        <v>2.5517096440106059E-2</v>
      </c>
      <c r="L107" s="54">
        <f t="shared" si="63"/>
        <v>1.0404630580572187</v>
      </c>
      <c r="M107" s="54">
        <f t="shared" si="64"/>
        <v>1.1425314438176428</v>
      </c>
      <c r="N107" s="77" t="str">
        <f t="shared" si="80"/>
        <v>OK</v>
      </c>
      <c r="O107" s="54">
        <f t="shared" ref="O107:O113" si="86">O95</f>
        <v>1.0942653955546493</v>
      </c>
      <c r="P107" s="54">
        <f t="shared" si="65"/>
        <v>1.0191130580422749</v>
      </c>
      <c r="Q107" s="54">
        <f t="shared" si="66"/>
        <v>222.58479267947445</v>
      </c>
      <c r="R107" s="54">
        <f t="shared" si="67"/>
        <v>13.415207320525553</v>
      </c>
      <c r="S107" s="56">
        <f t="shared" si="68"/>
        <v>5.684409881578624E-2</v>
      </c>
      <c r="T107" s="81">
        <f>IF(R107&gt;0,Q107*GorGeus!$C$32+GorGeus!$C$31,Q107*GorGeus!$C$37+GorGeus!$C$36)</f>
        <v>236.3236823854069</v>
      </c>
    </row>
    <row r="108" spans="2:20" x14ac:dyDescent="0.3">
      <c r="B108" s="82">
        <v>79</v>
      </c>
      <c r="C108" s="53">
        <v>273</v>
      </c>
      <c r="D108" s="7" t="s">
        <v>51</v>
      </c>
      <c r="E108" s="7" t="s">
        <v>51</v>
      </c>
      <c r="F108" s="7" t="s">
        <v>51</v>
      </c>
      <c r="G108" s="8">
        <f t="shared" si="61"/>
        <v>205.00464593114242</v>
      </c>
      <c r="H108" s="7" t="s">
        <v>51</v>
      </c>
      <c r="I108" s="7" t="s">
        <v>51</v>
      </c>
      <c r="J108" s="8">
        <f t="shared" si="85"/>
        <v>1.1860899363916799</v>
      </c>
      <c r="K108" s="8">
        <f t="shared" si="85"/>
        <v>3.9909435302689915E-2</v>
      </c>
      <c r="L108" s="8">
        <f t="shared" si="63"/>
        <v>1.1062710657863002</v>
      </c>
      <c r="M108" s="8">
        <f t="shared" si="64"/>
        <v>1.2659088069970597</v>
      </c>
      <c r="N108" s="7" t="s">
        <v>51</v>
      </c>
      <c r="O108" s="8">
        <f t="shared" si="86"/>
        <v>1.189097977383208</v>
      </c>
      <c r="P108" s="8"/>
      <c r="Q108" s="8">
        <f t="shared" si="66"/>
        <v>243.77060983088217</v>
      </c>
      <c r="R108" s="8">
        <f t="shared" si="67"/>
        <v>29.229390169117835</v>
      </c>
      <c r="S108" s="55">
        <f t="shared" si="68"/>
        <v>0.10706736325684188</v>
      </c>
      <c r="T108" s="79">
        <f>IF(R108&gt;0,Q108*GorGeus!$C$32+GorGeus!$C$31,Q108*GorGeus!$C$37+GorGeus!$C$36)</f>
        <v>258.64519825952124</v>
      </c>
    </row>
    <row r="109" spans="2:20" x14ac:dyDescent="0.3">
      <c r="B109" s="82">
        <v>80</v>
      </c>
      <c r="C109" s="53">
        <v>260</v>
      </c>
      <c r="D109" s="7" t="s">
        <v>51</v>
      </c>
      <c r="E109" s="7" t="s">
        <v>51</v>
      </c>
      <c r="F109" s="7" t="s">
        <v>51</v>
      </c>
      <c r="G109" s="8">
        <f t="shared" si="61"/>
        <v>206.59904642849489</v>
      </c>
      <c r="H109" s="7" t="s">
        <v>51</v>
      </c>
      <c r="I109" s="7" t="s">
        <v>51</v>
      </c>
      <c r="J109" s="8">
        <f t="shared" si="85"/>
        <v>1.184566045323719</v>
      </c>
      <c r="K109" s="8">
        <f t="shared" si="85"/>
        <v>2.9446261957848757E-2</v>
      </c>
      <c r="L109" s="8">
        <f t="shared" si="63"/>
        <v>1.1256735214080216</v>
      </c>
      <c r="M109" s="8">
        <f t="shared" si="64"/>
        <v>1.2434585692394164</v>
      </c>
      <c r="N109" s="7" t="s">
        <v>51</v>
      </c>
      <c r="O109" s="8">
        <f t="shared" si="86"/>
        <v>1.1875702215772885</v>
      </c>
      <c r="P109" s="8"/>
      <c r="Q109" s="8">
        <f t="shared" si="66"/>
        <v>245.3508753447442</v>
      </c>
      <c r="R109" s="8">
        <f t="shared" si="67"/>
        <v>14.649124655255804</v>
      </c>
      <c r="S109" s="55">
        <f t="shared" si="68"/>
        <v>5.6342787135599245E-2</v>
      </c>
      <c r="T109" s="79">
        <f>IF(R109&gt;0,Q109*GorGeus!$C$32+GorGeus!$C$31,Q109*GorGeus!$C$37+GorGeus!$C$36)</f>
        <v>260.31017636732304</v>
      </c>
    </row>
    <row r="110" spans="2:20" x14ac:dyDescent="0.3">
      <c r="B110" s="82">
        <v>81</v>
      </c>
      <c r="C110" s="53">
        <v>234</v>
      </c>
      <c r="D110" s="7" t="s">
        <v>51</v>
      </c>
      <c r="E110" s="7" t="s">
        <v>51</v>
      </c>
      <c r="F110" s="7" t="s">
        <v>51</v>
      </c>
      <c r="G110" s="8">
        <f t="shared" si="61"/>
        <v>208.1934469258473</v>
      </c>
      <c r="H110" s="7" t="s">
        <v>51</v>
      </c>
      <c r="I110" s="7" t="s">
        <v>51</v>
      </c>
      <c r="J110" s="8">
        <f t="shared" si="85"/>
        <v>1.0537394917670739</v>
      </c>
      <c r="K110" s="8">
        <f t="shared" si="85"/>
        <v>1.7464041599105796E-2</v>
      </c>
      <c r="L110" s="8">
        <f t="shared" si="63"/>
        <v>1.0188114085688624</v>
      </c>
      <c r="M110" s="8">
        <f t="shared" si="64"/>
        <v>1.0886675749652854</v>
      </c>
      <c r="N110" s="7" t="s">
        <v>51</v>
      </c>
      <c r="O110" s="8">
        <f t="shared" si="86"/>
        <v>1.0564118789852557</v>
      </c>
      <c r="P110" s="8"/>
      <c r="Q110" s="8">
        <f t="shared" si="66"/>
        <v>219.93803045935144</v>
      </c>
      <c r="R110" s="8">
        <f t="shared" si="67"/>
        <v>14.061969540648562</v>
      </c>
      <c r="S110" s="55">
        <f t="shared" si="68"/>
        <v>6.0093886925848557E-2</v>
      </c>
      <c r="T110" s="79">
        <f>IF(R110&gt;0,Q110*GorGeus!$C$32+GorGeus!$C$31,Q110*GorGeus!$C$37+GorGeus!$C$36)</f>
        <v>233.53503635446745</v>
      </c>
    </row>
    <row r="111" spans="2:20" x14ac:dyDescent="0.3">
      <c r="B111" s="82">
        <v>82</v>
      </c>
      <c r="C111" s="53">
        <v>206</v>
      </c>
      <c r="D111" s="7" t="s">
        <v>51</v>
      </c>
      <c r="E111" s="7" t="s">
        <v>51</v>
      </c>
      <c r="F111" s="7" t="s">
        <v>51</v>
      </c>
      <c r="G111" s="8">
        <f t="shared" si="61"/>
        <v>209.78784742319976</v>
      </c>
      <c r="H111" s="7" t="s">
        <v>51</v>
      </c>
      <c r="I111" s="7" t="s">
        <v>51</v>
      </c>
      <c r="J111" s="8">
        <f t="shared" si="85"/>
        <v>0.93333633993345888</v>
      </c>
      <c r="K111" s="8">
        <f t="shared" si="85"/>
        <v>3.8912050137017269E-2</v>
      </c>
      <c r="L111" s="8">
        <f t="shared" si="63"/>
        <v>0.85551223965942436</v>
      </c>
      <c r="M111" s="8">
        <f t="shared" si="64"/>
        <v>1.0111604402074934</v>
      </c>
      <c r="N111" s="7" t="s">
        <v>51</v>
      </c>
      <c r="O111" s="8">
        <f t="shared" si="86"/>
        <v>0.93570337289045669</v>
      </c>
      <c r="P111" s="8"/>
      <c r="Q111" s="8">
        <f t="shared" si="66"/>
        <v>196.29919642531652</v>
      </c>
      <c r="R111" s="8">
        <f t="shared" si="67"/>
        <v>9.7008035746834764</v>
      </c>
      <c r="S111" s="55">
        <f t="shared" si="68"/>
        <v>4.7091279488754738E-2</v>
      </c>
      <c r="T111" s="79">
        <f>IF(R111&gt;0,Q111*GorGeus!$C$32+GorGeus!$C$31,Q111*GorGeus!$C$37+GorGeus!$C$36)</f>
        <v>208.62900580746052</v>
      </c>
    </row>
    <row r="112" spans="2:20" x14ac:dyDescent="0.3">
      <c r="B112" s="82">
        <v>83</v>
      </c>
      <c r="C112" s="53">
        <v>178</v>
      </c>
      <c r="D112" s="7" t="s">
        <v>51</v>
      </c>
      <c r="E112" s="7" t="s">
        <v>51</v>
      </c>
      <c r="F112" s="7" t="s">
        <v>51</v>
      </c>
      <c r="G112" s="8">
        <f t="shared" si="61"/>
        <v>211.38224792055223</v>
      </c>
      <c r="H112" s="7" t="s">
        <v>51</v>
      </c>
      <c r="I112" s="7" t="s">
        <v>51</v>
      </c>
      <c r="J112" s="8">
        <f t="shared" si="85"/>
        <v>0.79911462897913144</v>
      </c>
      <c r="K112" s="8">
        <f t="shared" si="85"/>
        <v>2.3919366976353492E-2</v>
      </c>
      <c r="L112" s="8">
        <f t="shared" si="63"/>
        <v>0.75127589502642445</v>
      </c>
      <c r="M112" s="8">
        <f t="shared" si="64"/>
        <v>0.84695336293183843</v>
      </c>
      <c r="N112" s="7" t="s">
        <v>51</v>
      </c>
      <c r="O112" s="8">
        <f t="shared" si="86"/>
        <v>0.8011412624469203</v>
      </c>
      <c r="P112" s="8"/>
      <c r="Q112" s="8">
        <f t="shared" si="66"/>
        <v>169.3470409579391</v>
      </c>
      <c r="R112" s="8">
        <f t="shared" si="67"/>
        <v>8.6529590420608997</v>
      </c>
      <c r="S112" s="55">
        <f t="shared" si="68"/>
        <v>4.8612129449780335E-2</v>
      </c>
      <c r="T112" s="79">
        <f>IF(R112&gt;0,Q112*GorGeus!$C$32+GorGeus!$C$31,Q112*GorGeus!$C$37+GorGeus!$C$36)</f>
        <v>180.23203807158598</v>
      </c>
    </row>
    <row r="113" spans="2:20" ht="15" thickBot="1" x14ac:dyDescent="0.35">
      <c r="B113" s="83">
        <v>84</v>
      </c>
      <c r="C113" s="77">
        <v>209</v>
      </c>
      <c r="D113" s="51" t="s">
        <v>51</v>
      </c>
      <c r="E113" s="51" t="s">
        <v>51</v>
      </c>
      <c r="F113" s="51" t="s">
        <v>51</v>
      </c>
      <c r="G113" s="54">
        <f t="shared" si="61"/>
        <v>212.9766484179047</v>
      </c>
      <c r="H113" s="51" t="s">
        <v>51</v>
      </c>
      <c r="I113" s="51" t="s">
        <v>51</v>
      </c>
      <c r="J113" s="54">
        <f t="shared" si="85"/>
        <v>0.90485876654641384</v>
      </c>
      <c r="K113" s="54">
        <f t="shared" si="85"/>
        <v>1.23776473754979E-2</v>
      </c>
      <c r="L113" s="54">
        <f t="shared" si="63"/>
        <v>0.88010347179541804</v>
      </c>
      <c r="M113" s="54">
        <f t="shared" si="64"/>
        <v>0.92961406129740964</v>
      </c>
      <c r="N113" s="51" t="s">
        <v>51</v>
      </c>
      <c r="O113" s="54">
        <f t="shared" si="86"/>
        <v>0.90715357757026871</v>
      </c>
      <c r="P113" s="54"/>
      <c r="Q113" s="54">
        <f t="shared" si="66"/>
        <v>193.20252855122754</v>
      </c>
      <c r="R113" s="54">
        <f t="shared" si="67"/>
        <v>15.797471448772455</v>
      </c>
      <c r="S113" s="56">
        <f t="shared" si="68"/>
        <v>7.5585987793169648E-2</v>
      </c>
      <c r="T113" s="81">
        <f>IF(R113&gt;0,Q113*GorGeus!$C$32+GorGeus!$C$31,Q113*GorGeus!$C$37+GorGeus!$C$36)</f>
        <v>205.36633622930151</v>
      </c>
    </row>
  </sheetData>
  <mergeCells count="14">
    <mergeCell ref="E12:K12"/>
    <mergeCell ref="M12:S13"/>
    <mergeCell ref="E13:K17"/>
    <mergeCell ref="Q16:T16"/>
    <mergeCell ref="L18:O19"/>
    <mergeCell ref="R19:T20"/>
    <mergeCell ref="L20:O24"/>
    <mergeCell ref="S21:T26"/>
    <mergeCell ref="F25:F26"/>
    <mergeCell ref="V16:Y16"/>
    <mergeCell ref="V17:Y18"/>
    <mergeCell ref="W19:Y20"/>
    <mergeCell ref="X21:Y24"/>
    <mergeCell ref="Q17:T18"/>
  </mergeCells>
  <conditionalFormatting sqref="N36:N107">
    <cfRule type="cellIs" dxfId="35" priority="9" operator="equal">
      <formula>"NOT OK"</formula>
    </cfRule>
    <cfRule type="cellIs" dxfId="34" priority="10" operator="equal">
      <formula>"OK"</formula>
    </cfRule>
  </conditionalFormatting>
  <conditionalFormatting sqref="O27">
    <cfRule type="cellIs" dxfId="33" priority="5" operator="notEqual">
      <formula>$M$26</formula>
    </cfRule>
    <cfRule type="cellIs" dxfId="32" priority="6" operator="equal">
      <formula>$M$26</formula>
    </cfRule>
  </conditionalFormatting>
  <conditionalFormatting sqref="O41">
    <cfRule type="cellIs" dxfId="31" priority="1" operator="equal">
      <formula>1</formula>
    </cfRule>
  </conditionalFormatting>
  <conditionalFormatting sqref="P30:P113">
    <cfRule type="cellIs" dxfId="30" priority="4" operator="equal">
      <formula>1</formula>
    </cfRule>
  </conditionalFormatting>
  <conditionalFormatting sqref="R26">
    <cfRule type="cellIs" dxfId="29" priority="7" operator="equal">
      <formula>"H0 Rejected"</formula>
    </cfRule>
    <cfRule type="cellIs" dxfId="28" priority="8" operator="equal">
      <formula>"H0 Accepted"</formula>
    </cfRule>
  </conditionalFormatting>
  <conditionalFormatting sqref="W24">
    <cfRule type="cellIs" dxfId="27" priority="2" operator="equal">
      <formula>"H0 Rejected"</formula>
    </cfRule>
    <cfRule type="cellIs" dxfId="26" priority="3" operator="equal">
      <formula>"H0 Accepted"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6813-8DCC-454E-A9CD-58028F18BC95}">
  <dimension ref="B2:Y65"/>
  <sheetViews>
    <sheetView zoomScale="70" zoomScaleNormal="70" workbookViewId="0">
      <selection activeCell="X32" sqref="X32"/>
    </sheetView>
  </sheetViews>
  <sheetFormatPr defaultRowHeight="14.4" x14ac:dyDescent="0.3"/>
  <cols>
    <col min="2" max="2" width="4.6640625" customWidth="1"/>
    <col min="3" max="3" width="9.33203125" customWidth="1"/>
    <col min="4" max="4" width="10.5546875" customWidth="1"/>
    <col min="5" max="5" width="10.33203125" customWidth="1"/>
    <col min="6" max="6" width="11.109375" customWidth="1"/>
    <col min="7" max="7" width="10.77734375" customWidth="1"/>
    <col min="8" max="8" width="11.21875" customWidth="1"/>
    <col min="9" max="9" width="10.6640625" customWidth="1"/>
    <col min="10" max="10" width="10.21875" customWidth="1"/>
    <col min="12" max="12" width="11" customWidth="1"/>
    <col min="13" max="13" width="9.77734375" customWidth="1"/>
    <col min="15" max="15" width="9.5546875" customWidth="1"/>
    <col min="16" max="16" width="9.77734375" customWidth="1"/>
    <col min="17" max="17" width="10.6640625" customWidth="1"/>
    <col min="18" max="18" width="9.88671875" customWidth="1"/>
    <col min="20" max="20" width="12.44140625" bestFit="1" customWidth="1"/>
    <col min="21" max="21" width="12.44140625" customWidth="1"/>
    <col min="22" max="22" width="10.44140625" customWidth="1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</row>
    <row r="3" spans="2:25" ht="15.6" x14ac:dyDescent="0.3">
      <c r="B3" s="4">
        <v>1</v>
      </c>
      <c r="C3" s="4">
        <v>125</v>
      </c>
    </row>
    <row r="4" spans="2:25" ht="15.6" x14ac:dyDescent="0.3">
      <c r="B4" s="4">
        <v>2</v>
      </c>
      <c r="C4" s="4">
        <v>111</v>
      </c>
    </row>
    <row r="5" spans="2:25" ht="15.6" x14ac:dyDescent="0.3">
      <c r="B5" s="4">
        <v>3</v>
      </c>
      <c r="C5" s="4">
        <v>126</v>
      </c>
    </row>
    <row r="6" spans="2:25" ht="15.6" x14ac:dyDescent="0.3">
      <c r="B6" s="4">
        <v>4</v>
      </c>
      <c r="C6" s="4">
        <v>107</v>
      </c>
    </row>
    <row r="7" spans="2:25" ht="16.2" thickBot="1" x14ac:dyDescent="0.35">
      <c r="B7" s="4">
        <v>5</v>
      </c>
      <c r="C7" s="4">
        <v>95</v>
      </c>
    </row>
    <row r="8" spans="2:25" ht="15.6" x14ac:dyDescent="0.3">
      <c r="B8" s="4">
        <v>6</v>
      </c>
      <c r="C8" s="4">
        <v>138</v>
      </c>
      <c r="T8" s="119" t="s">
        <v>2</v>
      </c>
      <c r="U8" s="120"/>
    </row>
    <row r="9" spans="2:25" ht="15.6" x14ac:dyDescent="0.3">
      <c r="B9" s="4">
        <v>7</v>
      </c>
      <c r="C9" s="4">
        <v>156</v>
      </c>
      <c r="T9" s="121"/>
      <c r="U9" s="122"/>
    </row>
    <row r="10" spans="2:25" ht="15.6" x14ac:dyDescent="0.3">
      <c r="B10" s="4">
        <v>8</v>
      </c>
      <c r="C10" s="4">
        <v>142</v>
      </c>
      <c r="T10" s="37" t="s">
        <v>3</v>
      </c>
      <c r="U10" s="38">
        <f>AVERAGE(R30:R65)</f>
        <v>1787.1249999999968</v>
      </c>
    </row>
    <row r="11" spans="2:25" ht="15.6" x14ac:dyDescent="0.3">
      <c r="B11" s="4">
        <v>9</v>
      </c>
      <c r="C11" s="4">
        <v>157</v>
      </c>
      <c r="T11" s="37" t="s">
        <v>4</v>
      </c>
      <c r="U11" s="39" cm="1">
        <f t="array" ref="U11">AVERAGE(ABS(R30:R65))</f>
        <v>5816.2033695652208</v>
      </c>
    </row>
    <row r="12" spans="2:25" ht="16.2" thickBot="1" x14ac:dyDescent="0.35">
      <c r="B12" s="4">
        <v>10</v>
      </c>
      <c r="C12" s="4">
        <v>137</v>
      </c>
      <c r="E12" s="124" t="s">
        <v>5</v>
      </c>
      <c r="F12" s="124"/>
      <c r="G12" s="124"/>
      <c r="H12" s="124"/>
      <c r="I12" s="124"/>
      <c r="J12" s="124"/>
      <c r="K12" s="124"/>
      <c r="M12" s="127" t="s">
        <v>6</v>
      </c>
      <c r="N12" s="127"/>
      <c r="O12" s="127"/>
      <c r="P12" s="127"/>
      <c r="Q12" s="127"/>
      <c r="R12" s="127"/>
      <c r="S12" s="127"/>
      <c r="T12" s="40" t="s">
        <v>7</v>
      </c>
      <c r="U12" s="41">
        <f>AVERAGE(S30:S65)</f>
        <v>1.269911001843E-2</v>
      </c>
    </row>
    <row r="13" spans="2:25" ht="15.6" customHeight="1" x14ac:dyDescent="0.3">
      <c r="B13" s="4">
        <v>11</v>
      </c>
      <c r="C13" s="4">
        <v>126</v>
      </c>
      <c r="E13" s="123" t="s">
        <v>8</v>
      </c>
      <c r="F13" s="123"/>
      <c r="G13" s="123"/>
      <c r="H13" s="123"/>
      <c r="I13" s="123"/>
      <c r="J13" s="123"/>
      <c r="K13" s="123"/>
      <c r="M13" s="127"/>
      <c r="N13" s="127"/>
      <c r="O13" s="127"/>
      <c r="P13" s="127"/>
      <c r="Q13" s="127"/>
      <c r="R13" s="127"/>
      <c r="S13" s="127"/>
      <c r="T13" t="s">
        <v>9</v>
      </c>
      <c r="U13" s="104">
        <f>AVERAGE(T30:T65)</f>
        <v>56180152.847926117</v>
      </c>
    </row>
    <row r="14" spans="2:25" ht="15.6" x14ac:dyDescent="0.3">
      <c r="B14" s="4">
        <v>12</v>
      </c>
      <c r="C14" s="4">
        <v>171</v>
      </c>
      <c r="E14" s="123"/>
      <c r="F14" s="123"/>
      <c r="G14" s="123"/>
      <c r="H14" s="123"/>
      <c r="I14" s="123"/>
      <c r="J14" s="123"/>
      <c r="K14" s="123"/>
    </row>
    <row r="15" spans="2:25" ht="16.2" thickBot="1" x14ac:dyDescent="0.35">
      <c r="B15" s="4">
        <v>13</v>
      </c>
      <c r="C15" s="4">
        <v>183</v>
      </c>
      <c r="E15" s="123"/>
      <c r="F15" s="123"/>
      <c r="G15" s="123"/>
      <c r="H15" s="123"/>
      <c r="I15" s="123"/>
      <c r="J15" s="123"/>
      <c r="K15" s="123"/>
    </row>
    <row r="16" spans="2:25" ht="15.75" customHeight="1" x14ac:dyDescent="0.3">
      <c r="B16" s="4">
        <v>14</v>
      </c>
      <c r="C16" s="4">
        <v>172</v>
      </c>
      <c r="E16" s="123"/>
      <c r="F16" s="123"/>
      <c r="G16" s="123"/>
      <c r="H16" s="123"/>
      <c r="I16" s="123"/>
      <c r="J16" s="123"/>
      <c r="K16" s="123"/>
      <c r="Q16" s="128" t="s">
        <v>11</v>
      </c>
      <c r="R16" s="129"/>
      <c r="S16" s="129"/>
      <c r="T16" s="130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3"/>
      <c r="F17" s="123"/>
      <c r="G17" s="123"/>
      <c r="H17" s="123"/>
      <c r="I17" s="123"/>
      <c r="J17" s="123"/>
      <c r="K17" s="123"/>
      <c r="Q17" s="131" t="s">
        <v>12</v>
      </c>
      <c r="R17" s="132"/>
      <c r="S17" s="132"/>
      <c r="T17" s="133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28"/>
      <c r="J18" s="28"/>
      <c r="L18" s="126" t="s">
        <v>14</v>
      </c>
      <c r="M18" s="126"/>
      <c r="N18" s="126"/>
      <c r="O18" s="126"/>
      <c r="Q18" s="131"/>
      <c r="R18" s="132"/>
      <c r="S18" s="132"/>
      <c r="T18" s="133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28"/>
      <c r="J19" s="28"/>
      <c r="L19" s="126"/>
      <c r="M19" s="126"/>
      <c r="N19" s="126"/>
      <c r="O19" s="126"/>
      <c r="Q19" s="32" t="s">
        <v>15</v>
      </c>
      <c r="R19" s="138" t="s">
        <v>16</v>
      </c>
      <c r="S19" s="139"/>
      <c r="T19" s="140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19</v>
      </c>
      <c r="M20" s="125"/>
      <c r="N20" s="125"/>
      <c r="O20" s="125"/>
      <c r="Q20" s="32" t="s">
        <v>20</v>
      </c>
      <c r="R20" s="141"/>
      <c r="S20" s="142"/>
      <c r="T20" s="143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33" t="s">
        <v>22</v>
      </c>
      <c r="R21" s="43">
        <f>COUNT(P36:P59)</f>
        <v>24</v>
      </c>
      <c r="S21" s="134"/>
      <c r="T21" s="135"/>
      <c r="V21" s="98" t="s">
        <v>23</v>
      </c>
      <c r="W21" s="95">
        <f>CORREL(P33:P49,P34:P50)</f>
        <v>0.32359768206516915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33" t="s">
        <v>24</v>
      </c>
      <c r="R22" s="19">
        <f>AVERAGE(P36:P59)</f>
        <v>-1040.875</v>
      </c>
      <c r="S22" s="134"/>
      <c r="T22" s="135"/>
      <c r="V22" s="98" t="s">
        <v>25</v>
      </c>
      <c r="W22" s="95">
        <f>(W21)/(1/SQRT(R21))</f>
        <v>1.5852984060140873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33" t="s">
        <v>26</v>
      </c>
      <c r="R23" s="19">
        <f>_xlfn.STDEV.S(P36:P59)</f>
        <v>4328.3711013849479</v>
      </c>
      <c r="S23" s="134"/>
      <c r="T23" s="135"/>
      <c r="V23" s="99" t="s">
        <v>27</v>
      </c>
      <c r="W23" s="96">
        <v>0.05</v>
      </c>
      <c r="X23" s="113"/>
      <c r="Y23" s="114"/>
    </row>
    <row r="24" spans="2:25" ht="16.2" thickBot="1" x14ac:dyDescent="0.35">
      <c r="B24" s="4">
        <v>22</v>
      </c>
      <c r="C24" s="4">
        <v>196</v>
      </c>
      <c r="L24" s="125"/>
      <c r="M24" s="125"/>
      <c r="N24" s="125"/>
      <c r="O24" s="125"/>
      <c r="Q24" s="33" t="s">
        <v>25</v>
      </c>
      <c r="R24" s="5">
        <f>R22/(R23/SQRT(R21))</f>
        <v>-1.1780933641312046</v>
      </c>
      <c r="S24" s="134"/>
      <c r="T24" s="135"/>
      <c r="V24" s="100" t="s">
        <v>28</v>
      </c>
      <c r="W24" s="101" t="str">
        <f>IF(AND(W22&gt;_xlfn.NORM.INV(W23/2,0,1),W22&lt;_xlfn.NORM.INV(1-W23/2,0,1)),"H0 Accepted","H0 Rejected")</f>
        <v>H0 Accepted</v>
      </c>
      <c r="X24" s="115"/>
      <c r="Y24" s="116"/>
    </row>
    <row r="25" spans="2:25" ht="15.6" x14ac:dyDescent="0.3">
      <c r="B25" s="4">
        <v>23</v>
      </c>
      <c r="C25" s="4">
        <v>185</v>
      </c>
      <c r="F25" s="117" t="s">
        <v>29</v>
      </c>
      <c r="G25" s="13" t="s">
        <v>30</v>
      </c>
      <c r="H25" s="11">
        <f>INTERCEPT(F36:F59,B36:B59)</f>
        <v>390778.96782608697</v>
      </c>
      <c r="Q25" s="34" t="s">
        <v>27</v>
      </c>
      <c r="R25" s="16">
        <v>0.05</v>
      </c>
      <c r="S25" s="134"/>
      <c r="T25" s="135"/>
    </row>
    <row r="26" spans="2:25" ht="16.2" thickBot="1" x14ac:dyDescent="0.35">
      <c r="B26" s="4">
        <v>24</v>
      </c>
      <c r="C26" s="4">
        <v>232</v>
      </c>
      <c r="F26" s="118"/>
      <c r="G26" s="13" t="s">
        <v>31</v>
      </c>
      <c r="H26" s="11">
        <f>SLOPE(F36:F59,B36:B59)</f>
        <v>4222.7517391304345</v>
      </c>
      <c r="J26" s="15" t="s">
        <v>32</v>
      </c>
      <c r="O26" s="18" t="s">
        <v>33</v>
      </c>
      <c r="Q26" s="35" t="s">
        <v>28</v>
      </c>
      <c r="R26" s="36" t="str">
        <f>IF(AND(R24&gt;_xlfn.NORM.INV(R25/2,0,1),R24&lt;_xlfn.NORM.INV(1-R25/2,0,1)),"H0 Accepted","H0 Rejected")</f>
        <v>H0 Accepted</v>
      </c>
      <c r="S26" s="136"/>
      <c r="T26" s="137"/>
    </row>
    <row r="27" spans="2:25" x14ac:dyDescent="0.3">
      <c r="J27" s="12">
        <f>SUM(J30:J41)</f>
        <v>-12490.5</v>
      </c>
      <c r="L27" s="15" t="s">
        <v>27</v>
      </c>
      <c r="M27" s="16">
        <v>0.05</v>
      </c>
      <c r="O27" s="12">
        <f>SUM(O30:O41)</f>
        <v>0</v>
      </c>
    </row>
    <row r="28" spans="2:25" ht="6.6" customHeight="1" x14ac:dyDescent="0.3"/>
    <row r="29" spans="2:25" ht="29.4" customHeight="1" x14ac:dyDescent="0.3">
      <c r="B29" s="9" t="s">
        <v>0</v>
      </c>
      <c r="C29" s="9" t="s">
        <v>34</v>
      </c>
      <c r="D29" s="10" t="s">
        <v>97</v>
      </c>
      <c r="E29" s="10" t="s">
        <v>98</v>
      </c>
      <c r="F29" s="10" t="s">
        <v>37</v>
      </c>
      <c r="G29" s="10" t="s">
        <v>38</v>
      </c>
      <c r="H29" s="10" t="s">
        <v>39</v>
      </c>
      <c r="I29" s="10" t="s">
        <v>40</v>
      </c>
      <c r="J29" s="10" t="s">
        <v>41</v>
      </c>
      <c r="K29" s="10" t="s">
        <v>42</v>
      </c>
      <c r="L29" s="10" t="s">
        <v>43</v>
      </c>
      <c r="M29" s="17" t="s">
        <v>44</v>
      </c>
      <c r="N29" s="10" t="s">
        <v>45</v>
      </c>
      <c r="O29" s="10" t="s">
        <v>46</v>
      </c>
      <c r="P29" s="10" t="s">
        <v>47</v>
      </c>
      <c r="Q29" s="17" t="s">
        <v>48</v>
      </c>
      <c r="R29" s="10" t="s">
        <v>49</v>
      </c>
      <c r="S29" s="10" t="s">
        <v>50</v>
      </c>
      <c r="T29" s="103" t="s">
        <v>99</v>
      </c>
    </row>
    <row r="30" spans="2:25" x14ac:dyDescent="0.3">
      <c r="B30" s="102">
        <v>1</v>
      </c>
      <c r="C30" s="102">
        <v>362124</v>
      </c>
      <c r="D30" s="7" t="s">
        <v>51</v>
      </c>
      <c r="E30" s="7" t="str">
        <f>IF($D30="-","-","")</f>
        <v>-</v>
      </c>
      <c r="F30" s="7" t="str">
        <f>IF($D30="-","-","")</f>
        <v>-</v>
      </c>
      <c r="G30" s="29">
        <f>$H$25+$H$26*B30</f>
        <v>395001.71956521738</v>
      </c>
      <c r="H30" s="7" t="str">
        <f>IF($D30="-","-","")</f>
        <v>-</v>
      </c>
      <c r="I30" s="7" t="str">
        <f>IF($D30="-","-","")</f>
        <v>-</v>
      </c>
      <c r="J30" s="29">
        <f t="shared" ref="J30:J41" si="0">AVERAGE(I30,I42,I54)</f>
        <v>-60147</v>
      </c>
      <c r="K30" s="29">
        <f>_xlfn.STDEV.S(I30,I42,I54)</f>
        <v>5500.5836508501534</v>
      </c>
      <c r="L30" s="29">
        <f t="shared" ref="L30:L65" si="1">J30-K30*_xlfn.NORM.INV(1-$M$27/2,0,1)</f>
        <v>-70927.945849616139</v>
      </c>
      <c r="M30" s="29">
        <f t="shared" ref="M30:M65" si="2">J30+K30*_xlfn.NORM.INV(1-$M$27/2,0,1)</f>
        <v>-49366.054150383861</v>
      </c>
      <c r="N30" s="7" t="str">
        <f>IF($D30="-","-","")</f>
        <v>-</v>
      </c>
      <c r="O30" s="29">
        <f>J30-$J$27/COUNT($J$30:$J$41)</f>
        <v>-59106.125</v>
      </c>
      <c r="P30" s="7" t="str">
        <f>IF($D30="-","-","")</f>
        <v>-</v>
      </c>
      <c r="Q30" s="29">
        <f t="shared" ref="Q30:Q35" si="3">G30+O30</f>
        <v>335895.59456521738</v>
      </c>
      <c r="R30" s="29">
        <f>C30-Q30</f>
        <v>26228.405434782617</v>
      </c>
      <c r="S30" s="31">
        <f>ABS(R30)/C30</f>
        <v>7.2429348606506655E-2</v>
      </c>
      <c r="T30" s="104">
        <f>R30^2</f>
        <v>687929251.65133429</v>
      </c>
    </row>
    <row r="31" spans="2:25" x14ac:dyDescent="0.3">
      <c r="B31" s="102">
        <v>2</v>
      </c>
      <c r="C31" s="102">
        <v>388188</v>
      </c>
      <c r="D31" s="7" t="s">
        <v>51</v>
      </c>
      <c r="E31" s="7" t="str">
        <f t="shared" ref="E31:F35" si="4">IF($D31="-","-","")</f>
        <v>-</v>
      </c>
      <c r="F31" s="7" t="str">
        <f t="shared" si="4"/>
        <v>-</v>
      </c>
      <c r="G31" s="29">
        <f t="shared" ref="G31:G65" si="5">$H$25+$H$26*B31</f>
        <v>399224.47130434786</v>
      </c>
      <c r="H31" s="7" t="str">
        <f t="shared" ref="H31:I35" si="6">IF($D31="-","-","")</f>
        <v>-</v>
      </c>
      <c r="I31" s="7" t="str">
        <f t="shared" si="6"/>
        <v>-</v>
      </c>
      <c r="J31" s="29">
        <f t="shared" si="0"/>
        <v>-16518</v>
      </c>
      <c r="K31" s="29">
        <f t="shared" ref="K31:K41" si="7">_xlfn.STDEV.S(I31,I43,I55)</f>
        <v>6737.3134111454247</v>
      </c>
      <c r="L31" s="29">
        <f t="shared" si="1"/>
        <v>-29722.891638403729</v>
      </c>
      <c r="M31" s="29">
        <f t="shared" si="2"/>
        <v>-3313.1083615962725</v>
      </c>
      <c r="N31" s="7" t="str">
        <f t="shared" ref="N31:N35" si="8">IF($D31="-","-","")</f>
        <v>-</v>
      </c>
      <c r="O31" s="29">
        <f t="shared" ref="O31:O41" si="9">J31-$J$27/COUNT($J$30:$J$41)</f>
        <v>-15477.125</v>
      </c>
      <c r="P31" s="7" t="str">
        <f t="shared" ref="P31:P35" si="10">IF($D31="-","-","")</f>
        <v>-</v>
      </c>
      <c r="Q31" s="29">
        <f t="shared" si="3"/>
        <v>383747.34630434786</v>
      </c>
      <c r="R31" s="29">
        <f t="shared" ref="R31:R65" si="11">C31-Q31</f>
        <v>4440.653695652145</v>
      </c>
      <c r="S31" s="31">
        <f t="shared" ref="S31:S65" si="12">ABS(R31)/C31</f>
        <v>1.1439440929786972E-2</v>
      </c>
      <c r="T31" s="104">
        <f t="shared" ref="T31:T65" si="13">R31^2</f>
        <v>19719405.244709052</v>
      </c>
    </row>
    <row r="32" spans="2:25" x14ac:dyDescent="0.3">
      <c r="B32" s="102">
        <v>3</v>
      </c>
      <c r="C32" s="102">
        <v>463140</v>
      </c>
      <c r="D32" s="7" t="s">
        <v>51</v>
      </c>
      <c r="E32" s="7" t="str">
        <f t="shared" si="4"/>
        <v>-</v>
      </c>
      <c r="F32" s="7" t="str">
        <f t="shared" si="4"/>
        <v>-</v>
      </c>
      <c r="G32" s="29">
        <f t="shared" si="5"/>
        <v>403447.22304347827</v>
      </c>
      <c r="H32" s="7" t="str">
        <f t="shared" si="6"/>
        <v>-</v>
      </c>
      <c r="I32" s="7" t="str">
        <f t="shared" si="6"/>
        <v>-</v>
      </c>
      <c r="J32" s="29">
        <f t="shared" si="0"/>
        <v>45461.25</v>
      </c>
      <c r="K32" s="29">
        <f t="shared" si="7"/>
        <v>3927.6246161006784</v>
      </c>
      <c r="L32" s="29">
        <f t="shared" si="1"/>
        <v>37763.247207649714</v>
      </c>
      <c r="M32" s="29">
        <f t="shared" si="2"/>
        <v>53159.252792350286</v>
      </c>
      <c r="N32" s="7" t="str">
        <f t="shared" si="8"/>
        <v>-</v>
      </c>
      <c r="O32" s="29">
        <f t="shared" si="9"/>
        <v>46502.125</v>
      </c>
      <c r="P32" s="7" t="str">
        <f t="shared" si="10"/>
        <v>-</v>
      </c>
      <c r="Q32" s="29">
        <f t="shared" si="3"/>
        <v>449949.34804347827</v>
      </c>
      <c r="R32" s="29">
        <f t="shared" si="11"/>
        <v>13190.651956521731</v>
      </c>
      <c r="S32" s="31">
        <f t="shared" si="12"/>
        <v>2.8480917123378961E-2</v>
      </c>
      <c r="T32" s="104">
        <f t="shared" si="13"/>
        <v>173993299.03809059</v>
      </c>
    </row>
    <row r="33" spans="2:20" x14ac:dyDescent="0.3">
      <c r="B33" s="102">
        <v>4</v>
      </c>
      <c r="C33" s="102">
        <v>435708</v>
      </c>
      <c r="D33" s="7" t="s">
        <v>51</v>
      </c>
      <c r="E33" s="7" t="str">
        <f t="shared" si="4"/>
        <v>-</v>
      </c>
      <c r="F33" s="7" t="str">
        <f t="shared" si="4"/>
        <v>-</v>
      </c>
      <c r="G33" s="29">
        <f t="shared" si="5"/>
        <v>407669.97478260868</v>
      </c>
      <c r="H33" s="7" t="str">
        <f t="shared" si="6"/>
        <v>-</v>
      </c>
      <c r="I33" s="7" t="str">
        <f t="shared" si="6"/>
        <v>-</v>
      </c>
      <c r="J33" s="29">
        <f t="shared" si="0"/>
        <v>35477.25</v>
      </c>
      <c r="K33" s="29">
        <f t="shared" si="7"/>
        <v>7207.1858672438857</v>
      </c>
      <c r="L33" s="29">
        <f t="shared" si="1"/>
        <v>21351.425270315915</v>
      </c>
      <c r="M33" s="29">
        <f t="shared" si="2"/>
        <v>49603.074729684085</v>
      </c>
      <c r="N33" s="7" t="str">
        <f t="shared" si="8"/>
        <v>-</v>
      </c>
      <c r="O33" s="29">
        <f t="shared" si="9"/>
        <v>36518.125</v>
      </c>
      <c r="P33" s="7" t="str">
        <f t="shared" si="10"/>
        <v>-</v>
      </c>
      <c r="Q33" s="29">
        <f t="shared" si="3"/>
        <v>444188.09978260868</v>
      </c>
      <c r="R33" s="29">
        <f t="shared" si="11"/>
        <v>-8480.0997826086823</v>
      </c>
      <c r="S33" s="31">
        <f t="shared" si="12"/>
        <v>1.9462804866122913E-2</v>
      </c>
      <c r="T33" s="104">
        <f t="shared" si="13"/>
        <v>71912092.32299982</v>
      </c>
    </row>
    <row r="34" spans="2:20" x14ac:dyDescent="0.3">
      <c r="B34" s="102">
        <v>5</v>
      </c>
      <c r="C34" s="102">
        <v>428112</v>
      </c>
      <c r="D34" s="7" t="s">
        <v>51</v>
      </c>
      <c r="E34" s="7" t="str">
        <f t="shared" si="4"/>
        <v>-</v>
      </c>
      <c r="F34" s="7" t="str">
        <f t="shared" si="4"/>
        <v>-</v>
      </c>
      <c r="G34" s="29">
        <f t="shared" si="5"/>
        <v>411892.72652173915</v>
      </c>
      <c r="H34" s="7" t="str">
        <f t="shared" si="6"/>
        <v>-</v>
      </c>
      <c r="I34" s="7" t="str">
        <f t="shared" si="6"/>
        <v>-</v>
      </c>
      <c r="J34" s="29">
        <f t="shared" si="0"/>
        <v>9984.75</v>
      </c>
      <c r="K34" s="29">
        <f t="shared" si="7"/>
        <v>7461.744308471043</v>
      </c>
      <c r="L34" s="29">
        <f t="shared" si="1"/>
        <v>-4640.000106449972</v>
      </c>
      <c r="M34" s="29">
        <f t="shared" si="2"/>
        <v>24609.500106449974</v>
      </c>
      <c r="N34" s="7" t="str">
        <f t="shared" si="8"/>
        <v>-</v>
      </c>
      <c r="O34" s="29">
        <f t="shared" si="9"/>
        <v>11025.625</v>
      </c>
      <c r="P34" s="7" t="str">
        <f t="shared" si="10"/>
        <v>-</v>
      </c>
      <c r="Q34" s="29">
        <f t="shared" si="3"/>
        <v>422918.35152173915</v>
      </c>
      <c r="R34" s="29">
        <f t="shared" si="11"/>
        <v>5193.6484782608459</v>
      </c>
      <c r="S34" s="31">
        <f t="shared" si="12"/>
        <v>1.2131518103348764E-2</v>
      </c>
      <c r="T34" s="104">
        <f t="shared" si="13"/>
        <v>26973984.515741199</v>
      </c>
    </row>
    <row r="35" spans="2:20" s="14" customFormat="1" ht="15" thickBot="1" x14ac:dyDescent="0.35">
      <c r="B35" s="102">
        <v>6</v>
      </c>
      <c r="C35" s="102">
        <v>404496</v>
      </c>
      <c r="D35" s="7" t="s">
        <v>51</v>
      </c>
      <c r="E35" s="7" t="str">
        <f t="shared" si="4"/>
        <v>-</v>
      </c>
      <c r="F35" s="7" t="str">
        <f t="shared" si="4"/>
        <v>-</v>
      </c>
      <c r="G35" s="29">
        <f t="shared" si="5"/>
        <v>416115.47826086957</v>
      </c>
      <c r="H35" s="7" t="str">
        <f t="shared" si="6"/>
        <v>-</v>
      </c>
      <c r="I35" s="7" t="str">
        <f t="shared" si="6"/>
        <v>-</v>
      </c>
      <c r="J35" s="29">
        <f t="shared" si="0"/>
        <v>-26300.25</v>
      </c>
      <c r="K35" s="29">
        <f t="shared" si="7"/>
        <v>6732.0101102865256</v>
      </c>
      <c r="L35" s="29">
        <f t="shared" si="1"/>
        <v>-39494.747359721106</v>
      </c>
      <c r="M35" s="29">
        <f t="shared" si="2"/>
        <v>-13105.752640278895</v>
      </c>
      <c r="N35" s="7" t="str">
        <f t="shared" si="8"/>
        <v>-</v>
      </c>
      <c r="O35" s="29">
        <f t="shared" si="9"/>
        <v>-25259.375</v>
      </c>
      <c r="P35" s="7" t="str">
        <f t="shared" si="10"/>
        <v>-</v>
      </c>
      <c r="Q35" s="29">
        <f t="shared" si="3"/>
        <v>390856.10326086957</v>
      </c>
      <c r="R35" s="29">
        <f t="shared" si="11"/>
        <v>13639.896739130432</v>
      </c>
      <c r="S35" s="31">
        <f t="shared" si="12"/>
        <v>3.3720720944410899E-2</v>
      </c>
      <c r="T35" s="104">
        <f t="shared" si="13"/>
        <v>186046783.05414099</v>
      </c>
    </row>
    <row r="36" spans="2:20" x14ac:dyDescent="0.3">
      <c r="B36" s="102">
        <v>7</v>
      </c>
      <c r="C36" s="102">
        <v>418356</v>
      </c>
      <c r="D36" s="7">
        <f>SUM(C31:C42)/12</f>
        <v>423981</v>
      </c>
      <c r="E36" s="7">
        <f>SUM(C30:C41)/12</f>
        <v>421791</v>
      </c>
      <c r="F36" s="8">
        <f t="shared" ref="F36:F59" si="14">AVERAGE(D36:E36)</f>
        <v>422886</v>
      </c>
      <c r="G36" s="29">
        <f t="shared" si="5"/>
        <v>420338.23</v>
      </c>
      <c r="H36" s="29">
        <f t="shared" ref="H36:H59" si="15">F36-G36</f>
        <v>2547.7700000000186</v>
      </c>
      <c r="I36" s="29">
        <f>C36-F36</f>
        <v>-4530</v>
      </c>
      <c r="J36" s="29">
        <f t="shared" si="0"/>
        <v>-159</v>
      </c>
      <c r="K36" s="29">
        <f t="shared" si="7"/>
        <v>6181.5274811327981</v>
      </c>
      <c r="L36" s="29">
        <f t="shared" si="1"/>
        <v>-12274.571232464879</v>
      </c>
      <c r="M36" s="29">
        <f t="shared" si="2"/>
        <v>11956.571232464879</v>
      </c>
      <c r="N36" s="30" t="str">
        <f t="shared" ref="N36:N59" si="16">IF(AND(I36&gt;L36,I36&lt;M36),"OK","NOT OK")</f>
        <v>OK</v>
      </c>
      <c r="O36" s="29">
        <f t="shared" si="9"/>
        <v>881.875</v>
      </c>
      <c r="P36" s="29">
        <f t="shared" ref="P36:P59" si="17">IF(D36="-",0,I36-O36)</f>
        <v>-5411.875</v>
      </c>
      <c r="Q36" s="29">
        <f>G36+O36</f>
        <v>421220.10499999998</v>
      </c>
      <c r="R36" s="29">
        <f t="shared" si="11"/>
        <v>-2864.1049999999814</v>
      </c>
      <c r="S36" s="31">
        <f t="shared" si="12"/>
        <v>6.8460951916549098E-3</v>
      </c>
      <c r="T36" s="104">
        <f t="shared" si="13"/>
        <v>8203097.4510248937</v>
      </c>
    </row>
    <row r="37" spans="2:20" x14ac:dyDescent="0.3">
      <c r="B37" s="102">
        <v>8</v>
      </c>
      <c r="C37" s="102">
        <v>439416</v>
      </c>
      <c r="D37" s="7">
        <f t="shared" ref="D37:D59" si="18">SUM(C32:C43)/12</f>
        <v>428124</v>
      </c>
      <c r="E37" s="7">
        <f t="shared" ref="E37:E59" si="19">SUM(C31:C42)/12</f>
        <v>423981</v>
      </c>
      <c r="F37" s="8">
        <f t="shared" si="14"/>
        <v>426052.5</v>
      </c>
      <c r="G37" s="29">
        <f t="shared" si="5"/>
        <v>424560.98173913045</v>
      </c>
      <c r="H37" s="29">
        <f t="shared" si="15"/>
        <v>1491.5182608695468</v>
      </c>
      <c r="I37" s="29">
        <f t="shared" ref="I37:I59" si="20">C37-F37</f>
        <v>13363.5</v>
      </c>
      <c r="J37" s="29">
        <f t="shared" si="0"/>
        <v>21609</v>
      </c>
      <c r="K37" s="29">
        <f t="shared" si="7"/>
        <v>11660.897928547356</v>
      </c>
      <c r="L37" s="29">
        <f t="shared" si="1"/>
        <v>-1245.9399673505322</v>
      </c>
      <c r="M37" s="29">
        <f t="shared" si="2"/>
        <v>44463.939967350532</v>
      </c>
      <c r="N37" s="30" t="str">
        <f t="shared" si="16"/>
        <v>OK</v>
      </c>
      <c r="O37" s="29">
        <f t="shared" si="9"/>
        <v>22649.875</v>
      </c>
      <c r="P37" s="29">
        <f t="shared" si="17"/>
        <v>-9286.375</v>
      </c>
      <c r="Q37" s="29">
        <f t="shared" ref="Q37:Q65" si="21">G37+O37</f>
        <v>447210.85673913045</v>
      </c>
      <c r="R37" s="29">
        <f t="shared" si="11"/>
        <v>-7794.8567391304532</v>
      </c>
      <c r="S37" s="31">
        <f t="shared" si="12"/>
        <v>1.7739128159034841E-2</v>
      </c>
      <c r="T37" s="104">
        <f t="shared" si="13"/>
        <v>60759791.583567441</v>
      </c>
    </row>
    <row r="38" spans="2:20" x14ac:dyDescent="0.3">
      <c r="B38" s="102">
        <v>9</v>
      </c>
      <c r="C38" s="102">
        <v>457488</v>
      </c>
      <c r="D38" s="7">
        <f t="shared" si="18"/>
        <v>431403</v>
      </c>
      <c r="E38" s="7">
        <f t="shared" si="19"/>
        <v>428124</v>
      </c>
      <c r="F38" s="8">
        <f t="shared" si="14"/>
        <v>429763.5</v>
      </c>
      <c r="G38" s="29">
        <f t="shared" si="5"/>
        <v>428783.73347826087</v>
      </c>
      <c r="H38" s="29">
        <f t="shared" si="15"/>
        <v>979.76652173913317</v>
      </c>
      <c r="I38" s="29">
        <f t="shared" si="20"/>
        <v>27724.5</v>
      </c>
      <c r="J38" s="29">
        <f t="shared" si="0"/>
        <v>27112.5</v>
      </c>
      <c r="K38" s="29">
        <f t="shared" si="7"/>
        <v>865.49870017233422</v>
      </c>
      <c r="L38" s="29">
        <f t="shared" si="1"/>
        <v>25416.153718995996</v>
      </c>
      <c r="M38" s="29">
        <f t="shared" si="2"/>
        <v>28808.846281004004</v>
      </c>
      <c r="N38" s="30" t="str">
        <f t="shared" si="16"/>
        <v>OK</v>
      </c>
      <c r="O38" s="29">
        <f t="shared" si="9"/>
        <v>28153.375</v>
      </c>
      <c r="P38" s="29">
        <f t="shared" si="17"/>
        <v>-428.875</v>
      </c>
      <c r="Q38" s="29">
        <f t="shared" si="21"/>
        <v>456937.10847826087</v>
      </c>
      <c r="R38" s="29">
        <f t="shared" si="11"/>
        <v>550.89152173913317</v>
      </c>
      <c r="S38" s="31">
        <f t="shared" si="12"/>
        <v>1.2041660584302389E-3</v>
      </c>
      <c r="T38" s="104">
        <f t="shared" si="13"/>
        <v>303481.46872405784</v>
      </c>
    </row>
    <row r="39" spans="2:20" x14ac:dyDescent="0.3">
      <c r="B39" s="102">
        <v>10</v>
      </c>
      <c r="C39" s="102">
        <v>435672</v>
      </c>
      <c r="D39" s="7">
        <f t="shared" si="18"/>
        <v>435795</v>
      </c>
      <c r="E39" s="7">
        <f t="shared" si="19"/>
        <v>431403</v>
      </c>
      <c r="F39" s="8">
        <f t="shared" si="14"/>
        <v>433599</v>
      </c>
      <c r="G39" s="29">
        <f t="shared" si="5"/>
        <v>433006.48521739134</v>
      </c>
      <c r="H39" s="29">
        <f t="shared" si="15"/>
        <v>592.51478260866133</v>
      </c>
      <c r="I39" s="29">
        <f t="shared" si="20"/>
        <v>2073</v>
      </c>
      <c r="J39" s="29">
        <f t="shared" si="0"/>
        <v>316.5</v>
      </c>
      <c r="K39" s="29">
        <f t="shared" si="7"/>
        <v>2484.0661223083416</v>
      </c>
      <c r="L39" s="29">
        <f t="shared" si="1"/>
        <v>-4552.1801349404177</v>
      </c>
      <c r="M39" s="29">
        <f t="shared" si="2"/>
        <v>5185.1801349404177</v>
      </c>
      <c r="N39" s="30" t="str">
        <f t="shared" si="16"/>
        <v>OK</v>
      </c>
      <c r="O39" s="29">
        <f t="shared" si="9"/>
        <v>1357.375</v>
      </c>
      <c r="P39" s="29">
        <f t="shared" si="17"/>
        <v>715.625</v>
      </c>
      <c r="Q39" s="29">
        <f t="shared" si="21"/>
        <v>434363.86021739134</v>
      </c>
      <c r="R39" s="29">
        <f t="shared" si="11"/>
        <v>1308.1397826086613</v>
      </c>
      <c r="S39" s="31">
        <f t="shared" si="12"/>
        <v>3.0025794235311459E-3</v>
      </c>
      <c r="T39" s="104">
        <f t="shared" si="13"/>
        <v>1711229.6908434357</v>
      </c>
    </row>
    <row r="40" spans="2:20" x14ac:dyDescent="0.3">
      <c r="B40" s="102">
        <v>11</v>
      </c>
      <c r="C40" s="102">
        <v>418140</v>
      </c>
      <c r="D40" s="7">
        <f t="shared" si="18"/>
        <v>438999</v>
      </c>
      <c r="E40" s="7">
        <f t="shared" si="19"/>
        <v>435795</v>
      </c>
      <c r="F40" s="8">
        <f t="shared" si="14"/>
        <v>437397</v>
      </c>
      <c r="G40" s="29">
        <f t="shared" si="5"/>
        <v>437229.23695652175</v>
      </c>
      <c r="H40" s="29">
        <f t="shared" si="15"/>
        <v>167.76304347824771</v>
      </c>
      <c r="I40" s="29">
        <f t="shared" si="20"/>
        <v>-19257</v>
      </c>
      <c r="J40" s="29">
        <f t="shared" si="0"/>
        <v>-20487</v>
      </c>
      <c r="K40" s="29">
        <f t="shared" si="7"/>
        <v>1739.4826817189069</v>
      </c>
      <c r="L40" s="29">
        <f t="shared" si="1"/>
        <v>-23896.323407900207</v>
      </c>
      <c r="M40" s="29">
        <f t="shared" si="2"/>
        <v>-17077.676592099793</v>
      </c>
      <c r="N40" s="30" t="str">
        <f t="shared" si="16"/>
        <v>OK</v>
      </c>
      <c r="O40" s="29">
        <f t="shared" si="9"/>
        <v>-19446.125</v>
      </c>
      <c r="P40" s="29">
        <f t="shared" si="17"/>
        <v>189.125</v>
      </c>
      <c r="Q40" s="29">
        <f t="shared" si="21"/>
        <v>417783.11195652175</v>
      </c>
      <c r="R40" s="29">
        <f t="shared" si="11"/>
        <v>356.88804347824771</v>
      </c>
      <c r="S40" s="31">
        <f t="shared" si="12"/>
        <v>8.5351328138481776E-4</v>
      </c>
      <c r="T40" s="104">
        <f t="shared" si="13"/>
        <v>127369.07557773162</v>
      </c>
    </row>
    <row r="41" spans="2:20" s="14" customFormat="1" ht="15" thickBot="1" x14ac:dyDescent="0.35">
      <c r="B41" s="102">
        <v>12</v>
      </c>
      <c r="C41" s="102">
        <v>410652</v>
      </c>
      <c r="D41" s="7">
        <f t="shared" si="18"/>
        <v>442332</v>
      </c>
      <c r="E41" s="7">
        <f t="shared" si="19"/>
        <v>438999</v>
      </c>
      <c r="F41" s="8">
        <f t="shared" si="14"/>
        <v>440665.5</v>
      </c>
      <c r="G41" s="29">
        <f t="shared" si="5"/>
        <v>441451.98869565217</v>
      </c>
      <c r="H41" s="29">
        <f t="shared" si="15"/>
        <v>-786.48869565216592</v>
      </c>
      <c r="I41" s="29">
        <f t="shared" si="20"/>
        <v>-30013.5</v>
      </c>
      <c r="J41" s="29">
        <f t="shared" si="0"/>
        <v>-28840.5</v>
      </c>
      <c r="K41" s="29">
        <f t="shared" si="7"/>
        <v>1658.8725086636405</v>
      </c>
      <c r="L41" s="29">
        <f t="shared" si="1"/>
        <v>-32091.830371924345</v>
      </c>
      <c r="M41" s="29">
        <f t="shared" si="2"/>
        <v>-25589.169628075655</v>
      </c>
      <c r="N41" s="30" t="str">
        <f t="shared" si="16"/>
        <v>OK</v>
      </c>
      <c r="O41" s="29">
        <f t="shared" si="9"/>
        <v>-27799.625</v>
      </c>
      <c r="P41" s="29">
        <f t="shared" si="17"/>
        <v>-2213.875</v>
      </c>
      <c r="Q41" s="29">
        <f t="shared" si="21"/>
        <v>413652.36369565217</v>
      </c>
      <c r="R41" s="29">
        <f t="shared" si="11"/>
        <v>-3000.3636956521659</v>
      </c>
      <c r="S41" s="31">
        <f t="shared" si="12"/>
        <v>7.3063413684875903E-3</v>
      </c>
      <c r="T41" s="104">
        <f t="shared" si="13"/>
        <v>9002182.3061875235</v>
      </c>
    </row>
    <row r="42" spans="2:20" x14ac:dyDescent="0.3">
      <c r="B42" s="102">
        <v>13</v>
      </c>
      <c r="C42" s="102">
        <v>388404</v>
      </c>
      <c r="D42" s="7">
        <f t="shared" si="18"/>
        <v>446991</v>
      </c>
      <c r="E42" s="7">
        <f t="shared" si="19"/>
        <v>442332</v>
      </c>
      <c r="F42" s="8">
        <f t="shared" si="14"/>
        <v>444661.5</v>
      </c>
      <c r="G42" s="29">
        <f t="shared" si="5"/>
        <v>445674.74043478264</v>
      </c>
      <c r="H42" s="29">
        <f t="shared" si="15"/>
        <v>-1013.2404347826377</v>
      </c>
      <c r="I42" s="29">
        <f t="shared" si="20"/>
        <v>-56257.5</v>
      </c>
      <c r="J42" s="29">
        <f>J30</f>
        <v>-60147</v>
      </c>
      <c r="K42" s="29">
        <f>K30</f>
        <v>5500.5836508501534</v>
      </c>
      <c r="L42" s="29">
        <f t="shared" si="1"/>
        <v>-70927.945849616139</v>
      </c>
      <c r="M42" s="29">
        <f t="shared" si="2"/>
        <v>-49366.054150383861</v>
      </c>
      <c r="N42" s="30" t="str">
        <f t="shared" si="16"/>
        <v>OK</v>
      </c>
      <c r="O42" s="29">
        <f>O30</f>
        <v>-59106.125</v>
      </c>
      <c r="P42" s="29">
        <f t="shared" si="17"/>
        <v>2848.625</v>
      </c>
      <c r="Q42" s="29">
        <f t="shared" si="21"/>
        <v>386568.61543478264</v>
      </c>
      <c r="R42" s="29">
        <f t="shared" si="11"/>
        <v>1835.3845652173623</v>
      </c>
      <c r="S42" s="31">
        <f t="shared" si="12"/>
        <v>4.7254522744805978E-3</v>
      </c>
      <c r="T42" s="104">
        <f t="shared" si="13"/>
        <v>3368636.502238126</v>
      </c>
    </row>
    <row r="43" spans="2:20" x14ac:dyDescent="0.3">
      <c r="B43" s="102">
        <v>14</v>
      </c>
      <c r="C43" s="102">
        <v>437904</v>
      </c>
      <c r="D43" s="7">
        <f t="shared" si="18"/>
        <v>452325</v>
      </c>
      <c r="E43" s="7">
        <f t="shared" si="19"/>
        <v>446991</v>
      </c>
      <c r="F43" s="8">
        <f t="shared" si="14"/>
        <v>449658</v>
      </c>
      <c r="G43" s="29">
        <f t="shared" si="5"/>
        <v>449897.49217391305</v>
      </c>
      <c r="H43" s="29">
        <f t="shared" si="15"/>
        <v>-239.49217391305137</v>
      </c>
      <c r="I43" s="29">
        <f t="shared" si="20"/>
        <v>-11754</v>
      </c>
      <c r="J43" s="29">
        <f t="shared" ref="J43:K65" si="22">J31</f>
        <v>-16518</v>
      </c>
      <c r="K43" s="29">
        <f t="shared" si="22"/>
        <v>6737.3134111454247</v>
      </c>
      <c r="L43" s="29">
        <f t="shared" si="1"/>
        <v>-29722.891638403729</v>
      </c>
      <c r="M43" s="29">
        <f t="shared" si="2"/>
        <v>-3313.1083615962725</v>
      </c>
      <c r="N43" s="30" t="str">
        <f t="shared" si="16"/>
        <v>OK</v>
      </c>
      <c r="O43" s="29">
        <f t="shared" ref="O43:O65" si="23">O31</f>
        <v>-15477.125</v>
      </c>
      <c r="P43" s="29">
        <f t="shared" si="17"/>
        <v>3723.125</v>
      </c>
      <c r="Q43" s="29">
        <f t="shared" si="21"/>
        <v>434420.36717391305</v>
      </c>
      <c r="R43" s="29">
        <f t="shared" si="11"/>
        <v>3483.6328260869486</v>
      </c>
      <c r="S43" s="31">
        <f t="shared" si="12"/>
        <v>7.955243217890106E-3</v>
      </c>
      <c r="T43" s="104">
        <f t="shared" si="13"/>
        <v>12135697.666990541</v>
      </c>
    </row>
    <row r="44" spans="2:20" x14ac:dyDescent="0.3">
      <c r="B44" s="102">
        <v>15</v>
      </c>
      <c r="C44" s="102">
        <v>502488</v>
      </c>
      <c r="D44" s="7">
        <f t="shared" si="18"/>
        <v>456174</v>
      </c>
      <c r="E44" s="7">
        <f t="shared" si="19"/>
        <v>452325</v>
      </c>
      <c r="F44" s="8">
        <f t="shared" si="14"/>
        <v>454249.5</v>
      </c>
      <c r="G44" s="29">
        <f t="shared" si="5"/>
        <v>454120.24391304346</v>
      </c>
      <c r="H44" s="29">
        <f t="shared" si="15"/>
        <v>129.256086956535</v>
      </c>
      <c r="I44" s="29">
        <f t="shared" si="20"/>
        <v>48238.5</v>
      </c>
      <c r="J44" s="29">
        <f t="shared" si="22"/>
        <v>45461.25</v>
      </c>
      <c r="K44" s="29">
        <f t="shared" si="22"/>
        <v>3927.6246161006784</v>
      </c>
      <c r="L44" s="29">
        <f t="shared" si="1"/>
        <v>37763.247207649714</v>
      </c>
      <c r="M44" s="29">
        <f t="shared" si="2"/>
        <v>53159.252792350286</v>
      </c>
      <c r="N44" s="30" t="str">
        <f t="shared" si="16"/>
        <v>OK</v>
      </c>
      <c r="O44" s="29">
        <f t="shared" si="23"/>
        <v>46502.125</v>
      </c>
      <c r="P44" s="29">
        <f t="shared" si="17"/>
        <v>1736.375</v>
      </c>
      <c r="Q44" s="29">
        <f t="shared" si="21"/>
        <v>500622.36891304346</v>
      </c>
      <c r="R44" s="29">
        <f t="shared" si="11"/>
        <v>1865.631086956535</v>
      </c>
      <c r="S44" s="31">
        <f t="shared" si="12"/>
        <v>3.7127873440888836E-3</v>
      </c>
      <c r="T44" s="104">
        <f t="shared" si="13"/>
        <v>3480579.3526186221</v>
      </c>
    </row>
    <row r="45" spans="2:20" x14ac:dyDescent="0.3">
      <c r="B45" s="102">
        <v>16</v>
      </c>
      <c r="C45" s="102">
        <v>488412</v>
      </c>
      <c r="D45" s="7">
        <f t="shared" si="18"/>
        <v>459888</v>
      </c>
      <c r="E45" s="7">
        <f t="shared" si="19"/>
        <v>456174</v>
      </c>
      <c r="F45" s="8">
        <f t="shared" si="14"/>
        <v>458031</v>
      </c>
      <c r="G45" s="29">
        <f t="shared" si="5"/>
        <v>458342.99565217394</v>
      </c>
      <c r="H45" s="29">
        <f t="shared" si="15"/>
        <v>-311.99565217393683</v>
      </c>
      <c r="I45" s="29">
        <f t="shared" si="20"/>
        <v>30381</v>
      </c>
      <c r="J45" s="29">
        <f t="shared" si="22"/>
        <v>35477.25</v>
      </c>
      <c r="K45" s="29">
        <f t="shared" si="22"/>
        <v>7207.1858672438857</v>
      </c>
      <c r="L45" s="29">
        <f t="shared" si="1"/>
        <v>21351.425270315915</v>
      </c>
      <c r="M45" s="29">
        <f t="shared" si="2"/>
        <v>49603.074729684085</v>
      </c>
      <c r="N45" s="30" t="str">
        <f t="shared" si="16"/>
        <v>OK</v>
      </c>
      <c r="O45" s="29">
        <f t="shared" si="23"/>
        <v>36518.125</v>
      </c>
      <c r="P45" s="29">
        <f t="shared" si="17"/>
        <v>-6137.125</v>
      </c>
      <c r="Q45" s="29">
        <f t="shared" si="21"/>
        <v>494861.12065217394</v>
      </c>
      <c r="R45" s="29">
        <f t="shared" si="11"/>
        <v>-6449.1206521739368</v>
      </c>
      <c r="S45" s="31">
        <f t="shared" si="12"/>
        <v>1.32042633108399E-2</v>
      </c>
      <c r="T45" s="104">
        <f t="shared" si="13"/>
        <v>41591157.186296381</v>
      </c>
    </row>
    <row r="46" spans="2:20" x14ac:dyDescent="0.3">
      <c r="B46" s="102">
        <v>17</v>
      </c>
      <c r="C46" s="102">
        <v>466560</v>
      </c>
      <c r="D46" s="7">
        <f t="shared" si="18"/>
        <v>463815</v>
      </c>
      <c r="E46" s="7">
        <f t="shared" si="19"/>
        <v>459888</v>
      </c>
      <c r="F46" s="8">
        <f t="shared" si="14"/>
        <v>461851.5</v>
      </c>
      <c r="G46" s="29">
        <f t="shared" si="5"/>
        <v>462565.74739130435</v>
      </c>
      <c r="H46" s="29">
        <f t="shared" si="15"/>
        <v>-714.24739130435046</v>
      </c>
      <c r="I46" s="29">
        <f t="shared" si="20"/>
        <v>4708.5</v>
      </c>
      <c r="J46" s="29">
        <f t="shared" si="22"/>
        <v>9984.75</v>
      </c>
      <c r="K46" s="29">
        <f t="shared" si="22"/>
        <v>7461.744308471043</v>
      </c>
      <c r="L46" s="29">
        <f t="shared" si="1"/>
        <v>-4640.000106449972</v>
      </c>
      <c r="M46" s="29">
        <f t="shared" si="2"/>
        <v>24609.500106449974</v>
      </c>
      <c r="N46" s="30" t="str">
        <f t="shared" si="16"/>
        <v>OK</v>
      </c>
      <c r="O46" s="29">
        <f t="shared" si="23"/>
        <v>11025.625</v>
      </c>
      <c r="P46" s="29">
        <f t="shared" si="17"/>
        <v>-6317.125</v>
      </c>
      <c r="Q46" s="29">
        <f t="shared" si="21"/>
        <v>473591.37239130435</v>
      </c>
      <c r="R46" s="29">
        <f t="shared" si="11"/>
        <v>-7031.3723913043505</v>
      </c>
      <c r="S46" s="31">
        <f t="shared" si="12"/>
        <v>1.5070671277658501E-2</v>
      </c>
      <c r="T46" s="104">
        <f t="shared" si="13"/>
        <v>49440197.705197059</v>
      </c>
    </row>
    <row r="47" spans="2:20" s="14" customFormat="1" ht="15" thickBot="1" x14ac:dyDescent="0.35">
      <c r="B47" s="102">
        <v>18</v>
      </c>
      <c r="C47" s="102">
        <v>444492</v>
      </c>
      <c r="D47" s="7">
        <f t="shared" si="18"/>
        <v>468249</v>
      </c>
      <c r="E47" s="7">
        <f t="shared" si="19"/>
        <v>463815</v>
      </c>
      <c r="F47" s="8">
        <f t="shared" si="14"/>
        <v>466032</v>
      </c>
      <c r="G47" s="29">
        <f t="shared" si="5"/>
        <v>466788.49913043482</v>
      </c>
      <c r="H47" s="29">
        <f t="shared" si="15"/>
        <v>-756.49913043482229</v>
      </c>
      <c r="I47" s="29">
        <f t="shared" si="20"/>
        <v>-21540</v>
      </c>
      <c r="J47" s="29">
        <f t="shared" si="22"/>
        <v>-26300.25</v>
      </c>
      <c r="K47" s="29">
        <f t="shared" si="22"/>
        <v>6732.0101102865256</v>
      </c>
      <c r="L47" s="29">
        <f t="shared" si="1"/>
        <v>-39494.747359721106</v>
      </c>
      <c r="M47" s="29">
        <f t="shared" si="2"/>
        <v>-13105.752640278895</v>
      </c>
      <c r="N47" s="30" t="str">
        <f t="shared" si="16"/>
        <v>OK</v>
      </c>
      <c r="O47" s="29">
        <f t="shared" si="23"/>
        <v>-25259.375</v>
      </c>
      <c r="P47" s="29">
        <f t="shared" si="17"/>
        <v>3719.375</v>
      </c>
      <c r="Q47" s="29">
        <f t="shared" si="21"/>
        <v>441529.12413043482</v>
      </c>
      <c r="R47" s="29">
        <f t="shared" si="11"/>
        <v>2962.8758695651777</v>
      </c>
      <c r="S47" s="31">
        <f t="shared" si="12"/>
        <v>6.6657574704723091E-3</v>
      </c>
      <c r="T47" s="104">
        <f t="shared" si="13"/>
        <v>8778633.4184516072</v>
      </c>
    </row>
    <row r="48" spans="2:20" x14ac:dyDescent="0.3">
      <c r="B48" s="102">
        <v>19</v>
      </c>
      <c r="C48" s="102">
        <v>474264</v>
      </c>
      <c r="D48" s="7">
        <f t="shared" si="18"/>
        <v>471855</v>
      </c>
      <c r="E48" s="7">
        <f t="shared" si="19"/>
        <v>468249</v>
      </c>
      <c r="F48" s="8">
        <f t="shared" si="14"/>
        <v>470052</v>
      </c>
      <c r="G48" s="29">
        <f t="shared" si="5"/>
        <v>471011.25086956524</v>
      </c>
      <c r="H48" s="29">
        <f t="shared" si="15"/>
        <v>-959.25086956523592</v>
      </c>
      <c r="I48" s="29">
        <f t="shared" si="20"/>
        <v>4212</v>
      </c>
      <c r="J48" s="29">
        <f t="shared" si="22"/>
        <v>-159</v>
      </c>
      <c r="K48" s="29">
        <f t="shared" si="22"/>
        <v>6181.5274811327981</v>
      </c>
      <c r="L48" s="29">
        <f t="shared" si="1"/>
        <v>-12274.571232464879</v>
      </c>
      <c r="M48" s="29">
        <f t="shared" si="2"/>
        <v>11956.571232464879</v>
      </c>
      <c r="N48" s="30" t="str">
        <f t="shared" si="16"/>
        <v>OK</v>
      </c>
      <c r="O48" s="29">
        <f t="shared" si="23"/>
        <v>881.875</v>
      </c>
      <c r="P48" s="29">
        <f t="shared" si="17"/>
        <v>3330.125</v>
      </c>
      <c r="Q48" s="29">
        <f t="shared" si="21"/>
        <v>471893.12586956524</v>
      </c>
      <c r="R48" s="29">
        <f t="shared" si="11"/>
        <v>2370.8741304347641</v>
      </c>
      <c r="S48" s="31">
        <f t="shared" si="12"/>
        <v>4.9990598705252015E-3</v>
      </c>
      <c r="T48" s="104">
        <f t="shared" si="13"/>
        <v>5621044.142364799</v>
      </c>
    </row>
    <row r="49" spans="2:20" x14ac:dyDescent="0.3">
      <c r="B49" s="102">
        <v>20</v>
      </c>
      <c r="C49" s="102">
        <v>503424</v>
      </c>
      <c r="D49" s="7">
        <f t="shared" si="18"/>
        <v>475284</v>
      </c>
      <c r="E49" s="7">
        <f t="shared" si="19"/>
        <v>471855</v>
      </c>
      <c r="F49" s="8">
        <f t="shared" si="14"/>
        <v>473569.5</v>
      </c>
      <c r="G49" s="29">
        <f t="shared" si="5"/>
        <v>475234.00260869565</v>
      </c>
      <c r="H49" s="29">
        <f t="shared" si="15"/>
        <v>-1664.5026086956495</v>
      </c>
      <c r="I49" s="29">
        <f t="shared" si="20"/>
        <v>29854.5</v>
      </c>
      <c r="J49" s="29">
        <f t="shared" si="22"/>
        <v>21609</v>
      </c>
      <c r="K49" s="29">
        <f t="shared" si="22"/>
        <v>11660.897928547356</v>
      </c>
      <c r="L49" s="29">
        <f t="shared" si="1"/>
        <v>-1245.9399673505322</v>
      </c>
      <c r="M49" s="29">
        <f t="shared" si="2"/>
        <v>44463.939967350532</v>
      </c>
      <c r="N49" s="30" t="str">
        <f t="shared" si="16"/>
        <v>OK</v>
      </c>
      <c r="O49" s="29">
        <f t="shared" si="23"/>
        <v>22649.875</v>
      </c>
      <c r="P49" s="29">
        <f t="shared" si="17"/>
        <v>7204.625</v>
      </c>
      <c r="Q49" s="29">
        <f t="shared" si="21"/>
        <v>497883.87760869565</v>
      </c>
      <c r="R49" s="29">
        <f t="shared" si="11"/>
        <v>5540.1223913043505</v>
      </c>
      <c r="S49" s="31">
        <f t="shared" si="12"/>
        <v>1.1004883341486204E-2</v>
      </c>
      <c r="T49" s="104">
        <f t="shared" si="13"/>
        <v>30692956.110631835</v>
      </c>
    </row>
    <row r="50" spans="2:20" x14ac:dyDescent="0.3">
      <c r="B50" s="102">
        <v>21</v>
      </c>
      <c r="C50" s="102">
        <v>503676</v>
      </c>
      <c r="D50" s="7">
        <f t="shared" si="18"/>
        <v>479067</v>
      </c>
      <c r="E50" s="7">
        <f t="shared" si="19"/>
        <v>475284</v>
      </c>
      <c r="F50" s="8">
        <f t="shared" si="14"/>
        <v>477175.5</v>
      </c>
      <c r="G50" s="29">
        <f t="shared" si="5"/>
        <v>479456.75434782612</v>
      </c>
      <c r="H50" s="29">
        <f t="shared" si="15"/>
        <v>-2281.2543478261214</v>
      </c>
      <c r="I50" s="29">
        <f t="shared" si="20"/>
        <v>26500.5</v>
      </c>
      <c r="J50" s="29">
        <f t="shared" si="22"/>
        <v>27112.5</v>
      </c>
      <c r="K50" s="29">
        <f t="shared" si="22"/>
        <v>865.49870017233422</v>
      </c>
      <c r="L50" s="29">
        <f t="shared" si="1"/>
        <v>25416.153718995996</v>
      </c>
      <c r="M50" s="29">
        <f t="shared" si="2"/>
        <v>28808.846281004004</v>
      </c>
      <c r="N50" s="30" t="str">
        <f t="shared" si="16"/>
        <v>OK</v>
      </c>
      <c r="O50" s="29">
        <f t="shared" si="23"/>
        <v>28153.375</v>
      </c>
      <c r="P50" s="29">
        <f t="shared" si="17"/>
        <v>-1652.875</v>
      </c>
      <c r="Q50" s="29">
        <f t="shared" si="21"/>
        <v>507610.12934782612</v>
      </c>
      <c r="R50" s="29">
        <f t="shared" si="11"/>
        <v>-3934.1293478261214</v>
      </c>
      <c r="S50" s="31">
        <f t="shared" si="12"/>
        <v>7.8108334481415062E-3</v>
      </c>
      <c r="T50" s="104">
        <f t="shared" si="13"/>
        <v>15477373.725426784</v>
      </c>
    </row>
    <row r="51" spans="2:20" x14ac:dyDescent="0.3">
      <c r="B51" s="102">
        <v>22</v>
      </c>
      <c r="C51" s="102">
        <v>480240</v>
      </c>
      <c r="D51" s="7">
        <f t="shared" si="18"/>
        <v>484293</v>
      </c>
      <c r="E51" s="7">
        <f t="shared" si="19"/>
        <v>479067</v>
      </c>
      <c r="F51" s="8">
        <f t="shared" si="14"/>
        <v>481680</v>
      </c>
      <c r="G51" s="29">
        <f t="shared" si="5"/>
        <v>483679.50608695654</v>
      </c>
      <c r="H51" s="29">
        <f t="shared" si="15"/>
        <v>-1999.506086956535</v>
      </c>
      <c r="I51" s="29">
        <f t="shared" si="20"/>
        <v>-1440</v>
      </c>
      <c r="J51" s="29">
        <f t="shared" si="22"/>
        <v>316.5</v>
      </c>
      <c r="K51" s="29">
        <f t="shared" si="22"/>
        <v>2484.0661223083416</v>
      </c>
      <c r="L51" s="29">
        <f t="shared" si="1"/>
        <v>-4552.1801349404177</v>
      </c>
      <c r="M51" s="29">
        <f t="shared" si="2"/>
        <v>5185.1801349404177</v>
      </c>
      <c r="N51" s="30" t="str">
        <f t="shared" si="16"/>
        <v>OK</v>
      </c>
      <c r="O51" s="29">
        <f t="shared" si="23"/>
        <v>1357.375</v>
      </c>
      <c r="P51" s="29">
        <f t="shared" si="17"/>
        <v>-2797.375</v>
      </c>
      <c r="Q51" s="29">
        <f t="shared" si="21"/>
        <v>485036.88108695654</v>
      </c>
      <c r="R51" s="29">
        <f t="shared" si="11"/>
        <v>-4796.881086956535</v>
      </c>
      <c r="S51" s="31">
        <f t="shared" si="12"/>
        <v>9.988508010487538E-3</v>
      </c>
      <c r="T51" s="104">
        <f t="shared" si="13"/>
        <v>23010068.162401307</v>
      </c>
    </row>
    <row r="52" spans="2:20" x14ac:dyDescent="0.3">
      <c r="B52" s="102">
        <v>23</v>
      </c>
      <c r="C52" s="102">
        <v>465264</v>
      </c>
      <c r="D52" s="7">
        <f t="shared" si="18"/>
        <v>489669</v>
      </c>
      <c r="E52" s="7">
        <f t="shared" si="19"/>
        <v>484293</v>
      </c>
      <c r="F52" s="8">
        <f t="shared" si="14"/>
        <v>486981</v>
      </c>
      <c r="G52" s="29">
        <f t="shared" si="5"/>
        <v>487902.25782608695</v>
      </c>
      <c r="H52" s="29">
        <f t="shared" si="15"/>
        <v>-921.25782608694863</v>
      </c>
      <c r="I52" s="29">
        <f t="shared" si="20"/>
        <v>-21717</v>
      </c>
      <c r="J52" s="29">
        <f t="shared" si="22"/>
        <v>-20487</v>
      </c>
      <c r="K52" s="29">
        <f t="shared" si="22"/>
        <v>1739.4826817189069</v>
      </c>
      <c r="L52" s="29">
        <f t="shared" si="1"/>
        <v>-23896.323407900207</v>
      </c>
      <c r="M52" s="29">
        <f t="shared" si="2"/>
        <v>-17077.676592099793</v>
      </c>
      <c r="N52" s="30" t="str">
        <f t="shared" si="16"/>
        <v>OK</v>
      </c>
      <c r="O52" s="29">
        <f t="shared" si="23"/>
        <v>-19446.125</v>
      </c>
      <c r="P52" s="29">
        <f t="shared" si="17"/>
        <v>-2270.875</v>
      </c>
      <c r="Q52" s="29">
        <f t="shared" si="21"/>
        <v>468456.13282608695</v>
      </c>
      <c r="R52" s="29">
        <f t="shared" si="11"/>
        <v>-3192.1328260869486</v>
      </c>
      <c r="S52" s="31">
        <f t="shared" si="12"/>
        <v>6.8609065521659717E-3</v>
      </c>
      <c r="T52" s="104">
        <f t="shared" si="13"/>
        <v>10189711.97938185</v>
      </c>
    </row>
    <row r="53" spans="2:20" s="14" customFormat="1" ht="15" thickBot="1" x14ac:dyDescent="0.35">
      <c r="B53" s="102">
        <v>24</v>
      </c>
      <c r="C53" s="102">
        <v>463860</v>
      </c>
      <c r="D53" s="7">
        <f t="shared" si="18"/>
        <v>493386</v>
      </c>
      <c r="E53" s="7">
        <f t="shared" si="19"/>
        <v>489669</v>
      </c>
      <c r="F53" s="8">
        <f t="shared" si="14"/>
        <v>491527.5</v>
      </c>
      <c r="G53" s="29">
        <f t="shared" si="5"/>
        <v>492125.00956521742</v>
      </c>
      <c r="H53" s="29">
        <f t="shared" si="15"/>
        <v>-597.50956521742046</v>
      </c>
      <c r="I53" s="29">
        <f t="shared" si="20"/>
        <v>-27667.5</v>
      </c>
      <c r="J53" s="29">
        <f t="shared" si="22"/>
        <v>-28840.5</v>
      </c>
      <c r="K53" s="29">
        <f t="shared" si="22"/>
        <v>1658.8725086636405</v>
      </c>
      <c r="L53" s="29">
        <f t="shared" si="1"/>
        <v>-32091.830371924345</v>
      </c>
      <c r="M53" s="29">
        <f t="shared" si="2"/>
        <v>-25589.169628075655</v>
      </c>
      <c r="N53" s="30" t="str">
        <f t="shared" si="16"/>
        <v>OK</v>
      </c>
      <c r="O53" s="29">
        <f t="shared" si="23"/>
        <v>-27799.625</v>
      </c>
      <c r="P53" s="29">
        <f t="shared" si="17"/>
        <v>132.125</v>
      </c>
      <c r="Q53" s="29">
        <f t="shared" si="21"/>
        <v>464325.38456521742</v>
      </c>
      <c r="R53" s="29">
        <f t="shared" si="11"/>
        <v>-465.38456521742046</v>
      </c>
      <c r="S53" s="31">
        <f t="shared" si="12"/>
        <v>1.0032866925740965E-3</v>
      </c>
      <c r="T53" s="104">
        <f t="shared" si="13"/>
        <v>216582.79354260748</v>
      </c>
    </row>
    <row r="54" spans="2:20" x14ac:dyDescent="0.3">
      <c r="B54" s="102">
        <v>25</v>
      </c>
      <c r="C54" s="102">
        <v>431676</v>
      </c>
      <c r="D54" s="7">
        <f t="shared" si="18"/>
        <v>498039</v>
      </c>
      <c r="E54" s="7">
        <f t="shared" si="19"/>
        <v>493386</v>
      </c>
      <c r="F54" s="8">
        <f t="shared" si="14"/>
        <v>495712.5</v>
      </c>
      <c r="G54" s="29">
        <f t="shared" si="5"/>
        <v>496347.76130434783</v>
      </c>
      <c r="H54" s="29">
        <f t="shared" si="15"/>
        <v>-635.26130434783408</v>
      </c>
      <c r="I54" s="29">
        <f t="shared" si="20"/>
        <v>-64036.5</v>
      </c>
      <c r="J54" s="29">
        <f t="shared" si="22"/>
        <v>-60147</v>
      </c>
      <c r="K54" s="29">
        <f t="shared" si="22"/>
        <v>5500.5836508501534</v>
      </c>
      <c r="L54" s="29">
        <f t="shared" si="1"/>
        <v>-70927.945849616139</v>
      </c>
      <c r="M54" s="29">
        <f t="shared" si="2"/>
        <v>-49366.054150383861</v>
      </c>
      <c r="N54" s="30" t="str">
        <f t="shared" si="16"/>
        <v>OK</v>
      </c>
      <c r="O54" s="29">
        <f t="shared" si="23"/>
        <v>-59106.125</v>
      </c>
      <c r="P54" s="29">
        <f t="shared" si="17"/>
        <v>-4930.375</v>
      </c>
      <c r="Q54" s="29">
        <f t="shared" si="21"/>
        <v>437241.63630434783</v>
      </c>
      <c r="R54" s="29">
        <f>C54-Q54</f>
        <v>-5565.6363043478341</v>
      </c>
      <c r="S54" s="31">
        <f>ABS(R54)/C54</f>
        <v>1.2893087186565465E-2</v>
      </c>
      <c r="T54" s="104">
        <f t="shared" si="13"/>
        <v>30976307.472274616</v>
      </c>
    </row>
    <row r="55" spans="2:20" x14ac:dyDescent="0.3">
      <c r="B55" s="102">
        <v>26</v>
      </c>
      <c r="C55" s="102">
        <v>479052</v>
      </c>
      <c r="D55" s="7">
        <f t="shared" si="18"/>
        <v>502629</v>
      </c>
      <c r="E55" s="7">
        <f t="shared" si="19"/>
        <v>498039</v>
      </c>
      <c r="F55" s="8">
        <f t="shared" si="14"/>
        <v>500334</v>
      </c>
      <c r="G55" s="29">
        <f t="shared" si="5"/>
        <v>500570.51304347825</v>
      </c>
      <c r="H55" s="29">
        <f t="shared" si="15"/>
        <v>-236.51304347824771</v>
      </c>
      <c r="I55" s="29">
        <f t="shared" si="20"/>
        <v>-21282</v>
      </c>
      <c r="J55" s="29">
        <f t="shared" si="22"/>
        <v>-16518</v>
      </c>
      <c r="K55" s="29">
        <f t="shared" si="22"/>
        <v>6737.3134111454247</v>
      </c>
      <c r="L55" s="29">
        <f t="shared" si="1"/>
        <v>-29722.891638403729</v>
      </c>
      <c r="M55" s="29">
        <f t="shared" si="2"/>
        <v>-3313.1083615962725</v>
      </c>
      <c r="N55" s="30" t="str">
        <f t="shared" si="16"/>
        <v>OK</v>
      </c>
      <c r="O55" s="29">
        <f t="shared" si="23"/>
        <v>-15477.125</v>
      </c>
      <c r="P55" s="29">
        <f t="shared" si="17"/>
        <v>-5804.875</v>
      </c>
      <c r="Q55" s="29">
        <f t="shared" si="21"/>
        <v>485093.38804347825</v>
      </c>
      <c r="R55" s="29">
        <f t="shared" si="11"/>
        <v>-6041.3880434782477</v>
      </c>
      <c r="S55" s="31">
        <f t="shared" si="12"/>
        <v>1.2611132076430633E-2</v>
      </c>
      <c r="T55" s="104">
        <f t="shared" si="13"/>
        <v>36498369.491881929</v>
      </c>
    </row>
    <row r="56" spans="2:20" x14ac:dyDescent="0.3">
      <c r="B56" s="102">
        <v>27</v>
      </c>
      <c r="C56" s="102">
        <v>547884</v>
      </c>
      <c r="D56" s="7">
        <f t="shared" si="18"/>
        <v>507771</v>
      </c>
      <c r="E56" s="7">
        <f t="shared" si="19"/>
        <v>502629</v>
      </c>
      <c r="F56" s="8">
        <f t="shared" si="14"/>
        <v>505200</v>
      </c>
      <c r="G56" s="29">
        <f t="shared" si="5"/>
        <v>504793.26478260872</v>
      </c>
      <c r="H56" s="29">
        <f t="shared" si="15"/>
        <v>406.73521739128046</v>
      </c>
      <c r="I56" s="29">
        <f t="shared" si="20"/>
        <v>42684</v>
      </c>
      <c r="J56" s="29">
        <f t="shared" si="22"/>
        <v>45461.25</v>
      </c>
      <c r="K56" s="29">
        <f t="shared" si="22"/>
        <v>3927.6246161006784</v>
      </c>
      <c r="L56" s="29">
        <f t="shared" si="1"/>
        <v>37763.247207649714</v>
      </c>
      <c r="M56" s="29">
        <f t="shared" si="2"/>
        <v>53159.252792350286</v>
      </c>
      <c r="N56" s="30" t="str">
        <f t="shared" si="16"/>
        <v>OK</v>
      </c>
      <c r="O56" s="29">
        <f t="shared" si="23"/>
        <v>46502.125</v>
      </c>
      <c r="P56" s="29">
        <f t="shared" si="17"/>
        <v>-3818.125</v>
      </c>
      <c r="Q56" s="29">
        <f t="shared" si="21"/>
        <v>551295.38978260872</v>
      </c>
      <c r="R56" s="29">
        <f t="shared" si="11"/>
        <v>-3411.3897826087195</v>
      </c>
      <c r="S56" s="31">
        <f t="shared" si="12"/>
        <v>6.2264818512837014E-3</v>
      </c>
      <c r="T56" s="104">
        <f t="shared" si="13"/>
        <v>11637580.248887166</v>
      </c>
    </row>
    <row r="57" spans="2:20" x14ac:dyDescent="0.3">
      <c r="B57" s="102">
        <v>28</v>
      </c>
      <c r="C57" s="102">
        <v>551124</v>
      </c>
      <c r="D57" s="7">
        <f t="shared" si="18"/>
        <v>513330</v>
      </c>
      <c r="E57" s="7">
        <f t="shared" si="19"/>
        <v>507771</v>
      </c>
      <c r="F57" s="8">
        <f t="shared" si="14"/>
        <v>510550.5</v>
      </c>
      <c r="G57" s="29">
        <f t="shared" si="5"/>
        <v>509016.01652173913</v>
      </c>
      <c r="H57" s="29">
        <f t="shared" si="15"/>
        <v>1534.4834782608668</v>
      </c>
      <c r="I57" s="29">
        <f t="shared" si="20"/>
        <v>40573.5</v>
      </c>
      <c r="J57" s="29">
        <f t="shared" si="22"/>
        <v>35477.25</v>
      </c>
      <c r="K57" s="29">
        <f t="shared" si="22"/>
        <v>7207.1858672438857</v>
      </c>
      <c r="L57" s="29">
        <f t="shared" si="1"/>
        <v>21351.425270315915</v>
      </c>
      <c r="M57" s="29">
        <f t="shared" si="2"/>
        <v>49603.074729684085</v>
      </c>
      <c r="N57" s="30" t="str">
        <f t="shared" si="16"/>
        <v>OK</v>
      </c>
      <c r="O57" s="29">
        <f t="shared" si="23"/>
        <v>36518.125</v>
      </c>
      <c r="P57" s="29">
        <f t="shared" si="17"/>
        <v>4055.375</v>
      </c>
      <c r="Q57" s="29">
        <f t="shared" si="21"/>
        <v>545534.14152173907</v>
      </c>
      <c r="R57" s="29">
        <f t="shared" si="11"/>
        <v>5589.858478260925</v>
      </c>
      <c r="S57" s="31">
        <f t="shared" si="12"/>
        <v>1.0142651160647921E-2</v>
      </c>
      <c r="T57" s="104">
        <f t="shared" si="13"/>
        <v>31246517.806985546</v>
      </c>
    </row>
    <row r="58" spans="2:20" x14ac:dyDescent="0.3">
      <c r="B58" s="102">
        <v>29</v>
      </c>
      <c r="C58" s="102">
        <v>531072</v>
      </c>
      <c r="D58" s="7">
        <f t="shared" si="18"/>
        <v>518292</v>
      </c>
      <c r="E58" s="7">
        <f t="shared" si="19"/>
        <v>513330</v>
      </c>
      <c r="F58" s="8">
        <f t="shared" si="14"/>
        <v>515811</v>
      </c>
      <c r="G58" s="29">
        <f t="shared" si="5"/>
        <v>513238.76826086955</v>
      </c>
      <c r="H58" s="29">
        <f t="shared" si="15"/>
        <v>2572.2317391304532</v>
      </c>
      <c r="I58" s="29">
        <f t="shared" si="20"/>
        <v>15261</v>
      </c>
      <c r="J58" s="29">
        <f t="shared" si="22"/>
        <v>9984.75</v>
      </c>
      <c r="K58" s="29">
        <f t="shared" si="22"/>
        <v>7461.744308471043</v>
      </c>
      <c r="L58" s="29">
        <f t="shared" si="1"/>
        <v>-4640.000106449972</v>
      </c>
      <c r="M58" s="29">
        <f t="shared" si="2"/>
        <v>24609.500106449974</v>
      </c>
      <c r="N58" s="30" t="str">
        <f t="shared" si="16"/>
        <v>OK</v>
      </c>
      <c r="O58" s="29">
        <f t="shared" si="23"/>
        <v>11025.625</v>
      </c>
      <c r="P58" s="29">
        <f t="shared" si="17"/>
        <v>4235.375</v>
      </c>
      <c r="Q58" s="29">
        <f t="shared" si="21"/>
        <v>524264.39326086955</v>
      </c>
      <c r="R58" s="29">
        <f t="shared" si="11"/>
        <v>6807.6067391304532</v>
      </c>
      <c r="S58" s="31">
        <f t="shared" si="12"/>
        <v>1.2818613557352776E-2</v>
      </c>
      <c r="T58" s="104">
        <f t="shared" si="13"/>
        <v>46343509.514654361</v>
      </c>
    </row>
    <row r="59" spans="2:20" x14ac:dyDescent="0.3">
      <c r="B59" s="102">
        <v>30</v>
      </c>
      <c r="C59" s="102">
        <v>489096</v>
      </c>
      <c r="D59" s="7">
        <f t="shared" si="18"/>
        <v>522021</v>
      </c>
      <c r="E59" s="7">
        <f t="shared" si="19"/>
        <v>518292</v>
      </c>
      <c r="F59" s="8">
        <f t="shared" si="14"/>
        <v>520156.5</v>
      </c>
      <c r="G59" s="29">
        <f t="shared" si="5"/>
        <v>517461.52</v>
      </c>
      <c r="H59" s="29">
        <f t="shared" si="15"/>
        <v>2694.9799999999814</v>
      </c>
      <c r="I59" s="29">
        <f t="shared" si="20"/>
        <v>-31060.5</v>
      </c>
      <c r="J59" s="29">
        <f t="shared" si="22"/>
        <v>-26300.25</v>
      </c>
      <c r="K59" s="29">
        <f t="shared" si="22"/>
        <v>6732.0101102865256</v>
      </c>
      <c r="L59" s="29">
        <f t="shared" si="1"/>
        <v>-39494.747359721106</v>
      </c>
      <c r="M59" s="29">
        <f t="shared" si="2"/>
        <v>-13105.752640278895</v>
      </c>
      <c r="N59" s="30" t="str">
        <f t="shared" si="16"/>
        <v>OK</v>
      </c>
      <c r="O59" s="29">
        <f t="shared" si="23"/>
        <v>-25259.375</v>
      </c>
      <c r="P59" s="29">
        <f t="shared" si="17"/>
        <v>-5801.125</v>
      </c>
      <c r="Q59" s="29">
        <f t="shared" si="21"/>
        <v>492202.14500000002</v>
      </c>
      <c r="R59" s="29">
        <f t="shared" si="11"/>
        <v>-3106.1450000000186</v>
      </c>
      <c r="S59" s="31">
        <f t="shared" si="12"/>
        <v>6.3507879843630261E-3</v>
      </c>
      <c r="T59" s="104">
        <f t="shared" si="13"/>
        <v>9648136.7610251158</v>
      </c>
    </row>
    <row r="60" spans="2:20" x14ac:dyDescent="0.3">
      <c r="B60" s="102">
        <v>31</v>
      </c>
      <c r="C60" s="102">
        <v>530100</v>
      </c>
      <c r="D60" s="7" t="s">
        <v>51</v>
      </c>
      <c r="E60" s="7" t="s">
        <v>51</v>
      </c>
      <c r="F60" s="7" t="s">
        <v>51</v>
      </c>
      <c r="G60" s="29">
        <f t="shared" si="5"/>
        <v>521684.27173913043</v>
      </c>
      <c r="H60" s="7" t="s">
        <v>51</v>
      </c>
      <c r="I60" s="7" t="s">
        <v>51</v>
      </c>
      <c r="J60" s="29">
        <f t="shared" si="22"/>
        <v>-159</v>
      </c>
      <c r="K60" s="29">
        <f t="shared" si="22"/>
        <v>6181.5274811327981</v>
      </c>
      <c r="L60" s="29">
        <f t="shared" si="1"/>
        <v>-12274.571232464879</v>
      </c>
      <c r="M60" s="29">
        <f t="shared" si="2"/>
        <v>11956.571232464879</v>
      </c>
      <c r="N60" s="7" t="str">
        <f>IF($D60="-","-","")</f>
        <v>-</v>
      </c>
      <c r="O60" s="29">
        <f>O48</f>
        <v>881.875</v>
      </c>
      <c r="P60" s="7" t="str">
        <f>IF($D60="-","-","")</f>
        <v>-</v>
      </c>
      <c r="Q60" s="29">
        <f>G60+O60</f>
        <v>522566.14673913043</v>
      </c>
      <c r="R60" s="29">
        <f t="shared" si="11"/>
        <v>7533.8532608695677</v>
      </c>
      <c r="S60" s="31">
        <f t="shared" si="12"/>
        <v>1.4212135938256118E-2</v>
      </c>
      <c r="T60" s="104">
        <f t="shared" si="13"/>
        <v>56758944.956315018</v>
      </c>
    </row>
    <row r="61" spans="2:20" x14ac:dyDescent="0.3">
      <c r="B61" s="102">
        <v>32</v>
      </c>
      <c r="C61" s="102">
        <v>558504</v>
      </c>
      <c r="D61" s="7" t="s">
        <v>51</v>
      </c>
      <c r="E61" s="7" t="s">
        <v>51</v>
      </c>
      <c r="F61" s="7" t="s">
        <v>51</v>
      </c>
      <c r="G61" s="29">
        <f t="shared" si="5"/>
        <v>525907.02347826085</v>
      </c>
      <c r="H61" s="7" t="s">
        <v>51</v>
      </c>
      <c r="I61" s="7" t="s">
        <v>51</v>
      </c>
      <c r="J61" s="29">
        <f t="shared" si="22"/>
        <v>21609</v>
      </c>
      <c r="K61" s="29">
        <f t="shared" si="22"/>
        <v>11660.897928547356</v>
      </c>
      <c r="L61" s="29">
        <f t="shared" si="1"/>
        <v>-1245.9399673505322</v>
      </c>
      <c r="M61" s="29">
        <f t="shared" si="2"/>
        <v>44463.939967350532</v>
      </c>
      <c r="N61" s="7" t="str">
        <f t="shared" ref="N61:P65" si="24">IF($D61="-","-","")</f>
        <v>-</v>
      </c>
      <c r="O61" s="29">
        <f t="shared" si="23"/>
        <v>22649.875</v>
      </c>
      <c r="P61" s="7" t="str">
        <f t="shared" si="24"/>
        <v>-</v>
      </c>
      <c r="Q61" s="29">
        <f t="shared" si="21"/>
        <v>548556.89847826085</v>
      </c>
      <c r="R61" s="29">
        <f t="shared" si="11"/>
        <v>9947.1015217391541</v>
      </c>
      <c r="S61" s="31">
        <f t="shared" si="12"/>
        <v>1.7810260126586656E-2</v>
      </c>
      <c r="T61" s="104">
        <f t="shared" si="13"/>
        <v>98944828.683785394</v>
      </c>
    </row>
    <row r="62" spans="2:20" x14ac:dyDescent="0.3">
      <c r="B62" s="102">
        <v>33</v>
      </c>
      <c r="C62" s="102">
        <v>565380</v>
      </c>
      <c r="D62" s="7" t="s">
        <v>51</v>
      </c>
      <c r="E62" s="7" t="s">
        <v>51</v>
      </c>
      <c r="F62" s="7" t="s">
        <v>51</v>
      </c>
      <c r="G62" s="29">
        <f t="shared" si="5"/>
        <v>530129.77521739132</v>
      </c>
      <c r="H62" s="7" t="s">
        <v>51</v>
      </c>
      <c r="I62" s="7" t="s">
        <v>51</v>
      </c>
      <c r="J62" s="29">
        <f t="shared" si="22"/>
        <v>27112.5</v>
      </c>
      <c r="K62" s="29">
        <f t="shared" si="22"/>
        <v>865.49870017233422</v>
      </c>
      <c r="L62" s="29">
        <f t="shared" si="1"/>
        <v>25416.153718995996</v>
      </c>
      <c r="M62" s="29">
        <f t="shared" si="2"/>
        <v>28808.846281004004</v>
      </c>
      <c r="N62" s="7" t="str">
        <f t="shared" si="24"/>
        <v>-</v>
      </c>
      <c r="O62" s="29">
        <f t="shared" si="23"/>
        <v>28153.375</v>
      </c>
      <c r="P62" s="7" t="str">
        <f t="shared" si="24"/>
        <v>-</v>
      </c>
      <c r="Q62" s="29">
        <f t="shared" si="21"/>
        <v>558283.15021739132</v>
      </c>
      <c r="R62" s="29">
        <f t="shared" si="11"/>
        <v>7096.8497826086823</v>
      </c>
      <c r="S62" s="31">
        <f t="shared" si="12"/>
        <v>1.2552353784372781E-2</v>
      </c>
      <c r="T62" s="104">
        <f t="shared" si="13"/>
        <v>50365276.8369129</v>
      </c>
    </row>
    <row r="63" spans="2:20" x14ac:dyDescent="0.3">
      <c r="B63" s="102">
        <v>34</v>
      </c>
      <c r="C63" s="102">
        <v>546948</v>
      </c>
      <c r="D63" s="7" t="s">
        <v>51</v>
      </c>
      <c r="E63" s="7" t="s">
        <v>51</v>
      </c>
      <c r="F63" s="7" t="s">
        <v>51</v>
      </c>
      <c r="G63" s="29">
        <f t="shared" si="5"/>
        <v>534352.52695652167</v>
      </c>
      <c r="H63" s="7" t="s">
        <v>51</v>
      </c>
      <c r="I63" s="7" t="s">
        <v>51</v>
      </c>
      <c r="J63" s="29">
        <f t="shared" si="22"/>
        <v>316.5</v>
      </c>
      <c r="K63" s="29">
        <f t="shared" si="22"/>
        <v>2484.0661223083416</v>
      </c>
      <c r="L63" s="29">
        <f t="shared" si="1"/>
        <v>-4552.1801349404177</v>
      </c>
      <c r="M63" s="29">
        <f t="shared" si="2"/>
        <v>5185.1801349404177</v>
      </c>
      <c r="N63" s="7" t="str">
        <f t="shared" si="24"/>
        <v>-</v>
      </c>
      <c r="O63" s="29">
        <f t="shared" si="23"/>
        <v>1357.375</v>
      </c>
      <c r="P63" s="7" t="str">
        <f t="shared" si="24"/>
        <v>-</v>
      </c>
      <c r="Q63" s="29">
        <f t="shared" si="21"/>
        <v>535709.90195652167</v>
      </c>
      <c r="R63" s="29">
        <f t="shared" si="11"/>
        <v>11238.098043478327</v>
      </c>
      <c r="S63" s="31">
        <f t="shared" si="12"/>
        <v>2.0546922273192929E-2</v>
      </c>
      <c r="T63" s="104">
        <f t="shared" si="13"/>
        <v>126294847.6348314</v>
      </c>
    </row>
    <row r="64" spans="2:20" x14ac:dyDescent="0.3">
      <c r="B64" s="102">
        <v>35</v>
      </c>
      <c r="C64" s="102">
        <v>524808</v>
      </c>
      <c r="D64" s="7" t="s">
        <v>51</v>
      </c>
      <c r="E64" s="7" t="s">
        <v>51</v>
      </c>
      <c r="F64" s="7" t="s">
        <v>51</v>
      </c>
      <c r="G64" s="29">
        <f t="shared" si="5"/>
        <v>538575.27869565214</v>
      </c>
      <c r="H64" s="7" t="s">
        <v>51</v>
      </c>
      <c r="I64" s="7" t="s">
        <v>51</v>
      </c>
      <c r="J64" s="29">
        <f t="shared" si="22"/>
        <v>-20487</v>
      </c>
      <c r="K64" s="29">
        <f t="shared" si="22"/>
        <v>1739.4826817189069</v>
      </c>
      <c r="L64" s="29">
        <f t="shared" si="1"/>
        <v>-23896.323407900207</v>
      </c>
      <c r="M64" s="29">
        <f t="shared" si="2"/>
        <v>-17077.676592099793</v>
      </c>
      <c r="N64" s="7" t="str">
        <f t="shared" si="24"/>
        <v>-</v>
      </c>
      <c r="O64" s="29">
        <f t="shared" si="23"/>
        <v>-19446.125</v>
      </c>
      <c r="P64" s="7" t="str">
        <f t="shared" si="24"/>
        <v>-</v>
      </c>
      <c r="Q64" s="29">
        <f t="shared" si="21"/>
        <v>519129.15369565214</v>
      </c>
      <c r="R64" s="29">
        <f t="shared" si="11"/>
        <v>5678.846304347855</v>
      </c>
      <c r="S64" s="31">
        <f t="shared" si="12"/>
        <v>1.0820807427378879E-2</v>
      </c>
      <c r="T64" s="104">
        <f t="shared" si="13"/>
        <v>32249295.34840529</v>
      </c>
    </row>
    <row r="65" spans="2:20" x14ac:dyDescent="0.3">
      <c r="B65" s="102">
        <v>36</v>
      </c>
      <c r="C65" s="102">
        <v>508608</v>
      </c>
      <c r="D65" s="7" t="s">
        <v>51</v>
      </c>
      <c r="E65" s="7" t="s">
        <v>51</v>
      </c>
      <c r="F65" s="7" t="s">
        <v>51</v>
      </c>
      <c r="G65" s="29">
        <f t="shared" si="5"/>
        <v>542798.03043478262</v>
      </c>
      <c r="H65" s="7" t="s">
        <v>51</v>
      </c>
      <c r="I65" s="7" t="s">
        <v>51</v>
      </c>
      <c r="J65" s="29">
        <f t="shared" si="22"/>
        <v>-28840.5</v>
      </c>
      <c r="K65" s="29">
        <f t="shared" si="22"/>
        <v>1658.8725086636405</v>
      </c>
      <c r="L65" s="29">
        <f t="shared" si="1"/>
        <v>-32091.830371924345</v>
      </c>
      <c r="M65" s="29">
        <f t="shared" si="2"/>
        <v>-25589.169628075655</v>
      </c>
      <c r="N65" s="7" t="str">
        <f t="shared" si="24"/>
        <v>-</v>
      </c>
      <c r="O65" s="29">
        <f t="shared" si="23"/>
        <v>-27799.625</v>
      </c>
      <c r="P65" s="7" t="str">
        <f t="shared" si="24"/>
        <v>-</v>
      </c>
      <c r="Q65" s="29">
        <f t="shared" si="21"/>
        <v>514998.40543478262</v>
      </c>
      <c r="R65" s="29">
        <f t="shared" si="11"/>
        <v>-6390.4054347826168</v>
      </c>
      <c r="S65" s="31">
        <f t="shared" si="12"/>
        <v>1.2564500430159605E-2</v>
      </c>
      <c r="T65" s="104">
        <f t="shared" si="13"/>
        <v>40837281.620899208</v>
      </c>
    </row>
  </sheetData>
  <mergeCells count="15">
    <mergeCell ref="V16:Y16"/>
    <mergeCell ref="Q17:T18"/>
    <mergeCell ref="V17:Y18"/>
    <mergeCell ref="L18:O19"/>
    <mergeCell ref="R19:T20"/>
    <mergeCell ref="T8:U9"/>
    <mergeCell ref="E12:K12"/>
    <mergeCell ref="M12:S13"/>
    <mergeCell ref="E13:K17"/>
    <mergeCell ref="Q16:T16"/>
    <mergeCell ref="W19:Y20"/>
    <mergeCell ref="L20:O24"/>
    <mergeCell ref="S21:T26"/>
    <mergeCell ref="X21:Y24"/>
    <mergeCell ref="F25:F26"/>
  </mergeCells>
  <conditionalFormatting sqref="N36:N59">
    <cfRule type="cellIs" dxfId="25" priority="7" operator="equal">
      <formula>"NOT OK"</formula>
    </cfRule>
    <cfRule type="cellIs" dxfId="24" priority="8" operator="equal">
      <formula>"OK"</formula>
    </cfRule>
  </conditionalFormatting>
  <conditionalFormatting sqref="P36:P59">
    <cfRule type="cellIs" dxfId="23" priority="3" operator="equal">
      <formula>0</formula>
    </cfRule>
    <cfRule type="cellIs" dxfId="22" priority="4" operator="equal">
      <formula>1</formula>
    </cfRule>
  </conditionalFormatting>
  <conditionalFormatting sqref="R26">
    <cfRule type="cellIs" dxfId="21" priority="5" operator="equal">
      <formula>"H0 Rejected"</formula>
    </cfRule>
    <cfRule type="cellIs" dxfId="20" priority="6" operator="equal">
      <formula>"H0 Accepted"</formula>
    </cfRule>
  </conditionalFormatting>
  <conditionalFormatting sqref="W24">
    <cfRule type="cellIs" dxfId="19" priority="1" operator="equal">
      <formula>"H0 Rejected"</formula>
    </cfRule>
    <cfRule type="cellIs" dxfId="18" priority="2" operator="equal">
      <formula>"H0 Accepted"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2650-250A-41F7-A4EC-14015EFDDE80}">
  <dimension ref="B2:Y81"/>
  <sheetViews>
    <sheetView zoomScale="70" zoomScaleNormal="70" workbookViewId="0">
      <selection sqref="A1:AD1048576"/>
    </sheetView>
  </sheetViews>
  <sheetFormatPr defaultRowHeight="14.4" x14ac:dyDescent="0.3"/>
  <cols>
    <col min="2" max="2" width="4.6640625" customWidth="1"/>
    <col min="3" max="3" width="9.33203125" customWidth="1"/>
    <col min="4" max="4" width="10.5546875" customWidth="1"/>
    <col min="5" max="5" width="10.33203125" customWidth="1"/>
    <col min="6" max="6" width="11.109375" customWidth="1"/>
    <col min="7" max="7" width="10.77734375" customWidth="1"/>
    <col min="8" max="8" width="11.21875" customWidth="1"/>
    <col min="9" max="9" width="10.6640625" customWidth="1"/>
    <col min="10" max="10" width="10.21875" customWidth="1"/>
    <col min="12" max="12" width="11" customWidth="1"/>
    <col min="13" max="13" width="9.77734375" customWidth="1"/>
    <col min="15" max="15" width="9.5546875" customWidth="1"/>
    <col min="16" max="16" width="9.77734375" customWidth="1"/>
    <col min="17" max="17" width="10.6640625" customWidth="1"/>
    <col min="18" max="18" width="9.88671875" customWidth="1"/>
    <col min="20" max="20" width="12.44140625" bestFit="1" customWidth="1"/>
    <col min="21" max="21" width="12.44140625" customWidth="1"/>
    <col min="22" max="23" width="10.44140625" customWidth="1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</row>
    <row r="3" spans="2:25" ht="15.6" x14ac:dyDescent="0.3">
      <c r="B3" s="4">
        <v>1</v>
      </c>
      <c r="C3" s="4">
        <v>125</v>
      </c>
    </row>
    <row r="4" spans="2:25" ht="15.6" x14ac:dyDescent="0.3">
      <c r="B4" s="4">
        <v>2</v>
      </c>
      <c r="C4" s="4">
        <v>111</v>
      </c>
    </row>
    <row r="5" spans="2:25" ht="15.6" x14ac:dyDescent="0.3">
      <c r="B5" s="4">
        <v>3</v>
      </c>
      <c r="C5" s="4">
        <v>126</v>
      </c>
    </row>
    <row r="6" spans="2:25" ht="15.6" x14ac:dyDescent="0.3">
      <c r="B6" s="4">
        <v>4</v>
      </c>
      <c r="C6" s="4">
        <v>107</v>
      </c>
    </row>
    <row r="7" spans="2:25" ht="16.2" thickBot="1" x14ac:dyDescent="0.35">
      <c r="B7" s="4">
        <v>5</v>
      </c>
      <c r="C7" s="4">
        <v>95</v>
      </c>
    </row>
    <row r="8" spans="2:25" ht="15.6" x14ac:dyDescent="0.3">
      <c r="B8" s="4">
        <v>6</v>
      </c>
      <c r="C8" s="4">
        <v>138</v>
      </c>
      <c r="T8" s="119" t="s">
        <v>2</v>
      </c>
      <c r="U8" s="120"/>
    </row>
    <row r="9" spans="2:25" ht="15.6" x14ac:dyDescent="0.3">
      <c r="B9" s="4">
        <v>7</v>
      </c>
      <c r="C9" s="4">
        <v>156</v>
      </c>
      <c r="T9" s="121"/>
      <c r="U9" s="122"/>
    </row>
    <row r="10" spans="2:25" ht="15.6" x14ac:dyDescent="0.3">
      <c r="B10" s="4">
        <v>8</v>
      </c>
      <c r="C10" s="4">
        <v>142</v>
      </c>
      <c r="T10" s="37" t="s">
        <v>3</v>
      </c>
      <c r="U10" s="38">
        <f>AVERAGE(R30:R65)</f>
        <v>3.5243055555554156E-3</v>
      </c>
    </row>
    <row r="11" spans="2:25" ht="15.6" x14ac:dyDescent="0.3">
      <c r="B11" s="4">
        <v>9</v>
      </c>
      <c r="C11" s="4">
        <v>157</v>
      </c>
      <c r="T11" s="37" t="s">
        <v>4</v>
      </c>
      <c r="U11" s="39" cm="1">
        <f t="array" ref="U11">AVERAGE(ABS(R30:R65))</f>
        <v>9.4760204195741632E-2</v>
      </c>
    </row>
    <row r="12" spans="2:25" ht="16.2" thickBot="1" x14ac:dyDescent="0.35">
      <c r="B12" s="4">
        <v>10</v>
      </c>
      <c r="C12" s="4">
        <v>137</v>
      </c>
      <c r="E12" s="124" t="s">
        <v>5</v>
      </c>
      <c r="F12" s="124"/>
      <c r="G12" s="124"/>
      <c r="H12" s="124"/>
      <c r="I12" s="124"/>
      <c r="J12" s="124"/>
      <c r="K12" s="124"/>
      <c r="M12" s="127" t="s">
        <v>6</v>
      </c>
      <c r="N12" s="127"/>
      <c r="O12" s="127"/>
      <c r="P12" s="127"/>
      <c r="Q12" s="127"/>
      <c r="R12" s="127"/>
      <c r="S12" s="127"/>
      <c r="T12" s="40" t="s">
        <v>7</v>
      </c>
      <c r="U12" s="41">
        <f>AVERAGE(S30:S65)</f>
        <v>4.3511642757958824E-2</v>
      </c>
    </row>
    <row r="13" spans="2:25" ht="15.6" customHeight="1" thickBot="1" x14ac:dyDescent="0.35">
      <c r="B13" s="4">
        <v>11</v>
      </c>
      <c r="C13" s="4">
        <v>126</v>
      </c>
      <c r="E13" s="123" t="s">
        <v>8</v>
      </c>
      <c r="F13" s="123"/>
      <c r="G13" s="123"/>
      <c r="H13" s="123"/>
      <c r="I13" s="123"/>
      <c r="J13" s="123"/>
      <c r="K13" s="123"/>
      <c r="M13" s="127"/>
      <c r="N13" s="127"/>
      <c r="O13" s="127"/>
      <c r="P13" s="127"/>
      <c r="Q13" s="127"/>
      <c r="R13" s="127"/>
      <c r="S13" s="127"/>
      <c r="T13" s="40" t="s">
        <v>9</v>
      </c>
      <c r="U13" s="172">
        <f>AVERAGE(T30:T77)</f>
        <v>2.4711097212655145E-2</v>
      </c>
    </row>
    <row r="14" spans="2:25" ht="15.6" x14ac:dyDescent="0.3">
      <c r="B14" s="4">
        <v>12</v>
      </c>
      <c r="C14" s="4">
        <v>171</v>
      </c>
      <c r="E14" s="123"/>
      <c r="F14" s="123"/>
      <c r="G14" s="123"/>
      <c r="H14" s="123"/>
      <c r="I14" s="123"/>
      <c r="J14" s="123"/>
      <c r="K14" s="123"/>
    </row>
    <row r="15" spans="2:25" ht="16.2" thickBot="1" x14ac:dyDescent="0.35">
      <c r="B15" s="4">
        <v>13</v>
      </c>
      <c r="C15" s="4">
        <v>183</v>
      </c>
      <c r="E15" s="123"/>
      <c r="F15" s="123"/>
      <c r="G15" s="123"/>
      <c r="H15" s="123"/>
      <c r="I15" s="123"/>
      <c r="J15" s="123"/>
      <c r="K15" s="123"/>
    </row>
    <row r="16" spans="2:25" ht="15.75" customHeight="1" x14ac:dyDescent="0.3">
      <c r="B16" s="4">
        <v>14</v>
      </c>
      <c r="C16" s="4">
        <v>172</v>
      </c>
      <c r="E16" s="123"/>
      <c r="F16" s="123"/>
      <c r="G16" s="123"/>
      <c r="H16" s="123"/>
      <c r="I16" s="123"/>
      <c r="J16" s="123"/>
      <c r="K16" s="123"/>
      <c r="Q16" s="128" t="s">
        <v>11</v>
      </c>
      <c r="R16" s="129"/>
      <c r="S16" s="129"/>
      <c r="T16" s="130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3"/>
      <c r="F17" s="123"/>
      <c r="G17" s="123"/>
      <c r="H17" s="123"/>
      <c r="I17" s="123"/>
      <c r="J17" s="123"/>
      <c r="K17" s="123"/>
      <c r="Q17" s="131" t="s">
        <v>12</v>
      </c>
      <c r="R17" s="132"/>
      <c r="S17" s="132"/>
      <c r="T17" s="133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28"/>
      <c r="J18" s="28"/>
      <c r="L18" s="126" t="s">
        <v>14</v>
      </c>
      <c r="M18" s="126"/>
      <c r="N18" s="126"/>
      <c r="O18" s="126"/>
      <c r="Q18" s="131"/>
      <c r="R18" s="132"/>
      <c r="S18" s="132"/>
      <c r="T18" s="133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28"/>
      <c r="J19" s="28"/>
      <c r="L19" s="126"/>
      <c r="M19" s="126"/>
      <c r="N19" s="126"/>
      <c r="O19" s="126"/>
      <c r="Q19" s="32" t="s">
        <v>15</v>
      </c>
      <c r="R19" s="138" t="s">
        <v>16</v>
      </c>
      <c r="S19" s="139"/>
      <c r="T19" s="140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19</v>
      </c>
      <c r="M20" s="125"/>
      <c r="N20" s="125"/>
      <c r="O20" s="125"/>
      <c r="Q20" s="32" t="s">
        <v>20</v>
      </c>
      <c r="R20" s="141"/>
      <c r="S20" s="142"/>
      <c r="T20" s="143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33" t="s">
        <v>22</v>
      </c>
      <c r="R21" s="43">
        <f>COUNT(P36:P71)</f>
        <v>36</v>
      </c>
      <c r="S21" s="134"/>
      <c r="T21" s="135"/>
      <c r="V21" s="98" t="s">
        <v>23</v>
      </c>
      <c r="W21" s="95">
        <f>CORREL(P37:P71,P36:P70)</f>
        <v>8.4465605878764737E-3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33" t="s">
        <v>24</v>
      </c>
      <c r="R22" s="19">
        <f>AVERAGE(P36:P71)</f>
        <v>4.6759259259259401E-3</v>
      </c>
      <c r="S22" s="134"/>
      <c r="T22" s="135"/>
      <c r="V22" s="98" t="s">
        <v>25</v>
      </c>
      <c r="W22" s="95">
        <f>(W21)/(1/SQRT(R21))</f>
        <v>5.0679363527258846E-2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33" t="s">
        <v>26</v>
      </c>
      <c r="R23" s="19">
        <f>_xlfn.STDEV.S(P36:P71)</f>
        <v>7.1891673359386343E-2</v>
      </c>
      <c r="S23" s="134"/>
      <c r="T23" s="135"/>
      <c r="V23" s="99" t="s">
        <v>27</v>
      </c>
      <c r="W23" s="96">
        <v>0.05</v>
      </c>
      <c r="X23" s="113"/>
      <c r="Y23" s="114"/>
    </row>
    <row r="24" spans="2:25" ht="16.2" thickBot="1" x14ac:dyDescent="0.35">
      <c r="B24" s="4">
        <v>22</v>
      </c>
      <c r="C24" s="4">
        <v>196</v>
      </c>
      <c r="L24" s="125"/>
      <c r="M24" s="125"/>
      <c r="N24" s="125"/>
      <c r="O24" s="125"/>
      <c r="Q24" s="33" t="s">
        <v>25</v>
      </c>
      <c r="R24" s="5">
        <f>R22/(R23/SQRT(R21))</f>
        <v>0.39024763570748966</v>
      </c>
      <c r="S24" s="134"/>
      <c r="T24" s="135"/>
      <c r="V24" s="100" t="s">
        <v>28</v>
      </c>
      <c r="W24" s="101" t="str">
        <f>IF(AND(W22&gt;_xlfn.NORM.INV(W23/2,0,1),W22&lt;_xlfn.NORM.INV(1-W23/2,0,1)),"H0 Accepted","H0 Rejected")</f>
        <v>H0 Accepted</v>
      </c>
      <c r="X24" s="115"/>
      <c r="Y24" s="116"/>
    </row>
    <row r="25" spans="2:25" ht="15.6" x14ac:dyDescent="0.3">
      <c r="B25" s="4">
        <v>23</v>
      </c>
      <c r="C25" s="4">
        <v>185</v>
      </c>
      <c r="F25" s="117" t="s">
        <v>29</v>
      </c>
      <c r="G25" s="13" t="s">
        <v>30</v>
      </c>
      <c r="H25" s="11">
        <f>INTERCEPT(F36:F59,B36:B59)</f>
        <v>2.1969465579710143</v>
      </c>
      <c r="Q25" s="34" t="s">
        <v>27</v>
      </c>
      <c r="R25" s="16">
        <v>0.05</v>
      </c>
      <c r="S25" s="134"/>
      <c r="T25" s="135"/>
    </row>
    <row r="26" spans="2:25" ht="16.2" thickBot="1" x14ac:dyDescent="0.35">
      <c r="B26" s="4">
        <v>24</v>
      </c>
      <c r="C26" s="4">
        <v>232</v>
      </c>
      <c r="F26" s="118"/>
      <c r="G26" s="13" t="s">
        <v>31</v>
      </c>
      <c r="H26" s="11">
        <f>SLOPE(F36:F59,B36:B59)</f>
        <v>9.0135869565217529E-3</v>
      </c>
      <c r="J26" s="15" t="s">
        <v>32</v>
      </c>
      <c r="O26" s="18" t="s">
        <v>33</v>
      </c>
      <c r="Q26" s="35" t="s">
        <v>28</v>
      </c>
      <c r="R26" s="36" t="str">
        <f>IF(AND(R24&gt;_xlfn.NORM.INV(R25/2,0,1),R24&lt;_xlfn.NORM.INV(1-R25/2,0,1)),"H0 Accepted","H0 Rejected")</f>
        <v>H0 Accepted</v>
      </c>
      <c r="S26" s="136"/>
      <c r="T26" s="137"/>
    </row>
    <row r="27" spans="2:25" x14ac:dyDescent="0.3">
      <c r="J27" s="12">
        <f>SUM(J30:J41)</f>
        <v>5.6111111111111264E-2</v>
      </c>
      <c r="L27" s="15" t="s">
        <v>27</v>
      </c>
      <c r="M27" s="16">
        <v>0.05</v>
      </c>
      <c r="O27" s="12">
        <f>SUM(O30:O41)</f>
        <v>0</v>
      </c>
    </row>
    <row r="28" spans="2:25" ht="6.6" customHeight="1" x14ac:dyDescent="0.3"/>
    <row r="29" spans="2:25" ht="29.4" customHeight="1" x14ac:dyDescent="0.3">
      <c r="B29" s="9" t="s">
        <v>0</v>
      </c>
      <c r="C29" s="9" t="s">
        <v>34</v>
      </c>
      <c r="D29" s="10" t="s">
        <v>97</v>
      </c>
      <c r="E29" s="10" t="s">
        <v>98</v>
      </c>
      <c r="F29" s="10" t="s">
        <v>37</v>
      </c>
      <c r="G29" s="10" t="s">
        <v>38</v>
      </c>
      <c r="H29" s="10" t="s">
        <v>39</v>
      </c>
      <c r="I29" s="10" t="s">
        <v>40</v>
      </c>
      <c r="J29" s="10" t="s">
        <v>41</v>
      </c>
      <c r="K29" s="10" t="s">
        <v>42</v>
      </c>
      <c r="L29" s="10" t="s">
        <v>43</v>
      </c>
      <c r="M29" s="17" t="s">
        <v>44</v>
      </c>
      <c r="N29" s="10" t="s">
        <v>45</v>
      </c>
      <c r="O29" s="10" t="s">
        <v>46</v>
      </c>
      <c r="P29" s="10" t="s">
        <v>47</v>
      </c>
      <c r="Q29" s="17" t="s">
        <v>48</v>
      </c>
      <c r="R29" s="10" t="s">
        <v>49</v>
      </c>
      <c r="S29" s="10" t="s">
        <v>50</v>
      </c>
      <c r="T29" s="10" t="s">
        <v>99</v>
      </c>
    </row>
    <row r="30" spans="2:25" x14ac:dyDescent="0.3">
      <c r="B30" s="102">
        <v>1</v>
      </c>
      <c r="C30" s="102">
        <v>1.71</v>
      </c>
      <c r="D30" s="7" t="s">
        <v>51</v>
      </c>
      <c r="E30" s="7" t="str">
        <f>IF($D30="-","-","")</f>
        <v>-</v>
      </c>
      <c r="F30" s="7" t="str">
        <f>IF($D30="-","-","")</f>
        <v>-</v>
      </c>
      <c r="G30" s="29">
        <f>$H$25+$H$26*B30</f>
        <v>2.2059601449275359</v>
      </c>
      <c r="H30" s="7" t="str">
        <f>IF($D30="-","-","")</f>
        <v>-</v>
      </c>
      <c r="I30" s="7" t="str">
        <f>IF($D30="-","-","")</f>
        <v>-</v>
      </c>
      <c r="J30" s="29">
        <f>AVERAGE(I30,I42,I54,I66)</f>
        <v>-0.49944444444444458</v>
      </c>
      <c r="K30" s="29">
        <f>_xlfn.STDEV.S(I30,I42,I54,I66)</f>
        <v>5.7518616149067128E-2</v>
      </c>
      <c r="L30" s="29">
        <f t="shared" ref="L30:L65" si="0">J30-K30*_xlfn.NORM.INV(1-$M$27/2,0,1)</f>
        <v>-0.61217886053720005</v>
      </c>
      <c r="M30" s="29">
        <f t="shared" ref="M30:M65" si="1">J30+K30*_xlfn.NORM.INV(1-$M$27/2,0,1)</f>
        <v>-0.38671002835168911</v>
      </c>
      <c r="N30" s="7" t="str">
        <f>IF($D30="-","-","")</f>
        <v>-</v>
      </c>
      <c r="O30" s="29">
        <f>J30-$J$27/COUNT($J$30:$J$41)</f>
        <v>-0.5041203703703705</v>
      </c>
      <c r="P30" s="7" t="str">
        <f>IF($D30="-","-","")</f>
        <v>-</v>
      </c>
      <c r="Q30" s="29">
        <f t="shared" ref="Q30:Q35" si="2">G30+O30</f>
        <v>1.7018397745571654</v>
      </c>
      <c r="R30" s="29">
        <f>C30-Q30</f>
        <v>8.1602254428345677E-3</v>
      </c>
      <c r="S30" s="31">
        <f>ABS(R30)/C30</f>
        <v>4.7720616624763552E-3</v>
      </c>
      <c r="T30" s="12">
        <f>R30^2</f>
        <v>6.6589279277884614E-5</v>
      </c>
    </row>
    <row r="31" spans="2:25" x14ac:dyDescent="0.3">
      <c r="B31" s="102">
        <v>2</v>
      </c>
      <c r="C31" s="102">
        <v>1.9</v>
      </c>
      <c r="D31" s="7" t="s">
        <v>51</v>
      </c>
      <c r="E31" s="7" t="str">
        <f t="shared" ref="E31:F35" si="3">IF($D31="-","-","")</f>
        <v>-</v>
      </c>
      <c r="F31" s="7" t="str">
        <f t="shared" si="3"/>
        <v>-</v>
      </c>
      <c r="G31" s="29">
        <f t="shared" ref="G31:G81" si="4">$H$25+$H$26*B31</f>
        <v>2.2149737318840579</v>
      </c>
      <c r="H31" s="7" t="str">
        <f t="shared" ref="H31:I35" si="5">IF($D31="-","-","")</f>
        <v>-</v>
      </c>
      <c r="I31" s="7" t="str">
        <f t="shared" si="5"/>
        <v>-</v>
      </c>
      <c r="J31" s="29">
        <f t="shared" ref="J31:J41" si="6">AVERAGE(I31,I43,I55,I67)</f>
        <v>-0.15541666666666668</v>
      </c>
      <c r="K31" s="29">
        <f t="shared" ref="K31:K41" si="7">_xlfn.STDEV.S(I31,I43,I55,I67)</f>
        <v>5.4357037262897354E-2</v>
      </c>
      <c r="L31" s="29">
        <f t="shared" si="0"/>
        <v>-0.26195450200824716</v>
      </c>
      <c r="M31" s="29">
        <f t="shared" si="1"/>
        <v>-4.8878831325086206E-2</v>
      </c>
      <c r="N31" s="7" t="str">
        <f t="shared" ref="N31:N35" si="8">IF($D31="-","-","")</f>
        <v>-</v>
      </c>
      <c r="O31" s="29">
        <f t="shared" ref="O31:O41" si="9">J31-$J$27/COUNT($J$30:$J$41)</f>
        <v>-0.16009259259259262</v>
      </c>
      <c r="P31" s="7" t="str">
        <f t="shared" ref="P31:P35" si="10">IF($D31="-","-","")</f>
        <v>-</v>
      </c>
      <c r="Q31" s="29">
        <f t="shared" si="2"/>
        <v>2.0548811392914654</v>
      </c>
      <c r="R31" s="29">
        <f t="shared" ref="R31:R65" si="11">C31-Q31</f>
        <v>-0.15488113929146552</v>
      </c>
      <c r="S31" s="31">
        <f t="shared" ref="S31:S65" si="12">ABS(R31)/C31</f>
        <v>8.151638910077133E-2</v>
      </c>
      <c r="T31" s="12">
        <f t="shared" ref="T31:T77" si="13">R31^2</f>
        <v>2.3988167308222345E-2</v>
      </c>
    </row>
    <row r="32" spans="2:25" x14ac:dyDescent="0.3">
      <c r="B32" s="102">
        <v>3</v>
      </c>
      <c r="C32" s="102">
        <v>2.74</v>
      </c>
      <c r="D32" s="7" t="s">
        <v>51</v>
      </c>
      <c r="E32" s="7" t="str">
        <f t="shared" si="3"/>
        <v>-</v>
      </c>
      <c r="F32" s="7" t="str">
        <f t="shared" si="3"/>
        <v>-</v>
      </c>
      <c r="G32" s="29">
        <f t="shared" si="4"/>
        <v>2.2239873188405794</v>
      </c>
      <c r="H32" s="7" t="str">
        <f t="shared" si="5"/>
        <v>-</v>
      </c>
      <c r="I32" s="7" t="str">
        <f t="shared" si="5"/>
        <v>-</v>
      </c>
      <c r="J32" s="29">
        <f t="shared" si="6"/>
        <v>0.29875000000000024</v>
      </c>
      <c r="K32" s="29">
        <f t="shared" si="7"/>
        <v>9.356092043868168E-2</v>
      </c>
      <c r="L32" s="29">
        <f t="shared" si="0"/>
        <v>0.11537396557976676</v>
      </c>
      <c r="M32" s="29">
        <f t="shared" si="1"/>
        <v>0.48212603442023372</v>
      </c>
      <c r="N32" s="7" t="str">
        <f t="shared" si="8"/>
        <v>-</v>
      </c>
      <c r="O32" s="29">
        <f t="shared" si="9"/>
        <v>0.29407407407407432</v>
      </c>
      <c r="P32" s="7" t="str">
        <f t="shared" si="10"/>
        <v>-</v>
      </c>
      <c r="Q32" s="29">
        <f t="shared" si="2"/>
        <v>2.5180613929146536</v>
      </c>
      <c r="R32" s="29">
        <f t="shared" si="11"/>
        <v>0.22193860708534663</v>
      </c>
      <c r="S32" s="31">
        <f t="shared" si="12"/>
        <v>8.0999491636987817E-2</v>
      </c>
      <c r="T32" s="12">
        <f t="shared" si="13"/>
        <v>4.925674531498387E-2</v>
      </c>
    </row>
    <row r="33" spans="2:20" x14ac:dyDescent="0.3">
      <c r="B33" s="102">
        <v>4</v>
      </c>
      <c r="C33" s="102">
        <v>4.2</v>
      </c>
      <c r="D33" s="7" t="s">
        <v>51</v>
      </c>
      <c r="E33" s="7" t="str">
        <f t="shared" si="3"/>
        <v>-</v>
      </c>
      <c r="F33" s="7" t="str">
        <f t="shared" si="3"/>
        <v>-</v>
      </c>
      <c r="G33" s="29">
        <f t="shared" si="4"/>
        <v>2.2330009057971014</v>
      </c>
      <c r="H33" s="7" t="str">
        <f t="shared" si="5"/>
        <v>-</v>
      </c>
      <c r="I33" s="7" t="str">
        <f t="shared" si="5"/>
        <v>-</v>
      </c>
      <c r="J33" s="29">
        <f t="shared" si="6"/>
        <v>1.6873611111111109</v>
      </c>
      <c r="K33" s="29">
        <f t="shared" si="7"/>
        <v>0.11127600611559083</v>
      </c>
      <c r="L33" s="29">
        <f t="shared" si="0"/>
        <v>1.4692641467810941</v>
      </c>
      <c r="M33" s="29">
        <f t="shared" si="1"/>
        <v>1.9054580754411277</v>
      </c>
      <c r="N33" s="7" t="str">
        <f t="shared" si="8"/>
        <v>-</v>
      </c>
      <c r="O33" s="29">
        <f t="shared" si="9"/>
        <v>1.682685185185185</v>
      </c>
      <c r="P33" s="7" t="str">
        <f t="shared" si="10"/>
        <v>-</v>
      </c>
      <c r="Q33" s="29">
        <f t="shared" si="2"/>
        <v>3.9156860909822866</v>
      </c>
      <c r="R33" s="29">
        <f t="shared" si="11"/>
        <v>0.28431390901771358</v>
      </c>
      <c r="S33" s="31">
        <f t="shared" si="12"/>
        <v>6.7693787861360377E-2</v>
      </c>
      <c r="T33" s="12">
        <f t="shared" si="13"/>
        <v>8.0834398860932716E-2</v>
      </c>
    </row>
    <row r="34" spans="2:20" x14ac:dyDescent="0.3">
      <c r="B34" s="102">
        <v>5</v>
      </c>
      <c r="C34" s="102">
        <v>1.45</v>
      </c>
      <c r="D34" s="7" t="s">
        <v>51</v>
      </c>
      <c r="E34" s="7" t="str">
        <f t="shared" si="3"/>
        <v>-</v>
      </c>
      <c r="F34" s="7" t="str">
        <f t="shared" si="3"/>
        <v>-</v>
      </c>
      <c r="G34" s="29">
        <f t="shared" si="4"/>
        <v>2.242014492753623</v>
      </c>
      <c r="H34" s="7" t="str">
        <f t="shared" si="5"/>
        <v>-</v>
      </c>
      <c r="I34" s="7" t="str">
        <f t="shared" si="5"/>
        <v>-</v>
      </c>
      <c r="J34" s="29">
        <f t="shared" si="6"/>
        <v>-0.10749999999999993</v>
      </c>
      <c r="K34" s="29">
        <f t="shared" si="7"/>
        <v>5.8527949163910832E-2</v>
      </c>
      <c r="L34" s="29">
        <f t="shared" si="0"/>
        <v>-0.2222126724502563</v>
      </c>
      <c r="M34" s="29">
        <f t="shared" si="1"/>
        <v>7.2126724502564465E-3</v>
      </c>
      <c r="N34" s="7" t="str">
        <f t="shared" si="8"/>
        <v>-</v>
      </c>
      <c r="O34" s="29">
        <f t="shared" si="9"/>
        <v>-0.11217592592592587</v>
      </c>
      <c r="P34" s="7" t="str">
        <f t="shared" si="10"/>
        <v>-</v>
      </c>
      <c r="Q34" s="29">
        <f t="shared" si="2"/>
        <v>2.1298385668276971</v>
      </c>
      <c r="R34" s="29">
        <f t="shared" si="11"/>
        <v>-0.67983856682769717</v>
      </c>
      <c r="S34" s="31">
        <f t="shared" si="12"/>
        <v>0.46885418401910151</v>
      </c>
      <c r="T34" s="12">
        <f t="shared" si="13"/>
        <v>0.46218047694633729</v>
      </c>
    </row>
    <row r="35" spans="2:20" s="14" customFormat="1" ht="15" thickBot="1" x14ac:dyDescent="0.35">
      <c r="B35" s="102">
        <v>6</v>
      </c>
      <c r="C35" s="102">
        <v>1.8</v>
      </c>
      <c r="D35" s="7" t="s">
        <v>51</v>
      </c>
      <c r="E35" s="7" t="str">
        <f t="shared" si="3"/>
        <v>-</v>
      </c>
      <c r="F35" s="7" t="str">
        <f t="shared" si="3"/>
        <v>-</v>
      </c>
      <c r="G35" s="29">
        <f t="shared" si="4"/>
        <v>2.251028079710145</v>
      </c>
      <c r="H35" s="7" t="str">
        <f t="shared" si="5"/>
        <v>-</v>
      </c>
      <c r="I35" s="7" t="str">
        <f t="shared" si="5"/>
        <v>-</v>
      </c>
      <c r="J35" s="29">
        <f t="shared" si="6"/>
        <v>-0.44722222222222241</v>
      </c>
      <c r="K35" s="29">
        <f t="shared" si="7"/>
        <v>7.3930256799028524E-2</v>
      </c>
      <c r="L35" s="29">
        <f t="shared" si="0"/>
        <v>-0.59212286291611571</v>
      </c>
      <c r="M35" s="29">
        <f t="shared" si="1"/>
        <v>-0.30232158152832911</v>
      </c>
      <c r="N35" s="7" t="str">
        <f t="shared" si="8"/>
        <v>-</v>
      </c>
      <c r="O35" s="29">
        <f t="shared" si="9"/>
        <v>-0.45189814814814833</v>
      </c>
      <c r="P35" s="7" t="str">
        <f t="shared" si="10"/>
        <v>-</v>
      </c>
      <c r="Q35" s="29">
        <f t="shared" si="2"/>
        <v>1.7991299315619966</v>
      </c>
      <c r="R35" s="29">
        <f t="shared" si="11"/>
        <v>8.7006843800341294E-4</v>
      </c>
      <c r="S35" s="31">
        <f t="shared" si="12"/>
        <v>4.8337135444634051E-4</v>
      </c>
      <c r="T35" s="12">
        <f t="shared" si="13"/>
        <v>7.5701908680969881E-7</v>
      </c>
    </row>
    <row r="36" spans="2:20" x14ac:dyDescent="0.3">
      <c r="B36" s="102">
        <v>7</v>
      </c>
      <c r="C36" s="102">
        <v>2.0299999999999998</v>
      </c>
      <c r="D36" s="7">
        <f>SUM(C31:C42)/12</f>
        <v>2.2574999999999998</v>
      </c>
      <c r="E36" s="7">
        <f>SUM(C30:C41)/12</f>
        <v>2.2416666666666667</v>
      </c>
      <c r="F36" s="8">
        <f t="shared" ref="F36:F59" si="14">AVERAGE(D36:E36)</f>
        <v>2.2495833333333333</v>
      </c>
      <c r="G36" s="29">
        <f t="shared" si="4"/>
        <v>2.2600416666666665</v>
      </c>
      <c r="H36" s="29">
        <f t="shared" ref="H36:H59" si="15">F36-G36</f>
        <v>-1.0458333333333236E-2</v>
      </c>
      <c r="I36" s="29">
        <f>C36-F36</f>
        <v>-0.21958333333333346</v>
      </c>
      <c r="J36" s="29">
        <f t="shared" si="6"/>
        <v>-0.21583333333333346</v>
      </c>
      <c r="K36" s="29">
        <f t="shared" si="7"/>
        <v>0.1165036062865771</v>
      </c>
      <c r="L36" s="29">
        <f t="shared" si="0"/>
        <v>-0.44417620572405875</v>
      </c>
      <c r="M36" s="29">
        <f t="shared" si="1"/>
        <v>1.2509539057391827E-2</v>
      </c>
      <c r="N36" s="30" t="str">
        <f t="shared" ref="N36:N71" si="16">IF(AND(I36&gt;L36,I36&lt;M36),"OK","NOT OK")</f>
        <v>OK</v>
      </c>
      <c r="O36" s="29">
        <f t="shared" si="9"/>
        <v>-0.2205092592592594</v>
      </c>
      <c r="P36" s="29">
        <f t="shared" ref="P36:P71" si="17">IF(D36="-",0,I36-O36)</f>
        <v>9.2592592592594114E-4</v>
      </c>
      <c r="Q36" s="29">
        <f>G36+O36</f>
        <v>2.0395324074074073</v>
      </c>
      <c r="R36" s="29">
        <f t="shared" si="11"/>
        <v>-9.5324074074074616E-3</v>
      </c>
      <c r="S36" s="31">
        <f t="shared" si="12"/>
        <v>4.6957671957672227E-3</v>
      </c>
      <c r="T36" s="12">
        <f t="shared" si="13"/>
        <v>9.0866790980796642E-5</v>
      </c>
    </row>
    <row r="37" spans="2:20" x14ac:dyDescent="0.3">
      <c r="B37" s="102">
        <v>8</v>
      </c>
      <c r="C37" s="102">
        <v>1.99</v>
      </c>
      <c r="D37" s="7">
        <f t="shared" ref="D37:D59" si="18">SUM(C32:C43)/12</f>
        <v>2.2766666666666664</v>
      </c>
      <c r="E37" s="7">
        <f t="shared" ref="E37:E59" si="19">SUM(C31:C42)/12</f>
        <v>2.2574999999999998</v>
      </c>
      <c r="F37" s="8">
        <f t="shared" si="14"/>
        <v>2.2670833333333329</v>
      </c>
      <c r="G37" s="29">
        <f t="shared" si="4"/>
        <v>2.2690552536231885</v>
      </c>
      <c r="H37" s="29">
        <f t="shared" si="15"/>
        <v>-1.9719202898555999E-3</v>
      </c>
      <c r="I37" s="29">
        <f t="shared" ref="I37:I59" si="20">C37-F37</f>
        <v>-0.2770833333333329</v>
      </c>
      <c r="J37" s="29">
        <f t="shared" si="6"/>
        <v>-0.16333333333333319</v>
      </c>
      <c r="K37" s="29">
        <f t="shared" si="7"/>
        <v>0.10056179001544809</v>
      </c>
      <c r="L37" s="29">
        <f t="shared" si="0"/>
        <v>-0.360430819984491</v>
      </c>
      <c r="M37" s="29">
        <f t="shared" si="1"/>
        <v>3.3764153317824619E-2</v>
      </c>
      <c r="N37" s="30" t="str">
        <f t="shared" si="16"/>
        <v>OK</v>
      </c>
      <c r="O37" s="29">
        <f t="shared" si="9"/>
        <v>-0.16800925925925914</v>
      </c>
      <c r="P37" s="29">
        <f t="shared" si="17"/>
        <v>-0.10907407407407377</v>
      </c>
      <c r="Q37" s="29">
        <f t="shared" ref="Q37:Q65" si="21">G37+O37</f>
        <v>2.1010459943639295</v>
      </c>
      <c r="R37" s="29">
        <f t="shared" si="11"/>
        <v>-0.11104599436392948</v>
      </c>
      <c r="S37" s="31">
        <f t="shared" si="12"/>
        <v>5.5802007218055012E-2</v>
      </c>
      <c r="T37" s="12">
        <f t="shared" si="13"/>
        <v>1.2331212864273857E-2</v>
      </c>
    </row>
    <row r="38" spans="2:20" x14ac:dyDescent="0.3">
      <c r="B38" s="102">
        <v>9</v>
      </c>
      <c r="C38" s="102">
        <v>2.3199999999999998</v>
      </c>
      <c r="D38" s="7">
        <f t="shared" si="18"/>
        <v>2.2616666666666663</v>
      </c>
      <c r="E38" s="7">
        <f t="shared" si="19"/>
        <v>2.2766666666666664</v>
      </c>
      <c r="F38" s="8">
        <f t="shared" si="14"/>
        <v>2.2691666666666661</v>
      </c>
      <c r="G38" s="29">
        <f t="shared" si="4"/>
        <v>2.27806884057971</v>
      </c>
      <c r="H38" s="29">
        <f t="shared" si="15"/>
        <v>-8.9021739130439315E-3</v>
      </c>
      <c r="I38" s="29">
        <f t="shared" si="20"/>
        <v>5.083333333333373E-2</v>
      </c>
      <c r="J38" s="29">
        <f t="shared" si="6"/>
        <v>2.7916666666666739E-2</v>
      </c>
      <c r="K38" s="29">
        <f t="shared" si="7"/>
        <v>1.9873733362853328E-2</v>
      </c>
      <c r="L38" s="29">
        <f t="shared" si="0"/>
        <v>-1.1035134962877866E-2</v>
      </c>
      <c r="M38" s="29">
        <f t="shared" si="1"/>
        <v>6.6868468296211347E-2</v>
      </c>
      <c r="N38" s="30" t="str">
        <f t="shared" si="16"/>
        <v>OK</v>
      </c>
      <c r="O38" s="29">
        <f t="shared" si="9"/>
        <v>2.3240740740740801E-2</v>
      </c>
      <c r="P38" s="29">
        <f t="shared" si="17"/>
        <v>2.7592592592592929E-2</v>
      </c>
      <c r="Q38" s="29">
        <f t="shared" si="21"/>
        <v>2.3013095813204507</v>
      </c>
      <c r="R38" s="29">
        <f t="shared" si="11"/>
        <v>1.8690418679549126E-2</v>
      </c>
      <c r="S38" s="31">
        <f t="shared" si="12"/>
        <v>8.0562149480815203E-3</v>
      </c>
      <c r="T38" s="12">
        <f t="shared" si="13"/>
        <v>3.4933175041683889E-4</v>
      </c>
    </row>
    <row r="39" spans="2:20" x14ac:dyDescent="0.3">
      <c r="B39" s="102">
        <v>10</v>
      </c>
      <c r="C39" s="102">
        <v>2.2000000000000002</v>
      </c>
      <c r="D39" s="7">
        <f t="shared" si="18"/>
        <v>2.2583333333333329</v>
      </c>
      <c r="E39" s="7">
        <f t="shared" si="19"/>
        <v>2.2616666666666663</v>
      </c>
      <c r="F39" s="8">
        <f t="shared" si="14"/>
        <v>2.2599999999999998</v>
      </c>
      <c r="G39" s="29">
        <f t="shared" si="4"/>
        <v>2.287082427536232</v>
      </c>
      <c r="H39" s="29">
        <f t="shared" si="15"/>
        <v>-2.7082427536232245E-2</v>
      </c>
      <c r="I39" s="29">
        <f t="shared" si="20"/>
        <v>-5.9999999999999609E-2</v>
      </c>
      <c r="J39" s="29">
        <f t="shared" si="6"/>
        <v>-0.15069444444444433</v>
      </c>
      <c r="K39" s="29">
        <f t="shared" si="7"/>
        <v>9.0417946739530741E-2</v>
      </c>
      <c r="L39" s="29">
        <f t="shared" si="0"/>
        <v>-0.32791036360998538</v>
      </c>
      <c r="M39" s="29">
        <f t="shared" si="1"/>
        <v>2.6521474721096699E-2</v>
      </c>
      <c r="N39" s="30" t="str">
        <f t="shared" si="16"/>
        <v>OK</v>
      </c>
      <c r="O39" s="29">
        <f t="shared" si="9"/>
        <v>-0.15537037037037027</v>
      </c>
      <c r="P39" s="29">
        <f t="shared" si="17"/>
        <v>9.5370370370370661E-2</v>
      </c>
      <c r="Q39" s="29">
        <f t="shared" si="21"/>
        <v>2.1317120571658617</v>
      </c>
      <c r="R39" s="29">
        <f t="shared" si="11"/>
        <v>6.8287942834138526E-2</v>
      </c>
      <c r="S39" s="31">
        <f t="shared" si="12"/>
        <v>3.1039974015517509E-2</v>
      </c>
      <c r="T39" s="12">
        <f t="shared" si="13"/>
        <v>4.6632431365185717E-3</v>
      </c>
    </row>
    <row r="40" spans="2:20" x14ac:dyDescent="0.3">
      <c r="B40" s="102">
        <v>11</v>
      </c>
      <c r="C40" s="102">
        <v>2.13</v>
      </c>
      <c r="D40" s="7">
        <f t="shared" si="18"/>
        <v>2.3299999999999996</v>
      </c>
      <c r="E40" s="7">
        <f t="shared" si="19"/>
        <v>2.2583333333333329</v>
      </c>
      <c r="F40" s="8">
        <f t="shared" si="14"/>
        <v>2.2941666666666665</v>
      </c>
      <c r="G40" s="29">
        <f t="shared" si="4"/>
        <v>2.2960960144927536</v>
      </c>
      <c r="H40" s="29">
        <f t="shared" si="15"/>
        <v>-1.9293478260871133E-3</v>
      </c>
      <c r="I40" s="29">
        <f t="shared" si="20"/>
        <v>-0.16416666666666657</v>
      </c>
      <c r="J40" s="29">
        <f t="shared" si="6"/>
        <v>-0.15486111111111103</v>
      </c>
      <c r="K40" s="29">
        <f t="shared" si="7"/>
        <v>4.5100838663467563E-2</v>
      </c>
      <c r="L40" s="29">
        <f t="shared" si="0"/>
        <v>-0.24325713056405901</v>
      </c>
      <c r="M40" s="29">
        <f t="shared" si="1"/>
        <v>-6.6465091658163042E-2</v>
      </c>
      <c r="N40" s="30" t="str">
        <f t="shared" si="16"/>
        <v>OK</v>
      </c>
      <c r="O40" s="29">
        <f t="shared" si="9"/>
        <v>-0.15953703703703698</v>
      </c>
      <c r="P40" s="29">
        <f t="shared" si="17"/>
        <v>-4.6296296296295947E-3</v>
      </c>
      <c r="Q40" s="29">
        <f t="shared" si="21"/>
        <v>2.1365589774557168</v>
      </c>
      <c r="R40" s="29">
        <f t="shared" si="11"/>
        <v>-6.5589774557168745E-3</v>
      </c>
      <c r="S40" s="31">
        <f t="shared" si="12"/>
        <v>3.0793321388342134E-3</v>
      </c>
      <c r="T40" s="12">
        <f t="shared" si="13"/>
        <v>4.3020185264602208E-5</v>
      </c>
    </row>
    <row r="41" spans="2:20" s="14" customFormat="1" ht="15" thickBot="1" x14ac:dyDescent="0.35">
      <c r="B41" s="102">
        <v>12</v>
      </c>
      <c r="C41" s="102">
        <v>2.4300000000000002</v>
      </c>
      <c r="D41" s="7">
        <f t="shared" si="18"/>
        <v>2.3374999999999999</v>
      </c>
      <c r="E41" s="7">
        <f t="shared" si="19"/>
        <v>2.3299999999999996</v>
      </c>
      <c r="F41" s="8">
        <f t="shared" si="14"/>
        <v>2.3337499999999998</v>
      </c>
      <c r="G41" s="29">
        <f t="shared" si="4"/>
        <v>2.3051096014492756</v>
      </c>
      <c r="H41" s="29">
        <f t="shared" si="15"/>
        <v>2.86403985507242E-2</v>
      </c>
      <c r="I41" s="29">
        <f t="shared" si="20"/>
        <v>9.6250000000000391E-2</v>
      </c>
      <c r="J41" s="29">
        <f t="shared" si="6"/>
        <v>-6.3611111111110993E-2</v>
      </c>
      <c r="K41" s="29">
        <f t="shared" si="7"/>
        <v>0.1409493687003851</v>
      </c>
      <c r="L41" s="29">
        <f t="shared" si="0"/>
        <v>-0.3398667974075229</v>
      </c>
      <c r="M41" s="29">
        <f t="shared" si="1"/>
        <v>0.21264457518530089</v>
      </c>
      <c r="N41" s="30" t="str">
        <f t="shared" si="16"/>
        <v>OK</v>
      </c>
      <c r="O41" s="29">
        <f t="shared" si="9"/>
        <v>-6.8287037037036938E-2</v>
      </c>
      <c r="P41" s="29">
        <f t="shared" si="17"/>
        <v>0.16453703703703731</v>
      </c>
      <c r="Q41" s="29">
        <f t="shared" si="21"/>
        <v>2.2368225644122388</v>
      </c>
      <c r="R41" s="29">
        <f t="shared" si="11"/>
        <v>0.19317743558776135</v>
      </c>
      <c r="S41" s="31">
        <f t="shared" si="12"/>
        <v>7.9496887073152819E-2</v>
      </c>
      <c r="T41" s="12">
        <f t="shared" si="13"/>
        <v>3.7317521620263687E-2</v>
      </c>
    </row>
    <row r="42" spans="2:20" x14ac:dyDescent="0.3">
      <c r="B42" s="102">
        <v>13</v>
      </c>
      <c r="C42" s="102">
        <v>1.9</v>
      </c>
      <c r="D42" s="7">
        <f t="shared" si="18"/>
        <v>2.3366666666666664</v>
      </c>
      <c r="E42" s="7">
        <f t="shared" si="19"/>
        <v>2.3374999999999999</v>
      </c>
      <c r="F42" s="8">
        <f t="shared" si="14"/>
        <v>2.3370833333333332</v>
      </c>
      <c r="G42" s="29">
        <f t="shared" si="4"/>
        <v>2.3141231884057971</v>
      </c>
      <c r="H42" s="29">
        <f t="shared" si="15"/>
        <v>2.2960144927536064E-2</v>
      </c>
      <c r="I42" s="29">
        <f t="shared" si="20"/>
        <v>-0.43708333333333327</v>
      </c>
      <c r="J42" s="29">
        <f>J30</f>
        <v>-0.49944444444444458</v>
      </c>
      <c r="K42" s="29">
        <f>K30</f>
        <v>5.7518616149067128E-2</v>
      </c>
      <c r="L42" s="29">
        <f t="shared" si="0"/>
        <v>-0.61217886053720005</v>
      </c>
      <c r="M42" s="29">
        <f t="shared" si="1"/>
        <v>-0.38671002835168911</v>
      </c>
      <c r="N42" s="30" t="str">
        <f t="shared" si="16"/>
        <v>OK</v>
      </c>
      <c r="O42" s="29">
        <f>O30</f>
        <v>-0.5041203703703705</v>
      </c>
      <c r="P42" s="29">
        <f t="shared" si="17"/>
        <v>6.7037037037037228E-2</v>
      </c>
      <c r="Q42" s="29">
        <f t="shared" si="21"/>
        <v>1.8100028180354266</v>
      </c>
      <c r="R42" s="29">
        <f t="shared" si="11"/>
        <v>8.9997181964573292E-2</v>
      </c>
      <c r="S42" s="31">
        <f t="shared" si="12"/>
        <v>4.7366937876091211E-2</v>
      </c>
      <c r="T42" s="12">
        <f t="shared" si="13"/>
        <v>8.0994927615645161E-3</v>
      </c>
    </row>
    <row r="43" spans="2:20" x14ac:dyDescent="0.3">
      <c r="B43" s="102">
        <v>14</v>
      </c>
      <c r="C43" s="102">
        <v>2.13</v>
      </c>
      <c r="D43" s="7">
        <f t="shared" si="18"/>
        <v>2.3566666666666665</v>
      </c>
      <c r="E43" s="7">
        <f t="shared" si="19"/>
        <v>2.3366666666666664</v>
      </c>
      <c r="F43" s="8">
        <f t="shared" si="14"/>
        <v>2.3466666666666667</v>
      </c>
      <c r="G43" s="29">
        <f t="shared" si="4"/>
        <v>2.3231367753623191</v>
      </c>
      <c r="H43" s="29">
        <f t="shared" si="15"/>
        <v>2.3529891304347572E-2</v>
      </c>
      <c r="I43" s="29">
        <f t="shared" si="20"/>
        <v>-0.21666666666666679</v>
      </c>
      <c r="J43" s="29">
        <f t="shared" ref="J43:K58" si="22">J31</f>
        <v>-0.15541666666666668</v>
      </c>
      <c r="K43" s="29">
        <f t="shared" si="22"/>
        <v>5.4357037262897354E-2</v>
      </c>
      <c r="L43" s="29">
        <f t="shared" si="0"/>
        <v>-0.26195450200824716</v>
      </c>
      <c r="M43" s="29">
        <f t="shared" si="1"/>
        <v>-4.8878831325086206E-2</v>
      </c>
      <c r="N43" s="30" t="str">
        <f t="shared" si="16"/>
        <v>OK</v>
      </c>
      <c r="O43" s="29">
        <f t="shared" ref="O43:O81" si="23">O31</f>
        <v>-0.16009259259259262</v>
      </c>
      <c r="P43" s="29">
        <f t="shared" si="17"/>
        <v>-5.6574074074074165E-2</v>
      </c>
      <c r="Q43" s="29">
        <f t="shared" si="21"/>
        <v>2.1630441827697267</v>
      </c>
      <c r="R43" s="29">
        <f t="shared" si="11"/>
        <v>-3.304418276972676E-2</v>
      </c>
      <c r="S43" s="31">
        <f t="shared" si="12"/>
        <v>1.5513700830857634E-2</v>
      </c>
      <c r="T43" s="12">
        <f t="shared" si="13"/>
        <v>1.0919180149191068E-3</v>
      </c>
    </row>
    <row r="44" spans="2:20" x14ac:dyDescent="0.3">
      <c r="B44" s="102">
        <v>15</v>
      </c>
      <c r="C44" s="102">
        <v>2.56</v>
      </c>
      <c r="D44" s="7">
        <f t="shared" si="18"/>
        <v>2.3624999999999998</v>
      </c>
      <c r="E44" s="7">
        <f t="shared" si="19"/>
        <v>2.3566666666666665</v>
      </c>
      <c r="F44" s="8">
        <f t="shared" si="14"/>
        <v>2.3595833333333331</v>
      </c>
      <c r="G44" s="29">
        <f t="shared" si="4"/>
        <v>2.3321503623188407</v>
      </c>
      <c r="H44" s="29">
        <f t="shared" si="15"/>
        <v>2.7432971014492491E-2</v>
      </c>
      <c r="I44" s="29">
        <f t="shared" si="20"/>
        <v>0.20041666666666691</v>
      </c>
      <c r="J44" s="29">
        <f t="shared" si="22"/>
        <v>0.29875000000000024</v>
      </c>
      <c r="K44" s="29">
        <f t="shared" si="22"/>
        <v>9.356092043868168E-2</v>
      </c>
      <c r="L44" s="29">
        <f t="shared" si="0"/>
        <v>0.11537396557976676</v>
      </c>
      <c r="M44" s="29">
        <f t="shared" si="1"/>
        <v>0.48212603442023372</v>
      </c>
      <c r="N44" s="30" t="str">
        <f t="shared" si="16"/>
        <v>OK</v>
      </c>
      <c r="O44" s="29">
        <f t="shared" si="23"/>
        <v>0.29407407407407432</v>
      </c>
      <c r="P44" s="29">
        <f t="shared" si="17"/>
        <v>-9.3657407407407411E-2</v>
      </c>
      <c r="Q44" s="29">
        <f t="shared" si="21"/>
        <v>2.6262244363929148</v>
      </c>
      <c r="R44" s="29">
        <f t="shared" si="11"/>
        <v>-6.6224436392914754E-2</v>
      </c>
      <c r="S44" s="31">
        <f t="shared" si="12"/>
        <v>2.5868920465982326E-2</v>
      </c>
      <c r="T44" s="12">
        <f t="shared" si="13"/>
        <v>4.3856759755592119E-3</v>
      </c>
    </row>
    <row r="45" spans="2:20" x14ac:dyDescent="0.3">
      <c r="B45" s="102">
        <v>16</v>
      </c>
      <c r="C45" s="102">
        <v>4.16</v>
      </c>
      <c r="D45" s="7">
        <f t="shared" si="18"/>
        <v>2.3575000000000004</v>
      </c>
      <c r="E45" s="7">
        <f t="shared" si="19"/>
        <v>2.3624999999999998</v>
      </c>
      <c r="F45" s="8">
        <f t="shared" si="14"/>
        <v>2.3600000000000003</v>
      </c>
      <c r="G45" s="29">
        <f t="shared" si="4"/>
        <v>2.3411639492753622</v>
      </c>
      <c r="H45" s="29">
        <f t="shared" si="15"/>
        <v>1.883605072463812E-2</v>
      </c>
      <c r="I45" s="29">
        <f t="shared" si="20"/>
        <v>1.7999999999999998</v>
      </c>
      <c r="J45" s="29">
        <f t="shared" si="22"/>
        <v>1.6873611111111109</v>
      </c>
      <c r="K45" s="29">
        <f t="shared" si="22"/>
        <v>0.11127600611559083</v>
      </c>
      <c r="L45" s="29">
        <f t="shared" si="0"/>
        <v>1.4692641467810941</v>
      </c>
      <c r="M45" s="29">
        <f t="shared" si="1"/>
        <v>1.9054580754411277</v>
      </c>
      <c r="N45" s="30" t="str">
        <f t="shared" si="16"/>
        <v>OK</v>
      </c>
      <c r="O45" s="29">
        <f t="shared" si="23"/>
        <v>1.682685185185185</v>
      </c>
      <c r="P45" s="29">
        <f t="shared" si="17"/>
        <v>0.11731481481481487</v>
      </c>
      <c r="Q45" s="29">
        <f t="shared" si="21"/>
        <v>4.0238491344605469</v>
      </c>
      <c r="R45" s="29">
        <f t="shared" si="11"/>
        <v>0.13615086553945321</v>
      </c>
      <c r="S45" s="31">
        <f t="shared" si="12"/>
        <v>3.2728573446983947E-2</v>
      </c>
      <c r="T45" s="12">
        <f t="shared" si="13"/>
        <v>1.8537058187142269E-2</v>
      </c>
    </row>
    <row r="46" spans="2:20" x14ac:dyDescent="0.3">
      <c r="B46" s="102">
        <v>17</v>
      </c>
      <c r="C46" s="102">
        <v>2.31</v>
      </c>
      <c r="D46" s="7">
        <f t="shared" si="18"/>
        <v>2.3691666666666666</v>
      </c>
      <c r="E46" s="7">
        <f t="shared" si="19"/>
        <v>2.3575000000000004</v>
      </c>
      <c r="F46" s="8">
        <f t="shared" si="14"/>
        <v>2.3633333333333333</v>
      </c>
      <c r="G46" s="29">
        <f t="shared" si="4"/>
        <v>2.3501775362318842</v>
      </c>
      <c r="H46" s="29">
        <f t="shared" si="15"/>
        <v>1.3155797101449096E-2</v>
      </c>
      <c r="I46" s="29">
        <f t="shared" si="20"/>
        <v>-5.3333333333333233E-2</v>
      </c>
      <c r="J46" s="29">
        <f t="shared" si="22"/>
        <v>-0.10749999999999993</v>
      </c>
      <c r="K46" s="29">
        <f t="shared" si="22"/>
        <v>5.8527949163910832E-2</v>
      </c>
      <c r="L46" s="29">
        <f t="shared" si="0"/>
        <v>-0.2222126724502563</v>
      </c>
      <c r="M46" s="29">
        <f t="shared" si="1"/>
        <v>7.2126724502564465E-3</v>
      </c>
      <c r="N46" s="30" t="str">
        <f t="shared" si="16"/>
        <v>OK</v>
      </c>
      <c r="O46" s="29">
        <f t="shared" si="23"/>
        <v>-0.11217592592592587</v>
      </c>
      <c r="P46" s="29">
        <f t="shared" si="17"/>
        <v>5.8842592592592641E-2</v>
      </c>
      <c r="Q46" s="29">
        <f t="shared" si="21"/>
        <v>2.2380016103059583</v>
      </c>
      <c r="R46" s="29">
        <f t="shared" si="11"/>
        <v>7.1998389694041709E-2</v>
      </c>
      <c r="S46" s="31">
        <f t="shared" si="12"/>
        <v>3.116813406668472E-2</v>
      </c>
      <c r="T46" s="12">
        <f t="shared" si="13"/>
        <v>5.1837681185350915E-3</v>
      </c>
    </row>
    <row r="47" spans="2:20" s="14" customFormat="1" ht="15" thickBot="1" x14ac:dyDescent="0.35">
      <c r="B47" s="102">
        <v>18</v>
      </c>
      <c r="C47" s="102">
        <v>1.89</v>
      </c>
      <c r="D47" s="7">
        <f t="shared" si="18"/>
        <v>2.3508333333333336</v>
      </c>
      <c r="E47" s="7">
        <f t="shared" si="19"/>
        <v>2.3691666666666666</v>
      </c>
      <c r="F47" s="8">
        <f t="shared" si="14"/>
        <v>2.3600000000000003</v>
      </c>
      <c r="G47" s="29">
        <f t="shared" si="4"/>
        <v>2.3591911231884057</v>
      </c>
      <c r="H47" s="29">
        <f t="shared" si="15"/>
        <v>8.0887681159458324E-4</v>
      </c>
      <c r="I47" s="29">
        <f t="shared" si="20"/>
        <v>-0.47000000000000042</v>
      </c>
      <c r="J47" s="29">
        <f t="shared" si="22"/>
        <v>-0.44722222222222241</v>
      </c>
      <c r="K47" s="29">
        <f t="shared" si="22"/>
        <v>7.3930256799028524E-2</v>
      </c>
      <c r="L47" s="29">
        <f t="shared" si="0"/>
        <v>-0.59212286291611571</v>
      </c>
      <c r="M47" s="29">
        <f t="shared" si="1"/>
        <v>-0.30232158152832911</v>
      </c>
      <c r="N47" s="30" t="str">
        <f t="shared" si="16"/>
        <v>OK</v>
      </c>
      <c r="O47" s="29">
        <f t="shared" si="23"/>
        <v>-0.45189814814814833</v>
      </c>
      <c r="P47" s="29">
        <f t="shared" si="17"/>
        <v>-1.8101851851852091E-2</v>
      </c>
      <c r="Q47" s="29">
        <f t="shared" si="21"/>
        <v>1.9072929750402574</v>
      </c>
      <c r="R47" s="29">
        <f t="shared" si="11"/>
        <v>-1.7292975040257508E-2</v>
      </c>
      <c r="S47" s="31">
        <f t="shared" si="12"/>
        <v>9.1497222435224911E-3</v>
      </c>
      <c r="T47" s="12">
        <f t="shared" si="13"/>
        <v>2.9904698574296915E-4</v>
      </c>
    </row>
    <row r="48" spans="2:20" x14ac:dyDescent="0.3">
      <c r="B48" s="102">
        <v>19</v>
      </c>
      <c r="C48" s="102">
        <v>2.02</v>
      </c>
      <c r="D48" s="7">
        <f t="shared" si="18"/>
        <v>2.35</v>
      </c>
      <c r="E48" s="7">
        <f t="shared" si="19"/>
        <v>2.3508333333333336</v>
      </c>
      <c r="F48" s="8">
        <f t="shared" si="14"/>
        <v>2.3504166666666668</v>
      </c>
      <c r="G48" s="29">
        <f t="shared" si="4"/>
        <v>2.3682047101449277</v>
      </c>
      <c r="H48" s="29">
        <f t="shared" si="15"/>
        <v>-1.7788043478260906E-2</v>
      </c>
      <c r="I48" s="29">
        <f t="shared" si="20"/>
        <v>-0.3304166666666668</v>
      </c>
      <c r="J48" s="29">
        <f t="shared" si="22"/>
        <v>-0.21583333333333346</v>
      </c>
      <c r="K48" s="29">
        <f t="shared" si="22"/>
        <v>0.1165036062865771</v>
      </c>
      <c r="L48" s="29">
        <f t="shared" si="0"/>
        <v>-0.44417620572405875</v>
      </c>
      <c r="M48" s="29">
        <f t="shared" si="1"/>
        <v>1.2509539057391827E-2</v>
      </c>
      <c r="N48" s="30" t="str">
        <f t="shared" si="16"/>
        <v>OK</v>
      </c>
      <c r="O48" s="29">
        <f t="shared" si="23"/>
        <v>-0.2205092592592594</v>
      </c>
      <c r="P48" s="29">
        <f t="shared" si="17"/>
        <v>-0.1099074074074074</v>
      </c>
      <c r="Q48" s="29">
        <f t="shared" si="21"/>
        <v>2.1476954508856685</v>
      </c>
      <c r="R48" s="29">
        <f t="shared" si="11"/>
        <v>-0.12769545088566847</v>
      </c>
      <c r="S48" s="31">
        <f t="shared" si="12"/>
        <v>6.3215569745380437E-2</v>
      </c>
      <c r="T48" s="12">
        <f t="shared" si="13"/>
        <v>1.6306128176894169E-2</v>
      </c>
    </row>
    <row r="49" spans="2:20" x14ac:dyDescent="0.3">
      <c r="B49" s="102">
        <v>20</v>
      </c>
      <c r="C49" s="102">
        <v>2.23</v>
      </c>
      <c r="D49" s="7">
        <f t="shared" si="18"/>
        <v>2.3633333333333337</v>
      </c>
      <c r="E49" s="7">
        <f t="shared" si="19"/>
        <v>2.35</v>
      </c>
      <c r="F49" s="8">
        <f t="shared" si="14"/>
        <v>2.3566666666666669</v>
      </c>
      <c r="G49" s="29">
        <f t="shared" si="4"/>
        <v>2.3772182971014493</v>
      </c>
      <c r="H49" s="29">
        <f t="shared" si="15"/>
        <v>-2.0551630434782364E-2</v>
      </c>
      <c r="I49" s="29">
        <f t="shared" si="20"/>
        <v>-0.12666666666666693</v>
      </c>
      <c r="J49" s="29">
        <f t="shared" si="22"/>
        <v>-0.16333333333333319</v>
      </c>
      <c r="K49" s="29">
        <f t="shared" si="22"/>
        <v>0.10056179001544809</v>
      </c>
      <c r="L49" s="29">
        <f t="shared" si="0"/>
        <v>-0.360430819984491</v>
      </c>
      <c r="M49" s="29">
        <f t="shared" si="1"/>
        <v>3.3764153317824619E-2</v>
      </c>
      <c r="N49" s="30" t="str">
        <f t="shared" si="16"/>
        <v>OK</v>
      </c>
      <c r="O49" s="29">
        <f t="shared" si="23"/>
        <v>-0.16800925925925914</v>
      </c>
      <c r="P49" s="29">
        <f t="shared" si="17"/>
        <v>4.1342592592592209E-2</v>
      </c>
      <c r="Q49" s="29">
        <f t="shared" si="21"/>
        <v>2.2092090378421902</v>
      </c>
      <c r="R49" s="29">
        <f t="shared" si="11"/>
        <v>2.0790962157809734E-2</v>
      </c>
      <c r="S49" s="31">
        <f t="shared" si="12"/>
        <v>9.3233014160581766E-3</v>
      </c>
      <c r="T49" s="12">
        <f t="shared" si="13"/>
        <v>4.3226410744747639E-4</v>
      </c>
    </row>
    <row r="50" spans="2:20" x14ac:dyDescent="0.3">
      <c r="B50" s="102">
        <v>21</v>
      </c>
      <c r="C50" s="102">
        <v>2.39</v>
      </c>
      <c r="D50" s="7">
        <f t="shared" si="18"/>
        <v>2.3858333333333337</v>
      </c>
      <c r="E50" s="7">
        <f t="shared" si="19"/>
        <v>2.3633333333333337</v>
      </c>
      <c r="F50" s="8">
        <f t="shared" si="14"/>
        <v>2.3745833333333337</v>
      </c>
      <c r="G50" s="29">
        <f t="shared" si="4"/>
        <v>2.3862318840579713</v>
      </c>
      <c r="H50" s="29">
        <f t="shared" si="15"/>
        <v>-1.1648550724637552E-2</v>
      </c>
      <c r="I50" s="29">
        <f t="shared" si="20"/>
        <v>1.5416666666666412E-2</v>
      </c>
      <c r="J50" s="29">
        <f t="shared" si="22"/>
        <v>2.7916666666666739E-2</v>
      </c>
      <c r="K50" s="29">
        <f t="shared" si="22"/>
        <v>1.9873733362853328E-2</v>
      </c>
      <c r="L50" s="29">
        <f t="shared" si="0"/>
        <v>-1.1035134962877866E-2</v>
      </c>
      <c r="M50" s="29">
        <f t="shared" si="1"/>
        <v>6.6868468296211347E-2</v>
      </c>
      <c r="N50" s="30" t="str">
        <f t="shared" si="16"/>
        <v>OK</v>
      </c>
      <c r="O50" s="29">
        <f t="shared" si="23"/>
        <v>2.3240740740740801E-2</v>
      </c>
      <c r="P50" s="29">
        <f t="shared" si="17"/>
        <v>-7.8240740740743893E-3</v>
      </c>
      <c r="Q50" s="29">
        <f t="shared" si="21"/>
        <v>2.4094726247987119</v>
      </c>
      <c r="R50" s="29">
        <f t="shared" si="11"/>
        <v>-1.9472624798711813E-2</v>
      </c>
      <c r="S50" s="31">
        <f t="shared" si="12"/>
        <v>8.1475417567831842E-3</v>
      </c>
      <c r="T50" s="12">
        <f t="shared" si="13"/>
        <v>3.7918311655140628E-4</v>
      </c>
    </row>
    <row r="51" spans="2:20" x14ac:dyDescent="0.3">
      <c r="B51" s="102">
        <v>22</v>
      </c>
      <c r="C51" s="102">
        <v>2.14</v>
      </c>
      <c r="D51" s="7">
        <f t="shared" si="18"/>
        <v>2.375833333333333</v>
      </c>
      <c r="E51" s="7">
        <f t="shared" si="19"/>
        <v>2.3858333333333337</v>
      </c>
      <c r="F51" s="8">
        <f t="shared" si="14"/>
        <v>2.3808333333333334</v>
      </c>
      <c r="G51" s="29">
        <f t="shared" si="4"/>
        <v>2.3952454710144928</v>
      </c>
      <c r="H51" s="29">
        <f t="shared" si="15"/>
        <v>-1.4412137681159454E-2</v>
      </c>
      <c r="I51" s="29">
        <f t="shared" si="20"/>
        <v>-0.24083333333333323</v>
      </c>
      <c r="J51" s="29">
        <f t="shared" si="22"/>
        <v>-0.15069444444444433</v>
      </c>
      <c r="K51" s="29">
        <f t="shared" si="22"/>
        <v>9.0417946739530741E-2</v>
      </c>
      <c r="L51" s="29">
        <f t="shared" si="0"/>
        <v>-0.32791036360998538</v>
      </c>
      <c r="M51" s="29">
        <f t="shared" si="1"/>
        <v>2.6521474721096699E-2</v>
      </c>
      <c r="N51" s="30" t="str">
        <f t="shared" si="16"/>
        <v>OK</v>
      </c>
      <c r="O51" s="29">
        <f t="shared" si="23"/>
        <v>-0.15537037037037027</v>
      </c>
      <c r="P51" s="29">
        <f t="shared" si="17"/>
        <v>-8.5462962962962963E-2</v>
      </c>
      <c r="Q51" s="29">
        <f t="shared" si="21"/>
        <v>2.2398751006441224</v>
      </c>
      <c r="R51" s="29">
        <f t="shared" si="11"/>
        <v>-9.9875100644122305E-2</v>
      </c>
      <c r="S51" s="31">
        <f t="shared" si="12"/>
        <v>4.6670607777627243E-2</v>
      </c>
      <c r="T51" s="12">
        <f t="shared" si="13"/>
        <v>9.9750357286735591E-3</v>
      </c>
    </row>
    <row r="52" spans="2:20" x14ac:dyDescent="0.3">
      <c r="B52" s="102">
        <v>23</v>
      </c>
      <c r="C52" s="102">
        <v>2.27</v>
      </c>
      <c r="D52" s="7">
        <f t="shared" si="18"/>
        <v>2.3758333333333335</v>
      </c>
      <c r="E52" s="7">
        <f t="shared" si="19"/>
        <v>2.375833333333333</v>
      </c>
      <c r="F52" s="8">
        <f t="shared" si="14"/>
        <v>2.3758333333333335</v>
      </c>
      <c r="G52" s="29">
        <f t="shared" si="4"/>
        <v>2.4042590579710148</v>
      </c>
      <c r="H52" s="29">
        <f t="shared" si="15"/>
        <v>-2.8425724637681338E-2</v>
      </c>
      <c r="I52" s="29">
        <f t="shared" si="20"/>
        <v>-0.10583333333333345</v>
      </c>
      <c r="J52" s="29">
        <f t="shared" si="22"/>
        <v>-0.15486111111111103</v>
      </c>
      <c r="K52" s="29">
        <f t="shared" si="22"/>
        <v>4.5100838663467563E-2</v>
      </c>
      <c r="L52" s="29">
        <f t="shared" si="0"/>
        <v>-0.24325713056405901</v>
      </c>
      <c r="M52" s="29">
        <f t="shared" si="1"/>
        <v>-6.6465091658163042E-2</v>
      </c>
      <c r="N52" s="30" t="str">
        <f t="shared" si="16"/>
        <v>OK</v>
      </c>
      <c r="O52" s="29">
        <f t="shared" si="23"/>
        <v>-0.15953703703703698</v>
      </c>
      <c r="P52" s="29">
        <f t="shared" si="17"/>
        <v>5.3703703703703531E-2</v>
      </c>
      <c r="Q52" s="29">
        <f t="shared" si="21"/>
        <v>2.244722020933978</v>
      </c>
      <c r="R52" s="29">
        <f t="shared" si="11"/>
        <v>2.5277979066022027E-2</v>
      </c>
      <c r="S52" s="31">
        <f t="shared" si="12"/>
        <v>1.1135673597366532E-2</v>
      </c>
      <c r="T52" s="12">
        <f t="shared" si="13"/>
        <v>6.3897622566224787E-4</v>
      </c>
    </row>
    <row r="53" spans="2:20" s="14" customFormat="1" ht="15" thickBot="1" x14ac:dyDescent="0.35">
      <c r="B53" s="102">
        <v>24</v>
      </c>
      <c r="C53" s="102">
        <v>2.21</v>
      </c>
      <c r="D53" s="7">
        <f t="shared" si="18"/>
        <v>2.3841666666666668</v>
      </c>
      <c r="E53" s="7">
        <f t="shared" si="19"/>
        <v>2.3758333333333335</v>
      </c>
      <c r="F53" s="8">
        <f t="shared" si="14"/>
        <v>2.38</v>
      </c>
      <c r="G53" s="29">
        <f t="shared" si="4"/>
        <v>2.4132726449275363</v>
      </c>
      <c r="H53" s="29">
        <f t="shared" si="15"/>
        <v>-3.3272644927536454E-2</v>
      </c>
      <c r="I53" s="29">
        <f t="shared" si="20"/>
        <v>-0.16999999999999993</v>
      </c>
      <c r="J53" s="29">
        <f t="shared" si="22"/>
        <v>-6.3611111111110993E-2</v>
      </c>
      <c r="K53" s="29">
        <f t="shared" si="22"/>
        <v>0.1409493687003851</v>
      </c>
      <c r="L53" s="29">
        <f t="shared" si="0"/>
        <v>-0.3398667974075229</v>
      </c>
      <c r="M53" s="29">
        <f t="shared" si="1"/>
        <v>0.21264457518530089</v>
      </c>
      <c r="N53" s="30" t="str">
        <f t="shared" si="16"/>
        <v>OK</v>
      </c>
      <c r="O53" s="29">
        <f t="shared" si="23"/>
        <v>-6.8287037037036938E-2</v>
      </c>
      <c r="P53" s="29">
        <f t="shared" si="17"/>
        <v>-0.10171296296296299</v>
      </c>
      <c r="Q53" s="29">
        <f t="shared" si="21"/>
        <v>2.3449856078904996</v>
      </c>
      <c r="R53" s="29">
        <f t="shared" si="11"/>
        <v>-0.13498560789049963</v>
      </c>
      <c r="S53" s="31">
        <f t="shared" si="12"/>
        <v>6.1079460583936485E-2</v>
      </c>
      <c r="T53" s="12">
        <f t="shared" si="13"/>
        <v>1.8221114337567713E-2</v>
      </c>
    </row>
    <row r="54" spans="2:20" x14ac:dyDescent="0.3">
      <c r="B54" s="102">
        <v>25</v>
      </c>
      <c r="C54" s="102">
        <v>1.89</v>
      </c>
      <c r="D54" s="7">
        <f t="shared" si="18"/>
        <v>2.4175</v>
      </c>
      <c r="E54" s="7">
        <f t="shared" si="19"/>
        <v>2.3841666666666668</v>
      </c>
      <c r="F54" s="8">
        <f t="shared" si="14"/>
        <v>2.4008333333333334</v>
      </c>
      <c r="G54" s="29">
        <f t="shared" si="4"/>
        <v>2.4222862318840583</v>
      </c>
      <c r="H54" s="29">
        <f t="shared" si="15"/>
        <v>-2.1452898550724964E-2</v>
      </c>
      <c r="I54" s="29">
        <f t="shared" si="20"/>
        <v>-0.51083333333333347</v>
      </c>
      <c r="J54" s="29">
        <f t="shared" si="22"/>
        <v>-0.49944444444444458</v>
      </c>
      <c r="K54" s="29">
        <f t="shared" si="22"/>
        <v>5.7518616149067128E-2</v>
      </c>
      <c r="L54" s="29">
        <f t="shared" si="0"/>
        <v>-0.61217886053720005</v>
      </c>
      <c r="M54" s="29">
        <f t="shared" si="1"/>
        <v>-0.38671002835168911</v>
      </c>
      <c r="N54" s="30" t="str">
        <f t="shared" si="16"/>
        <v>OK</v>
      </c>
      <c r="O54" s="29">
        <f t="shared" si="23"/>
        <v>-0.5041203703703705</v>
      </c>
      <c r="P54" s="29">
        <f t="shared" si="17"/>
        <v>-6.7129629629629761E-3</v>
      </c>
      <c r="Q54" s="29">
        <f t="shared" si="21"/>
        <v>1.9181658615136878</v>
      </c>
      <c r="R54" s="29">
        <f>C54-Q54</f>
        <v>-2.816586151368794E-2</v>
      </c>
      <c r="S54" s="31">
        <f>ABS(R54)/C54</f>
        <v>1.490257222946452E-2</v>
      </c>
      <c r="T54" s="12">
        <f t="shared" si="13"/>
        <v>7.9331575480824743E-4</v>
      </c>
    </row>
    <row r="55" spans="2:20" x14ac:dyDescent="0.3">
      <c r="B55" s="102">
        <v>26</v>
      </c>
      <c r="C55" s="102">
        <v>2.29</v>
      </c>
      <c r="D55" s="7">
        <f t="shared" si="18"/>
        <v>2.4358333333333335</v>
      </c>
      <c r="E55" s="7">
        <f t="shared" si="19"/>
        <v>2.4175</v>
      </c>
      <c r="F55" s="8">
        <f t="shared" si="14"/>
        <v>2.4266666666666667</v>
      </c>
      <c r="G55" s="29">
        <f t="shared" si="4"/>
        <v>2.4312998188405799</v>
      </c>
      <c r="H55" s="29">
        <f t="shared" si="15"/>
        <v>-4.6331521739131354E-3</v>
      </c>
      <c r="I55" s="29">
        <f t="shared" si="20"/>
        <v>-0.13666666666666671</v>
      </c>
      <c r="J55" s="29">
        <f t="shared" si="22"/>
        <v>-0.15541666666666668</v>
      </c>
      <c r="K55" s="29">
        <f t="shared" si="22"/>
        <v>5.4357037262897354E-2</v>
      </c>
      <c r="L55" s="29">
        <f t="shared" si="0"/>
        <v>-0.26195450200824716</v>
      </c>
      <c r="M55" s="29">
        <f t="shared" si="1"/>
        <v>-4.8878831325086206E-2</v>
      </c>
      <c r="N55" s="30" t="str">
        <f t="shared" si="16"/>
        <v>OK</v>
      </c>
      <c r="O55" s="29">
        <f t="shared" si="23"/>
        <v>-0.16009259259259262</v>
      </c>
      <c r="P55" s="29">
        <f t="shared" si="17"/>
        <v>2.3425925925925906E-2</v>
      </c>
      <c r="Q55" s="29">
        <f t="shared" si="21"/>
        <v>2.2712072262479874</v>
      </c>
      <c r="R55" s="29">
        <f t="shared" si="11"/>
        <v>1.8792773752012604E-2</v>
      </c>
      <c r="S55" s="31">
        <f t="shared" si="12"/>
        <v>8.2064514200928407E-3</v>
      </c>
      <c r="T55" s="12">
        <f t="shared" si="13"/>
        <v>3.5316834529433387E-4</v>
      </c>
    </row>
    <row r="56" spans="2:20" x14ac:dyDescent="0.3">
      <c r="B56" s="102">
        <v>27</v>
      </c>
      <c r="C56" s="102">
        <v>2.83</v>
      </c>
      <c r="D56" s="7">
        <f t="shared" si="18"/>
        <v>2.4508333333333332</v>
      </c>
      <c r="E56" s="7">
        <f t="shared" si="19"/>
        <v>2.4358333333333335</v>
      </c>
      <c r="F56" s="8">
        <f t="shared" si="14"/>
        <v>2.4433333333333334</v>
      </c>
      <c r="G56" s="29">
        <f t="shared" si="4"/>
        <v>2.4403134057971019</v>
      </c>
      <c r="H56" s="29">
        <f t="shared" si="15"/>
        <v>3.0199275362314815E-3</v>
      </c>
      <c r="I56" s="29">
        <f t="shared" si="20"/>
        <v>0.38666666666666671</v>
      </c>
      <c r="J56" s="29">
        <f t="shared" si="22"/>
        <v>0.29875000000000024</v>
      </c>
      <c r="K56" s="29">
        <f t="shared" si="22"/>
        <v>9.356092043868168E-2</v>
      </c>
      <c r="L56" s="29">
        <f t="shared" si="0"/>
        <v>0.11537396557976676</v>
      </c>
      <c r="M56" s="29">
        <f t="shared" si="1"/>
        <v>0.48212603442023372</v>
      </c>
      <c r="N56" s="30" t="str">
        <f t="shared" si="16"/>
        <v>OK</v>
      </c>
      <c r="O56" s="29">
        <f t="shared" si="23"/>
        <v>0.29407407407407432</v>
      </c>
      <c r="P56" s="29">
        <f t="shared" si="17"/>
        <v>9.2592592592592393E-2</v>
      </c>
      <c r="Q56" s="29">
        <f t="shared" si="21"/>
        <v>2.734387479871176</v>
      </c>
      <c r="R56" s="29">
        <f t="shared" si="11"/>
        <v>9.5612520128824041E-2</v>
      </c>
      <c r="S56" s="31">
        <f t="shared" si="12"/>
        <v>3.3785342801704608E-2</v>
      </c>
      <c r="T56" s="12">
        <f t="shared" si="13"/>
        <v>9.1417540053847831E-3</v>
      </c>
    </row>
    <row r="57" spans="2:20" x14ac:dyDescent="0.3">
      <c r="B57" s="102">
        <v>28</v>
      </c>
      <c r="C57" s="102">
        <v>4.04</v>
      </c>
      <c r="D57" s="7">
        <f t="shared" si="18"/>
        <v>2.4741666666666666</v>
      </c>
      <c r="E57" s="7">
        <f t="shared" si="19"/>
        <v>2.4508333333333332</v>
      </c>
      <c r="F57" s="8">
        <f t="shared" si="14"/>
        <v>2.4624999999999999</v>
      </c>
      <c r="G57" s="29">
        <f t="shared" si="4"/>
        <v>2.4493269927536234</v>
      </c>
      <c r="H57" s="29">
        <f t="shared" si="15"/>
        <v>1.3173007246376489E-2</v>
      </c>
      <c r="I57" s="29">
        <f t="shared" si="20"/>
        <v>1.5775000000000001</v>
      </c>
      <c r="J57" s="29">
        <f t="shared" si="22"/>
        <v>1.6873611111111109</v>
      </c>
      <c r="K57" s="29">
        <f t="shared" si="22"/>
        <v>0.11127600611559083</v>
      </c>
      <c r="L57" s="29">
        <f t="shared" si="0"/>
        <v>1.4692641467810941</v>
      </c>
      <c r="M57" s="29">
        <f t="shared" si="1"/>
        <v>1.9054580754411277</v>
      </c>
      <c r="N57" s="30" t="str">
        <f t="shared" si="16"/>
        <v>OK</v>
      </c>
      <c r="O57" s="29">
        <f t="shared" si="23"/>
        <v>1.682685185185185</v>
      </c>
      <c r="P57" s="29">
        <f t="shared" si="17"/>
        <v>-0.10518518518518483</v>
      </c>
      <c r="Q57" s="29">
        <f t="shared" si="21"/>
        <v>4.1320121779388082</v>
      </c>
      <c r="R57" s="29">
        <f t="shared" si="11"/>
        <v>-9.2012177938808115E-2</v>
      </c>
      <c r="S57" s="31">
        <f t="shared" si="12"/>
        <v>2.277529156901191E-2</v>
      </c>
      <c r="T57" s="12">
        <f t="shared" si="13"/>
        <v>8.4662408890428861E-3</v>
      </c>
    </row>
    <row r="58" spans="2:20" x14ac:dyDescent="0.3">
      <c r="B58" s="102">
        <v>29</v>
      </c>
      <c r="C58" s="102">
        <v>2.31</v>
      </c>
      <c r="D58" s="7">
        <f t="shared" si="18"/>
        <v>2.4849999999999994</v>
      </c>
      <c r="E58" s="7">
        <f t="shared" si="19"/>
        <v>2.4741666666666666</v>
      </c>
      <c r="F58" s="8">
        <f t="shared" si="14"/>
        <v>2.4795833333333333</v>
      </c>
      <c r="G58" s="29">
        <f t="shared" si="4"/>
        <v>2.4583405797101454</v>
      </c>
      <c r="H58" s="29">
        <f t="shared" si="15"/>
        <v>2.1242753623187838E-2</v>
      </c>
      <c r="I58" s="29">
        <f t="shared" si="20"/>
        <v>-0.1695833333333332</v>
      </c>
      <c r="J58" s="29">
        <f t="shared" si="22"/>
        <v>-0.10749999999999993</v>
      </c>
      <c r="K58" s="29">
        <f t="shared" si="22"/>
        <v>5.8527949163910832E-2</v>
      </c>
      <c r="L58" s="29">
        <f t="shared" si="0"/>
        <v>-0.2222126724502563</v>
      </c>
      <c r="M58" s="29">
        <f t="shared" si="1"/>
        <v>7.2126724502564465E-3</v>
      </c>
      <c r="N58" s="30" t="str">
        <f t="shared" si="16"/>
        <v>OK</v>
      </c>
      <c r="O58" s="29">
        <f t="shared" si="23"/>
        <v>-0.11217592592592587</v>
      </c>
      <c r="P58" s="29">
        <f t="shared" si="17"/>
        <v>-5.7407407407407324E-2</v>
      </c>
      <c r="Q58" s="29">
        <f t="shared" si="21"/>
        <v>2.3461646537842196</v>
      </c>
      <c r="R58" s="29">
        <f t="shared" si="11"/>
        <v>-3.6164653784219514E-2</v>
      </c>
      <c r="S58" s="31">
        <f t="shared" si="12"/>
        <v>1.5655694278882908E-2</v>
      </c>
      <c r="T58" s="12">
        <f t="shared" si="13"/>
        <v>1.3078821833324627E-3</v>
      </c>
    </row>
    <row r="59" spans="2:20" x14ac:dyDescent="0.3">
      <c r="B59" s="102">
        <v>30</v>
      </c>
      <c r="C59" s="102">
        <v>1.99</v>
      </c>
      <c r="D59" s="7">
        <f t="shared" si="18"/>
        <v>2.5091666666666668</v>
      </c>
      <c r="E59" s="7">
        <f t="shared" si="19"/>
        <v>2.4849999999999994</v>
      </c>
      <c r="F59" s="8">
        <f t="shared" si="14"/>
        <v>2.4970833333333333</v>
      </c>
      <c r="G59" s="29">
        <f t="shared" si="4"/>
        <v>2.467354166666667</v>
      </c>
      <c r="H59" s="29">
        <f t="shared" si="15"/>
        <v>2.9729166666666362E-2</v>
      </c>
      <c r="I59" s="29">
        <f t="shared" si="20"/>
        <v>-0.50708333333333333</v>
      </c>
      <c r="J59" s="29">
        <f t="shared" ref="J59:K65" si="24">J47</f>
        <v>-0.44722222222222241</v>
      </c>
      <c r="K59" s="29">
        <f t="shared" si="24"/>
        <v>7.3930256799028524E-2</v>
      </c>
      <c r="L59" s="29">
        <f t="shared" si="0"/>
        <v>-0.59212286291611571</v>
      </c>
      <c r="M59" s="29">
        <f t="shared" si="1"/>
        <v>-0.30232158152832911</v>
      </c>
      <c r="N59" s="30" t="str">
        <f t="shared" si="16"/>
        <v>OK</v>
      </c>
      <c r="O59" s="29">
        <f t="shared" si="23"/>
        <v>-0.45189814814814833</v>
      </c>
      <c r="P59" s="29">
        <f t="shared" si="17"/>
        <v>-5.5185185185185004E-2</v>
      </c>
      <c r="Q59" s="29">
        <f t="shared" si="21"/>
        <v>2.0154560185185186</v>
      </c>
      <c r="R59" s="29">
        <f t="shared" si="11"/>
        <v>-2.5456018518518642E-2</v>
      </c>
      <c r="S59" s="31">
        <f t="shared" si="12"/>
        <v>1.2791969104783238E-2</v>
      </c>
      <c r="T59" s="12">
        <f t="shared" si="13"/>
        <v>6.4800887881516403E-4</v>
      </c>
    </row>
    <row r="60" spans="2:20" x14ac:dyDescent="0.3">
      <c r="B60" s="102">
        <v>31</v>
      </c>
      <c r="C60" s="102">
        <v>2.42</v>
      </c>
      <c r="D60" s="7">
        <f t="shared" ref="D60:D71" si="25">SUM(C55:C66)/12</f>
        <v>2.5258333333333334</v>
      </c>
      <c r="E60" s="7">
        <f t="shared" ref="E60:E71" si="26">SUM(C54:C65)/12</f>
        <v>2.5091666666666668</v>
      </c>
      <c r="F60" s="8">
        <f t="shared" ref="F60:F71" si="27">AVERAGE(D60:E60)</f>
        <v>2.5175000000000001</v>
      </c>
      <c r="G60" s="29">
        <f t="shared" si="4"/>
        <v>2.4763677536231885</v>
      </c>
      <c r="H60" s="29">
        <f t="shared" ref="H60:H71" si="28">F60-G60</f>
        <v>4.1132246376811565E-2</v>
      </c>
      <c r="I60" s="29">
        <f t="shared" ref="I60:I71" si="29">C60-F60</f>
        <v>-9.7500000000000142E-2</v>
      </c>
      <c r="J60" s="29">
        <f t="shared" si="24"/>
        <v>-0.21583333333333346</v>
      </c>
      <c r="K60" s="29">
        <f t="shared" si="24"/>
        <v>0.1165036062865771</v>
      </c>
      <c r="L60" s="29">
        <f t="shared" si="0"/>
        <v>-0.44417620572405875</v>
      </c>
      <c r="M60" s="29">
        <f t="shared" si="1"/>
        <v>1.2509539057391827E-2</v>
      </c>
      <c r="N60" s="30" t="str">
        <f>IF(AND(I60&gt;L60,I60&lt;M60),"OK","NOT OK")</f>
        <v>OK</v>
      </c>
      <c r="O60" s="29">
        <f>O48</f>
        <v>-0.2205092592592594</v>
      </c>
      <c r="P60" s="29">
        <f t="shared" si="17"/>
        <v>0.12300925925925926</v>
      </c>
      <c r="Q60" s="29">
        <f>G60+O60</f>
        <v>2.2558584943639293</v>
      </c>
      <c r="R60" s="29">
        <f t="shared" si="11"/>
        <v>0.16414150563607066</v>
      </c>
      <c r="S60" s="31">
        <f t="shared" si="12"/>
        <v>6.7827068444657301E-2</v>
      </c>
      <c r="T60" s="12">
        <f t="shared" si="13"/>
        <v>2.6942433872476218E-2</v>
      </c>
    </row>
    <row r="61" spans="2:20" x14ac:dyDescent="0.3">
      <c r="B61" s="102">
        <v>32</v>
      </c>
      <c r="C61" s="102">
        <v>2.4500000000000002</v>
      </c>
      <c r="D61" s="7">
        <f t="shared" si="25"/>
        <v>2.5466666666666664</v>
      </c>
      <c r="E61" s="7">
        <f t="shared" si="26"/>
        <v>2.5258333333333334</v>
      </c>
      <c r="F61" s="8">
        <f t="shared" si="27"/>
        <v>2.5362499999999999</v>
      </c>
      <c r="G61" s="29">
        <f t="shared" si="4"/>
        <v>2.4853813405797105</v>
      </c>
      <c r="H61" s="29">
        <f t="shared" si="28"/>
        <v>5.0868659420289397E-2</v>
      </c>
      <c r="I61" s="29">
        <f t="shared" si="29"/>
        <v>-8.6249999999999716E-2</v>
      </c>
      <c r="J61" s="29">
        <f t="shared" si="24"/>
        <v>-0.16333333333333319</v>
      </c>
      <c r="K61" s="29">
        <f t="shared" si="24"/>
        <v>0.10056179001544809</v>
      </c>
      <c r="L61" s="29">
        <f t="shared" si="0"/>
        <v>-0.360430819984491</v>
      </c>
      <c r="M61" s="29">
        <f t="shared" si="1"/>
        <v>3.3764153317824619E-2</v>
      </c>
      <c r="N61" s="30" t="str">
        <f t="shared" si="16"/>
        <v>OK</v>
      </c>
      <c r="O61" s="29">
        <f t="shared" si="23"/>
        <v>-0.16800925925925914</v>
      </c>
      <c r="P61" s="29">
        <f t="shared" si="17"/>
        <v>8.175925925925942E-2</v>
      </c>
      <c r="Q61" s="29">
        <f t="shared" si="21"/>
        <v>2.3173720813204515</v>
      </c>
      <c r="R61" s="29">
        <f t="shared" si="11"/>
        <v>0.13262791867954871</v>
      </c>
      <c r="S61" s="31">
        <f t="shared" si="12"/>
        <v>5.4133844358999469E-2</v>
      </c>
      <c r="T61" s="12">
        <f t="shared" si="13"/>
        <v>1.7590164813268985E-2</v>
      </c>
    </row>
    <row r="62" spans="2:20" x14ac:dyDescent="0.3">
      <c r="B62" s="102">
        <v>33</v>
      </c>
      <c r="C62" s="102">
        <v>2.57</v>
      </c>
      <c r="D62" s="7">
        <f t="shared" si="25"/>
        <v>2.5583333333333331</v>
      </c>
      <c r="E62" s="7">
        <f t="shared" si="26"/>
        <v>2.5466666666666664</v>
      </c>
      <c r="F62" s="8">
        <f t="shared" si="27"/>
        <v>2.5524999999999998</v>
      </c>
      <c r="G62" s="29">
        <f t="shared" si="4"/>
        <v>2.494394927536232</v>
      </c>
      <c r="H62" s="29">
        <f t="shared" si="28"/>
        <v>5.8105072463767726E-2</v>
      </c>
      <c r="I62" s="29">
        <f t="shared" si="29"/>
        <v>1.7500000000000071E-2</v>
      </c>
      <c r="J62" s="29">
        <f t="shared" si="24"/>
        <v>2.7916666666666739E-2</v>
      </c>
      <c r="K62" s="29">
        <f t="shared" si="24"/>
        <v>1.9873733362853328E-2</v>
      </c>
      <c r="L62" s="29">
        <f t="shared" si="0"/>
        <v>-1.1035134962877866E-2</v>
      </c>
      <c r="M62" s="29">
        <f t="shared" si="1"/>
        <v>6.6868468296211347E-2</v>
      </c>
      <c r="N62" s="30" t="str">
        <f t="shared" si="16"/>
        <v>OK</v>
      </c>
      <c r="O62" s="29">
        <f t="shared" si="23"/>
        <v>2.3240740740740801E-2</v>
      </c>
      <c r="P62" s="29">
        <f t="shared" si="17"/>
        <v>-5.7407407407407303E-3</v>
      </c>
      <c r="Q62" s="29">
        <f t="shared" si="21"/>
        <v>2.5176356682769727</v>
      </c>
      <c r="R62" s="29">
        <f t="shared" si="11"/>
        <v>5.2364331723027124E-2</v>
      </c>
      <c r="S62" s="31">
        <f t="shared" si="12"/>
        <v>2.0375226351372424E-2</v>
      </c>
      <c r="T62" s="12">
        <f t="shared" si="13"/>
        <v>2.7420232367992249E-3</v>
      </c>
    </row>
    <row r="63" spans="2:20" x14ac:dyDescent="0.3">
      <c r="B63" s="102">
        <v>34</v>
      </c>
      <c r="C63" s="102">
        <v>2.42</v>
      </c>
      <c r="D63" s="7">
        <f t="shared" si="25"/>
        <v>2.5841666666666665</v>
      </c>
      <c r="E63" s="7">
        <f t="shared" si="26"/>
        <v>2.5583333333333331</v>
      </c>
      <c r="F63" s="8">
        <f t="shared" si="27"/>
        <v>2.57125</v>
      </c>
      <c r="G63" s="29">
        <f t="shared" si="4"/>
        <v>2.503408514492754</v>
      </c>
      <c r="H63" s="29">
        <f t="shared" si="28"/>
        <v>6.7841485507246002E-2</v>
      </c>
      <c r="I63" s="29">
        <f t="shared" si="29"/>
        <v>-0.15125000000000011</v>
      </c>
      <c r="J63" s="29">
        <f t="shared" si="24"/>
        <v>-0.15069444444444433</v>
      </c>
      <c r="K63" s="29">
        <f t="shared" si="24"/>
        <v>9.0417946739530741E-2</v>
      </c>
      <c r="L63" s="29">
        <f t="shared" si="0"/>
        <v>-0.32791036360998538</v>
      </c>
      <c r="M63" s="29">
        <f t="shared" si="1"/>
        <v>2.6521474721096699E-2</v>
      </c>
      <c r="N63" s="30" t="str">
        <f t="shared" si="16"/>
        <v>OK</v>
      </c>
      <c r="O63" s="29">
        <f t="shared" si="23"/>
        <v>-0.15537037037037027</v>
      </c>
      <c r="P63" s="29">
        <f t="shared" si="17"/>
        <v>4.1203703703701633E-3</v>
      </c>
      <c r="Q63" s="29">
        <f t="shared" si="21"/>
        <v>2.3480381441223837</v>
      </c>
      <c r="R63" s="29">
        <f t="shared" si="11"/>
        <v>7.1961855877616276E-2</v>
      </c>
      <c r="S63" s="31">
        <f t="shared" si="12"/>
        <v>2.9736304081659618E-2</v>
      </c>
      <c r="T63" s="12">
        <f t="shared" si="13"/>
        <v>5.178508701350816E-3</v>
      </c>
    </row>
    <row r="64" spans="2:20" x14ac:dyDescent="0.3">
      <c r="B64" s="102">
        <v>35</v>
      </c>
      <c r="C64" s="102">
        <v>2.4</v>
      </c>
      <c r="D64" s="7">
        <f t="shared" si="25"/>
        <v>2.6049999999999995</v>
      </c>
      <c r="E64" s="7">
        <f t="shared" si="26"/>
        <v>2.5841666666666665</v>
      </c>
      <c r="F64" s="8">
        <f t="shared" si="27"/>
        <v>2.594583333333333</v>
      </c>
      <c r="G64" s="29">
        <f t="shared" si="4"/>
        <v>2.5124221014492756</v>
      </c>
      <c r="H64" s="29">
        <f t="shared" si="28"/>
        <v>8.216123188405744E-2</v>
      </c>
      <c r="I64" s="29">
        <f t="shared" si="29"/>
        <v>-0.19458333333333311</v>
      </c>
      <c r="J64" s="29">
        <f t="shared" si="24"/>
        <v>-0.15486111111111103</v>
      </c>
      <c r="K64" s="29">
        <f t="shared" si="24"/>
        <v>4.5100838663467563E-2</v>
      </c>
      <c r="L64" s="29">
        <f t="shared" si="0"/>
        <v>-0.24325713056405901</v>
      </c>
      <c r="M64" s="29">
        <f t="shared" si="1"/>
        <v>-6.6465091658163042E-2</v>
      </c>
      <c r="N64" s="30" t="str">
        <f t="shared" si="16"/>
        <v>OK</v>
      </c>
      <c r="O64" s="29">
        <f t="shared" si="23"/>
        <v>-0.15953703703703698</v>
      </c>
      <c r="P64" s="29">
        <f t="shared" si="17"/>
        <v>-3.5046296296296131E-2</v>
      </c>
      <c r="Q64" s="29">
        <f t="shared" si="21"/>
        <v>2.3528850644122388</v>
      </c>
      <c r="R64" s="29">
        <f t="shared" si="11"/>
        <v>4.7114935587761142E-2</v>
      </c>
      <c r="S64" s="31">
        <f t="shared" si="12"/>
        <v>1.9631223161567145E-2</v>
      </c>
      <c r="T64" s="12">
        <f t="shared" si="13"/>
        <v>2.2198171554388812E-3</v>
      </c>
    </row>
    <row r="65" spans="2:20" x14ac:dyDescent="0.3">
      <c r="B65" s="102">
        <v>36</v>
      </c>
      <c r="C65" s="102">
        <v>2.5</v>
      </c>
      <c r="D65" s="7">
        <f t="shared" si="25"/>
        <v>2.6291666666666669</v>
      </c>
      <c r="E65" s="7">
        <f t="shared" si="26"/>
        <v>2.6049999999999995</v>
      </c>
      <c r="F65" s="8">
        <f t="shared" si="27"/>
        <v>2.6170833333333334</v>
      </c>
      <c r="G65" s="29">
        <f t="shared" si="4"/>
        <v>2.5214356884057976</v>
      </c>
      <c r="H65" s="29">
        <f t="shared" si="28"/>
        <v>9.5647644927535858E-2</v>
      </c>
      <c r="I65" s="29">
        <f t="shared" si="29"/>
        <v>-0.11708333333333343</v>
      </c>
      <c r="J65" s="29">
        <f t="shared" si="24"/>
        <v>-6.3611111111110993E-2</v>
      </c>
      <c r="K65" s="29">
        <f t="shared" si="24"/>
        <v>0.1409493687003851</v>
      </c>
      <c r="L65" s="29">
        <f t="shared" si="0"/>
        <v>-0.3398667974075229</v>
      </c>
      <c r="M65" s="29">
        <f t="shared" si="1"/>
        <v>0.21264457518530089</v>
      </c>
      <c r="N65" s="30" t="str">
        <f t="shared" si="16"/>
        <v>OK</v>
      </c>
      <c r="O65" s="29">
        <f t="shared" si="23"/>
        <v>-6.8287037037036938E-2</v>
      </c>
      <c r="P65" s="29">
        <f t="shared" si="17"/>
        <v>-4.879629629629649E-2</v>
      </c>
      <c r="Q65" s="29">
        <f t="shared" si="21"/>
        <v>2.4531486513687608</v>
      </c>
      <c r="R65" s="29">
        <f t="shared" si="11"/>
        <v>4.6851348631239187E-2</v>
      </c>
      <c r="S65" s="31">
        <f t="shared" si="12"/>
        <v>1.8740539452495673E-2</v>
      </c>
      <c r="T65" s="12">
        <f t="shared" si="13"/>
        <v>2.1950488685659182E-3</v>
      </c>
    </row>
    <row r="66" spans="2:20" x14ac:dyDescent="0.3">
      <c r="B66" s="102">
        <v>37</v>
      </c>
      <c r="C66" s="102">
        <v>2.09</v>
      </c>
      <c r="D66" s="7">
        <f t="shared" si="25"/>
        <v>2.6516666666666668</v>
      </c>
      <c r="E66" s="7">
        <f t="shared" si="26"/>
        <v>2.6291666666666669</v>
      </c>
      <c r="F66" s="8">
        <f t="shared" si="27"/>
        <v>2.6404166666666669</v>
      </c>
      <c r="G66" s="29">
        <f t="shared" si="4"/>
        <v>2.5304492753623191</v>
      </c>
      <c r="H66" s="29">
        <f t="shared" si="28"/>
        <v>0.10996739130434774</v>
      </c>
      <c r="I66" s="29">
        <f t="shared" si="29"/>
        <v>-0.550416666666667</v>
      </c>
      <c r="J66" s="29">
        <f t="shared" ref="J66:K66" si="30">J54</f>
        <v>-0.49944444444444458</v>
      </c>
      <c r="K66" s="29">
        <f t="shared" si="30"/>
        <v>5.7518616149067128E-2</v>
      </c>
      <c r="L66" s="29">
        <f t="shared" ref="L66:L77" si="31">J66-K66*_xlfn.NORM.INV(1-$M$27/2,0,1)</f>
        <v>-0.61217886053720005</v>
      </c>
      <c r="M66" s="29">
        <f t="shared" ref="M66:M77" si="32">J66+K66*_xlfn.NORM.INV(1-$M$27/2,0,1)</f>
        <v>-0.38671002835168911</v>
      </c>
      <c r="N66" s="30" t="str">
        <f t="shared" si="16"/>
        <v>OK</v>
      </c>
      <c r="O66" s="29">
        <f t="shared" si="23"/>
        <v>-0.5041203703703705</v>
      </c>
      <c r="P66" s="29">
        <f t="shared" si="17"/>
        <v>-4.6296296296296502E-2</v>
      </c>
      <c r="Q66" s="29">
        <f t="shared" ref="Q66:Q77" si="33">G66+O66</f>
        <v>2.0263289049919484</v>
      </c>
      <c r="R66" s="29">
        <f t="shared" ref="R66:R77" si="34">C66-Q66</f>
        <v>6.3671095008051459E-2</v>
      </c>
      <c r="S66" s="31">
        <f t="shared" ref="S66:S77" si="35">ABS(R66)/C66</f>
        <v>3.0464638759833237E-2</v>
      </c>
      <c r="T66" s="12">
        <f t="shared" si="13"/>
        <v>4.0540083395243154E-3</v>
      </c>
    </row>
    <row r="67" spans="2:20" x14ac:dyDescent="0.3">
      <c r="B67" s="102">
        <v>38</v>
      </c>
      <c r="C67" s="102">
        <v>2.54</v>
      </c>
      <c r="D67" s="7">
        <f t="shared" si="25"/>
        <v>2.6541666666666663</v>
      </c>
      <c r="E67" s="7">
        <f t="shared" si="26"/>
        <v>2.6516666666666668</v>
      </c>
      <c r="F67" s="8">
        <f t="shared" si="27"/>
        <v>2.6529166666666666</v>
      </c>
      <c r="G67" s="29">
        <f t="shared" si="4"/>
        <v>2.5394628623188411</v>
      </c>
      <c r="H67" s="29">
        <f t="shared" si="28"/>
        <v>0.11345380434782548</v>
      </c>
      <c r="I67" s="29">
        <f t="shared" si="29"/>
        <v>-0.11291666666666655</v>
      </c>
      <c r="J67" s="29">
        <f t="shared" ref="J67:K67" si="36">J55</f>
        <v>-0.15541666666666668</v>
      </c>
      <c r="K67" s="29">
        <f t="shared" si="36"/>
        <v>5.4357037262897354E-2</v>
      </c>
      <c r="L67" s="29">
        <f t="shared" si="31"/>
        <v>-0.26195450200824716</v>
      </c>
      <c r="M67" s="29">
        <f t="shared" si="32"/>
        <v>-4.8878831325086206E-2</v>
      </c>
      <c r="N67" s="30" t="str">
        <f t="shared" si="16"/>
        <v>OK</v>
      </c>
      <c r="O67" s="29">
        <f t="shared" si="23"/>
        <v>-0.16009259259259262</v>
      </c>
      <c r="P67" s="29">
        <f t="shared" si="17"/>
        <v>4.7175925925926065E-2</v>
      </c>
      <c r="Q67" s="29">
        <f t="shared" si="33"/>
        <v>2.3793702697262487</v>
      </c>
      <c r="R67" s="29">
        <f t="shared" si="34"/>
        <v>0.16062973027375138</v>
      </c>
      <c r="S67" s="31">
        <f t="shared" si="35"/>
        <v>6.3240051288878496E-2</v>
      </c>
      <c r="T67" s="12">
        <f t="shared" si="13"/>
        <v>2.5801910247818121E-2</v>
      </c>
    </row>
    <row r="68" spans="2:20" x14ac:dyDescent="0.3">
      <c r="B68" s="102">
        <v>39</v>
      </c>
      <c r="C68" s="102">
        <v>2.97</v>
      </c>
      <c r="D68" s="7">
        <f t="shared" si="25"/>
        <v>2.6675</v>
      </c>
      <c r="E68" s="7">
        <f t="shared" si="26"/>
        <v>2.6541666666666663</v>
      </c>
      <c r="F68" s="8">
        <f t="shared" si="27"/>
        <v>2.6608333333333332</v>
      </c>
      <c r="G68" s="29">
        <f t="shared" si="4"/>
        <v>2.5484764492753627</v>
      </c>
      <c r="H68" s="29">
        <f t="shared" si="28"/>
        <v>0.11235688405797051</v>
      </c>
      <c r="I68" s="29">
        <f t="shared" si="29"/>
        <v>0.30916666666666703</v>
      </c>
      <c r="J68" s="29">
        <f t="shared" ref="J68:K68" si="37">J56</f>
        <v>0.29875000000000024</v>
      </c>
      <c r="K68" s="29">
        <f t="shared" si="37"/>
        <v>9.356092043868168E-2</v>
      </c>
      <c r="L68" s="29">
        <f t="shared" si="31"/>
        <v>0.11537396557976676</v>
      </c>
      <c r="M68" s="29">
        <f t="shared" si="32"/>
        <v>0.48212603442023372</v>
      </c>
      <c r="N68" s="30" t="str">
        <f t="shared" si="16"/>
        <v>OK</v>
      </c>
      <c r="O68" s="29">
        <f t="shared" si="23"/>
        <v>0.29407407407407432</v>
      </c>
      <c r="P68" s="29">
        <f t="shared" si="17"/>
        <v>1.5092592592592713E-2</v>
      </c>
      <c r="Q68" s="29">
        <f t="shared" si="33"/>
        <v>2.8425505233494368</v>
      </c>
      <c r="R68" s="29">
        <f t="shared" si="34"/>
        <v>0.12744947665056339</v>
      </c>
      <c r="S68" s="31">
        <f t="shared" si="35"/>
        <v>4.291228170052639E-2</v>
      </c>
      <c r="T68" s="12">
        <f t="shared" si="13"/>
        <v>1.6243369098502502E-2</v>
      </c>
    </row>
    <row r="69" spans="2:20" x14ac:dyDescent="0.3">
      <c r="B69" s="102">
        <v>40</v>
      </c>
      <c r="C69" s="102">
        <v>4.3499999999999996</v>
      </c>
      <c r="D69" s="7">
        <f t="shared" si="25"/>
        <v>2.6633333333333336</v>
      </c>
      <c r="E69" s="7">
        <f t="shared" si="26"/>
        <v>2.6675</v>
      </c>
      <c r="F69" s="8">
        <f t="shared" si="27"/>
        <v>2.6654166666666668</v>
      </c>
      <c r="G69" s="29">
        <f t="shared" si="4"/>
        <v>2.5574900362318846</v>
      </c>
      <c r="H69" s="29">
        <f t="shared" si="28"/>
        <v>0.10792663043478212</v>
      </c>
      <c r="I69" s="29">
        <f t="shared" si="29"/>
        <v>1.6845833333333329</v>
      </c>
      <c r="J69" s="29">
        <f t="shared" ref="J69:K69" si="38">J57</f>
        <v>1.6873611111111109</v>
      </c>
      <c r="K69" s="29">
        <f t="shared" si="38"/>
        <v>0.11127600611559083</v>
      </c>
      <c r="L69" s="29">
        <f t="shared" si="31"/>
        <v>1.4692641467810941</v>
      </c>
      <c r="M69" s="29">
        <f t="shared" si="32"/>
        <v>1.9054580754411277</v>
      </c>
      <c r="N69" s="30" t="str">
        <f t="shared" si="16"/>
        <v>OK</v>
      </c>
      <c r="O69" s="29">
        <f t="shared" si="23"/>
        <v>1.682685185185185</v>
      </c>
      <c r="P69" s="29">
        <f t="shared" si="17"/>
        <v>1.8981481481479268E-3</v>
      </c>
      <c r="Q69" s="29">
        <f t="shared" si="33"/>
        <v>4.2401752214170694</v>
      </c>
      <c r="R69" s="29">
        <f t="shared" si="34"/>
        <v>0.10982477858293027</v>
      </c>
      <c r="S69" s="31">
        <f t="shared" si="35"/>
        <v>2.5247075536305813E-2</v>
      </c>
      <c r="T69" s="12">
        <f t="shared" si="13"/>
        <v>1.2061481990789659E-2</v>
      </c>
    </row>
    <row r="70" spans="2:20" x14ac:dyDescent="0.3">
      <c r="B70" s="102">
        <v>41</v>
      </c>
      <c r="C70" s="102">
        <v>2.56</v>
      </c>
      <c r="D70" s="7">
        <f t="shared" si="25"/>
        <v>2.6558333333333333</v>
      </c>
      <c r="E70" s="7">
        <f t="shared" si="26"/>
        <v>2.6633333333333336</v>
      </c>
      <c r="F70" s="8">
        <f t="shared" si="27"/>
        <v>2.6595833333333334</v>
      </c>
      <c r="G70" s="29">
        <f t="shared" si="4"/>
        <v>2.5665036231884062</v>
      </c>
      <c r="H70" s="29">
        <f t="shared" si="28"/>
        <v>9.3079710144927219E-2</v>
      </c>
      <c r="I70" s="29">
        <f t="shared" si="29"/>
        <v>-9.9583333333333357E-2</v>
      </c>
      <c r="J70" s="29">
        <f t="shared" ref="J70:K70" si="39">J58</f>
        <v>-0.10749999999999993</v>
      </c>
      <c r="K70" s="29">
        <f t="shared" si="39"/>
        <v>5.8527949163910832E-2</v>
      </c>
      <c r="L70" s="29">
        <f t="shared" si="31"/>
        <v>-0.2222126724502563</v>
      </c>
      <c r="M70" s="29">
        <f t="shared" si="32"/>
        <v>7.2126724502564465E-3</v>
      </c>
      <c r="N70" s="30" t="str">
        <f t="shared" si="16"/>
        <v>OK</v>
      </c>
      <c r="O70" s="29">
        <f t="shared" si="23"/>
        <v>-0.11217592592592587</v>
      </c>
      <c r="P70" s="29">
        <f t="shared" si="17"/>
        <v>1.2592592592592516E-2</v>
      </c>
      <c r="Q70" s="29">
        <f t="shared" si="33"/>
        <v>2.4543276972624803</v>
      </c>
      <c r="R70" s="29">
        <f t="shared" si="34"/>
        <v>0.10567230273751971</v>
      </c>
      <c r="S70" s="31">
        <f t="shared" si="35"/>
        <v>4.1278243256843636E-2</v>
      </c>
      <c r="T70" s="12">
        <f t="shared" si="13"/>
        <v>1.1166635565850016E-2</v>
      </c>
    </row>
    <row r="71" spans="2:20" x14ac:dyDescent="0.3">
      <c r="B71" s="102">
        <v>42</v>
      </c>
      <c r="C71" s="102">
        <v>2.2799999999999998</v>
      </c>
      <c r="D71" s="7">
        <f t="shared" si="25"/>
        <v>2.6333333333333333</v>
      </c>
      <c r="E71" s="7">
        <f t="shared" si="26"/>
        <v>2.6558333333333333</v>
      </c>
      <c r="F71" s="8">
        <f t="shared" si="27"/>
        <v>2.6445833333333333</v>
      </c>
      <c r="G71" s="29">
        <f t="shared" si="4"/>
        <v>2.5755172101449277</v>
      </c>
      <c r="H71" s="29">
        <f t="shared" si="28"/>
        <v>6.9066123188405548E-2</v>
      </c>
      <c r="I71" s="29">
        <f t="shared" si="29"/>
        <v>-0.36458333333333348</v>
      </c>
      <c r="J71" s="29">
        <f t="shared" ref="J71:K71" si="40">J59</f>
        <v>-0.44722222222222241</v>
      </c>
      <c r="K71" s="29">
        <f t="shared" si="40"/>
        <v>7.3930256799028524E-2</v>
      </c>
      <c r="L71" s="29">
        <f t="shared" si="31"/>
        <v>-0.59212286291611571</v>
      </c>
      <c r="M71" s="29">
        <f t="shared" si="32"/>
        <v>-0.30232158152832911</v>
      </c>
      <c r="N71" s="30" t="str">
        <f t="shared" si="16"/>
        <v>OK</v>
      </c>
      <c r="O71" s="29">
        <f t="shared" si="23"/>
        <v>-0.45189814814814833</v>
      </c>
      <c r="P71" s="29">
        <f t="shared" si="17"/>
        <v>8.7314814814814845E-2</v>
      </c>
      <c r="Q71" s="29">
        <f t="shared" si="33"/>
        <v>2.1236190619967794</v>
      </c>
      <c r="R71" s="29">
        <f t="shared" si="34"/>
        <v>0.15638093800322039</v>
      </c>
      <c r="S71" s="31">
        <f t="shared" si="35"/>
        <v>6.8588130703166841E-2</v>
      </c>
      <c r="T71" s="12">
        <f t="shared" si="13"/>
        <v>2.445499777076706E-2</v>
      </c>
    </row>
    <row r="72" spans="2:20" x14ac:dyDescent="0.3">
      <c r="B72" s="102">
        <v>43</v>
      </c>
      <c r="C72" s="102">
        <v>2.69</v>
      </c>
      <c r="D72" s="7" t="s">
        <v>51</v>
      </c>
      <c r="E72" s="7" t="s">
        <v>51</v>
      </c>
      <c r="F72" s="7" t="s">
        <v>51</v>
      </c>
      <c r="G72" s="29">
        <f t="shared" si="4"/>
        <v>2.5845307971014497</v>
      </c>
      <c r="H72" s="7" t="s">
        <v>51</v>
      </c>
      <c r="I72" s="7" t="s">
        <v>51</v>
      </c>
      <c r="J72" s="29">
        <f t="shared" ref="J72:K72" si="41">J60</f>
        <v>-0.21583333333333346</v>
      </c>
      <c r="K72" s="29">
        <f t="shared" si="41"/>
        <v>0.1165036062865771</v>
      </c>
      <c r="L72" s="29">
        <f t="shared" si="31"/>
        <v>-0.44417620572405875</v>
      </c>
      <c r="M72" s="29">
        <f t="shared" si="32"/>
        <v>1.2509539057391827E-2</v>
      </c>
      <c r="N72" s="7" t="str">
        <f>IF($D72="-","-","")</f>
        <v>-</v>
      </c>
      <c r="O72" s="29">
        <f t="shared" si="23"/>
        <v>-0.2205092592592594</v>
      </c>
      <c r="P72" s="7" t="str">
        <f>IF($D72="-","-","")</f>
        <v>-</v>
      </c>
      <c r="Q72" s="29">
        <f t="shared" si="33"/>
        <v>2.3640215378421905</v>
      </c>
      <c r="R72" s="29">
        <f t="shared" si="34"/>
        <v>0.32597846215780946</v>
      </c>
      <c r="S72" s="31">
        <f t="shared" si="35"/>
        <v>0.12118158444528233</v>
      </c>
      <c r="T72" s="12">
        <f t="shared" si="13"/>
        <v>0.10626195779077041</v>
      </c>
    </row>
    <row r="73" spans="2:20" x14ac:dyDescent="0.3">
      <c r="B73" s="102">
        <v>44</v>
      </c>
      <c r="C73" s="102">
        <v>2.48</v>
      </c>
      <c r="D73" s="7" t="s">
        <v>51</v>
      </c>
      <c r="E73" s="7" t="s">
        <v>51</v>
      </c>
      <c r="F73" s="7" t="s">
        <v>51</v>
      </c>
      <c r="G73" s="29">
        <f t="shared" si="4"/>
        <v>2.5935443840579717</v>
      </c>
      <c r="H73" s="7" t="s">
        <v>51</v>
      </c>
      <c r="I73" s="7" t="s">
        <v>51</v>
      </c>
      <c r="J73" s="29">
        <f t="shared" ref="J73:K73" si="42">J61</f>
        <v>-0.16333333333333319</v>
      </c>
      <c r="K73" s="29">
        <f t="shared" si="42"/>
        <v>0.10056179001544809</v>
      </c>
      <c r="L73" s="29">
        <f t="shared" si="31"/>
        <v>-0.360430819984491</v>
      </c>
      <c r="M73" s="29">
        <f t="shared" si="32"/>
        <v>3.3764153317824619E-2</v>
      </c>
      <c r="N73" s="7" t="str">
        <f>IF($D73="-","-","")</f>
        <v>-</v>
      </c>
      <c r="O73" s="29">
        <f t="shared" si="23"/>
        <v>-0.16800925925925914</v>
      </c>
      <c r="P73" s="7" t="str">
        <f>IF($D73="-","-","")</f>
        <v>-</v>
      </c>
      <c r="Q73" s="29">
        <f t="shared" si="33"/>
        <v>2.4255351247987127</v>
      </c>
      <c r="R73" s="29">
        <f t="shared" si="34"/>
        <v>5.4464875201287288E-2</v>
      </c>
      <c r="S73" s="31">
        <f t="shared" si="35"/>
        <v>2.196164322632552E-2</v>
      </c>
      <c r="T73" s="12">
        <f t="shared" si="13"/>
        <v>2.9664226306917989E-3</v>
      </c>
    </row>
    <row r="74" spans="2:20" x14ac:dyDescent="0.3">
      <c r="B74" s="102">
        <v>45</v>
      </c>
      <c r="C74" s="102">
        <v>2.73</v>
      </c>
      <c r="D74" s="7" t="s">
        <v>51</v>
      </c>
      <c r="E74" s="7" t="s">
        <v>51</v>
      </c>
      <c r="F74" s="7" t="s">
        <v>51</v>
      </c>
      <c r="G74" s="29">
        <f t="shared" si="4"/>
        <v>2.6025579710144933</v>
      </c>
      <c r="H74" s="7" t="s">
        <v>51</v>
      </c>
      <c r="I74" s="7" t="s">
        <v>51</v>
      </c>
      <c r="J74" s="29">
        <f t="shared" ref="J74:K74" si="43">J62</f>
        <v>2.7916666666666739E-2</v>
      </c>
      <c r="K74" s="29">
        <f t="shared" si="43"/>
        <v>1.9873733362853328E-2</v>
      </c>
      <c r="L74" s="29">
        <f t="shared" si="31"/>
        <v>-1.1035134962877866E-2</v>
      </c>
      <c r="M74" s="29">
        <f t="shared" si="32"/>
        <v>6.6868468296211347E-2</v>
      </c>
      <c r="N74" s="7" t="str">
        <f>IF($D74="-","-","")</f>
        <v>-</v>
      </c>
      <c r="O74" s="29">
        <f t="shared" si="23"/>
        <v>2.3240740740740801E-2</v>
      </c>
      <c r="P74" s="7" t="str">
        <f>IF($D74="-","-","")</f>
        <v>-</v>
      </c>
      <c r="Q74" s="29">
        <f t="shared" si="33"/>
        <v>2.6257987117552339</v>
      </c>
      <c r="R74" s="29">
        <f t="shared" si="34"/>
        <v>0.10420128824476604</v>
      </c>
      <c r="S74" s="31">
        <f t="shared" si="35"/>
        <v>3.8168970053027856E-2</v>
      </c>
      <c r="T74" s="12">
        <f t="shared" si="13"/>
        <v>1.0857908471868818E-2</v>
      </c>
    </row>
    <row r="75" spans="2:20" x14ac:dyDescent="0.3">
      <c r="B75" s="102">
        <v>46</v>
      </c>
      <c r="C75" s="102">
        <v>2.37</v>
      </c>
      <c r="D75" s="7" t="s">
        <v>51</v>
      </c>
      <c r="E75" s="7" t="s">
        <v>51</v>
      </c>
      <c r="F75" s="7" t="s">
        <v>51</v>
      </c>
      <c r="G75" s="29">
        <f t="shared" si="4"/>
        <v>2.6115715579710148</v>
      </c>
      <c r="H75" s="7" t="s">
        <v>51</v>
      </c>
      <c r="I75" s="7" t="s">
        <v>51</v>
      </c>
      <c r="J75" s="29">
        <f t="shared" ref="J75:K75" si="44">J63</f>
        <v>-0.15069444444444433</v>
      </c>
      <c r="K75" s="29">
        <f t="shared" si="44"/>
        <v>9.0417946739530741E-2</v>
      </c>
      <c r="L75" s="29">
        <f t="shared" si="31"/>
        <v>-0.32791036360998538</v>
      </c>
      <c r="M75" s="29">
        <f t="shared" si="32"/>
        <v>2.6521474721096699E-2</v>
      </c>
      <c r="N75" s="7" t="str">
        <f>IF($D75="-","-","")</f>
        <v>-</v>
      </c>
      <c r="O75" s="29">
        <f t="shared" si="23"/>
        <v>-0.15537037037037027</v>
      </c>
      <c r="P75" s="7" t="str">
        <f>IF($D75="-","-","")</f>
        <v>-</v>
      </c>
      <c r="Q75" s="29">
        <f t="shared" si="33"/>
        <v>2.4562011876006444</v>
      </c>
      <c r="R75" s="29">
        <f t="shared" si="34"/>
        <v>-8.6201187600644325E-2</v>
      </c>
      <c r="S75" s="31">
        <f t="shared" si="35"/>
        <v>3.6371809114195915E-2</v>
      </c>
      <c r="T75" s="12">
        <f t="shared" si="13"/>
        <v>7.430644743761477E-3</v>
      </c>
    </row>
    <row r="76" spans="2:20" x14ac:dyDescent="0.3">
      <c r="B76" s="102">
        <v>47</v>
      </c>
      <c r="C76" s="102">
        <v>2.31</v>
      </c>
      <c r="D76" s="7" t="s">
        <v>51</v>
      </c>
      <c r="E76" s="7" t="s">
        <v>51</v>
      </c>
      <c r="F76" s="7" t="s">
        <v>51</v>
      </c>
      <c r="G76" s="29">
        <f t="shared" si="4"/>
        <v>2.6205851449275368</v>
      </c>
      <c r="H76" s="7" t="s">
        <v>51</v>
      </c>
      <c r="I76" s="7" t="s">
        <v>51</v>
      </c>
      <c r="J76" s="29">
        <f t="shared" ref="J76:K76" si="45">J64</f>
        <v>-0.15486111111111103</v>
      </c>
      <c r="K76" s="29">
        <f t="shared" si="45"/>
        <v>4.5100838663467563E-2</v>
      </c>
      <c r="L76" s="29">
        <f t="shared" si="31"/>
        <v>-0.24325713056405901</v>
      </c>
      <c r="M76" s="29">
        <f t="shared" si="32"/>
        <v>-6.6465091658163042E-2</v>
      </c>
      <c r="N76" s="7" t="str">
        <f>IF($D76="-","-","")</f>
        <v>-</v>
      </c>
      <c r="O76" s="29">
        <f t="shared" si="23"/>
        <v>-0.15953703703703698</v>
      </c>
      <c r="P76" s="7" t="str">
        <f>IF($D76="-","-","")</f>
        <v>-</v>
      </c>
      <c r="Q76" s="29">
        <f t="shared" si="33"/>
        <v>2.4610481078905</v>
      </c>
      <c r="R76" s="29">
        <f t="shared" si="34"/>
        <v>-0.15104810789049994</v>
      </c>
      <c r="S76" s="31">
        <f t="shared" si="35"/>
        <v>6.5388791294588716E-2</v>
      </c>
      <c r="T76" s="12">
        <f t="shared" si="13"/>
        <v>2.281553089730011E-2</v>
      </c>
    </row>
    <row r="77" spans="2:20" x14ac:dyDescent="0.3">
      <c r="B77" s="102">
        <v>48</v>
      </c>
      <c r="C77" s="102">
        <v>2.23</v>
      </c>
      <c r="D77" s="7" t="s">
        <v>51</v>
      </c>
      <c r="E77" s="7" t="s">
        <v>51</v>
      </c>
      <c r="F77" s="7" t="s">
        <v>51</v>
      </c>
      <c r="G77" s="29">
        <f t="shared" si="4"/>
        <v>2.6295987318840583</v>
      </c>
      <c r="H77" s="7" t="s">
        <v>51</v>
      </c>
      <c r="I77" s="7" t="s">
        <v>51</v>
      </c>
      <c r="J77" s="29">
        <f t="shared" ref="J77:K77" si="46">J65</f>
        <v>-6.3611111111110993E-2</v>
      </c>
      <c r="K77" s="29">
        <f t="shared" si="46"/>
        <v>0.1409493687003851</v>
      </c>
      <c r="L77" s="29">
        <f t="shared" si="31"/>
        <v>-0.3398667974075229</v>
      </c>
      <c r="M77" s="29">
        <f t="shared" si="32"/>
        <v>0.21264457518530089</v>
      </c>
      <c r="N77" s="7" t="str">
        <f>IF($D77="-","-","")</f>
        <v>-</v>
      </c>
      <c r="O77" s="29">
        <f t="shared" si="23"/>
        <v>-6.8287037037036938E-2</v>
      </c>
      <c r="P77" s="7" t="str">
        <f>IF($D77="-","-","")</f>
        <v>-</v>
      </c>
      <c r="Q77" s="29">
        <f t="shared" si="33"/>
        <v>2.5613116948470216</v>
      </c>
      <c r="R77" s="29">
        <f t="shared" si="34"/>
        <v>-0.33131169484702161</v>
      </c>
      <c r="S77" s="31">
        <f t="shared" si="35"/>
        <v>0.14857026674754331</v>
      </c>
      <c r="T77" s="12">
        <f t="shared" si="13"/>
        <v>0.10976743914240597</v>
      </c>
    </row>
    <row r="78" spans="2:20" x14ac:dyDescent="0.3">
      <c r="B78" s="166">
        <v>49</v>
      </c>
      <c r="C78" s="5"/>
      <c r="D78" s="5"/>
      <c r="E78" s="5"/>
      <c r="F78" s="5"/>
      <c r="G78" s="167">
        <f t="shared" si="4"/>
        <v>2.6386123188405803</v>
      </c>
      <c r="H78" s="5"/>
      <c r="I78" s="5"/>
      <c r="J78" s="29">
        <f t="shared" ref="J78:K78" si="47">J66</f>
        <v>-0.49944444444444458</v>
      </c>
      <c r="K78" s="29">
        <f t="shared" si="47"/>
        <v>5.7518616149067128E-2</v>
      </c>
      <c r="L78" s="29">
        <f t="shared" ref="L78:L81" si="48">J78-K78*_xlfn.NORM.INV(1-$M$27/2,0,1)</f>
        <v>-0.61217886053720005</v>
      </c>
      <c r="M78" s="29">
        <f t="shared" ref="M78:M81" si="49">J78+K78*_xlfn.NORM.INV(1-$M$27/2,0,1)</f>
        <v>-0.38671002835168911</v>
      </c>
      <c r="N78" s="5"/>
      <c r="O78" s="29">
        <f t="shared" si="23"/>
        <v>-0.5041203703703705</v>
      </c>
      <c r="P78" s="5"/>
      <c r="Q78" s="165">
        <f t="shared" ref="Q78:Q81" si="50">G78+O78</f>
        <v>2.1344919484702096</v>
      </c>
      <c r="R78" s="29"/>
      <c r="S78" s="31"/>
      <c r="T78" s="12"/>
    </row>
    <row r="79" spans="2:20" x14ac:dyDescent="0.3">
      <c r="B79" s="102">
        <v>50</v>
      </c>
      <c r="C79" s="5"/>
      <c r="D79" s="5"/>
      <c r="E79" s="5"/>
      <c r="F79" s="5"/>
      <c r="G79" s="167">
        <f t="shared" si="4"/>
        <v>2.6476259057971019</v>
      </c>
      <c r="H79" s="5"/>
      <c r="I79" s="5"/>
      <c r="J79" s="29">
        <f t="shared" ref="J79:K79" si="51">J67</f>
        <v>-0.15541666666666668</v>
      </c>
      <c r="K79" s="29">
        <f t="shared" si="51"/>
        <v>5.4357037262897354E-2</v>
      </c>
      <c r="L79" s="29">
        <f t="shared" si="48"/>
        <v>-0.26195450200824716</v>
      </c>
      <c r="M79" s="29">
        <f t="shared" si="49"/>
        <v>-4.8878831325086206E-2</v>
      </c>
      <c r="N79" s="5"/>
      <c r="O79" s="29">
        <f t="shared" si="23"/>
        <v>-0.16009259259259262</v>
      </c>
      <c r="P79" s="5"/>
      <c r="Q79" s="165">
        <f t="shared" si="50"/>
        <v>2.4875333132045094</v>
      </c>
      <c r="R79" s="29"/>
      <c r="S79" s="31"/>
      <c r="T79" s="12"/>
    </row>
    <row r="80" spans="2:20" x14ac:dyDescent="0.3">
      <c r="B80" s="166">
        <v>51</v>
      </c>
      <c r="C80" s="5"/>
      <c r="D80" s="5"/>
      <c r="E80" s="5"/>
      <c r="F80" s="5"/>
      <c r="G80" s="167">
        <f t="shared" si="4"/>
        <v>2.6566394927536239</v>
      </c>
      <c r="H80" s="5"/>
      <c r="I80" s="5"/>
      <c r="J80" s="29">
        <f t="shared" ref="J80:K80" si="52">J68</f>
        <v>0.29875000000000024</v>
      </c>
      <c r="K80" s="29">
        <f t="shared" si="52"/>
        <v>9.356092043868168E-2</v>
      </c>
      <c r="L80" s="29">
        <f t="shared" si="48"/>
        <v>0.11537396557976676</v>
      </c>
      <c r="M80" s="29">
        <f t="shared" si="49"/>
        <v>0.48212603442023372</v>
      </c>
      <c r="N80" s="5"/>
      <c r="O80" s="29">
        <f t="shared" si="23"/>
        <v>0.29407407407407432</v>
      </c>
      <c r="P80" s="5"/>
      <c r="Q80" s="165">
        <f t="shared" si="50"/>
        <v>2.950713566827698</v>
      </c>
      <c r="R80" s="29"/>
      <c r="S80" s="31"/>
      <c r="T80" s="12"/>
    </row>
    <row r="81" spans="2:20" x14ac:dyDescent="0.3">
      <c r="B81" s="102">
        <v>52</v>
      </c>
      <c r="C81" s="5"/>
      <c r="D81" s="5"/>
      <c r="E81" s="5"/>
      <c r="F81" s="5"/>
      <c r="G81" s="167">
        <f t="shared" si="4"/>
        <v>2.6656530797101454</v>
      </c>
      <c r="H81" s="5"/>
      <c r="I81" s="5"/>
      <c r="J81" s="29">
        <f t="shared" ref="J81:K81" si="53">J69</f>
        <v>1.6873611111111109</v>
      </c>
      <c r="K81" s="29">
        <f t="shared" si="53"/>
        <v>0.11127600611559083</v>
      </c>
      <c r="L81" s="29">
        <f t="shared" si="48"/>
        <v>1.4692641467810941</v>
      </c>
      <c r="M81" s="29">
        <f t="shared" si="49"/>
        <v>1.9054580754411277</v>
      </c>
      <c r="N81" s="5"/>
      <c r="O81" s="29">
        <f t="shared" si="23"/>
        <v>1.682685185185185</v>
      </c>
      <c r="P81" s="5"/>
      <c r="Q81" s="165">
        <f t="shared" si="50"/>
        <v>4.3483382648953306</v>
      </c>
      <c r="R81" s="29"/>
      <c r="S81" s="31"/>
      <c r="T81" s="12"/>
    </row>
  </sheetData>
  <mergeCells count="15">
    <mergeCell ref="W19:Y20"/>
    <mergeCell ref="L20:O24"/>
    <mergeCell ref="S21:T26"/>
    <mergeCell ref="X21:Y24"/>
    <mergeCell ref="F25:F26"/>
    <mergeCell ref="T8:U9"/>
    <mergeCell ref="E12:K12"/>
    <mergeCell ref="M12:S13"/>
    <mergeCell ref="E13:K17"/>
    <mergeCell ref="Q16:T16"/>
    <mergeCell ref="V16:Y16"/>
    <mergeCell ref="Q17:T18"/>
    <mergeCell ref="V17:Y18"/>
    <mergeCell ref="L18:O19"/>
    <mergeCell ref="R19:T20"/>
  </mergeCells>
  <conditionalFormatting sqref="N36:N71">
    <cfRule type="cellIs" dxfId="17" priority="7" operator="equal">
      <formula>"NOT OK"</formula>
    </cfRule>
    <cfRule type="cellIs" dxfId="16" priority="8" operator="equal">
      <formula>"OK"</formula>
    </cfRule>
  </conditionalFormatting>
  <conditionalFormatting sqref="P36:P71">
    <cfRule type="cellIs" dxfId="15" priority="3" operator="equal">
      <formula>0</formula>
    </cfRule>
    <cfRule type="cellIs" dxfId="14" priority="4" operator="equal">
      <formula>1</formula>
    </cfRule>
  </conditionalFormatting>
  <conditionalFormatting sqref="R26">
    <cfRule type="cellIs" dxfId="13" priority="5" operator="equal">
      <formula>"H0 Rejected"</formula>
    </cfRule>
    <cfRule type="cellIs" dxfId="12" priority="6" operator="equal">
      <formula>"H0 Accepted"</formula>
    </cfRule>
  </conditionalFormatting>
  <conditionalFormatting sqref="W24">
    <cfRule type="cellIs" dxfId="11" priority="1" operator="equal">
      <formula>"H0 Rejected"</formula>
    </cfRule>
    <cfRule type="cellIs" dxfId="10" priority="2" operator="equal">
      <formula>"H0 Accepted"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3A29-5616-4839-8729-BC426AB8D820}">
  <dimension ref="A2:Y113"/>
  <sheetViews>
    <sheetView zoomScale="85" zoomScaleNormal="85" workbookViewId="0">
      <selection activeCell="W13" sqref="W13"/>
    </sheetView>
  </sheetViews>
  <sheetFormatPr defaultRowHeight="14.4" x14ac:dyDescent="0.3"/>
  <cols>
    <col min="1" max="1" width="8.88671875" style="57"/>
    <col min="2" max="2" width="4.6640625" style="57" customWidth="1"/>
    <col min="3" max="3" width="6.33203125" style="57" customWidth="1"/>
    <col min="4" max="5" width="9.5546875" style="57" bestFit="1" customWidth="1"/>
    <col min="6" max="6" width="9.109375" style="57" bestFit="1" customWidth="1"/>
    <col min="7" max="11" width="9" style="57" bestFit="1" customWidth="1"/>
    <col min="12" max="12" width="11" style="57" customWidth="1"/>
    <col min="13" max="13" width="9" style="57" bestFit="1" customWidth="1"/>
    <col min="14" max="14" width="8.88671875" style="57"/>
    <col min="15" max="16" width="9" style="57" bestFit="1" customWidth="1"/>
    <col min="17" max="17" width="10.6640625" style="57" customWidth="1"/>
    <col min="18" max="18" width="9" style="57" bestFit="1" customWidth="1"/>
    <col min="19" max="19" width="12.6640625" style="57" customWidth="1"/>
    <col min="20" max="20" width="18.109375" style="57" customWidth="1"/>
    <col min="21" max="21" width="10.6640625" style="57" customWidth="1"/>
    <col min="22" max="22" width="10.109375" style="57" customWidth="1"/>
    <col min="23" max="23" width="11" style="57" bestFit="1" customWidth="1"/>
    <col min="24" max="24" width="8.88671875" style="57"/>
    <col min="28" max="28" width="9.5546875" bestFit="1" customWidth="1"/>
  </cols>
  <sheetData>
    <row r="2" spans="2:25" ht="18" x14ac:dyDescent="0.3">
      <c r="B2" s="3" t="s">
        <v>0</v>
      </c>
      <c r="C2" s="3" t="s">
        <v>1</v>
      </c>
    </row>
    <row r="3" spans="2:25" ht="15.6" x14ac:dyDescent="0.3">
      <c r="B3" s="4">
        <v>1</v>
      </c>
      <c r="C3" s="4">
        <v>125</v>
      </c>
    </row>
    <row r="4" spans="2:25" ht="15.6" x14ac:dyDescent="0.3">
      <c r="B4" s="4">
        <v>2</v>
      </c>
      <c r="C4" s="4">
        <v>111</v>
      </c>
    </row>
    <row r="5" spans="2:25" ht="16.2" thickBot="1" x14ac:dyDescent="0.35">
      <c r="B5" s="4">
        <v>3</v>
      </c>
      <c r="C5" s="4">
        <v>126</v>
      </c>
    </row>
    <row r="6" spans="2:25" ht="28.2" x14ac:dyDescent="0.3">
      <c r="B6" s="4">
        <v>4</v>
      </c>
      <c r="C6" s="4">
        <v>107</v>
      </c>
      <c r="T6" s="93" t="s">
        <v>2</v>
      </c>
      <c r="U6" s="94"/>
      <c r="W6" s="174" t="s">
        <v>2</v>
      </c>
      <c r="X6" s="175"/>
      <c r="Y6" s="176"/>
    </row>
    <row r="7" spans="2:25" ht="15.75" customHeight="1" x14ac:dyDescent="0.3">
      <c r="B7" s="4">
        <v>5</v>
      </c>
      <c r="C7" s="4">
        <v>95</v>
      </c>
      <c r="T7" s="59" t="s">
        <v>3</v>
      </c>
      <c r="U7" s="60">
        <f>AVERAGE(R30:R113)</f>
        <v>-1.0499303168631494E-2</v>
      </c>
      <c r="W7" s="177" t="s">
        <v>100</v>
      </c>
      <c r="X7" s="173"/>
      <c r="Y7" s="178"/>
    </row>
    <row r="8" spans="2:25" ht="15.6" x14ac:dyDescent="0.3">
      <c r="B8" s="4">
        <v>6</v>
      </c>
      <c r="C8" s="4">
        <v>138</v>
      </c>
      <c r="T8" s="59" t="s">
        <v>4</v>
      </c>
      <c r="U8" s="62" cm="1">
        <f t="array" ref="U8">AVERAGE(ABS(R30:R113))</f>
        <v>6.1763135782083263E-2</v>
      </c>
      <c r="W8" s="59" t="s">
        <v>3</v>
      </c>
      <c r="X8" s="30">
        <v>3.5243055555554156E-3</v>
      </c>
      <c r="Y8" s="135"/>
    </row>
    <row r="9" spans="2:25" ht="16.2" thickBot="1" x14ac:dyDescent="0.35">
      <c r="B9" s="4">
        <v>7</v>
      </c>
      <c r="C9" s="4">
        <v>156</v>
      </c>
      <c r="T9" s="63" t="s">
        <v>7</v>
      </c>
      <c r="U9" s="64">
        <f>AVERAGE(S30:S113)</f>
        <v>4.6594424559433072E-2</v>
      </c>
      <c r="W9" s="59" t="s">
        <v>4</v>
      </c>
      <c r="X9" s="30">
        <v>9.4760204195741632E-2</v>
      </c>
      <c r="Y9" s="135"/>
    </row>
    <row r="10" spans="2:25" ht="16.2" thickBot="1" x14ac:dyDescent="0.35">
      <c r="B10" s="4">
        <v>8</v>
      </c>
      <c r="C10" s="4">
        <v>142</v>
      </c>
      <c r="T10" s="63" t="s">
        <v>9</v>
      </c>
      <c r="U10" s="171">
        <f>AVERAGE(U30:U77)</f>
        <v>2.985966187672363E-2</v>
      </c>
      <c r="W10" s="59" t="s">
        <v>7</v>
      </c>
      <c r="X10" s="31">
        <v>4.3511642757958824E-2</v>
      </c>
      <c r="Y10" s="135"/>
    </row>
    <row r="11" spans="2:25" ht="16.2" thickBot="1" x14ac:dyDescent="0.35">
      <c r="B11" s="4">
        <v>9</v>
      </c>
      <c r="C11" s="4">
        <v>157</v>
      </c>
      <c r="W11" s="63" t="s">
        <v>9</v>
      </c>
      <c r="X11" s="179">
        <v>2.4711097212655145E-2</v>
      </c>
      <c r="Y11" s="137"/>
    </row>
    <row r="12" spans="2:25" ht="15.6" x14ac:dyDescent="0.3">
      <c r="B12" s="4">
        <v>10</v>
      </c>
      <c r="C12" s="4">
        <v>137</v>
      </c>
      <c r="E12" s="149" t="s">
        <v>5</v>
      </c>
      <c r="F12" s="149"/>
      <c r="G12" s="149"/>
      <c r="H12" s="149"/>
      <c r="I12" s="149"/>
      <c r="J12" s="149"/>
      <c r="K12" s="149"/>
      <c r="M12" s="126" t="s">
        <v>55</v>
      </c>
      <c r="N12" s="126"/>
      <c r="O12" s="126"/>
      <c r="P12" s="126"/>
      <c r="Q12" s="126"/>
      <c r="R12" s="126"/>
      <c r="S12" s="126"/>
      <c r="T12" s="68" t="s">
        <v>92</v>
      </c>
      <c r="U12" s="69">
        <f>SUM(T30:T113)</f>
        <v>370.39634229758752</v>
      </c>
    </row>
    <row r="13" spans="2:25" ht="15.6" customHeight="1" x14ac:dyDescent="0.3">
      <c r="B13" s="4">
        <v>11</v>
      </c>
      <c r="C13" s="4">
        <v>126</v>
      </c>
      <c r="E13" s="125" t="s">
        <v>8</v>
      </c>
      <c r="F13" s="125"/>
      <c r="G13" s="125"/>
      <c r="H13" s="125"/>
      <c r="I13" s="125"/>
      <c r="J13" s="125"/>
      <c r="K13" s="125"/>
      <c r="M13" s="126"/>
      <c r="N13" s="126"/>
      <c r="O13" s="126"/>
      <c r="P13" s="126"/>
      <c r="Q13" s="126"/>
      <c r="R13" s="126"/>
      <c r="S13" s="126"/>
    </row>
    <row r="14" spans="2:25" ht="15.6" x14ac:dyDescent="0.3">
      <c r="B14" s="4">
        <v>12</v>
      </c>
      <c r="C14" s="4">
        <v>171</v>
      </c>
      <c r="E14" s="125"/>
      <c r="F14" s="125"/>
      <c r="G14" s="125"/>
      <c r="H14" s="125"/>
      <c r="I14" s="125"/>
      <c r="J14" s="125"/>
      <c r="K14" s="125"/>
    </row>
    <row r="15" spans="2:25" ht="16.2" thickBot="1" x14ac:dyDescent="0.35">
      <c r="B15" s="4">
        <v>13</v>
      </c>
      <c r="C15" s="4">
        <v>183</v>
      </c>
      <c r="E15" s="125"/>
      <c r="F15" s="125"/>
      <c r="G15" s="125"/>
      <c r="H15" s="125"/>
      <c r="I15" s="125"/>
      <c r="J15" s="125"/>
      <c r="K15" s="125"/>
    </row>
    <row r="16" spans="2:25" ht="15.75" customHeight="1" x14ac:dyDescent="0.3">
      <c r="B16" s="4">
        <v>14</v>
      </c>
      <c r="C16" s="4">
        <v>172</v>
      </c>
      <c r="E16" s="125"/>
      <c r="F16" s="125"/>
      <c r="G16" s="125"/>
      <c r="H16" s="125"/>
      <c r="I16" s="125"/>
      <c r="J16" s="125"/>
      <c r="K16" s="125"/>
      <c r="Q16" s="150" t="s">
        <v>11</v>
      </c>
      <c r="R16" s="151"/>
      <c r="S16" s="151"/>
      <c r="T16" s="152"/>
      <c r="V16" s="105" t="s">
        <v>11</v>
      </c>
      <c r="W16" s="106"/>
      <c r="X16" s="106"/>
      <c r="Y16" s="107"/>
    </row>
    <row r="17" spans="2:25" ht="15.6" x14ac:dyDescent="0.3">
      <c r="B17" s="4">
        <v>15</v>
      </c>
      <c r="C17" s="4">
        <v>185</v>
      </c>
      <c r="E17" s="125"/>
      <c r="F17" s="125"/>
      <c r="G17" s="125"/>
      <c r="H17" s="125"/>
      <c r="I17" s="125"/>
      <c r="J17" s="125"/>
      <c r="K17" s="125"/>
      <c r="Q17" s="146" t="s">
        <v>12</v>
      </c>
      <c r="R17" s="147"/>
      <c r="S17" s="147"/>
      <c r="T17" s="148"/>
      <c r="V17" s="108" t="s">
        <v>13</v>
      </c>
      <c r="W17" s="109"/>
      <c r="X17" s="109"/>
      <c r="Y17" s="110"/>
    </row>
    <row r="18" spans="2:25" ht="15.6" customHeight="1" x14ac:dyDescent="0.3">
      <c r="B18" s="4">
        <v>16</v>
      </c>
      <c r="C18" s="4">
        <v>165</v>
      </c>
      <c r="E18" s="1"/>
      <c r="F18" s="1"/>
      <c r="I18" s="58"/>
      <c r="J18" s="58"/>
      <c r="L18" s="126" t="s">
        <v>14</v>
      </c>
      <c r="M18" s="126"/>
      <c r="N18" s="126"/>
      <c r="O18" s="126"/>
      <c r="Q18" s="146"/>
      <c r="R18" s="147"/>
      <c r="S18" s="147"/>
      <c r="T18" s="148"/>
      <c r="V18" s="108"/>
      <c r="W18" s="109"/>
      <c r="X18" s="109"/>
      <c r="Y18" s="110"/>
    </row>
    <row r="19" spans="2:25" ht="15.6" customHeight="1" x14ac:dyDescent="0.3">
      <c r="B19" s="4">
        <v>17</v>
      </c>
      <c r="C19" s="4">
        <v>155</v>
      </c>
      <c r="E19" s="1"/>
      <c r="F19" s="1"/>
      <c r="I19" s="58"/>
      <c r="J19" s="58"/>
      <c r="L19" s="126"/>
      <c r="M19" s="126"/>
      <c r="N19" s="126"/>
      <c r="O19" s="126"/>
      <c r="Q19" s="61" t="s">
        <v>93</v>
      </c>
      <c r="R19" s="153" t="s">
        <v>57</v>
      </c>
      <c r="S19" s="154"/>
      <c r="T19" s="155"/>
      <c r="V19" s="97" t="s">
        <v>17</v>
      </c>
      <c r="W19" s="111" t="s">
        <v>18</v>
      </c>
      <c r="X19" s="111"/>
      <c r="Y19" s="112"/>
    </row>
    <row r="20" spans="2:25" ht="15.6" customHeight="1" x14ac:dyDescent="0.3">
      <c r="B20" s="4">
        <v>18</v>
      </c>
      <c r="C20" s="4">
        <v>200</v>
      </c>
      <c r="E20" s="1"/>
      <c r="F20" s="1"/>
      <c r="L20" s="125" t="s">
        <v>58</v>
      </c>
      <c r="M20" s="125"/>
      <c r="N20" s="125"/>
      <c r="O20" s="125"/>
      <c r="Q20" s="61" t="s">
        <v>94</v>
      </c>
      <c r="R20" s="156"/>
      <c r="S20" s="157"/>
      <c r="T20" s="158"/>
      <c r="V20" s="97" t="s">
        <v>21</v>
      </c>
      <c r="W20" s="111"/>
      <c r="X20" s="111"/>
      <c r="Y20" s="112"/>
    </row>
    <row r="21" spans="2:25" ht="15.6" x14ac:dyDescent="0.3">
      <c r="B21" s="4">
        <v>19</v>
      </c>
      <c r="C21" s="4">
        <v>219</v>
      </c>
      <c r="L21" s="125"/>
      <c r="M21" s="125"/>
      <c r="N21" s="125"/>
      <c r="O21" s="125"/>
      <c r="Q21" s="65" t="s">
        <v>22</v>
      </c>
      <c r="R21" s="66">
        <f>COUNT(P36:P77)</f>
        <v>36</v>
      </c>
      <c r="S21" s="159"/>
      <c r="T21" s="160"/>
      <c r="V21" s="98" t="s">
        <v>23</v>
      </c>
      <c r="W21" s="95">
        <f>CORREL(P36:P106,P37:P107)</f>
        <v>1.9412700076525465E-2</v>
      </c>
      <c r="X21" s="113"/>
      <c r="Y21" s="114"/>
    </row>
    <row r="22" spans="2:25" ht="15.6" x14ac:dyDescent="0.3">
      <c r="B22" s="4">
        <v>20</v>
      </c>
      <c r="C22" s="4">
        <v>202</v>
      </c>
      <c r="L22" s="125"/>
      <c r="M22" s="125"/>
      <c r="N22" s="125"/>
      <c r="O22" s="125"/>
      <c r="Q22" s="65" t="s">
        <v>24</v>
      </c>
      <c r="R22" s="67">
        <f>AVERAGE(P36:P77)</f>
        <v>1.0006409882361438</v>
      </c>
      <c r="S22" s="159"/>
      <c r="T22" s="160"/>
      <c r="V22" s="98" t="s">
        <v>25</v>
      </c>
      <c r="W22" s="95">
        <f>(W21)/(1/SQRT(R21))</f>
        <v>0.11647620045915279</v>
      </c>
      <c r="X22" s="113"/>
      <c r="Y22" s="114"/>
    </row>
    <row r="23" spans="2:25" ht="15.6" x14ac:dyDescent="0.3">
      <c r="B23" s="4">
        <v>21</v>
      </c>
      <c r="C23" s="4">
        <v>215</v>
      </c>
      <c r="L23" s="125"/>
      <c r="M23" s="125"/>
      <c r="N23" s="125"/>
      <c r="O23" s="125"/>
      <c r="Q23" s="65" t="s">
        <v>26</v>
      </c>
      <c r="R23" s="67">
        <f>_xlfn.STDEV.S(P30:P113)</f>
        <v>3.2004420086423194E-2</v>
      </c>
      <c r="S23" s="159"/>
      <c r="T23" s="160"/>
      <c r="V23" s="99" t="s">
        <v>27</v>
      </c>
      <c r="W23" s="96">
        <v>0.05</v>
      </c>
      <c r="X23" s="113"/>
      <c r="Y23" s="114"/>
    </row>
    <row r="24" spans="2:25" ht="16.2" thickBot="1" x14ac:dyDescent="0.35">
      <c r="B24" s="4">
        <v>22</v>
      </c>
      <c r="C24" s="4">
        <v>196</v>
      </c>
      <c r="L24" s="125"/>
      <c r="M24" s="125"/>
      <c r="N24" s="125"/>
      <c r="O24" s="125"/>
      <c r="Q24" s="65" t="s">
        <v>25</v>
      </c>
      <c r="R24" s="30">
        <f>(R22-1)/(R23/SQRT(R21))</f>
        <v>0.12016869565132936</v>
      </c>
      <c r="S24" s="159"/>
      <c r="T24" s="160"/>
      <c r="V24" s="100" t="s">
        <v>28</v>
      </c>
      <c r="W24" s="101" t="str">
        <f>IF(AND(W22&gt;_xlfn.NORM.INV(W23/2,0,1),W22&lt;_xlfn.NORM.INV(1-W23/2,0,1)),"H0 Accepted","H0 Rejected")</f>
        <v>H0 Accepted</v>
      </c>
      <c r="X24" s="115"/>
      <c r="Y24" s="116"/>
    </row>
    <row r="25" spans="2:25" ht="15.6" x14ac:dyDescent="0.3">
      <c r="B25" s="4">
        <v>23</v>
      </c>
      <c r="C25" s="4">
        <v>185</v>
      </c>
      <c r="F25" s="163" t="s">
        <v>95</v>
      </c>
      <c r="G25" s="70" t="s">
        <v>30</v>
      </c>
      <c r="H25" s="71">
        <f>INTERCEPT(F36:F107,B36:B107)</f>
        <v>2.1446622872872876</v>
      </c>
      <c r="Q25" s="65" t="s">
        <v>27</v>
      </c>
      <c r="R25" s="72">
        <v>0.05</v>
      </c>
      <c r="S25" s="159"/>
      <c r="T25" s="160"/>
    </row>
    <row r="26" spans="2:25" ht="16.2" thickBot="1" x14ac:dyDescent="0.35">
      <c r="B26" s="4">
        <v>24</v>
      </c>
      <c r="C26" s="4">
        <v>232</v>
      </c>
      <c r="F26" s="164"/>
      <c r="G26" s="70" t="s">
        <v>31</v>
      </c>
      <c r="H26" s="71">
        <f>SLOPE(F36:F107,B36:B107)</f>
        <v>1.2283247533247539E-2</v>
      </c>
      <c r="J26" s="73" t="s">
        <v>32</v>
      </c>
      <c r="L26" s="73" t="s">
        <v>60</v>
      </c>
      <c r="M26" s="74">
        <v>12</v>
      </c>
      <c r="O26" s="68" t="s">
        <v>61</v>
      </c>
      <c r="Q26" s="75" t="s">
        <v>28</v>
      </c>
      <c r="R26" s="76" t="str">
        <f>IF(AND(R24&gt;_xlfn.NORM.INV(R25/2,0,1),R24&lt;_xlfn.NORM.INV(1-R25/2,0,1)),"H0 Accepted","H0 Rejected")</f>
        <v>H0 Accepted</v>
      </c>
      <c r="S26" s="161"/>
      <c r="T26" s="162"/>
    </row>
    <row r="27" spans="2:25" x14ac:dyDescent="0.3">
      <c r="J27" s="78">
        <f>SUM(J30:J41)</f>
        <v>12.007691858833722</v>
      </c>
      <c r="L27" s="73" t="s">
        <v>27</v>
      </c>
      <c r="M27" s="72">
        <v>0.05</v>
      </c>
      <c r="O27" s="29">
        <f>SUM(O30:O41)</f>
        <v>11.999999999999998</v>
      </c>
    </row>
    <row r="28" spans="2:25" ht="6.6" customHeight="1" x14ac:dyDescent="0.3"/>
    <row r="29" spans="2:25" ht="27.6" x14ac:dyDescent="0.3">
      <c r="B29" s="9" t="s">
        <v>0</v>
      </c>
      <c r="C29" s="9" t="s">
        <v>34</v>
      </c>
      <c r="D29" s="10" t="s">
        <v>35</v>
      </c>
      <c r="E29" s="10" t="s">
        <v>36</v>
      </c>
      <c r="F29" s="10" t="s">
        <v>37</v>
      </c>
      <c r="G29" s="10" t="s">
        <v>38</v>
      </c>
      <c r="H29" s="10" t="s">
        <v>39</v>
      </c>
      <c r="I29" s="10" t="s">
        <v>62</v>
      </c>
      <c r="J29" s="10" t="s">
        <v>41</v>
      </c>
      <c r="K29" s="10" t="s">
        <v>63</v>
      </c>
      <c r="L29" s="10" t="s">
        <v>43</v>
      </c>
      <c r="M29" s="17" t="s">
        <v>44</v>
      </c>
      <c r="N29" s="10" t="s">
        <v>45</v>
      </c>
      <c r="O29" s="10" t="s">
        <v>46</v>
      </c>
      <c r="P29" s="10" t="s">
        <v>47</v>
      </c>
      <c r="Q29" s="17" t="s">
        <v>64</v>
      </c>
      <c r="R29" s="10" t="s">
        <v>49</v>
      </c>
      <c r="S29" s="10" t="s">
        <v>50</v>
      </c>
      <c r="T29" s="10" t="s">
        <v>96</v>
      </c>
      <c r="U29" s="10" t="s">
        <v>99</v>
      </c>
    </row>
    <row r="30" spans="2:25" ht="15.6" x14ac:dyDescent="0.3">
      <c r="B30" s="6">
        <v>1</v>
      </c>
      <c r="C30" s="102">
        <v>1.71</v>
      </c>
      <c r="D30" s="7" t="s">
        <v>51</v>
      </c>
      <c r="E30" s="7" t="str">
        <f>IF(D30="-","-","")</f>
        <v>-</v>
      </c>
      <c r="F30" s="7" t="str">
        <f>IF(E30="-","-","")</f>
        <v>-</v>
      </c>
      <c r="G30" s="8">
        <f>$H$25+$H$26*B30</f>
        <v>2.1569455348205353</v>
      </c>
      <c r="H30" s="7" t="str">
        <f>IF(D30="-","-","")</f>
        <v>-</v>
      </c>
      <c r="I30" s="7" t="str">
        <f>IF(E30="-","-","")</f>
        <v>-</v>
      </c>
      <c r="J30" s="8">
        <f>AVERAGE(I30,I42,I54,I66,I78,I90,I102)</f>
        <v>0.79724917902354031</v>
      </c>
      <c r="K30" s="8">
        <f>_xlfn.STDEV.S(I30,I42,I54,I66,I78,I90,I102)</f>
        <v>1.3792343971913616E-2</v>
      </c>
      <c r="L30" s="8">
        <f>J30-K30*2</f>
        <v>0.76966449107971313</v>
      </c>
      <c r="M30" s="8">
        <f>J30+K30*2</f>
        <v>0.82483386696736749</v>
      </c>
      <c r="N30" s="7" t="str">
        <f>IF(D30="-","-","")</f>
        <v>-</v>
      </c>
      <c r="O30" s="8">
        <f>J30*$M$26/$J$27</f>
        <v>0.79673847903119843</v>
      </c>
      <c r="P30" s="8"/>
      <c r="Q30" s="8">
        <f t="shared" ref="Q30:Q35" si="0">G30*O30</f>
        <v>1.7185215047660483</v>
      </c>
      <c r="R30" s="8">
        <f>C30-Q30</f>
        <v>-8.5215047660482934E-3</v>
      </c>
      <c r="S30" s="55">
        <f t="shared" ref="S30:S94" si="1">ABS(R30)/C30</f>
        <v>4.9833361204960781E-3</v>
      </c>
      <c r="T30" s="169">
        <f>IF(R30&gt;0,Q30*GorGeus!$C$32+GorGeus!$C$31,Q30*GorGeus!$C$37+GorGeus!$C$36)</f>
        <v>10.046428394506224</v>
      </c>
      <c r="U30" s="29">
        <f>R30^2</f>
        <v>7.2616043477783776E-5</v>
      </c>
    </row>
    <row r="31" spans="2:25" ht="15.6" x14ac:dyDescent="0.3">
      <c r="B31" s="6">
        <v>2</v>
      </c>
      <c r="C31" s="102">
        <v>1.9</v>
      </c>
      <c r="D31" s="7" t="s">
        <v>51</v>
      </c>
      <c r="E31" s="7" t="str">
        <f t="shared" ref="E31:F35" si="2">IF(D31="-","-","")</f>
        <v>-</v>
      </c>
      <c r="F31" s="7" t="str">
        <f t="shared" si="2"/>
        <v>-</v>
      </c>
      <c r="G31" s="8">
        <f t="shared" ref="G31:G94" si="3">$H$25+$H$26*B31</f>
        <v>2.1692287823537826</v>
      </c>
      <c r="H31" s="7" t="str">
        <f t="shared" ref="H31:I35" si="4">IF(D31="-","-","")</f>
        <v>-</v>
      </c>
      <c r="I31" s="7" t="str">
        <f t="shared" si="4"/>
        <v>-</v>
      </c>
      <c r="J31" s="8">
        <f>AVERAGE(I31,I43,I55,I67,I79,I91,I103)</f>
        <v>0.93626285221375127</v>
      </c>
      <c r="K31" s="8">
        <f>_xlfn.STDEV.S(I31,I43,I55,I67,I79,I91,I103)</f>
        <v>2.5699165469385166E-2</v>
      </c>
      <c r="L31" s="8">
        <f t="shared" ref="L31:L94" si="5">J31-K31*2</f>
        <v>0.88486452127498094</v>
      </c>
      <c r="M31" s="8">
        <f t="shared" ref="M31:M94" si="6">J31+K31*2</f>
        <v>0.9876611831525216</v>
      </c>
      <c r="N31" s="7" t="str">
        <f t="shared" ref="N31:N35" si="7">IF(D31="-","-","")</f>
        <v>-</v>
      </c>
      <c r="O31" s="8">
        <f t="shared" ref="O31:O41" si="8">J31*$M$26/$J$27</f>
        <v>0.93566310317162471</v>
      </c>
      <c r="P31" s="8"/>
      <c r="Q31" s="8">
        <f t="shared" si="0"/>
        <v>2.0296673339863451</v>
      </c>
      <c r="R31" s="8">
        <f t="shared" ref="R31:R94" si="9">C31-Q31</f>
        <v>-0.12966733398634522</v>
      </c>
      <c r="S31" s="55">
        <f t="shared" si="1"/>
        <v>6.8245965255971167E-2</v>
      </c>
      <c r="T31" s="169">
        <f>IF(R31&gt;0,Q31*GorGeus!$C$32+GorGeus!$C$31,Q31*GorGeus!$C$37+GorGeus!$C$36)</f>
        <v>10.149960104052093</v>
      </c>
      <c r="U31" s="29">
        <f t="shared" ref="U31:U81" si="10">R31^2</f>
        <v>1.6813617503126398E-2</v>
      </c>
    </row>
    <row r="32" spans="2:25" ht="15.6" x14ac:dyDescent="0.3">
      <c r="B32" s="6">
        <v>3</v>
      </c>
      <c r="C32" s="102">
        <v>2.74</v>
      </c>
      <c r="D32" s="7" t="s">
        <v>51</v>
      </c>
      <c r="E32" s="7" t="str">
        <f t="shared" si="2"/>
        <v>-</v>
      </c>
      <c r="F32" s="7" t="str">
        <f t="shared" si="2"/>
        <v>-</v>
      </c>
      <c r="G32" s="8">
        <f t="shared" si="3"/>
        <v>2.1815120298870303</v>
      </c>
      <c r="H32" s="7" t="str">
        <f t="shared" si="4"/>
        <v>-</v>
      </c>
      <c r="I32" s="7" t="str">
        <f t="shared" si="4"/>
        <v>-</v>
      </c>
      <c r="J32" s="8">
        <f>AVERAGE(I32,I44,I56,I68,I80,I92,I104)</f>
        <v>1.1197942444534872</v>
      </c>
      <c r="K32" s="8">
        <f>_xlfn.STDEV.S(I32,I44,I56,I68,I80,I92,I104)</f>
        <v>3.6790745844796427E-2</v>
      </c>
      <c r="L32" s="8">
        <f t="shared" si="5"/>
        <v>1.0462127527638942</v>
      </c>
      <c r="M32" s="8">
        <f t="shared" si="6"/>
        <v>1.1933757361430801</v>
      </c>
      <c r="N32" s="7" t="str">
        <f t="shared" si="7"/>
        <v>-</v>
      </c>
      <c r="O32" s="8">
        <f t="shared" si="8"/>
        <v>1.1190769293064622</v>
      </c>
      <c r="P32" s="8"/>
      <c r="Q32" s="8">
        <f t="shared" si="0"/>
        <v>2.4412797836510851</v>
      </c>
      <c r="R32" s="8">
        <f t="shared" si="9"/>
        <v>0.2987202163489151</v>
      </c>
      <c r="S32" s="55">
        <f t="shared" si="1"/>
        <v>0.10902197676967704</v>
      </c>
      <c r="T32" s="169">
        <f>IF(R32&gt;0,Q32*GorGeus!$C$32+GorGeus!$C$31,Q32*GorGeus!$C$37+GorGeus!$C$36)</f>
        <v>4.3790336343484473</v>
      </c>
      <c r="U32" s="29">
        <f t="shared" si="10"/>
        <v>8.923376765554264E-2</v>
      </c>
    </row>
    <row r="33" spans="2:21" ht="15.6" x14ac:dyDescent="0.3">
      <c r="B33" s="6">
        <v>4</v>
      </c>
      <c r="C33" s="102">
        <v>4.2</v>
      </c>
      <c r="D33" s="7" t="s">
        <v>51</v>
      </c>
      <c r="E33" s="7" t="s">
        <v>51</v>
      </c>
      <c r="F33" s="7" t="str">
        <f t="shared" si="2"/>
        <v>-</v>
      </c>
      <c r="G33" s="8">
        <f t="shared" si="3"/>
        <v>2.1937952774202776</v>
      </c>
      <c r="H33" s="7" t="str">
        <f t="shared" si="4"/>
        <v>-</v>
      </c>
      <c r="I33" s="7" t="str">
        <f t="shared" si="4"/>
        <v>-</v>
      </c>
      <c r="J33" s="8">
        <f>AVERAGE(I33,I45,I57,I69,I81,I93,I105)</f>
        <v>1.6784453361657212</v>
      </c>
      <c r="K33" s="8">
        <f>_xlfn.STDEV.S(I33,I45,I57,I69,I81,I93,I105)</f>
        <v>7.3103355627881297E-2</v>
      </c>
      <c r="L33" s="8">
        <f t="shared" si="5"/>
        <v>1.5322386249099587</v>
      </c>
      <c r="M33" s="8">
        <f t="shared" si="6"/>
        <v>1.8246520474214838</v>
      </c>
      <c r="N33" s="7" t="str">
        <f t="shared" si="7"/>
        <v>-</v>
      </c>
      <c r="O33" s="8">
        <f t="shared" si="8"/>
        <v>1.6773701616244618</v>
      </c>
      <c r="P33" s="8"/>
      <c r="Q33" s="8">
        <f t="shared" si="0"/>
        <v>3.6798067390574323</v>
      </c>
      <c r="R33" s="8">
        <f t="shared" si="9"/>
        <v>0.5201932609425679</v>
      </c>
      <c r="S33" s="55">
        <f t="shared" si="1"/>
        <v>0.12385553831965902</v>
      </c>
      <c r="T33" s="169">
        <f>IF(R33&gt;0,Q33*GorGeus!$C$32+GorGeus!$C$31,Q33*GorGeus!$C$37+GorGeus!$C$36)</f>
        <v>5.6839537560528068</v>
      </c>
      <c r="U33" s="29">
        <f t="shared" si="10"/>
        <v>0.27060102873006253</v>
      </c>
    </row>
    <row r="34" spans="2:21" ht="15.6" x14ac:dyDescent="0.3">
      <c r="B34" s="6">
        <v>5</v>
      </c>
      <c r="C34" s="102">
        <v>1.45</v>
      </c>
      <c r="D34" s="7" t="s">
        <v>51</v>
      </c>
      <c r="E34" s="7" t="s">
        <v>51</v>
      </c>
      <c r="F34" s="7" t="str">
        <f t="shared" si="2"/>
        <v>-</v>
      </c>
      <c r="G34" s="8">
        <f t="shared" si="3"/>
        <v>2.2060785249535253</v>
      </c>
      <c r="H34" s="7" t="str">
        <f t="shared" si="4"/>
        <v>-</v>
      </c>
      <c r="I34" s="7" t="str">
        <f t="shared" si="4"/>
        <v>-</v>
      </c>
      <c r="J34" s="8">
        <f>AVERAGE(I34,I46,I58,I70,I82,I94,I106)</f>
        <v>0.95719930959851662</v>
      </c>
      <c r="K34" s="8">
        <f>_xlfn.STDEV.S(I34,I46,I58,I70,I82,I94,I106)</f>
        <v>2.3377481962620496E-2</v>
      </c>
      <c r="L34" s="8">
        <f t="shared" si="5"/>
        <v>0.91044434567327559</v>
      </c>
      <c r="M34" s="8">
        <f t="shared" si="6"/>
        <v>1.0039542735237577</v>
      </c>
      <c r="N34" s="7" t="str">
        <f t="shared" si="7"/>
        <v>-</v>
      </c>
      <c r="O34" s="8">
        <f t="shared" si="8"/>
        <v>0.95658614913006645</v>
      </c>
      <c r="P34" s="8"/>
      <c r="Q34" s="8">
        <f t="shared" si="0"/>
        <v>2.11030416086383</v>
      </c>
      <c r="R34" s="8">
        <f t="shared" si="9"/>
        <v>-0.66030416086383004</v>
      </c>
      <c r="S34" s="55">
        <f t="shared" si="1"/>
        <v>0.4553821799060897</v>
      </c>
      <c r="T34" s="169">
        <f>IF(R34&gt;0,Q34*GorGeus!$C$32+GorGeus!$C$31,Q34*GorGeus!$C$37+GorGeus!$C$36)</f>
        <v>10.176791472995397</v>
      </c>
      <c r="U34" s="29">
        <f t="shared" si="10"/>
        <v>0.43600158485408674</v>
      </c>
    </row>
    <row r="35" spans="2:21" ht="15.6" x14ac:dyDescent="0.3">
      <c r="B35" s="6">
        <v>6</v>
      </c>
      <c r="C35" s="102">
        <v>1.8</v>
      </c>
      <c r="D35" s="7" t="s">
        <v>51</v>
      </c>
      <c r="E35" s="7" t="s">
        <v>51</v>
      </c>
      <c r="F35" s="7" t="str">
        <f t="shared" si="2"/>
        <v>-</v>
      </c>
      <c r="G35" s="8">
        <f t="shared" si="3"/>
        <v>2.218361772486773</v>
      </c>
      <c r="H35" s="7" t="str">
        <f t="shared" si="4"/>
        <v>-</v>
      </c>
      <c r="I35" s="7" t="str">
        <f t="shared" si="4"/>
        <v>-</v>
      </c>
      <c r="J35" s="8">
        <f>AVERAGE(I35,I47,I59,I71,I83,I95,I107)</f>
        <v>0.81997226750415619</v>
      </c>
      <c r="K35" s="8">
        <f>_xlfn.STDEV.S(I35,I47,I59,I71,I83,I95,I107)</f>
        <v>3.6570475008526039E-2</v>
      </c>
      <c r="L35" s="8">
        <f t="shared" si="5"/>
        <v>0.74683131748710407</v>
      </c>
      <c r="M35" s="8">
        <f t="shared" si="6"/>
        <v>0.89311321752120831</v>
      </c>
      <c r="N35" s="8" t="str">
        <f t="shared" si="7"/>
        <v>-</v>
      </c>
      <c r="O35" s="8">
        <f t="shared" si="8"/>
        <v>0.81944701160957156</v>
      </c>
      <c r="P35" s="8"/>
      <c r="Q35" s="8">
        <f t="shared" si="0"/>
        <v>1.8178299251331984</v>
      </c>
      <c r="R35" s="8">
        <f t="shared" si="9"/>
        <v>-1.7829925133198365E-2</v>
      </c>
      <c r="S35" s="55">
        <f t="shared" si="1"/>
        <v>9.9055139628879806E-3</v>
      </c>
      <c r="T35" s="169">
        <f>IF(R35&gt;0,Q35*GorGeus!$C$32+GorGeus!$C$31,Q35*GorGeus!$C$37+GorGeus!$C$36)</f>
        <v>10.079472612256708</v>
      </c>
      <c r="U35" s="29">
        <f t="shared" si="10"/>
        <v>3.1790623025545876E-4</v>
      </c>
    </row>
    <row r="36" spans="2:21" ht="15.6" x14ac:dyDescent="0.3">
      <c r="B36" s="6">
        <v>7</v>
      </c>
      <c r="C36" s="102">
        <v>2.0299999999999998</v>
      </c>
      <c r="D36" s="7">
        <f>SUM(C31:C42)/$M$26</f>
        <v>2.2574999999999998</v>
      </c>
      <c r="E36" s="7">
        <f>SUM(C30:C41)/$M$26</f>
        <v>2.2416666666666667</v>
      </c>
      <c r="F36" s="8">
        <f>AVERAGE(D36:E36)</f>
        <v>2.2495833333333333</v>
      </c>
      <c r="G36" s="8">
        <f t="shared" si="3"/>
        <v>2.2306450200200203</v>
      </c>
      <c r="H36" s="8">
        <f>F36/G36</f>
        <v>1.0084900614590586</v>
      </c>
      <c r="I36" s="8">
        <f>C36/F36</f>
        <v>0.90238933135765875</v>
      </c>
      <c r="J36" s="8">
        <f>AVERAGE(I36,I48,I60,I72,I84,I96,I108)</f>
        <v>0.90769417397463004</v>
      </c>
      <c r="K36" s="8">
        <f>_xlfn.STDEV.S(I36,I48,I60,I72,I84,I96,I108)</f>
        <v>5.1131315548081251E-2</v>
      </c>
      <c r="L36" s="8">
        <f t="shared" si="5"/>
        <v>0.80543154287846752</v>
      </c>
      <c r="M36" s="8">
        <f t="shared" si="6"/>
        <v>1.0099568050707926</v>
      </c>
      <c r="N36" s="53" t="str">
        <f>IF(AND(I36&gt;L36,I36&lt;M36),"OK","NOT OK")</f>
        <v>OK</v>
      </c>
      <c r="O36" s="8">
        <f t="shared" si="8"/>
        <v>0.90711272538879972</v>
      </c>
      <c r="P36" s="8">
        <f>I36/O36</f>
        <v>0.9947929359836547</v>
      </c>
      <c r="Q36" s="8">
        <f>G36*O36</f>
        <v>2.0234464834853143</v>
      </c>
      <c r="R36" s="8">
        <f t="shared" si="9"/>
        <v>6.5535165146854979E-3</v>
      </c>
      <c r="S36" s="55">
        <f>ABS(R36)/C36</f>
        <v>3.228333258465763E-3</v>
      </c>
      <c r="T36" s="169">
        <f>IF(R36&gt;0,Q36*GorGeus!$C$32+GorGeus!$C$31,Q36*GorGeus!$C$37+GorGeus!$C$36)</f>
        <v>3.9388017294032984</v>
      </c>
      <c r="U36" s="29">
        <f t="shared" si="10"/>
        <v>4.2948578708255554E-5</v>
      </c>
    </row>
    <row r="37" spans="2:21" ht="15.6" x14ac:dyDescent="0.3">
      <c r="B37" s="6">
        <v>8</v>
      </c>
      <c r="C37" s="102">
        <v>1.99</v>
      </c>
      <c r="D37" s="7">
        <f t="shared" ref="D37:D71" si="11">SUM(C32:C43)/$M$26</f>
        <v>2.2766666666666664</v>
      </c>
      <c r="E37" s="7">
        <f t="shared" ref="E37:E71" si="12">SUM(C31:C42)/$M$26</f>
        <v>2.2574999999999998</v>
      </c>
      <c r="F37" s="8">
        <f t="shared" ref="F37:F100" si="13">AVERAGE(D37:E37)</f>
        <v>2.2670833333333329</v>
      </c>
      <c r="G37" s="8">
        <f t="shared" si="3"/>
        <v>2.242928267553268</v>
      </c>
      <c r="H37" s="8">
        <f t="shared" ref="H37:H100" si="14">F37/G37</f>
        <v>1.0107694330351522</v>
      </c>
      <c r="I37" s="8">
        <f t="shared" ref="I37:I100" si="15">C37/F37</f>
        <v>0.87777981988605047</v>
      </c>
      <c r="J37" s="8">
        <f>AVERAGE(I37,I49,I61,I73,I85,I97,I109)</f>
        <v>0.93000822932309413</v>
      </c>
      <c r="K37" s="8">
        <f>_xlfn.STDEV.S(I37,I49,I61,I73,I85,I97,I109)</f>
        <v>4.6295627349432933E-2</v>
      </c>
      <c r="L37" s="8">
        <f t="shared" si="5"/>
        <v>0.83741697462422826</v>
      </c>
      <c r="M37" s="8">
        <f t="shared" si="6"/>
        <v>1.0225994840219599</v>
      </c>
      <c r="N37" s="53" t="str">
        <f t="shared" ref="N37:N100" si="16">IF(AND(I37&gt;L37,I37&lt;M37),"OK","NOT OK")</f>
        <v>OK</v>
      </c>
      <c r="O37" s="8">
        <f t="shared" si="8"/>
        <v>0.92941248685249678</v>
      </c>
      <c r="P37" s="8">
        <f t="shared" ref="P37:P71" si="17">I37/O37</f>
        <v>0.94444590782150672</v>
      </c>
      <c r="Q37" s="8">
        <f t="shared" ref="Q37:Q81" si="18">G37*O37</f>
        <v>2.0846055389784452</v>
      </c>
      <c r="R37" s="8">
        <f t="shared" si="9"/>
        <v>-9.4605538978445258E-2</v>
      </c>
      <c r="S37" s="55">
        <f t="shared" si="1"/>
        <v>4.7540471848464952E-2</v>
      </c>
      <c r="T37" s="169">
        <f>IF(R37&gt;0,Q37*GorGeus!$C$32+GorGeus!$C$31,Q37*GorGeus!$C$37+GorGeus!$C$36)</f>
        <v>10.16824042712911</v>
      </c>
      <c r="U37" s="29">
        <f t="shared" si="10"/>
        <v>8.9502080054021244E-3</v>
      </c>
    </row>
    <row r="38" spans="2:21" ht="15.6" x14ac:dyDescent="0.3">
      <c r="B38" s="6">
        <v>9</v>
      </c>
      <c r="C38" s="102">
        <v>2.3199999999999998</v>
      </c>
      <c r="D38" s="7">
        <f t="shared" si="11"/>
        <v>2.2616666666666663</v>
      </c>
      <c r="E38" s="7">
        <f t="shared" si="12"/>
        <v>2.2766666666666664</v>
      </c>
      <c r="F38" s="8">
        <f t="shared" si="13"/>
        <v>2.2691666666666661</v>
      </c>
      <c r="G38" s="8">
        <f t="shared" si="3"/>
        <v>2.2552115150865153</v>
      </c>
      <c r="H38" s="8">
        <f t="shared" si="14"/>
        <v>1.0061879568664829</v>
      </c>
      <c r="I38" s="8">
        <f t="shared" si="15"/>
        <v>1.0224017627616602</v>
      </c>
      <c r="J38" s="8">
        <f>AVERAGE(I38,I50,I62,I74,I86,I98,I110)</f>
        <v>1.0119167177833237</v>
      </c>
      <c r="K38" s="8">
        <f>_xlfn.STDEV.S(I38,I50,I62,I74,I86,I98,I110)</f>
        <v>9.0821356324964839E-3</v>
      </c>
      <c r="L38" s="8">
        <f t="shared" si="5"/>
        <v>0.99375244651833072</v>
      </c>
      <c r="M38" s="8">
        <f t="shared" si="6"/>
        <v>1.0300809890483167</v>
      </c>
      <c r="N38" s="53" t="str">
        <f t="shared" si="16"/>
        <v>OK</v>
      </c>
      <c r="O38" s="8">
        <f t="shared" si="8"/>
        <v>1.0112685065670319</v>
      </c>
      <c r="P38" s="8">
        <f t="shared" si="17"/>
        <v>1.0110091989638068</v>
      </c>
      <c r="Q38" s="8">
        <f t="shared" si="18"/>
        <v>2.2806243808543138</v>
      </c>
      <c r="R38" s="8">
        <f t="shared" si="9"/>
        <v>3.9375619145685992E-2</v>
      </c>
      <c r="S38" s="55">
        <f t="shared" si="1"/>
        <v>1.6972249631761204E-2</v>
      </c>
      <c r="T38" s="169">
        <f>IF(R38&gt;0,Q38*GorGeus!$C$32+GorGeus!$C$31,Q38*GorGeus!$C$37+GorGeus!$C$36)</f>
        <v>4.2097660484837185</v>
      </c>
      <c r="U38" s="29">
        <f t="shared" si="10"/>
        <v>1.5504393831061133E-3</v>
      </c>
    </row>
    <row r="39" spans="2:21" ht="15.6" x14ac:dyDescent="0.3">
      <c r="B39" s="6">
        <v>10</v>
      </c>
      <c r="C39" s="102">
        <v>2.2000000000000002</v>
      </c>
      <c r="D39" s="7">
        <f t="shared" si="11"/>
        <v>2.2583333333333329</v>
      </c>
      <c r="E39" s="7">
        <f t="shared" si="12"/>
        <v>2.2616666666666663</v>
      </c>
      <c r="F39" s="8">
        <f t="shared" si="13"/>
        <v>2.2599999999999998</v>
      </c>
      <c r="G39" s="8">
        <f t="shared" si="3"/>
        <v>2.267494762619763</v>
      </c>
      <c r="H39" s="8">
        <f t="shared" si="14"/>
        <v>0.99669469462804661</v>
      </c>
      <c r="I39" s="8">
        <f t="shared" si="15"/>
        <v>0.9734513274336285</v>
      </c>
      <c r="J39" s="8">
        <f>AVERAGE(I39,I51,I63,I75,I87,I99,I111)</f>
        <v>0.93782424675632525</v>
      </c>
      <c r="K39" s="8">
        <f>_xlfn.STDEV.S(I39,I51,I63,I75,I87,I99,I111)</f>
        <v>3.7415988976828074E-2</v>
      </c>
      <c r="L39" s="8">
        <f t="shared" si="5"/>
        <v>0.8629922688026691</v>
      </c>
      <c r="M39" s="8">
        <f t="shared" si="6"/>
        <v>1.0126562247099815</v>
      </c>
      <c r="N39" s="53" t="str">
        <f t="shared" si="16"/>
        <v>OK</v>
      </c>
      <c r="O39" s="8">
        <f t="shared" si="8"/>
        <v>0.93722349751977785</v>
      </c>
      <c r="P39" s="8">
        <f t="shared" si="17"/>
        <v>1.0386544191537261</v>
      </c>
      <c r="Q39" s="8">
        <f t="shared" si="18"/>
        <v>2.1251493720302728</v>
      </c>
      <c r="R39" s="8">
        <f t="shared" si="9"/>
        <v>7.4850627969727412E-2</v>
      </c>
      <c r="S39" s="55">
        <f t="shared" si="1"/>
        <v>3.4023012713512456E-2</v>
      </c>
      <c r="T39" s="169">
        <f>IF(R39&gt;0,Q39*GorGeus!$C$32+GorGeus!$C$31,Q39*GorGeus!$C$37+GorGeus!$C$36)</f>
        <v>4.0459565596784541</v>
      </c>
      <c r="U39" s="29">
        <f t="shared" si="10"/>
        <v>5.6026165074625394E-3</v>
      </c>
    </row>
    <row r="40" spans="2:21" ht="15.6" x14ac:dyDescent="0.3">
      <c r="B40" s="6">
        <v>11</v>
      </c>
      <c r="C40" s="102">
        <v>2.13</v>
      </c>
      <c r="D40" s="7">
        <f t="shared" si="11"/>
        <v>2.3299999999999996</v>
      </c>
      <c r="E40" s="7">
        <f t="shared" si="12"/>
        <v>2.2583333333333329</v>
      </c>
      <c r="F40" s="8">
        <f t="shared" si="13"/>
        <v>2.2941666666666665</v>
      </c>
      <c r="G40" s="8">
        <f t="shared" si="3"/>
        <v>2.2797780101530103</v>
      </c>
      <c r="H40" s="8">
        <f>F40/G40</f>
        <v>1.0063114287661239</v>
      </c>
      <c r="I40" s="8">
        <f t="shared" si="15"/>
        <v>0.92844169996367598</v>
      </c>
      <c r="J40" s="8">
        <f>AVERAGE(I40,I52,I64,I76,I88,I100,I112)</f>
        <v>0.93629998044173612</v>
      </c>
      <c r="K40" s="8">
        <f>_xlfn.STDEV.S(I40,I52,I64,I76,I88,I100,I112)</f>
        <v>1.6676878572289201E-2</v>
      </c>
      <c r="L40" s="8">
        <f t="shared" si="5"/>
        <v>0.90294622329715768</v>
      </c>
      <c r="M40" s="8">
        <f t="shared" si="6"/>
        <v>0.96965373758631457</v>
      </c>
      <c r="N40" s="53" t="str">
        <f t="shared" si="16"/>
        <v>OK</v>
      </c>
      <c r="O40" s="8">
        <f t="shared" si="8"/>
        <v>0.93570020761609718</v>
      </c>
      <c r="P40" s="8">
        <f t="shared" si="17"/>
        <v>0.99224269953844102</v>
      </c>
      <c r="Q40" s="8">
        <f t="shared" si="18"/>
        <v>2.1331887574187847</v>
      </c>
      <c r="R40" s="8">
        <f t="shared" si="9"/>
        <v>-3.1887574187847711E-3</v>
      </c>
      <c r="S40" s="55">
        <f t="shared" si="1"/>
        <v>1.4970692106970756E-3</v>
      </c>
      <c r="T40" s="169">
        <f>IF(R40&gt;0,Q40*GorGeus!$C$32+GorGeus!$C$31,Q40*GorGeus!$C$37+GorGeus!$C$36)</f>
        <v>10.184406170610144</v>
      </c>
      <c r="U40" s="29">
        <f t="shared" si="10"/>
        <v>1.0168173875854917E-5</v>
      </c>
    </row>
    <row r="41" spans="2:21" ht="15.6" x14ac:dyDescent="0.3">
      <c r="B41" s="6">
        <v>12</v>
      </c>
      <c r="C41" s="102">
        <v>2.4300000000000002</v>
      </c>
      <c r="D41" s="7">
        <f t="shared" si="11"/>
        <v>2.3374999999999999</v>
      </c>
      <c r="E41" s="7">
        <f t="shared" si="12"/>
        <v>2.3299999999999996</v>
      </c>
      <c r="F41" s="8">
        <f t="shared" si="13"/>
        <v>2.3337499999999998</v>
      </c>
      <c r="G41" s="8">
        <f t="shared" si="3"/>
        <v>2.292061257686258</v>
      </c>
      <c r="H41" s="8">
        <f t="shared" si="14"/>
        <v>1.0181883194325376</v>
      </c>
      <c r="I41" s="8">
        <f t="shared" si="15"/>
        <v>1.0412426352437067</v>
      </c>
      <c r="J41" s="8">
        <f>AVERAGE(I41,I53,I65,I77,I89,I101,I113)</f>
        <v>0.97502532159543931</v>
      </c>
      <c r="K41" s="8">
        <f>_xlfn.STDEV.S(I41,I53,I65,I77,I89,I101,I113)</f>
        <v>5.8878220076062672E-2</v>
      </c>
      <c r="L41" s="8">
        <f t="shared" si="5"/>
        <v>0.85726888144331392</v>
      </c>
      <c r="M41" s="8">
        <f t="shared" si="6"/>
        <v>1.0927817617475646</v>
      </c>
      <c r="N41" s="53" t="str">
        <f t="shared" si="16"/>
        <v>OK</v>
      </c>
      <c r="O41" s="8">
        <f t="shared" si="8"/>
        <v>0.97440074218241091</v>
      </c>
      <c r="P41" s="8">
        <f t="shared" si="17"/>
        <v>1.0685979496604108</v>
      </c>
      <c r="Q41" s="8">
        <f t="shared" si="18"/>
        <v>2.2333861906170398</v>
      </c>
      <c r="R41" s="8">
        <f t="shared" si="9"/>
        <v>0.19661380938296036</v>
      </c>
      <c r="S41" s="55">
        <f t="shared" si="1"/>
        <v>8.0911032667884922E-2</v>
      </c>
      <c r="T41" s="169">
        <f>IF(R41&gt;0,Q41*GorGeus!$C$32+GorGeus!$C$31,Q41*GorGeus!$C$37+GorGeus!$C$36)</f>
        <v>4.1599955814911018</v>
      </c>
      <c r="U41" s="29">
        <f t="shared" si="10"/>
        <v>3.8656990040079067E-2</v>
      </c>
    </row>
    <row r="42" spans="2:21" ht="15.6" x14ac:dyDescent="0.3">
      <c r="B42" s="6">
        <v>13</v>
      </c>
      <c r="C42" s="102">
        <v>1.9</v>
      </c>
      <c r="D42" s="7">
        <f t="shared" si="11"/>
        <v>2.3366666666666664</v>
      </c>
      <c r="E42" s="7">
        <f t="shared" si="12"/>
        <v>2.3374999999999999</v>
      </c>
      <c r="F42" s="8">
        <f t="shared" si="13"/>
        <v>2.3370833333333332</v>
      </c>
      <c r="G42" s="8">
        <f t="shared" si="3"/>
        <v>2.3043445052195057</v>
      </c>
      <c r="H42" s="8">
        <f t="shared" si="14"/>
        <v>1.0142074364487044</v>
      </c>
      <c r="I42" s="8">
        <f t="shared" si="15"/>
        <v>0.81297914066678556</v>
      </c>
      <c r="J42" s="8">
        <f>J30</f>
        <v>0.79724917902354031</v>
      </c>
      <c r="K42" s="8">
        <f>K30</f>
        <v>1.3792343971913616E-2</v>
      </c>
      <c r="L42" s="8">
        <f t="shared" si="5"/>
        <v>0.76966449107971313</v>
      </c>
      <c r="M42" s="8">
        <f t="shared" si="6"/>
        <v>0.82483386696736749</v>
      </c>
      <c r="N42" s="53" t="str">
        <f t="shared" si="16"/>
        <v>OK</v>
      </c>
      <c r="O42" s="8">
        <f>O30</f>
        <v>0.79673847903119843</v>
      </c>
      <c r="P42" s="8">
        <f t="shared" si="17"/>
        <v>1.0203839303146687</v>
      </c>
      <c r="Q42" s="8">
        <f t="shared" si="18"/>
        <v>1.8359599362524885</v>
      </c>
      <c r="R42" s="8">
        <f t="shared" si="9"/>
        <v>6.4040063747511367E-2</v>
      </c>
      <c r="S42" s="55">
        <f t="shared" si="1"/>
        <v>3.3705296709216508E-2</v>
      </c>
      <c r="T42" s="169">
        <f>IF(R42&gt;0,Q42*GorGeus!$C$32+GorGeus!$C$31,Q42*GorGeus!$C$37+GorGeus!$C$36)</f>
        <v>3.7412646738188116</v>
      </c>
      <c r="U42" s="29">
        <f t="shared" si="10"/>
        <v>4.1011297647853195E-3</v>
      </c>
    </row>
    <row r="43" spans="2:21" ht="15.6" x14ac:dyDescent="0.3">
      <c r="B43" s="6">
        <v>14</v>
      </c>
      <c r="C43" s="102">
        <v>2.13</v>
      </c>
      <c r="D43" s="7">
        <f t="shared" si="11"/>
        <v>2.3566666666666665</v>
      </c>
      <c r="E43" s="7">
        <f t="shared" si="12"/>
        <v>2.3366666666666664</v>
      </c>
      <c r="F43" s="8">
        <f t="shared" si="13"/>
        <v>2.3466666666666667</v>
      </c>
      <c r="G43" s="8">
        <f t="shared" si="3"/>
        <v>2.316627752752753</v>
      </c>
      <c r="H43" s="8">
        <f t="shared" si="14"/>
        <v>1.0129666554664294</v>
      </c>
      <c r="I43" s="8">
        <f t="shared" si="15"/>
        <v>0.90767045454545447</v>
      </c>
      <c r="J43" s="8">
        <f t="shared" ref="J43:K58" si="19">J31</f>
        <v>0.93626285221375127</v>
      </c>
      <c r="K43" s="8">
        <f t="shared" si="19"/>
        <v>2.5699165469385166E-2</v>
      </c>
      <c r="L43" s="8">
        <f t="shared" si="5"/>
        <v>0.88486452127498094</v>
      </c>
      <c r="M43" s="8">
        <f t="shared" si="6"/>
        <v>0.9876611831525216</v>
      </c>
      <c r="N43" s="53" t="str">
        <f t="shared" si="16"/>
        <v>OK</v>
      </c>
      <c r="O43" s="8">
        <f t="shared" ref="O43:O106" si="20">O31</f>
        <v>0.93566310317162471</v>
      </c>
      <c r="P43" s="8">
        <f t="shared" si="17"/>
        <v>0.97008255585660763</v>
      </c>
      <c r="Q43" s="8">
        <f t="shared" si="18"/>
        <v>2.1675831120341482</v>
      </c>
      <c r="R43" s="8">
        <f t="shared" si="9"/>
        <v>-3.7583112034148325E-2</v>
      </c>
      <c r="S43" s="55">
        <f t="shared" si="1"/>
        <v>1.7644653537158838E-2</v>
      </c>
      <c r="T43" s="169">
        <f>IF(R43&gt;0,Q43*GorGeus!$C$32+GorGeus!$C$31,Q43*GorGeus!$C$37+GorGeus!$C$36)</f>
        <v>10.19585066382729</v>
      </c>
      <c r="U43" s="29">
        <f t="shared" si="10"/>
        <v>1.4124903101713447E-3</v>
      </c>
    </row>
    <row r="44" spans="2:21" ht="15.6" x14ac:dyDescent="0.3">
      <c r="B44" s="6">
        <v>15</v>
      </c>
      <c r="C44" s="102">
        <v>2.56</v>
      </c>
      <c r="D44" s="7">
        <f t="shared" si="11"/>
        <v>2.3624999999999998</v>
      </c>
      <c r="E44" s="7">
        <f t="shared" si="12"/>
        <v>2.3566666666666665</v>
      </c>
      <c r="F44" s="8">
        <f t="shared" si="13"/>
        <v>2.3595833333333331</v>
      </c>
      <c r="G44" s="8">
        <f t="shared" si="3"/>
        <v>2.3289110002860007</v>
      </c>
      <c r="H44" s="8">
        <f t="shared" si="14"/>
        <v>1.0131702469710373</v>
      </c>
      <c r="I44" s="8">
        <f t="shared" si="15"/>
        <v>1.0849373123785979</v>
      </c>
      <c r="J44" s="8">
        <f t="shared" si="19"/>
        <v>1.1197942444534872</v>
      </c>
      <c r="K44" s="8">
        <f t="shared" si="19"/>
        <v>3.6790745844796427E-2</v>
      </c>
      <c r="L44" s="8">
        <f t="shared" si="5"/>
        <v>1.0462127527638942</v>
      </c>
      <c r="M44" s="8">
        <f t="shared" si="6"/>
        <v>1.1933757361430801</v>
      </c>
      <c r="N44" s="53" t="str">
        <f t="shared" si="16"/>
        <v>OK</v>
      </c>
      <c r="O44" s="8">
        <f t="shared" si="20"/>
        <v>1.1190769293064622</v>
      </c>
      <c r="P44" s="8">
        <f t="shared" si="17"/>
        <v>0.96949305625572857</v>
      </c>
      <c r="Q44" s="8">
        <f t="shared" si="18"/>
        <v>2.6062305708280991</v>
      </c>
      <c r="R44" s="8">
        <f t="shared" si="9"/>
        <v>-4.6230570828099005E-2</v>
      </c>
      <c r="S44" s="55">
        <f t="shared" si="1"/>
        <v>1.8058816729726174E-2</v>
      </c>
      <c r="T44" s="169">
        <f>IF(R44&gt;0,Q44*GorGeus!$C$32+GorGeus!$C$31,Q44*GorGeus!$C$37+GorGeus!$C$36)</f>
        <v>10.341807694364039</v>
      </c>
      <c r="U44" s="29">
        <f t="shared" si="10"/>
        <v>2.1372656790918788E-3</v>
      </c>
    </row>
    <row r="45" spans="2:21" ht="15.6" x14ac:dyDescent="0.3">
      <c r="B45" s="6">
        <v>16</v>
      </c>
      <c r="C45" s="102">
        <v>4.16</v>
      </c>
      <c r="D45" s="7">
        <f t="shared" si="11"/>
        <v>2.3575000000000004</v>
      </c>
      <c r="E45" s="7">
        <f t="shared" si="12"/>
        <v>2.3624999999999998</v>
      </c>
      <c r="F45" s="8">
        <f t="shared" si="13"/>
        <v>2.3600000000000003</v>
      </c>
      <c r="G45" s="8">
        <f t="shared" si="3"/>
        <v>2.341194247819248</v>
      </c>
      <c r="H45" s="8">
        <f t="shared" si="14"/>
        <v>1.0080325467219431</v>
      </c>
      <c r="I45" s="8">
        <f t="shared" si="15"/>
        <v>1.7627118644067794</v>
      </c>
      <c r="J45" s="8">
        <f t="shared" si="19"/>
        <v>1.6784453361657212</v>
      </c>
      <c r="K45" s="8">
        <f t="shared" si="19"/>
        <v>7.3103355627881297E-2</v>
      </c>
      <c r="L45" s="8">
        <f t="shared" si="5"/>
        <v>1.5322386249099587</v>
      </c>
      <c r="M45" s="8">
        <f t="shared" si="6"/>
        <v>1.8246520474214838</v>
      </c>
      <c r="N45" s="53" t="str">
        <f t="shared" si="16"/>
        <v>OK</v>
      </c>
      <c r="O45" s="8">
        <f t="shared" si="20"/>
        <v>1.6773701616244618</v>
      </c>
      <c r="P45" s="8">
        <f t="shared" si="17"/>
        <v>1.0508782764441618</v>
      </c>
      <c r="Q45" s="8">
        <f t="shared" si="18"/>
        <v>3.9270493738588326</v>
      </c>
      <c r="R45" s="8">
        <f t="shared" si="9"/>
        <v>0.23295062614116757</v>
      </c>
      <c r="S45" s="55">
        <f t="shared" si="1"/>
        <v>5.5997746668549897E-2</v>
      </c>
      <c r="T45" s="169">
        <f>IF(R45&gt;0,Q45*GorGeus!$C$32+GorGeus!$C$31,Q45*GorGeus!$C$37+GorGeus!$C$36)</f>
        <v>5.9444502173427409</v>
      </c>
      <c r="U45" s="29">
        <f t="shared" si="10"/>
        <v>5.4265994219562026E-2</v>
      </c>
    </row>
    <row r="46" spans="2:21" ht="15.6" x14ac:dyDescent="0.3">
      <c r="B46" s="6">
        <v>17</v>
      </c>
      <c r="C46" s="102">
        <v>2.31</v>
      </c>
      <c r="D46" s="7">
        <f t="shared" si="11"/>
        <v>2.3691666666666666</v>
      </c>
      <c r="E46" s="7">
        <f t="shared" si="12"/>
        <v>2.3575000000000004</v>
      </c>
      <c r="F46" s="8">
        <f t="shared" si="13"/>
        <v>2.3633333333333333</v>
      </c>
      <c r="G46" s="8">
        <f t="shared" si="3"/>
        <v>2.3534774953524957</v>
      </c>
      <c r="H46" s="8">
        <f t="shared" si="14"/>
        <v>1.0041877765987992</v>
      </c>
      <c r="I46" s="8">
        <f t="shared" si="15"/>
        <v>0.97743300423131174</v>
      </c>
      <c r="J46" s="8">
        <f t="shared" si="19"/>
        <v>0.95719930959851662</v>
      </c>
      <c r="K46" s="8">
        <f t="shared" si="19"/>
        <v>2.3377481962620496E-2</v>
      </c>
      <c r="L46" s="8">
        <f t="shared" si="5"/>
        <v>0.91044434567327559</v>
      </c>
      <c r="M46" s="8">
        <f t="shared" si="6"/>
        <v>1.0039542735237577</v>
      </c>
      <c r="N46" s="53" t="str">
        <f t="shared" si="16"/>
        <v>OK</v>
      </c>
      <c r="O46" s="8">
        <f t="shared" si="20"/>
        <v>0.95658614913006645</v>
      </c>
      <c r="P46" s="8">
        <f t="shared" si="17"/>
        <v>1.0217929719348369</v>
      </c>
      <c r="Q46" s="8">
        <f t="shared" si="18"/>
        <v>2.2513039743435179</v>
      </c>
      <c r="R46" s="8">
        <f t="shared" si="9"/>
        <v>5.8696025656482131E-2</v>
      </c>
      <c r="S46" s="55">
        <f t="shared" si="1"/>
        <v>2.540953491622603E-2</v>
      </c>
      <c r="T46" s="169">
        <f>IF(R46&gt;0,Q46*GorGeus!$C$32+GorGeus!$C$31,Q46*GorGeus!$C$37+GorGeus!$C$36)</f>
        <v>4.178873875918983</v>
      </c>
      <c r="U46" s="29">
        <f t="shared" si="10"/>
        <v>3.4452234278664088E-3</v>
      </c>
    </row>
    <row r="47" spans="2:21" ht="15.6" x14ac:dyDescent="0.3">
      <c r="B47" s="6">
        <v>18</v>
      </c>
      <c r="C47" s="102">
        <v>1.89</v>
      </c>
      <c r="D47" s="7">
        <f t="shared" si="11"/>
        <v>2.3508333333333336</v>
      </c>
      <c r="E47" s="7">
        <f t="shared" si="12"/>
        <v>2.3691666666666666</v>
      </c>
      <c r="F47" s="8">
        <f t="shared" si="13"/>
        <v>2.3600000000000003</v>
      </c>
      <c r="G47" s="8">
        <f t="shared" si="3"/>
        <v>2.3657607428857435</v>
      </c>
      <c r="H47" s="8">
        <f t="shared" si="14"/>
        <v>0.99756495118829458</v>
      </c>
      <c r="I47" s="8">
        <f t="shared" si="15"/>
        <v>0.80084745762711851</v>
      </c>
      <c r="J47" s="8">
        <f t="shared" si="19"/>
        <v>0.81997226750415619</v>
      </c>
      <c r="K47" s="8">
        <f t="shared" si="19"/>
        <v>3.6570475008526039E-2</v>
      </c>
      <c r="L47" s="8">
        <f t="shared" si="5"/>
        <v>0.74683131748710407</v>
      </c>
      <c r="M47" s="8">
        <f t="shared" si="6"/>
        <v>0.89311321752120831</v>
      </c>
      <c r="N47" s="53" t="str">
        <f t="shared" si="16"/>
        <v>OK</v>
      </c>
      <c r="O47" s="8">
        <f t="shared" si="20"/>
        <v>0.81944701160957156</v>
      </c>
      <c r="P47" s="8">
        <f t="shared" si="17"/>
        <v>0.97730231031544124</v>
      </c>
      <c r="Q47" s="8">
        <f t="shared" si="18"/>
        <v>1.9386155709409625</v>
      </c>
      <c r="R47" s="8">
        <f t="shared" si="9"/>
        <v>-4.8615570940962582E-2</v>
      </c>
      <c r="S47" s="55">
        <f t="shared" si="1"/>
        <v>2.5722524307387612E-2</v>
      </c>
      <c r="T47" s="169">
        <f>IF(R47&gt;0,Q47*GorGeus!$C$32+GorGeus!$C$31,Q47*GorGeus!$C$37+GorGeus!$C$36)</f>
        <v>10.119663234224602</v>
      </c>
      <c r="U47" s="29">
        <f t="shared" si="10"/>
        <v>2.3634737379157654E-3</v>
      </c>
    </row>
    <row r="48" spans="2:21" ht="15.6" x14ac:dyDescent="0.3">
      <c r="B48" s="6">
        <v>19</v>
      </c>
      <c r="C48" s="102">
        <v>2.02</v>
      </c>
      <c r="D48" s="7">
        <f t="shared" si="11"/>
        <v>2.35</v>
      </c>
      <c r="E48" s="7">
        <f t="shared" si="12"/>
        <v>2.3508333333333336</v>
      </c>
      <c r="F48" s="8">
        <f t="shared" si="13"/>
        <v>2.3504166666666668</v>
      </c>
      <c r="G48" s="8">
        <f t="shared" si="3"/>
        <v>2.3780439904189907</v>
      </c>
      <c r="H48" s="8">
        <f t="shared" si="14"/>
        <v>0.98838233276439258</v>
      </c>
      <c r="I48" s="8">
        <f t="shared" si="15"/>
        <v>0.85942208828221944</v>
      </c>
      <c r="J48" s="8">
        <f t="shared" si="19"/>
        <v>0.90769417397463004</v>
      </c>
      <c r="K48" s="8">
        <f t="shared" si="19"/>
        <v>5.1131315548081251E-2</v>
      </c>
      <c r="L48" s="8">
        <f t="shared" si="5"/>
        <v>0.80543154287846752</v>
      </c>
      <c r="M48" s="8">
        <f t="shared" si="6"/>
        <v>1.0099568050707926</v>
      </c>
      <c r="N48" s="53" t="str">
        <f t="shared" si="16"/>
        <v>OK</v>
      </c>
      <c r="O48" s="8">
        <f t="shared" si="20"/>
        <v>0.90711272538879972</v>
      </c>
      <c r="P48" s="8">
        <f t="shared" si="17"/>
        <v>0.94742589782748388</v>
      </c>
      <c r="Q48" s="8">
        <f t="shared" si="18"/>
        <v>2.1571539652434275</v>
      </c>
      <c r="R48" s="8">
        <f t="shared" si="9"/>
        <v>-0.13715396524342749</v>
      </c>
      <c r="S48" s="55">
        <f t="shared" si="1"/>
        <v>6.7898002595756179E-2</v>
      </c>
      <c r="T48" s="169">
        <f>IF(R48&gt;0,Q48*GorGeus!$C$32+GorGeus!$C$31,Q48*GorGeus!$C$37+GorGeus!$C$36)</f>
        <v>10.19238043445268</v>
      </c>
      <c r="U48" s="29">
        <f t="shared" si="10"/>
        <v>1.8811210181995316E-2</v>
      </c>
    </row>
    <row r="49" spans="2:21" ht="15.6" x14ac:dyDescent="0.3">
      <c r="B49" s="6">
        <v>20</v>
      </c>
      <c r="C49" s="102">
        <v>2.23</v>
      </c>
      <c r="D49" s="7">
        <f t="shared" si="11"/>
        <v>2.3633333333333337</v>
      </c>
      <c r="E49" s="7">
        <f t="shared" si="12"/>
        <v>2.35</v>
      </c>
      <c r="F49" s="8">
        <f t="shared" si="13"/>
        <v>2.3566666666666669</v>
      </c>
      <c r="G49" s="8">
        <f t="shared" si="3"/>
        <v>2.3903272379522384</v>
      </c>
      <c r="H49" s="8">
        <f t="shared" si="14"/>
        <v>0.98591800706149002</v>
      </c>
      <c r="I49" s="8">
        <f t="shared" si="15"/>
        <v>0.94625176803394617</v>
      </c>
      <c r="J49" s="8">
        <f t="shared" si="19"/>
        <v>0.93000822932309413</v>
      </c>
      <c r="K49" s="8">
        <f t="shared" si="19"/>
        <v>4.6295627349432933E-2</v>
      </c>
      <c r="L49" s="8">
        <f t="shared" si="5"/>
        <v>0.83741697462422826</v>
      </c>
      <c r="M49" s="8">
        <f t="shared" si="6"/>
        <v>1.0225994840219599</v>
      </c>
      <c r="N49" s="53" t="str">
        <f t="shared" si="16"/>
        <v>OK</v>
      </c>
      <c r="O49" s="8">
        <f t="shared" si="20"/>
        <v>0.92941248685249678</v>
      </c>
      <c r="P49" s="8">
        <f t="shared" si="17"/>
        <v>1.0181181998516897</v>
      </c>
      <c r="Q49" s="8">
        <f t="shared" si="18"/>
        <v>2.2215999826164499</v>
      </c>
      <c r="R49" s="8">
        <f t="shared" si="9"/>
        <v>8.400017383550118E-3</v>
      </c>
      <c r="S49" s="55">
        <f t="shared" si="1"/>
        <v>3.7668239388117123E-3</v>
      </c>
      <c r="T49" s="169">
        <f>IF(R49&gt;0,Q49*GorGeus!$C$32+GorGeus!$C$31,Q49*GorGeus!$C$37+GorGeus!$C$36)</f>
        <v>4.1475775554550705</v>
      </c>
      <c r="U49" s="29">
        <f t="shared" si="10"/>
        <v>7.0560292043944165E-5</v>
      </c>
    </row>
    <row r="50" spans="2:21" ht="15.6" x14ac:dyDescent="0.3">
      <c r="B50" s="6">
        <v>21</v>
      </c>
      <c r="C50" s="102">
        <v>2.39</v>
      </c>
      <c r="D50" s="7">
        <f t="shared" si="11"/>
        <v>2.3858333333333337</v>
      </c>
      <c r="E50" s="7">
        <f t="shared" si="12"/>
        <v>2.3633333333333337</v>
      </c>
      <c r="F50" s="8">
        <f t="shared" si="13"/>
        <v>2.3745833333333337</v>
      </c>
      <c r="G50" s="8">
        <f t="shared" si="3"/>
        <v>2.4026104854854857</v>
      </c>
      <c r="H50" s="8">
        <f t="shared" si="14"/>
        <v>0.98833470830104664</v>
      </c>
      <c r="I50" s="8">
        <f t="shared" si="15"/>
        <v>1.0064923670819441</v>
      </c>
      <c r="J50" s="8">
        <f t="shared" si="19"/>
        <v>1.0119167177833237</v>
      </c>
      <c r="K50" s="8">
        <f t="shared" si="19"/>
        <v>9.0821356324964839E-3</v>
      </c>
      <c r="L50" s="8">
        <f t="shared" si="5"/>
        <v>0.99375244651833072</v>
      </c>
      <c r="M50" s="8">
        <f t="shared" si="6"/>
        <v>1.0300809890483167</v>
      </c>
      <c r="N50" s="53" t="str">
        <f t="shared" si="16"/>
        <v>OK</v>
      </c>
      <c r="O50" s="8">
        <f t="shared" si="20"/>
        <v>1.0112685065670319</v>
      </c>
      <c r="P50" s="8">
        <f t="shared" si="17"/>
        <v>0.99527708076136823</v>
      </c>
      <c r="Q50" s="8">
        <f t="shared" si="18"/>
        <v>2.4296843175191989</v>
      </c>
      <c r="R50" s="8">
        <f t="shared" si="9"/>
        <v>-3.9684317519198764E-2</v>
      </c>
      <c r="S50" s="55">
        <f t="shared" si="1"/>
        <v>1.6604316953639651E-2</v>
      </c>
      <c r="T50" s="169">
        <f>IF(R50&gt;0,Q50*GorGeus!$C$32+GorGeus!$C$31,Q50*GorGeus!$C$37+GorGeus!$C$36)</f>
        <v>10.28306310034267</v>
      </c>
      <c r="U50" s="29">
        <f t="shared" si="10"/>
        <v>1.5748450569645859E-3</v>
      </c>
    </row>
    <row r="51" spans="2:21" ht="15.6" x14ac:dyDescent="0.3">
      <c r="B51" s="6">
        <v>22</v>
      </c>
      <c r="C51" s="102">
        <v>2.14</v>
      </c>
      <c r="D51" s="7">
        <f t="shared" si="11"/>
        <v>2.375833333333333</v>
      </c>
      <c r="E51" s="7">
        <f t="shared" si="12"/>
        <v>2.3858333333333337</v>
      </c>
      <c r="F51" s="8">
        <f t="shared" si="13"/>
        <v>2.3808333333333334</v>
      </c>
      <c r="G51" s="8">
        <f t="shared" si="3"/>
        <v>2.4148937330187334</v>
      </c>
      <c r="H51" s="8">
        <f t="shared" si="14"/>
        <v>0.98589569419983425</v>
      </c>
      <c r="I51" s="8">
        <f t="shared" si="15"/>
        <v>0.89884494224711242</v>
      </c>
      <c r="J51" s="8">
        <f t="shared" si="19"/>
        <v>0.93782424675632525</v>
      </c>
      <c r="K51" s="8">
        <f t="shared" si="19"/>
        <v>3.7415988976828074E-2</v>
      </c>
      <c r="L51" s="8">
        <f t="shared" si="5"/>
        <v>0.8629922688026691</v>
      </c>
      <c r="M51" s="8">
        <f t="shared" si="6"/>
        <v>1.0126562247099815</v>
      </c>
      <c r="N51" s="53" t="str">
        <f t="shared" si="16"/>
        <v>OK</v>
      </c>
      <c r="O51" s="8">
        <f t="shared" si="20"/>
        <v>0.93722349751977785</v>
      </c>
      <c r="P51" s="8">
        <f t="shared" si="17"/>
        <v>0.95905079698254625</v>
      </c>
      <c r="Q51" s="8">
        <f t="shared" si="18"/>
        <v>2.26329515059841</v>
      </c>
      <c r="R51" s="8">
        <f t="shared" si="9"/>
        <v>-0.1232951505984099</v>
      </c>
      <c r="S51" s="55">
        <f t="shared" si="1"/>
        <v>5.7614556354397148E-2</v>
      </c>
      <c r="T51" s="169">
        <f>IF(R51&gt;0,Q51*GorGeus!$C$32+GorGeus!$C$31,Q51*GorGeus!$C$37+GorGeus!$C$36)</f>
        <v>10.227698209402655</v>
      </c>
      <c r="U51" s="29">
        <f t="shared" si="10"/>
        <v>1.5201694161084576E-2</v>
      </c>
    </row>
    <row r="52" spans="2:21" ht="15.6" x14ac:dyDescent="0.3">
      <c r="B52" s="6">
        <v>23</v>
      </c>
      <c r="C52" s="102">
        <v>2.27</v>
      </c>
      <c r="D52" s="7">
        <f t="shared" si="11"/>
        <v>2.3758333333333335</v>
      </c>
      <c r="E52" s="7">
        <f t="shared" si="12"/>
        <v>2.375833333333333</v>
      </c>
      <c r="F52" s="8">
        <f t="shared" si="13"/>
        <v>2.3758333333333335</v>
      </c>
      <c r="G52" s="8">
        <f t="shared" si="3"/>
        <v>2.4271769805519812</v>
      </c>
      <c r="H52" s="8">
        <f t="shared" si="14"/>
        <v>0.9788463521078008</v>
      </c>
      <c r="I52" s="8">
        <f t="shared" si="15"/>
        <v>0.95545422658716239</v>
      </c>
      <c r="J52" s="8">
        <f t="shared" si="19"/>
        <v>0.93629998044173612</v>
      </c>
      <c r="K52" s="8">
        <f t="shared" si="19"/>
        <v>1.6676878572289201E-2</v>
      </c>
      <c r="L52" s="8">
        <f t="shared" si="5"/>
        <v>0.90294622329715768</v>
      </c>
      <c r="M52" s="8">
        <f t="shared" si="6"/>
        <v>0.96965373758631457</v>
      </c>
      <c r="N52" s="53" t="str">
        <f t="shared" si="16"/>
        <v>OK</v>
      </c>
      <c r="O52" s="8">
        <f t="shared" si="20"/>
        <v>0.93570020761609718</v>
      </c>
      <c r="P52" s="8">
        <f t="shared" si="17"/>
        <v>1.0211114829410939</v>
      </c>
      <c r="Q52" s="8">
        <f t="shared" si="18"/>
        <v>2.2711100046235004</v>
      </c>
      <c r="R52" s="8">
        <f t="shared" si="9"/>
        <v>-1.1100046235004157E-3</v>
      </c>
      <c r="S52" s="55">
        <f t="shared" si="1"/>
        <v>4.8898882092529323E-4</v>
      </c>
      <c r="T52" s="169">
        <f>IF(R52&gt;0,Q52*GorGeus!$C$32+GorGeus!$C$31,Q52*GorGeus!$C$37+GorGeus!$C$36)</f>
        <v>10.230298550211005</v>
      </c>
      <c r="U52" s="29">
        <f t="shared" si="10"/>
        <v>1.2321102641922998E-6</v>
      </c>
    </row>
    <row r="53" spans="2:21" ht="15.6" x14ac:dyDescent="0.3">
      <c r="B53" s="6">
        <v>24</v>
      </c>
      <c r="C53" s="102">
        <v>2.21</v>
      </c>
      <c r="D53" s="7">
        <f t="shared" si="11"/>
        <v>2.3841666666666668</v>
      </c>
      <c r="E53" s="7">
        <f t="shared" si="12"/>
        <v>2.3758333333333335</v>
      </c>
      <c r="F53" s="8">
        <f t="shared" si="13"/>
        <v>2.38</v>
      </c>
      <c r="G53" s="8">
        <f t="shared" si="3"/>
        <v>2.4394602280852284</v>
      </c>
      <c r="H53" s="8">
        <f t="shared" si="14"/>
        <v>0.97562566202118417</v>
      </c>
      <c r="I53" s="8">
        <f t="shared" si="15"/>
        <v>0.9285714285714286</v>
      </c>
      <c r="J53" s="8">
        <f t="shared" si="19"/>
        <v>0.97502532159543931</v>
      </c>
      <c r="K53" s="8">
        <f t="shared" si="19"/>
        <v>5.8878220076062672E-2</v>
      </c>
      <c r="L53" s="8">
        <f t="shared" si="5"/>
        <v>0.85726888144331392</v>
      </c>
      <c r="M53" s="8">
        <f t="shared" si="6"/>
        <v>1.0927817617475646</v>
      </c>
      <c r="N53" s="53" t="str">
        <f t="shared" si="16"/>
        <v>OK</v>
      </c>
      <c r="O53" s="8">
        <f t="shared" si="20"/>
        <v>0.97440074218241091</v>
      </c>
      <c r="P53" s="8">
        <f t="shared" si="17"/>
        <v>0.95296666799705398</v>
      </c>
      <c r="Q53" s="8">
        <f t="shared" si="18"/>
        <v>2.3770118567707201</v>
      </c>
      <c r="R53" s="8">
        <f t="shared" si="9"/>
        <v>-0.16701185677072017</v>
      </c>
      <c r="S53" s="55">
        <f t="shared" si="1"/>
        <v>7.5570975914353022E-2</v>
      </c>
      <c r="T53" s="169">
        <f>IF(R53&gt;0,Q53*GorGeus!$C$32+GorGeus!$C$31,Q53*GorGeus!$C$37+GorGeus!$C$36)</f>
        <v>10.265536688624593</v>
      </c>
      <c r="U53" s="29">
        <f t="shared" si="10"/>
        <v>2.7892960302003549E-2</v>
      </c>
    </row>
    <row r="54" spans="2:21" ht="15.6" x14ac:dyDescent="0.3">
      <c r="B54" s="6">
        <v>25</v>
      </c>
      <c r="C54" s="102">
        <v>1.89</v>
      </c>
      <c r="D54" s="7">
        <f t="shared" si="11"/>
        <v>2.4175</v>
      </c>
      <c r="E54" s="7">
        <f t="shared" si="12"/>
        <v>2.3841666666666668</v>
      </c>
      <c r="F54" s="8">
        <f t="shared" si="13"/>
        <v>2.4008333333333334</v>
      </c>
      <c r="G54" s="8">
        <f t="shared" si="3"/>
        <v>2.4517434756184762</v>
      </c>
      <c r="H54" s="8">
        <f t="shared" si="14"/>
        <v>0.97923512684282754</v>
      </c>
      <c r="I54" s="8">
        <f t="shared" si="15"/>
        <v>0.78722665741062126</v>
      </c>
      <c r="J54" s="8">
        <f t="shared" si="19"/>
        <v>0.79724917902354031</v>
      </c>
      <c r="K54" s="8">
        <f t="shared" si="19"/>
        <v>1.3792343971913616E-2</v>
      </c>
      <c r="L54" s="8">
        <f t="shared" si="5"/>
        <v>0.76966449107971313</v>
      </c>
      <c r="M54" s="8">
        <f t="shared" si="6"/>
        <v>0.82483386696736749</v>
      </c>
      <c r="N54" s="53" t="str">
        <f t="shared" si="16"/>
        <v>OK</v>
      </c>
      <c r="O54" s="8">
        <f t="shared" si="20"/>
        <v>0.79673847903119843</v>
      </c>
      <c r="P54" s="8">
        <f t="shared" si="17"/>
        <v>0.98806155109749039</v>
      </c>
      <c r="Q54" s="8">
        <f t="shared" si="18"/>
        <v>1.9533983677389288</v>
      </c>
      <c r="R54" s="8">
        <f t="shared" si="9"/>
        <v>-6.3398367738928929E-2</v>
      </c>
      <c r="S54" s="55">
        <f t="shared" si="1"/>
        <v>3.3544109914777215E-2</v>
      </c>
      <c r="T54" s="169">
        <f>IF(R54&gt;0,Q54*GorGeus!$C$32+GorGeus!$C$31,Q54*GorGeus!$C$37+GorGeus!$C$36)</f>
        <v>10.124582111743218</v>
      </c>
      <c r="U54" s="29">
        <f t="shared" si="10"/>
        <v>4.0193530319604645E-3</v>
      </c>
    </row>
    <row r="55" spans="2:21" ht="15.6" x14ac:dyDescent="0.3">
      <c r="B55" s="6">
        <v>26</v>
      </c>
      <c r="C55" s="102">
        <v>2.29</v>
      </c>
      <c r="D55" s="7">
        <f t="shared" si="11"/>
        <v>2.4358333333333335</v>
      </c>
      <c r="E55" s="7">
        <f t="shared" si="12"/>
        <v>2.4175</v>
      </c>
      <c r="F55" s="8">
        <f t="shared" si="13"/>
        <v>2.4266666666666667</v>
      </c>
      <c r="G55" s="8">
        <f t="shared" si="3"/>
        <v>2.4640267231517234</v>
      </c>
      <c r="H55" s="8">
        <f t="shared" si="14"/>
        <v>0.98483780385414421</v>
      </c>
      <c r="I55" s="8">
        <f t="shared" si="15"/>
        <v>0.94368131868131866</v>
      </c>
      <c r="J55" s="8">
        <f t="shared" si="19"/>
        <v>0.93626285221375127</v>
      </c>
      <c r="K55" s="8">
        <f t="shared" si="19"/>
        <v>2.5699165469385166E-2</v>
      </c>
      <c r="L55" s="8">
        <f t="shared" si="5"/>
        <v>0.88486452127498094</v>
      </c>
      <c r="M55" s="8">
        <f t="shared" si="6"/>
        <v>0.9876611831525216</v>
      </c>
      <c r="N55" s="53" t="str">
        <f t="shared" si="16"/>
        <v>OK</v>
      </c>
      <c r="O55" s="8">
        <f t="shared" si="20"/>
        <v>0.93566310317162471</v>
      </c>
      <c r="P55" s="8">
        <f t="shared" si="17"/>
        <v>1.0085695540227189</v>
      </c>
      <c r="Q55" s="8">
        <f t="shared" si="18"/>
        <v>2.3054988900819513</v>
      </c>
      <c r="R55" s="8">
        <f t="shared" si="9"/>
        <v>-1.5498890081951266E-2</v>
      </c>
      <c r="S55" s="55">
        <f t="shared" si="1"/>
        <v>6.7680742715944394E-3</v>
      </c>
      <c r="T55" s="169">
        <f>IF(R55&gt;0,Q55*GorGeus!$C$32+GorGeus!$C$31,Q55*GorGeus!$C$37+GorGeus!$C$36)</f>
        <v>10.241741223602489</v>
      </c>
      <c r="U55" s="29">
        <f t="shared" si="10"/>
        <v>2.4021559377240733E-4</v>
      </c>
    </row>
    <row r="56" spans="2:21" ht="15.6" x14ac:dyDescent="0.3">
      <c r="B56" s="6">
        <v>27</v>
      </c>
      <c r="C56" s="102">
        <v>2.83</v>
      </c>
      <c r="D56" s="7">
        <f t="shared" si="11"/>
        <v>2.4508333333333332</v>
      </c>
      <c r="E56" s="7">
        <f t="shared" si="12"/>
        <v>2.4358333333333335</v>
      </c>
      <c r="F56" s="8">
        <f t="shared" si="13"/>
        <v>2.4433333333333334</v>
      </c>
      <c r="G56" s="8">
        <f t="shared" si="3"/>
        <v>2.4763099706849712</v>
      </c>
      <c r="H56" s="8">
        <f t="shared" si="14"/>
        <v>0.98668315447499644</v>
      </c>
      <c r="I56" s="8">
        <f t="shared" si="15"/>
        <v>1.1582537517053206</v>
      </c>
      <c r="J56" s="8">
        <f t="shared" si="19"/>
        <v>1.1197942444534872</v>
      </c>
      <c r="K56" s="8">
        <f t="shared" si="19"/>
        <v>3.6790745844796427E-2</v>
      </c>
      <c r="L56" s="8">
        <f t="shared" si="5"/>
        <v>1.0462127527638942</v>
      </c>
      <c r="M56" s="8">
        <f t="shared" si="6"/>
        <v>1.1933757361430801</v>
      </c>
      <c r="N56" s="53" t="str">
        <f t="shared" si="16"/>
        <v>OK</v>
      </c>
      <c r="O56" s="8">
        <f t="shared" si="20"/>
        <v>1.1190769293064622</v>
      </c>
      <c r="P56" s="8">
        <f t="shared" si="17"/>
        <v>1.0350081583963471</v>
      </c>
      <c r="Q56" s="8">
        <f t="shared" si="18"/>
        <v>2.771181358005113</v>
      </c>
      <c r="R56" s="8">
        <f t="shared" si="9"/>
        <v>5.8818641994887066E-2</v>
      </c>
      <c r="S56" s="55">
        <f t="shared" si="1"/>
        <v>2.0783972436355852E-2</v>
      </c>
      <c r="T56" s="169">
        <f>IF(R56&gt;0,Q56*GorGeus!$C$32+GorGeus!$C$31,Q56*GorGeus!$C$37+GorGeus!$C$36)</f>
        <v>4.7266200963768634</v>
      </c>
      <c r="U56" s="29">
        <f t="shared" si="10"/>
        <v>3.4596326461226925E-3</v>
      </c>
    </row>
    <row r="57" spans="2:21" ht="15.6" x14ac:dyDescent="0.3">
      <c r="B57" s="6">
        <v>28</v>
      </c>
      <c r="C57" s="102">
        <v>4.04</v>
      </c>
      <c r="D57" s="7">
        <f t="shared" si="11"/>
        <v>2.4741666666666666</v>
      </c>
      <c r="E57" s="7">
        <f t="shared" si="12"/>
        <v>2.4508333333333332</v>
      </c>
      <c r="F57" s="8">
        <f t="shared" si="13"/>
        <v>2.4624999999999999</v>
      </c>
      <c r="G57" s="8">
        <f t="shared" si="3"/>
        <v>2.4885932182182184</v>
      </c>
      <c r="H57" s="8">
        <f t="shared" si="14"/>
        <v>0.9895148720862863</v>
      </c>
      <c r="I57" s="8">
        <f t="shared" si="15"/>
        <v>1.6406091370558376</v>
      </c>
      <c r="J57" s="8">
        <f t="shared" si="19"/>
        <v>1.6784453361657212</v>
      </c>
      <c r="K57" s="8">
        <f t="shared" si="19"/>
        <v>7.3103355627881297E-2</v>
      </c>
      <c r="L57" s="8">
        <f t="shared" si="5"/>
        <v>1.5322386249099587</v>
      </c>
      <c r="M57" s="8">
        <f t="shared" si="6"/>
        <v>1.8246520474214838</v>
      </c>
      <c r="N57" s="53" t="str">
        <f t="shared" si="16"/>
        <v>OK</v>
      </c>
      <c r="O57" s="8">
        <f t="shared" si="20"/>
        <v>1.6773701616244618</v>
      </c>
      <c r="P57" s="8">
        <f t="shared" si="17"/>
        <v>0.97808413109422265</v>
      </c>
      <c r="Q57" s="8">
        <f t="shared" si="18"/>
        <v>4.1742920086602329</v>
      </c>
      <c r="R57" s="8">
        <f t="shared" si="9"/>
        <v>-0.13429200866023283</v>
      </c>
      <c r="S57" s="55">
        <f t="shared" si="1"/>
        <v>3.3240596203027925E-2</v>
      </c>
      <c r="T57" s="169">
        <f>IF(R57&gt;0,Q57*GorGeus!$C$32+GorGeus!$C$31,Q57*GorGeus!$C$37+GorGeus!$C$36)</f>
        <v>10.863569730315263</v>
      </c>
      <c r="U57" s="29">
        <f t="shared" si="10"/>
        <v>1.803434359000005E-2</v>
      </c>
    </row>
    <row r="58" spans="2:21" ht="15.6" x14ac:dyDescent="0.3">
      <c r="B58" s="6">
        <v>29</v>
      </c>
      <c r="C58" s="102">
        <v>2.31</v>
      </c>
      <c r="D58" s="7">
        <f t="shared" si="11"/>
        <v>2.4849999999999994</v>
      </c>
      <c r="E58" s="7">
        <f>SUM(C52:C63)/$M$26</f>
        <v>2.4741666666666666</v>
      </c>
      <c r="F58" s="8">
        <f t="shared" si="13"/>
        <v>2.4795833333333333</v>
      </c>
      <c r="G58" s="8">
        <f t="shared" si="3"/>
        <v>2.5008764657514662</v>
      </c>
      <c r="H58" s="8">
        <f t="shared" si="14"/>
        <v>0.99148573201846069</v>
      </c>
      <c r="I58" s="8">
        <f t="shared" si="15"/>
        <v>0.93160813308687618</v>
      </c>
      <c r="J58" s="8">
        <f t="shared" si="19"/>
        <v>0.95719930959851662</v>
      </c>
      <c r="K58" s="8">
        <f t="shared" si="19"/>
        <v>2.3377481962620496E-2</v>
      </c>
      <c r="L58" s="8">
        <f t="shared" si="5"/>
        <v>0.91044434567327559</v>
      </c>
      <c r="M58" s="8">
        <f t="shared" si="6"/>
        <v>1.0039542735237577</v>
      </c>
      <c r="N58" s="53" t="str">
        <f t="shared" si="16"/>
        <v>OK</v>
      </c>
      <c r="O58" s="8">
        <f t="shared" si="20"/>
        <v>0.95658614913006645</v>
      </c>
      <c r="P58" s="8">
        <f t="shared" si="17"/>
        <v>0.97388837788848848</v>
      </c>
      <c r="Q58" s="8">
        <f t="shared" si="18"/>
        <v>2.3923037878232054</v>
      </c>
      <c r="R58" s="8">
        <f t="shared" si="9"/>
        <v>-8.2303787823205354E-2</v>
      </c>
      <c r="S58" s="55">
        <f t="shared" si="1"/>
        <v>3.5629345378010976E-2</v>
      </c>
      <c r="T58" s="169">
        <f>IF(R58&gt;0,Q58*GorGeus!$C$32+GorGeus!$C$31,Q58*GorGeus!$C$37+GorGeus!$C$36)</f>
        <v>10.27062497718719</v>
      </c>
      <c r="U58" s="29">
        <f t="shared" si="10"/>
        <v>6.7739134900472063E-3</v>
      </c>
    </row>
    <row r="59" spans="2:21" ht="15.6" x14ac:dyDescent="0.3">
      <c r="B59" s="6">
        <v>30</v>
      </c>
      <c r="C59" s="102">
        <v>1.99</v>
      </c>
      <c r="D59" s="7">
        <f t="shared" si="11"/>
        <v>2.5091666666666668</v>
      </c>
      <c r="E59" s="7">
        <f t="shared" si="12"/>
        <v>2.4849999999999994</v>
      </c>
      <c r="F59" s="8">
        <f t="shared" si="13"/>
        <v>2.4970833333333333</v>
      </c>
      <c r="G59" s="8">
        <f t="shared" si="3"/>
        <v>2.5131597132847139</v>
      </c>
      <c r="H59" s="8">
        <f t="shared" si="14"/>
        <v>0.99360312045971455</v>
      </c>
      <c r="I59" s="8">
        <f t="shared" si="15"/>
        <v>0.79692975137660604</v>
      </c>
      <c r="J59" s="8">
        <f t="shared" ref="J59:K74" si="21">J47</f>
        <v>0.81997226750415619</v>
      </c>
      <c r="K59" s="8">
        <f t="shared" si="21"/>
        <v>3.6570475008526039E-2</v>
      </c>
      <c r="L59" s="8">
        <f t="shared" si="5"/>
        <v>0.74683131748710407</v>
      </c>
      <c r="M59" s="8">
        <f t="shared" si="6"/>
        <v>0.89311321752120831</v>
      </c>
      <c r="N59" s="53" t="str">
        <f t="shared" si="16"/>
        <v>OK</v>
      </c>
      <c r="O59" s="8">
        <f t="shared" si="20"/>
        <v>0.81944701160957156</v>
      </c>
      <c r="P59" s="8">
        <f t="shared" si="17"/>
        <v>0.9725213956315043</v>
      </c>
      <c r="Q59" s="8">
        <f t="shared" si="18"/>
        <v>2.0594012167487263</v>
      </c>
      <c r="R59" s="8">
        <f t="shared" si="9"/>
        <v>-6.9401216748726346E-2</v>
      </c>
      <c r="S59" s="55">
        <f t="shared" si="1"/>
        <v>3.4874983290817257E-2</v>
      </c>
      <c r="T59" s="169">
        <f>IF(R59&gt;0,Q59*GorGeus!$C$32+GorGeus!$C$31,Q59*GorGeus!$C$37+GorGeus!$C$36)</f>
        <v>10.159853856192495</v>
      </c>
      <c r="U59" s="29">
        <f t="shared" si="10"/>
        <v>4.8165288862036942E-3</v>
      </c>
    </row>
    <row r="60" spans="2:21" x14ac:dyDescent="0.3">
      <c r="B60" s="53">
        <v>31</v>
      </c>
      <c r="C60" s="102">
        <v>2.42</v>
      </c>
      <c r="D60" s="7">
        <f t="shared" si="11"/>
        <v>2.5258333333333334</v>
      </c>
      <c r="E60" s="7">
        <f t="shared" si="12"/>
        <v>2.5091666666666668</v>
      </c>
      <c r="F60" s="8">
        <f t="shared" si="13"/>
        <v>2.5175000000000001</v>
      </c>
      <c r="G60" s="8">
        <f t="shared" si="3"/>
        <v>2.5254429608179612</v>
      </c>
      <c r="H60" s="8">
        <f t="shared" si="14"/>
        <v>0.99685482470156905</v>
      </c>
      <c r="I60" s="8">
        <f t="shared" si="15"/>
        <v>0.96127110228401191</v>
      </c>
      <c r="J60" s="8">
        <f t="shared" si="21"/>
        <v>0.90769417397463004</v>
      </c>
      <c r="K60" s="8">
        <f t="shared" si="21"/>
        <v>5.1131315548081251E-2</v>
      </c>
      <c r="L60" s="8">
        <f t="shared" si="5"/>
        <v>0.80543154287846752</v>
      </c>
      <c r="M60" s="8">
        <f t="shared" si="6"/>
        <v>1.0099568050707926</v>
      </c>
      <c r="N60" s="53" t="str">
        <f t="shared" si="16"/>
        <v>OK</v>
      </c>
      <c r="O60" s="8">
        <f t="shared" si="20"/>
        <v>0.90711272538879972</v>
      </c>
      <c r="P60" s="8">
        <f t="shared" si="17"/>
        <v>1.0597041308972921</v>
      </c>
      <c r="Q60" s="8">
        <f t="shared" si="18"/>
        <v>2.2908614470015407</v>
      </c>
      <c r="R60" s="8">
        <f t="shared" si="9"/>
        <v>0.12913855299845922</v>
      </c>
      <c r="S60" s="55">
        <f t="shared" si="1"/>
        <v>5.3363038429115384E-2</v>
      </c>
      <c r="T60" s="169">
        <f>IF(R60&gt;0,Q60*GorGeus!$C$32+GorGeus!$C$31,Q60*GorGeus!$C$37+GorGeus!$C$36)</f>
        <v>4.2205518885047386</v>
      </c>
      <c r="U60" s="29">
        <f t="shared" si="10"/>
        <v>1.6676765870535862E-2</v>
      </c>
    </row>
    <row r="61" spans="2:21" x14ac:dyDescent="0.3">
      <c r="B61" s="53">
        <v>32</v>
      </c>
      <c r="C61" s="102">
        <v>2.4500000000000002</v>
      </c>
      <c r="D61" s="7">
        <f t="shared" si="11"/>
        <v>2.5466666666666664</v>
      </c>
      <c r="E61" s="7">
        <f t="shared" si="12"/>
        <v>2.5258333333333334</v>
      </c>
      <c r="F61" s="8">
        <f t="shared" si="13"/>
        <v>2.5362499999999999</v>
      </c>
      <c r="G61" s="8">
        <f t="shared" si="3"/>
        <v>2.5377262083512089</v>
      </c>
      <c r="H61" s="8">
        <f t="shared" si="14"/>
        <v>0.99941829487107359</v>
      </c>
      <c r="I61" s="8">
        <f t="shared" si="15"/>
        <v>0.96599310004928551</v>
      </c>
      <c r="J61" s="8">
        <f t="shared" si="21"/>
        <v>0.93000822932309413</v>
      </c>
      <c r="K61" s="8">
        <f t="shared" si="21"/>
        <v>4.6295627349432933E-2</v>
      </c>
      <c r="L61" s="8">
        <f t="shared" si="5"/>
        <v>0.83741697462422826</v>
      </c>
      <c r="M61" s="8">
        <f t="shared" si="6"/>
        <v>1.0225994840219599</v>
      </c>
      <c r="N61" s="53" t="str">
        <f t="shared" si="16"/>
        <v>OK</v>
      </c>
      <c r="O61" s="8">
        <f t="shared" si="20"/>
        <v>0.92941248685249678</v>
      </c>
      <c r="P61" s="8">
        <f t="shared" si="17"/>
        <v>1.0393588570352341</v>
      </c>
      <c r="Q61" s="8">
        <f t="shared" si="18"/>
        <v>2.3585944262544545</v>
      </c>
      <c r="R61" s="8">
        <f t="shared" si="9"/>
        <v>9.1405573745545698E-2</v>
      </c>
      <c r="S61" s="55">
        <f t="shared" si="1"/>
        <v>3.7308397447161509E-2</v>
      </c>
      <c r="T61" s="169">
        <f>IF(R61&gt;0,Q61*GorGeus!$C$32+GorGeus!$C$31,Q61*GorGeus!$C$37+GorGeus!$C$36)</f>
        <v>4.2919157995962927</v>
      </c>
      <c r="U61" s="29">
        <f t="shared" si="10"/>
        <v>8.3549789117523931E-3</v>
      </c>
    </row>
    <row r="62" spans="2:21" x14ac:dyDescent="0.3">
      <c r="B62" s="53">
        <v>33</v>
      </c>
      <c r="C62" s="102">
        <v>2.57</v>
      </c>
      <c r="D62" s="7">
        <f t="shared" si="11"/>
        <v>2.5583333333333331</v>
      </c>
      <c r="E62" s="7">
        <f t="shared" si="12"/>
        <v>2.5466666666666664</v>
      </c>
      <c r="F62" s="8">
        <f t="shared" si="13"/>
        <v>2.5524999999999998</v>
      </c>
      <c r="G62" s="8">
        <f t="shared" si="3"/>
        <v>2.5500094558844566</v>
      </c>
      <c r="H62" s="8">
        <f t="shared" si="14"/>
        <v>1.0009766803451634</v>
      </c>
      <c r="I62" s="8">
        <f t="shared" si="15"/>
        <v>1.0068560235063664</v>
      </c>
      <c r="J62" s="8">
        <f t="shared" si="21"/>
        <v>1.0119167177833237</v>
      </c>
      <c r="K62" s="8">
        <f t="shared" si="21"/>
        <v>9.0821356324964839E-3</v>
      </c>
      <c r="L62" s="8">
        <f t="shared" si="5"/>
        <v>0.99375244651833072</v>
      </c>
      <c r="M62" s="8">
        <f t="shared" si="6"/>
        <v>1.0300809890483167</v>
      </c>
      <c r="N62" s="53" t="str">
        <f t="shared" si="16"/>
        <v>OK</v>
      </c>
      <c r="O62" s="8">
        <f t="shared" si="20"/>
        <v>1.0112685065670319</v>
      </c>
      <c r="P62" s="8">
        <f t="shared" si="17"/>
        <v>0.99563668498325464</v>
      </c>
      <c r="Q62" s="8">
        <f t="shared" si="18"/>
        <v>2.5787442541840839</v>
      </c>
      <c r="R62" s="8">
        <f t="shared" si="9"/>
        <v>-8.7442541840840882E-3</v>
      </c>
      <c r="S62" s="55">
        <f t="shared" si="1"/>
        <v>3.4024335346630697E-3</v>
      </c>
      <c r="T62" s="169">
        <f>IF(R62&gt;0,Q62*GorGeus!$C$32+GorGeus!$C$31,Q62*GorGeus!$C$37+GorGeus!$C$36)</f>
        <v>10.332661804932048</v>
      </c>
      <c r="U62" s="29">
        <f t="shared" si="10"/>
        <v>7.6461981235872081E-5</v>
      </c>
    </row>
    <row r="63" spans="2:21" x14ac:dyDescent="0.3">
      <c r="B63" s="53">
        <v>34</v>
      </c>
      <c r="C63" s="102">
        <v>2.42</v>
      </c>
      <c r="D63" s="7">
        <f t="shared" si="11"/>
        <v>2.5841666666666665</v>
      </c>
      <c r="E63" s="7">
        <f t="shared" si="12"/>
        <v>2.5583333333333331</v>
      </c>
      <c r="F63" s="8">
        <f t="shared" si="13"/>
        <v>2.57125</v>
      </c>
      <c r="G63" s="8">
        <f t="shared" si="3"/>
        <v>2.5622927034177039</v>
      </c>
      <c r="H63" s="8">
        <f t="shared" si="14"/>
        <v>1.0034958131716758</v>
      </c>
      <c r="I63" s="8">
        <f t="shared" si="15"/>
        <v>0.94117647058823528</v>
      </c>
      <c r="J63" s="8">
        <f t="shared" si="21"/>
        <v>0.93782424675632525</v>
      </c>
      <c r="K63" s="8">
        <f t="shared" si="21"/>
        <v>3.7415988976828074E-2</v>
      </c>
      <c r="L63" s="8">
        <f t="shared" si="5"/>
        <v>0.8629922688026691</v>
      </c>
      <c r="M63" s="8">
        <f t="shared" si="6"/>
        <v>1.0126562247099815</v>
      </c>
      <c r="N63" s="53" t="str">
        <f t="shared" si="16"/>
        <v>OK</v>
      </c>
      <c r="O63" s="8">
        <f t="shared" si="20"/>
        <v>0.93722349751977785</v>
      </c>
      <c r="P63" s="8">
        <f t="shared" si="17"/>
        <v>1.0042177485721584</v>
      </c>
      <c r="Q63" s="8">
        <f t="shared" si="18"/>
        <v>2.4014409291665473</v>
      </c>
      <c r="R63" s="8">
        <f t="shared" si="9"/>
        <v>1.8559070833452651E-2</v>
      </c>
      <c r="S63" s="55">
        <f t="shared" si="1"/>
        <v>7.6690375344845669E-3</v>
      </c>
      <c r="T63" s="169">
        <f>IF(R63&gt;0,Q63*GorGeus!$C$32+GorGeus!$C$31,Q63*GorGeus!$C$37+GorGeus!$C$36)</f>
        <v>4.3370591560251484</v>
      </c>
      <c r="U63" s="29">
        <f t="shared" si="10"/>
        <v>3.4443911020111287E-4</v>
      </c>
    </row>
    <row r="64" spans="2:21" x14ac:dyDescent="0.3">
      <c r="B64" s="53">
        <v>35</v>
      </c>
      <c r="C64" s="102">
        <v>2.4</v>
      </c>
      <c r="D64" s="7">
        <f t="shared" si="11"/>
        <v>2.6049999999999995</v>
      </c>
      <c r="E64" s="7">
        <f t="shared" si="12"/>
        <v>2.5841666666666665</v>
      </c>
      <c r="F64" s="8">
        <f t="shared" si="13"/>
        <v>2.594583333333333</v>
      </c>
      <c r="G64" s="8">
        <f t="shared" si="3"/>
        <v>2.5745759509509516</v>
      </c>
      <c r="H64" s="8">
        <f t="shared" si="14"/>
        <v>1.0077711369808264</v>
      </c>
      <c r="I64" s="8">
        <f t="shared" si="15"/>
        <v>0.92500401477436978</v>
      </c>
      <c r="J64" s="8">
        <f t="shared" si="21"/>
        <v>0.93629998044173612</v>
      </c>
      <c r="K64" s="8">
        <f t="shared" si="21"/>
        <v>1.6676878572289201E-2</v>
      </c>
      <c r="L64" s="8">
        <f t="shared" si="5"/>
        <v>0.90294622329715768</v>
      </c>
      <c r="M64" s="8">
        <f t="shared" si="6"/>
        <v>0.96965373758631457</v>
      </c>
      <c r="N64" s="53" t="str">
        <f t="shared" si="16"/>
        <v>OK</v>
      </c>
      <c r="O64" s="8">
        <f t="shared" si="20"/>
        <v>0.93570020761609718</v>
      </c>
      <c r="P64" s="8">
        <f t="shared" si="17"/>
        <v>0.98856878222889544</v>
      </c>
      <c r="Q64" s="8">
        <f t="shared" si="18"/>
        <v>2.4090312518282162</v>
      </c>
      <c r="R64" s="8">
        <f t="shared" si="9"/>
        <v>-9.0312518282162912E-3</v>
      </c>
      <c r="S64" s="55">
        <f t="shared" si="1"/>
        <v>3.7630215950901214E-3</v>
      </c>
      <c r="T64" s="169">
        <f>IF(R64&gt;0,Q64*GorGeus!$C$32+GorGeus!$C$31,Q64*GorGeus!$C$37+GorGeus!$C$36)</f>
        <v>10.276190929811865</v>
      </c>
      <c r="U64" s="29">
        <f t="shared" si="10"/>
        <v>8.1563509584660105E-5</v>
      </c>
    </row>
    <row r="65" spans="2:21" ht="15.6" x14ac:dyDescent="0.3">
      <c r="B65" s="6">
        <v>36</v>
      </c>
      <c r="C65" s="102">
        <v>2.5</v>
      </c>
      <c r="D65" s="7">
        <f t="shared" si="11"/>
        <v>2.6291666666666669</v>
      </c>
      <c r="E65" s="7">
        <f t="shared" si="12"/>
        <v>2.6049999999999995</v>
      </c>
      <c r="F65" s="8">
        <f t="shared" si="13"/>
        <v>2.6170833333333334</v>
      </c>
      <c r="G65" s="8">
        <f t="shared" si="3"/>
        <v>2.5868591984841989</v>
      </c>
      <c r="H65" s="8">
        <f t="shared" si="14"/>
        <v>1.0116837185676146</v>
      </c>
      <c r="I65" s="8">
        <f t="shared" si="15"/>
        <v>0.95526190097118291</v>
      </c>
      <c r="J65" s="8">
        <f t="shared" si="21"/>
        <v>0.97502532159543931</v>
      </c>
      <c r="K65" s="8">
        <f t="shared" si="21"/>
        <v>5.8878220076062672E-2</v>
      </c>
      <c r="L65" s="8">
        <f t="shared" si="5"/>
        <v>0.85726888144331392</v>
      </c>
      <c r="M65" s="8">
        <f t="shared" si="6"/>
        <v>1.0927817617475646</v>
      </c>
      <c r="N65" s="53" t="str">
        <f t="shared" si="16"/>
        <v>OK</v>
      </c>
      <c r="O65" s="8">
        <f t="shared" si="20"/>
        <v>0.97440074218241091</v>
      </c>
      <c r="P65" s="8">
        <f t="shared" si="17"/>
        <v>0.98035834705096603</v>
      </c>
      <c r="Q65" s="8">
        <f t="shared" si="18"/>
        <v>2.5206375229244</v>
      </c>
      <c r="R65" s="8">
        <f t="shared" si="9"/>
        <v>-2.063752292440002E-2</v>
      </c>
      <c r="S65" s="55">
        <f t="shared" si="1"/>
        <v>8.2550091697600088E-3</v>
      </c>
      <c r="T65" s="169">
        <f>IF(R65&gt;0,Q65*GorGeus!$C$32+GorGeus!$C$31,Q65*GorGeus!$C$37+GorGeus!$C$36)</f>
        <v>10.313327175769533</v>
      </c>
      <c r="U65" s="29">
        <f t="shared" si="10"/>
        <v>4.2590735245513637E-4</v>
      </c>
    </row>
    <row r="66" spans="2:21" x14ac:dyDescent="0.3">
      <c r="B66" s="53">
        <v>37</v>
      </c>
      <c r="C66" s="102">
        <v>2.09</v>
      </c>
      <c r="D66" s="7">
        <f t="shared" si="11"/>
        <v>2.6516666666666668</v>
      </c>
      <c r="E66" s="7">
        <f t="shared" si="12"/>
        <v>2.6291666666666669</v>
      </c>
      <c r="F66" s="8">
        <f t="shared" si="13"/>
        <v>2.6404166666666669</v>
      </c>
      <c r="G66" s="8">
        <f t="shared" si="3"/>
        <v>2.5991424460174466</v>
      </c>
      <c r="H66" s="8">
        <f t="shared" si="14"/>
        <v>1.015879937905082</v>
      </c>
      <c r="I66" s="8">
        <f t="shared" si="15"/>
        <v>0.79154173899321434</v>
      </c>
      <c r="J66" s="8">
        <f t="shared" si="21"/>
        <v>0.79724917902354031</v>
      </c>
      <c r="K66" s="8">
        <f t="shared" si="21"/>
        <v>1.3792343971913616E-2</v>
      </c>
      <c r="L66" s="8">
        <f t="shared" si="5"/>
        <v>0.76966449107971313</v>
      </c>
      <c r="M66" s="8">
        <f t="shared" si="6"/>
        <v>0.82483386696736749</v>
      </c>
      <c r="N66" s="53" t="str">
        <f t="shared" si="16"/>
        <v>OK</v>
      </c>
      <c r="O66" s="8">
        <f t="shared" si="20"/>
        <v>0.79673847903119843</v>
      </c>
      <c r="P66" s="8">
        <f t="shared" si="17"/>
        <v>0.99347748329627172</v>
      </c>
      <c r="Q66" s="8">
        <f t="shared" si="18"/>
        <v>2.0708367992253693</v>
      </c>
      <c r="R66" s="8">
        <f t="shared" si="9"/>
        <v>1.9163200774630518E-2</v>
      </c>
      <c r="S66" s="55">
        <f t="shared" si="1"/>
        <v>9.168995585947616E-3</v>
      </c>
      <c r="T66" s="169">
        <f>IF(R66&gt;0,Q66*GorGeus!$C$32+GorGeus!$C$31,Q66*GorGeus!$C$37+GorGeus!$C$36)</f>
        <v>3.9887324768231891</v>
      </c>
      <c r="U66" s="29">
        <f t="shared" si="10"/>
        <v>3.672282639287997E-4</v>
      </c>
    </row>
    <row r="67" spans="2:21" x14ac:dyDescent="0.3">
      <c r="B67" s="53">
        <v>38</v>
      </c>
      <c r="C67" s="102">
        <v>2.54</v>
      </c>
      <c r="D67" s="7">
        <f t="shared" si="11"/>
        <v>2.6541666666666663</v>
      </c>
      <c r="E67" s="7">
        <f t="shared" si="12"/>
        <v>2.6516666666666668</v>
      </c>
      <c r="F67" s="8">
        <f t="shared" si="13"/>
        <v>2.6529166666666666</v>
      </c>
      <c r="G67" s="8">
        <f t="shared" si="3"/>
        <v>2.6114256935506939</v>
      </c>
      <c r="H67" s="8">
        <f t="shared" si="14"/>
        <v>1.0158882457266316</v>
      </c>
      <c r="I67" s="8">
        <f t="shared" si="15"/>
        <v>0.95743678341448091</v>
      </c>
      <c r="J67" s="8">
        <f t="shared" si="21"/>
        <v>0.93626285221375127</v>
      </c>
      <c r="K67" s="8">
        <f t="shared" si="21"/>
        <v>2.5699165469385166E-2</v>
      </c>
      <c r="L67" s="8">
        <f t="shared" si="5"/>
        <v>0.88486452127498094</v>
      </c>
      <c r="M67" s="8">
        <f t="shared" si="6"/>
        <v>0.9876611831525216</v>
      </c>
      <c r="N67" s="53" t="str">
        <f t="shared" si="16"/>
        <v>OK</v>
      </c>
      <c r="O67" s="8">
        <f t="shared" si="20"/>
        <v>0.93566310317162471</v>
      </c>
      <c r="P67" s="8">
        <f t="shared" si="17"/>
        <v>1.0232708548291043</v>
      </c>
      <c r="Q67" s="8">
        <f t="shared" si="18"/>
        <v>2.4434146681297544</v>
      </c>
      <c r="R67" s="8">
        <f t="shared" si="9"/>
        <v>9.658533187024565E-2</v>
      </c>
      <c r="S67" s="55">
        <f t="shared" si="1"/>
        <v>3.8025721208758127E-2</v>
      </c>
      <c r="T67" s="169">
        <f>IF(R67&gt;0,Q67*GorGeus!$C$32+GorGeus!$C$31,Q67*GorGeus!$C$37+GorGeus!$C$36)</f>
        <v>4.3812829626344154</v>
      </c>
      <c r="U67" s="29">
        <f t="shared" si="10"/>
        <v>9.3287263324854895E-3</v>
      </c>
    </row>
    <row r="68" spans="2:21" x14ac:dyDescent="0.3">
      <c r="B68" s="53">
        <v>39</v>
      </c>
      <c r="C68" s="102">
        <v>2.97</v>
      </c>
      <c r="D68" s="7">
        <f t="shared" si="11"/>
        <v>2.6675</v>
      </c>
      <c r="E68" s="7">
        <f t="shared" si="12"/>
        <v>2.6541666666666663</v>
      </c>
      <c r="F68" s="8">
        <f t="shared" si="13"/>
        <v>2.6608333333333332</v>
      </c>
      <c r="G68" s="8">
        <f t="shared" si="3"/>
        <v>2.6237089410839416</v>
      </c>
      <c r="H68" s="8">
        <f t="shared" si="14"/>
        <v>1.0141495848369728</v>
      </c>
      <c r="I68" s="8">
        <f t="shared" si="15"/>
        <v>1.1161916692765426</v>
      </c>
      <c r="J68" s="8">
        <f t="shared" si="21"/>
        <v>1.1197942444534872</v>
      </c>
      <c r="K68" s="8">
        <f t="shared" si="21"/>
        <v>3.6790745844796427E-2</v>
      </c>
      <c r="L68" s="8">
        <f t="shared" si="5"/>
        <v>1.0462127527638942</v>
      </c>
      <c r="M68" s="8">
        <f t="shared" si="6"/>
        <v>1.1933757361430801</v>
      </c>
      <c r="N68" s="53" t="str">
        <f t="shared" si="16"/>
        <v>OK</v>
      </c>
      <c r="O68" s="8">
        <f t="shared" si="20"/>
        <v>1.1190769293064622</v>
      </c>
      <c r="P68" s="8">
        <f t="shared" si="17"/>
        <v>0.99742175005635425</v>
      </c>
      <c r="Q68" s="8">
        <f t="shared" si="18"/>
        <v>2.936132145182127</v>
      </c>
      <c r="R68" s="8">
        <f t="shared" si="9"/>
        <v>3.3867854817873244E-2</v>
      </c>
      <c r="S68" s="55">
        <f t="shared" si="1"/>
        <v>1.1403318120496041E-2</v>
      </c>
      <c r="T68" s="169">
        <f>IF(R68&gt;0,Q68*GorGeus!$C$32+GorGeus!$C$31,Q68*GorGeus!$C$37+GorGeus!$C$36)</f>
        <v>4.900413327391071</v>
      </c>
      <c r="U68" s="29">
        <f t="shared" si="10"/>
        <v>1.1470315899645399E-3</v>
      </c>
    </row>
    <row r="69" spans="2:21" x14ac:dyDescent="0.3">
      <c r="B69" s="53">
        <v>40</v>
      </c>
      <c r="C69" s="102">
        <v>4.3499999999999996</v>
      </c>
      <c r="D69" s="7">
        <f t="shared" si="11"/>
        <v>2.6633333333333336</v>
      </c>
      <c r="E69" s="7">
        <f t="shared" si="12"/>
        <v>2.6675</v>
      </c>
      <c r="F69" s="8">
        <f t="shared" si="13"/>
        <v>2.6654166666666668</v>
      </c>
      <c r="G69" s="8">
        <f t="shared" si="3"/>
        <v>2.6359921886171893</v>
      </c>
      <c r="H69" s="8">
        <f t="shared" si="14"/>
        <v>1.0111625816557952</v>
      </c>
      <c r="I69" s="8">
        <f t="shared" si="15"/>
        <v>1.6320150070345472</v>
      </c>
      <c r="J69" s="8">
        <f t="shared" si="21"/>
        <v>1.6784453361657212</v>
      </c>
      <c r="K69" s="8">
        <f t="shared" si="21"/>
        <v>7.3103355627881297E-2</v>
      </c>
      <c r="L69" s="8">
        <f t="shared" si="5"/>
        <v>1.5322386249099587</v>
      </c>
      <c r="M69" s="8">
        <f t="shared" si="6"/>
        <v>1.8246520474214838</v>
      </c>
      <c r="N69" s="53" t="str">
        <f t="shared" si="16"/>
        <v>OK</v>
      </c>
      <c r="O69" s="8">
        <f t="shared" si="20"/>
        <v>1.6773701616244618</v>
      </c>
      <c r="P69" s="8">
        <f t="shared" si="17"/>
        <v>0.97296055717004637</v>
      </c>
      <c r="Q69" s="8">
        <f t="shared" si="18"/>
        <v>4.4215346434616336</v>
      </c>
      <c r="R69" s="8">
        <f t="shared" si="9"/>
        <v>-7.1534643461633962E-2</v>
      </c>
      <c r="S69" s="55">
        <f t="shared" si="1"/>
        <v>1.6444745623364131E-2</v>
      </c>
      <c r="T69" s="169">
        <f>IF(R69&gt;0,Q69*GorGeus!$C$32+GorGeus!$C$31,Q69*GorGeus!$C$37+GorGeus!$C$36)</f>
        <v>10.945838076054489</v>
      </c>
      <c r="U69" s="29">
        <f t="shared" si="10"/>
        <v>5.1172052151830906E-3</v>
      </c>
    </row>
    <row r="70" spans="2:21" x14ac:dyDescent="0.3">
      <c r="B70" s="53">
        <v>41</v>
      </c>
      <c r="C70" s="102">
        <v>2.56</v>
      </c>
      <c r="D70" s="7">
        <f t="shared" si="11"/>
        <v>2.6558333333333333</v>
      </c>
      <c r="E70" s="7">
        <f t="shared" si="12"/>
        <v>2.6633333333333336</v>
      </c>
      <c r="F70" s="8">
        <f t="shared" si="13"/>
        <v>2.6595833333333334</v>
      </c>
      <c r="G70" s="8">
        <f t="shared" si="3"/>
        <v>2.6482754361504366</v>
      </c>
      <c r="H70" s="8">
        <f t="shared" si="14"/>
        <v>1.0042699097792238</v>
      </c>
      <c r="I70" s="8">
        <f t="shared" si="15"/>
        <v>0.96255679147736173</v>
      </c>
      <c r="J70" s="8">
        <f t="shared" si="21"/>
        <v>0.95719930959851662</v>
      </c>
      <c r="K70" s="8">
        <f t="shared" si="21"/>
        <v>2.3377481962620496E-2</v>
      </c>
      <c r="L70" s="8">
        <f t="shared" si="5"/>
        <v>0.91044434567327559</v>
      </c>
      <c r="M70" s="8">
        <f t="shared" si="6"/>
        <v>1.0039542735237577</v>
      </c>
      <c r="N70" s="53" t="str">
        <f t="shared" si="16"/>
        <v>OK</v>
      </c>
      <c r="O70" s="8">
        <f t="shared" si="20"/>
        <v>0.95658614913006645</v>
      </c>
      <c r="P70" s="8">
        <f t="shared" si="17"/>
        <v>1.0062416148851048</v>
      </c>
      <c r="Q70" s="8">
        <f t="shared" si="18"/>
        <v>2.5333036013028933</v>
      </c>
      <c r="R70" s="8">
        <f t="shared" si="9"/>
        <v>2.6696398697106716E-2</v>
      </c>
      <c r="S70" s="55">
        <f t="shared" si="1"/>
        <v>1.0428280741057311E-2</v>
      </c>
      <c r="T70" s="169">
        <f>IF(R70&gt;0,Q70*GorGeus!$C$32+GorGeus!$C$31,Q70*GorGeus!$C$37+GorGeus!$C$36)</f>
        <v>4.4759905320612621</v>
      </c>
      <c r="U70" s="29">
        <f t="shared" si="10"/>
        <v>7.1269770339488117E-4</v>
      </c>
    </row>
    <row r="71" spans="2:21" ht="15.6" x14ac:dyDescent="0.3">
      <c r="B71" s="6">
        <v>42</v>
      </c>
      <c r="C71" s="102">
        <v>2.2799999999999998</v>
      </c>
      <c r="D71" s="7">
        <f>SUM(C66:C77)/$M$26</f>
        <v>2.6333333333333333</v>
      </c>
      <c r="E71" s="7">
        <f>SUM(C65:C76)/$M$26</f>
        <v>2.6558333333333333</v>
      </c>
      <c r="F71" s="8">
        <f t="shared" si="13"/>
        <v>2.6445833333333333</v>
      </c>
      <c r="G71" s="8">
        <f t="shared" si="3"/>
        <v>2.6605586836836843</v>
      </c>
      <c r="H71" s="8">
        <f t="shared" si="14"/>
        <v>0.99399549032753065</v>
      </c>
      <c r="I71" s="8">
        <f>C71/F71</f>
        <v>0.86213959350874425</v>
      </c>
      <c r="J71" s="8">
        <f t="shared" si="21"/>
        <v>0.81997226750415619</v>
      </c>
      <c r="K71" s="8">
        <f t="shared" si="21"/>
        <v>3.6570475008526039E-2</v>
      </c>
      <c r="L71" s="8">
        <f t="shared" si="5"/>
        <v>0.74683131748710407</v>
      </c>
      <c r="M71" s="8">
        <f t="shared" si="6"/>
        <v>0.89311321752120831</v>
      </c>
      <c r="N71" s="53" t="str">
        <f t="shared" si="16"/>
        <v>OK</v>
      </c>
      <c r="O71" s="8">
        <f t="shared" si="20"/>
        <v>0.81944701160957156</v>
      </c>
      <c r="P71" s="8">
        <f t="shared" si="17"/>
        <v>1.052099258761485</v>
      </c>
      <c r="Q71" s="8">
        <f t="shared" si="18"/>
        <v>2.1801868625564906</v>
      </c>
      <c r="R71" s="8">
        <f t="shared" si="9"/>
        <v>9.981313744350917E-2</v>
      </c>
      <c r="S71" s="55">
        <f t="shared" si="1"/>
        <v>4.3777691861188239E-2</v>
      </c>
      <c r="T71" s="169">
        <f>IF(R71&gt;0,Q71*GorGeus!$C$32+GorGeus!$C$31,Q71*GorGeus!$C$37+GorGeus!$C$36)</f>
        <v>4.1039444205984541</v>
      </c>
      <c r="U71" s="29">
        <f t="shared" si="10"/>
        <v>9.9626624063168523E-3</v>
      </c>
    </row>
    <row r="72" spans="2:21" x14ac:dyDescent="0.3">
      <c r="B72" s="53">
        <v>43</v>
      </c>
      <c r="C72" s="102">
        <v>2.69</v>
      </c>
      <c r="D72" s="7"/>
      <c r="E72" s="7"/>
      <c r="F72" s="8"/>
      <c r="G72" s="8">
        <f t="shared" si="3"/>
        <v>2.6728419312169316</v>
      </c>
      <c r="H72" s="8"/>
      <c r="I72" s="8"/>
      <c r="J72" s="8">
        <f t="shared" si="21"/>
        <v>0.90769417397463004</v>
      </c>
      <c r="K72" s="8">
        <f t="shared" si="21"/>
        <v>5.1131315548081251E-2</v>
      </c>
      <c r="L72" s="8"/>
      <c r="M72" s="8"/>
      <c r="N72" s="53"/>
      <c r="O72" s="8">
        <f t="shared" si="20"/>
        <v>0.90711272538879972</v>
      </c>
      <c r="P72" s="8"/>
      <c r="Q72" s="8">
        <f t="shared" si="18"/>
        <v>2.4245689287596535</v>
      </c>
      <c r="R72" s="8">
        <f t="shared" si="9"/>
        <v>0.26543107124034648</v>
      </c>
      <c r="S72" s="55">
        <f t="shared" si="1"/>
        <v>9.8673260684143671E-2</v>
      </c>
      <c r="T72" s="169">
        <f>IF(R72&gt;0,Q72*GorGeus!$C$32+GorGeus!$C$31,Q72*GorGeus!$C$37+GorGeus!$C$36)</f>
        <v>4.3614269680554587</v>
      </c>
      <c r="U72" s="29">
        <f t="shared" si="10"/>
        <v>7.0453653579797895E-2</v>
      </c>
    </row>
    <row r="73" spans="2:21" x14ac:dyDescent="0.3">
      <c r="B73" s="53">
        <v>44</v>
      </c>
      <c r="C73" s="102">
        <v>2.48</v>
      </c>
      <c r="D73" s="7"/>
      <c r="E73" s="7"/>
      <c r="F73" s="8"/>
      <c r="G73" s="8">
        <f t="shared" si="3"/>
        <v>2.6851251787501793</v>
      </c>
      <c r="H73" s="8"/>
      <c r="I73" s="8"/>
      <c r="J73" s="8">
        <f t="shared" si="21"/>
        <v>0.93000822932309413</v>
      </c>
      <c r="K73" s="8">
        <f t="shared" si="21"/>
        <v>4.6295627349432933E-2</v>
      </c>
      <c r="L73" s="8"/>
      <c r="M73" s="8"/>
      <c r="N73" s="53"/>
      <c r="O73" s="8">
        <f t="shared" si="20"/>
        <v>0.92941248685249678</v>
      </c>
      <c r="P73" s="8"/>
      <c r="Q73" s="8">
        <f t="shared" si="18"/>
        <v>2.4955888698924591</v>
      </c>
      <c r="R73" s="8">
        <f t="shared" si="9"/>
        <v>-1.5588869892459112E-2</v>
      </c>
      <c r="S73" s="55">
        <f t="shared" si="1"/>
        <v>6.2858346340560938E-3</v>
      </c>
      <c r="T73" s="169">
        <f>IF(R73&gt;0,Q73*GorGeus!$C$32+GorGeus!$C$31,Q73*GorGeus!$C$37+GorGeus!$C$36)</f>
        <v>10.304992402725278</v>
      </c>
      <c r="U73" s="29">
        <f t="shared" si="10"/>
        <v>2.4301286452401815E-4</v>
      </c>
    </row>
    <row r="74" spans="2:21" x14ac:dyDescent="0.3">
      <c r="B74" s="53">
        <v>45</v>
      </c>
      <c r="C74" s="102">
        <v>2.73</v>
      </c>
      <c r="D74" s="7"/>
      <c r="E74" s="7"/>
      <c r="F74" s="8"/>
      <c r="G74" s="8">
        <f t="shared" si="3"/>
        <v>2.6974084262834266</v>
      </c>
      <c r="H74" s="8"/>
      <c r="I74" s="8"/>
      <c r="J74" s="8">
        <f t="shared" si="21"/>
        <v>1.0119167177833237</v>
      </c>
      <c r="K74" s="8">
        <f t="shared" si="21"/>
        <v>9.0821356324964839E-3</v>
      </c>
      <c r="L74" s="8"/>
      <c r="M74" s="8"/>
      <c r="N74" s="53"/>
      <c r="O74" s="8">
        <f t="shared" si="20"/>
        <v>1.0112685065670319</v>
      </c>
      <c r="P74" s="8"/>
      <c r="Q74" s="8">
        <f t="shared" si="18"/>
        <v>2.7278041908489685</v>
      </c>
      <c r="R74" s="8">
        <f t="shared" si="9"/>
        <v>2.1958091510314581E-3</v>
      </c>
      <c r="S74" s="55">
        <f t="shared" si="1"/>
        <v>8.0432569634851948E-4</v>
      </c>
      <c r="T74" s="169">
        <f>IF(R74&gt;0,Q74*GorGeus!$C$32+GorGeus!$C$31,Q74*GorGeus!$C$37+GorGeus!$C$36)</f>
        <v>4.6809176286207093</v>
      </c>
      <c r="U74" s="29">
        <f t="shared" si="10"/>
        <v>4.8215778277534933E-6</v>
      </c>
    </row>
    <row r="75" spans="2:21" x14ac:dyDescent="0.3">
      <c r="B75" s="53">
        <v>46</v>
      </c>
      <c r="C75" s="102">
        <v>2.37</v>
      </c>
      <c r="D75" s="7"/>
      <c r="E75" s="7"/>
      <c r="F75" s="8"/>
      <c r="G75" s="8">
        <f t="shared" si="3"/>
        <v>2.7096916738166743</v>
      </c>
      <c r="H75" s="8"/>
      <c r="I75" s="8"/>
      <c r="J75" s="8">
        <f t="shared" ref="J75:K90" si="22">J63</f>
        <v>0.93782424675632525</v>
      </c>
      <c r="K75" s="8">
        <f t="shared" si="22"/>
        <v>3.7415988976828074E-2</v>
      </c>
      <c r="L75" s="8"/>
      <c r="M75" s="8"/>
      <c r="N75" s="53"/>
      <c r="O75" s="8">
        <f t="shared" si="20"/>
        <v>0.93722349751977785</v>
      </c>
      <c r="P75" s="8"/>
      <c r="Q75" s="8">
        <f t="shared" si="18"/>
        <v>2.5395867077346845</v>
      </c>
      <c r="R75" s="8">
        <f t="shared" si="9"/>
        <v>-0.16958670773468443</v>
      </c>
      <c r="S75" s="55">
        <f t="shared" si="1"/>
        <v>7.1555572883833088E-2</v>
      </c>
      <c r="T75" s="169">
        <f>IF(R75&gt;0,Q75*GorGeus!$C$32+GorGeus!$C$31,Q75*GorGeus!$C$37+GorGeus!$C$36)</f>
        <v>10.31963239124623</v>
      </c>
      <c r="U75" s="29">
        <f t="shared" si="10"/>
        <v>2.8759651440289274E-2</v>
      </c>
    </row>
    <row r="76" spans="2:21" x14ac:dyDescent="0.3">
      <c r="B76" s="53">
        <v>47</v>
      </c>
      <c r="C76" s="102">
        <v>2.31</v>
      </c>
      <c r="D76" s="7"/>
      <c r="E76" s="7"/>
      <c r="F76" s="8"/>
      <c r="G76" s="8">
        <f t="shared" si="3"/>
        <v>2.721974921349922</v>
      </c>
      <c r="H76" s="8"/>
      <c r="I76" s="8"/>
      <c r="J76" s="8">
        <f t="shared" si="22"/>
        <v>0.93629998044173612</v>
      </c>
      <c r="K76" s="8">
        <f t="shared" si="22"/>
        <v>1.6676878572289201E-2</v>
      </c>
      <c r="L76" s="8"/>
      <c r="M76" s="8"/>
      <c r="N76" s="53"/>
      <c r="O76" s="8">
        <f t="shared" si="20"/>
        <v>0.93570020761609718</v>
      </c>
      <c r="P76" s="8"/>
      <c r="Q76" s="8">
        <f t="shared" si="18"/>
        <v>2.546952499032932</v>
      </c>
      <c r="R76" s="8">
        <f t="shared" si="9"/>
        <v>-0.23695249903293192</v>
      </c>
      <c r="S76" s="55">
        <f t="shared" si="1"/>
        <v>0.10257683940819563</v>
      </c>
      <c r="T76" s="169">
        <f>IF(R76&gt;0,Q76*GorGeus!$C$32+GorGeus!$C$31,Q76*GorGeus!$C$37+GorGeus!$C$36)</f>
        <v>10.322083309412726</v>
      </c>
      <c r="U76" s="29">
        <f t="shared" si="10"/>
        <v>5.6146486797951603E-2</v>
      </c>
    </row>
    <row r="77" spans="2:21" ht="15.6" x14ac:dyDescent="0.3">
      <c r="B77" s="6">
        <v>48</v>
      </c>
      <c r="C77" s="102">
        <v>2.23</v>
      </c>
      <c r="D77" s="7"/>
      <c r="E77" s="7"/>
      <c r="F77" s="8"/>
      <c r="G77" s="8">
        <f t="shared" si="3"/>
        <v>2.7342581688831693</v>
      </c>
      <c r="H77" s="8"/>
      <c r="I77" s="8"/>
      <c r="J77" s="8">
        <f t="shared" si="22"/>
        <v>0.97502532159543931</v>
      </c>
      <c r="K77" s="8">
        <f t="shared" si="22"/>
        <v>5.8878220076062672E-2</v>
      </c>
      <c r="L77" s="8"/>
      <c r="M77" s="8"/>
      <c r="N77" s="53"/>
      <c r="O77" s="8">
        <f t="shared" si="20"/>
        <v>0.97440074218241091</v>
      </c>
      <c r="P77" s="8"/>
      <c r="Q77" s="8">
        <f t="shared" si="18"/>
        <v>2.6642631890780799</v>
      </c>
      <c r="R77" s="8">
        <f t="shared" si="9"/>
        <v>-0.43426318907807993</v>
      </c>
      <c r="S77" s="55">
        <f t="shared" si="1"/>
        <v>0.19473685608882507</v>
      </c>
      <c r="T77" s="169">
        <f>IF(R77&gt;0,Q77*GorGeus!$C$32+GorGeus!$C$31,Q77*GorGeus!$C$37+GorGeus!$C$36)</f>
        <v>10.361117662914475</v>
      </c>
      <c r="U77" s="29">
        <f t="shared" si="10"/>
        <v>0.18858451738826421</v>
      </c>
    </row>
    <row r="78" spans="2:21" x14ac:dyDescent="0.3">
      <c r="B78" s="53">
        <v>49</v>
      </c>
      <c r="C78" s="53"/>
      <c r="D78" s="7"/>
      <c r="E78" s="7"/>
      <c r="F78" s="8"/>
      <c r="G78" s="8">
        <f t="shared" si="3"/>
        <v>2.746541416416417</v>
      </c>
      <c r="H78" s="8"/>
      <c r="I78" s="8"/>
      <c r="J78" s="8">
        <f t="shared" si="22"/>
        <v>0.79724917902354031</v>
      </c>
      <c r="K78" s="8">
        <f t="shared" si="22"/>
        <v>1.3792343971913616E-2</v>
      </c>
      <c r="L78" s="8"/>
      <c r="M78" s="8"/>
      <c r="N78" s="53"/>
      <c r="O78" s="8">
        <f t="shared" si="20"/>
        <v>0.79673847903119843</v>
      </c>
      <c r="P78" s="8"/>
      <c r="Q78" s="170">
        <f t="shared" si="18"/>
        <v>2.1882752307118096</v>
      </c>
      <c r="R78" s="8"/>
      <c r="S78" s="55"/>
      <c r="T78" s="169"/>
      <c r="U78" s="29"/>
    </row>
    <row r="79" spans="2:21" x14ac:dyDescent="0.3">
      <c r="B79" s="53">
        <v>50</v>
      </c>
      <c r="C79" s="53"/>
      <c r="D79" s="7"/>
      <c r="E79" s="7"/>
      <c r="F79" s="8"/>
      <c r="G79" s="8">
        <f t="shared" si="3"/>
        <v>2.7588246639496647</v>
      </c>
      <c r="H79" s="8"/>
      <c r="I79" s="8"/>
      <c r="J79" s="8">
        <f t="shared" si="22"/>
        <v>0.93626285221375127</v>
      </c>
      <c r="K79" s="8">
        <f t="shared" si="22"/>
        <v>2.5699165469385166E-2</v>
      </c>
      <c r="L79" s="8"/>
      <c r="M79" s="8"/>
      <c r="N79" s="53"/>
      <c r="O79" s="8">
        <f t="shared" si="20"/>
        <v>0.93566310317162471</v>
      </c>
      <c r="P79" s="8"/>
      <c r="Q79" s="170">
        <f t="shared" si="18"/>
        <v>2.5813304461775579</v>
      </c>
      <c r="R79" s="8"/>
      <c r="S79" s="55"/>
      <c r="T79" s="169"/>
      <c r="U79" s="29"/>
    </row>
    <row r="80" spans="2:21" x14ac:dyDescent="0.3">
      <c r="B80" s="53">
        <v>51</v>
      </c>
      <c r="C80" s="53"/>
      <c r="D80" s="7"/>
      <c r="E80" s="7"/>
      <c r="F80" s="8"/>
      <c r="G80" s="8">
        <f t="shared" si="3"/>
        <v>2.771107911482912</v>
      </c>
      <c r="H80" s="8"/>
      <c r="I80" s="8"/>
      <c r="J80" s="8">
        <f t="shared" si="22"/>
        <v>1.1197942444534872</v>
      </c>
      <c r="K80" s="8">
        <f t="shared" si="22"/>
        <v>3.6790745844796427E-2</v>
      </c>
      <c r="L80" s="8"/>
      <c r="M80" s="8"/>
      <c r="N80" s="53"/>
      <c r="O80" s="8">
        <f t="shared" si="20"/>
        <v>1.1190769293064622</v>
      </c>
      <c r="P80" s="8"/>
      <c r="Q80" s="170">
        <f t="shared" si="18"/>
        <v>3.1010829323591409</v>
      </c>
      <c r="R80" s="8"/>
      <c r="S80" s="55"/>
      <c r="T80" s="169"/>
      <c r="U80" s="29"/>
    </row>
    <row r="81" spans="2:21" x14ac:dyDescent="0.3">
      <c r="B81" s="53">
        <v>52</v>
      </c>
      <c r="C81" s="53"/>
      <c r="D81" s="7"/>
      <c r="E81" s="7"/>
      <c r="F81" s="8"/>
      <c r="G81" s="8">
        <f t="shared" si="3"/>
        <v>2.7833911590161597</v>
      </c>
      <c r="H81" s="8"/>
      <c r="I81" s="8"/>
      <c r="J81" s="8">
        <f t="shared" si="22"/>
        <v>1.6784453361657212</v>
      </c>
      <c r="K81" s="8">
        <f t="shared" si="22"/>
        <v>7.3103355627881297E-2</v>
      </c>
      <c r="L81" s="8"/>
      <c r="M81" s="8"/>
      <c r="N81" s="53"/>
      <c r="O81" s="8">
        <f t="shared" si="20"/>
        <v>1.6773701616244618</v>
      </c>
      <c r="P81" s="8"/>
      <c r="Q81" s="170">
        <f t="shared" si="18"/>
        <v>4.6687772782630343</v>
      </c>
      <c r="R81" s="8"/>
      <c r="S81" s="55"/>
      <c r="T81" s="169"/>
      <c r="U81" s="29"/>
    </row>
    <row r="82" spans="2:21" x14ac:dyDescent="0.3">
      <c r="B82" s="168"/>
      <c r="C82" s="88"/>
      <c r="D82" s="86"/>
      <c r="E82" s="86"/>
      <c r="F82" s="87"/>
      <c r="G82" s="87"/>
      <c r="H82" s="87"/>
      <c r="I82" s="87"/>
      <c r="J82" s="87"/>
      <c r="K82" s="87"/>
      <c r="L82" s="87"/>
      <c r="M82" s="87"/>
      <c r="N82" s="88"/>
      <c r="O82" s="87"/>
      <c r="P82" s="87"/>
      <c r="Q82" s="87"/>
      <c r="R82" s="87"/>
      <c r="S82" s="89"/>
      <c r="T82" s="90"/>
    </row>
    <row r="83" spans="2:21" ht="16.2" thickBot="1" x14ac:dyDescent="0.35">
      <c r="B83" s="91"/>
      <c r="C83" s="92"/>
      <c r="D83" s="51"/>
      <c r="E83" s="51"/>
      <c r="F83" s="54"/>
      <c r="G83" s="54"/>
      <c r="H83" s="54"/>
      <c r="I83" s="54"/>
      <c r="J83" s="54"/>
      <c r="K83" s="54"/>
      <c r="L83" s="54"/>
      <c r="M83" s="54"/>
      <c r="N83" s="77"/>
      <c r="O83" s="54"/>
      <c r="P83" s="54"/>
      <c r="Q83" s="54"/>
      <c r="R83" s="54"/>
      <c r="S83" s="56"/>
      <c r="T83" s="81"/>
    </row>
    <row r="84" spans="2:21" x14ac:dyDescent="0.3">
      <c r="B84" s="82"/>
      <c r="C84" s="53"/>
      <c r="D84" s="7"/>
      <c r="E84" s="7"/>
      <c r="F84" s="8"/>
      <c r="G84" s="8"/>
      <c r="H84" s="8"/>
      <c r="I84" s="8"/>
      <c r="J84" s="8"/>
      <c r="K84" s="8"/>
      <c r="L84" s="8"/>
      <c r="M84" s="8"/>
      <c r="N84" s="53"/>
      <c r="O84" s="8"/>
      <c r="P84" s="8"/>
      <c r="Q84" s="8"/>
      <c r="R84" s="8"/>
      <c r="S84" s="55"/>
      <c r="T84" s="79"/>
    </row>
    <row r="85" spans="2:21" x14ac:dyDescent="0.3">
      <c r="B85" s="82"/>
      <c r="C85" s="53"/>
      <c r="D85" s="7"/>
      <c r="E85" s="7"/>
      <c r="F85" s="8"/>
      <c r="G85" s="8"/>
      <c r="H85" s="8"/>
      <c r="I85" s="8"/>
      <c r="J85" s="8"/>
      <c r="K85" s="8"/>
      <c r="L85" s="8"/>
      <c r="M85" s="8"/>
      <c r="N85" s="53"/>
      <c r="O85" s="8"/>
      <c r="P85" s="8"/>
      <c r="Q85" s="8"/>
      <c r="R85" s="8"/>
      <c r="S85" s="55"/>
      <c r="T85" s="79"/>
    </row>
    <row r="86" spans="2:21" x14ac:dyDescent="0.3">
      <c r="B86" s="82"/>
      <c r="C86" s="53"/>
      <c r="D86" s="7"/>
      <c r="E86" s="7"/>
      <c r="F86" s="8"/>
      <c r="G86" s="8"/>
      <c r="H86" s="8"/>
      <c r="I86" s="8"/>
      <c r="J86" s="8"/>
      <c r="K86" s="8"/>
      <c r="L86" s="8"/>
      <c r="M86" s="8"/>
      <c r="N86" s="53"/>
      <c r="O86" s="8"/>
      <c r="P86" s="8"/>
      <c r="Q86" s="8"/>
      <c r="R86" s="8"/>
      <c r="S86" s="55"/>
      <c r="T86" s="79"/>
    </row>
    <row r="87" spans="2:21" x14ac:dyDescent="0.3">
      <c r="B87" s="82"/>
      <c r="C87" s="53"/>
      <c r="D87" s="7"/>
      <c r="E87" s="7"/>
      <c r="F87" s="8"/>
      <c r="G87" s="8"/>
      <c r="H87" s="8"/>
      <c r="I87" s="8"/>
      <c r="J87" s="8"/>
      <c r="K87" s="8"/>
      <c r="L87" s="8"/>
      <c r="M87" s="8"/>
      <c r="N87" s="53"/>
      <c r="O87" s="8"/>
      <c r="P87" s="8"/>
      <c r="Q87" s="8"/>
      <c r="R87" s="8"/>
      <c r="S87" s="55"/>
      <c r="T87" s="79"/>
    </row>
    <row r="88" spans="2:21" x14ac:dyDescent="0.3">
      <c r="B88" s="82"/>
      <c r="C88" s="53"/>
      <c r="D88" s="7"/>
      <c r="E88" s="7"/>
      <c r="F88" s="8"/>
      <c r="G88" s="8"/>
      <c r="H88" s="8"/>
      <c r="I88" s="8"/>
      <c r="J88" s="8"/>
      <c r="K88" s="8"/>
      <c r="L88" s="8"/>
      <c r="M88" s="8"/>
      <c r="N88" s="53"/>
      <c r="O88" s="8"/>
      <c r="P88" s="8"/>
      <c r="Q88" s="8"/>
      <c r="R88" s="8"/>
      <c r="S88" s="55"/>
      <c r="T88" s="79"/>
    </row>
    <row r="89" spans="2:21" ht="16.2" thickBot="1" x14ac:dyDescent="0.35">
      <c r="B89" s="91"/>
      <c r="C89" s="92"/>
      <c r="D89" s="51"/>
      <c r="E89" s="51"/>
      <c r="F89" s="54"/>
      <c r="G89" s="54"/>
      <c r="H89" s="54"/>
      <c r="I89" s="54"/>
      <c r="J89" s="54"/>
      <c r="K89" s="54"/>
      <c r="L89" s="54"/>
      <c r="M89" s="54"/>
      <c r="N89" s="77"/>
      <c r="O89" s="54"/>
      <c r="P89" s="54"/>
      <c r="Q89" s="54"/>
      <c r="R89" s="54"/>
      <c r="S89" s="56"/>
      <c r="T89" s="81"/>
    </row>
    <row r="90" spans="2:21" x14ac:dyDescent="0.3">
      <c r="B90" s="82"/>
      <c r="C90" s="53"/>
      <c r="D90" s="7"/>
      <c r="E90" s="7"/>
      <c r="F90" s="8"/>
      <c r="G90" s="8"/>
      <c r="H90" s="8"/>
      <c r="I90" s="8"/>
      <c r="J90" s="8"/>
      <c r="K90" s="8"/>
      <c r="L90" s="8"/>
      <c r="M90" s="8"/>
      <c r="N90" s="53"/>
      <c r="O90" s="8"/>
      <c r="P90" s="8"/>
      <c r="Q90" s="8"/>
      <c r="R90" s="8"/>
      <c r="S90" s="55"/>
      <c r="T90" s="79"/>
    </row>
    <row r="91" spans="2:21" x14ac:dyDescent="0.3">
      <c r="B91" s="82"/>
      <c r="C91" s="53"/>
      <c r="D91" s="7"/>
      <c r="E91" s="7"/>
      <c r="F91" s="8"/>
      <c r="G91" s="8"/>
      <c r="H91" s="8"/>
      <c r="I91" s="8"/>
      <c r="J91" s="8"/>
      <c r="K91" s="8"/>
      <c r="L91" s="8"/>
      <c r="M91" s="8"/>
      <c r="N91" s="53"/>
      <c r="O91" s="8"/>
      <c r="P91" s="8"/>
      <c r="Q91" s="8"/>
      <c r="R91" s="8"/>
      <c r="S91" s="55"/>
      <c r="T91" s="79"/>
    </row>
    <row r="92" spans="2:21" x14ac:dyDescent="0.3">
      <c r="B92" s="82"/>
      <c r="C92" s="53"/>
      <c r="D92" s="7"/>
      <c r="E92" s="7"/>
      <c r="F92" s="8"/>
      <c r="G92" s="8"/>
      <c r="H92" s="8"/>
      <c r="I92" s="8"/>
      <c r="J92" s="8"/>
      <c r="K92" s="8"/>
      <c r="L92" s="8"/>
      <c r="M92" s="8"/>
      <c r="N92" s="53"/>
      <c r="O92" s="8"/>
      <c r="P92" s="8"/>
      <c r="Q92" s="8"/>
      <c r="R92" s="8"/>
      <c r="S92" s="55"/>
      <c r="T92" s="79"/>
    </row>
    <row r="93" spans="2:21" x14ac:dyDescent="0.3">
      <c r="B93" s="82"/>
      <c r="C93" s="53"/>
      <c r="D93" s="7"/>
      <c r="E93" s="7"/>
      <c r="F93" s="8"/>
      <c r="G93" s="8"/>
      <c r="H93" s="8"/>
      <c r="I93" s="8"/>
      <c r="J93" s="8"/>
      <c r="K93" s="8"/>
      <c r="L93" s="8"/>
      <c r="M93" s="8"/>
      <c r="N93" s="53"/>
      <c r="O93" s="8"/>
      <c r="P93" s="8"/>
      <c r="Q93" s="8"/>
      <c r="R93" s="8"/>
      <c r="S93" s="55"/>
      <c r="T93" s="79"/>
    </row>
    <row r="94" spans="2:21" x14ac:dyDescent="0.3">
      <c r="B94" s="82"/>
      <c r="C94" s="53"/>
      <c r="D94" s="7"/>
      <c r="E94" s="7"/>
      <c r="F94" s="8"/>
      <c r="G94" s="8"/>
      <c r="H94" s="8"/>
      <c r="I94" s="8"/>
      <c r="J94" s="8"/>
      <c r="K94" s="8"/>
      <c r="L94" s="8"/>
      <c r="M94" s="8"/>
      <c r="N94" s="53"/>
      <c r="O94" s="8"/>
      <c r="P94" s="8"/>
      <c r="Q94" s="8"/>
      <c r="R94" s="8"/>
      <c r="S94" s="55"/>
      <c r="T94" s="79"/>
    </row>
    <row r="95" spans="2:21" ht="16.2" thickBot="1" x14ac:dyDescent="0.35">
      <c r="B95" s="91"/>
      <c r="C95" s="92"/>
      <c r="D95" s="51"/>
      <c r="E95" s="51"/>
      <c r="F95" s="54"/>
      <c r="G95" s="54"/>
      <c r="H95" s="54"/>
      <c r="I95" s="54"/>
      <c r="J95" s="54"/>
      <c r="K95" s="54"/>
      <c r="L95" s="54"/>
      <c r="M95" s="54"/>
      <c r="N95" s="77"/>
      <c r="O95" s="54"/>
      <c r="P95" s="54"/>
      <c r="Q95" s="54"/>
      <c r="R95" s="54"/>
      <c r="S95" s="56"/>
      <c r="T95" s="81"/>
    </row>
    <row r="96" spans="2:21" x14ac:dyDescent="0.3">
      <c r="B96" s="82"/>
      <c r="C96" s="53"/>
      <c r="D96" s="7"/>
      <c r="E96" s="7"/>
      <c r="F96" s="8"/>
      <c r="G96" s="8"/>
      <c r="H96" s="8"/>
      <c r="I96" s="8"/>
      <c r="J96" s="8"/>
      <c r="K96" s="8"/>
      <c r="L96" s="8"/>
      <c r="M96" s="8"/>
      <c r="N96" s="53"/>
      <c r="O96" s="8"/>
      <c r="P96" s="8"/>
      <c r="Q96" s="8"/>
      <c r="R96" s="8"/>
      <c r="S96" s="55"/>
      <c r="T96" s="79"/>
    </row>
    <row r="97" spans="2:20" x14ac:dyDescent="0.3">
      <c r="B97" s="82"/>
      <c r="C97" s="53"/>
      <c r="D97" s="7"/>
      <c r="E97" s="7"/>
      <c r="F97" s="8"/>
      <c r="G97" s="8"/>
      <c r="H97" s="8"/>
      <c r="I97" s="8"/>
      <c r="J97" s="8"/>
      <c r="K97" s="8"/>
      <c r="L97" s="8"/>
      <c r="M97" s="8"/>
      <c r="N97" s="53"/>
      <c r="O97" s="8"/>
      <c r="P97" s="8"/>
      <c r="Q97" s="8"/>
      <c r="R97" s="8"/>
      <c r="S97" s="55"/>
      <c r="T97" s="79"/>
    </row>
    <row r="98" spans="2:20" x14ac:dyDescent="0.3">
      <c r="B98" s="82"/>
      <c r="C98" s="53"/>
      <c r="D98" s="7"/>
      <c r="E98" s="7"/>
      <c r="F98" s="8"/>
      <c r="G98" s="8"/>
      <c r="H98" s="8"/>
      <c r="I98" s="8"/>
      <c r="J98" s="8"/>
      <c r="K98" s="8"/>
      <c r="L98" s="8"/>
      <c r="M98" s="8"/>
      <c r="N98" s="53"/>
      <c r="O98" s="8"/>
      <c r="P98" s="8"/>
      <c r="Q98" s="8"/>
      <c r="R98" s="8"/>
      <c r="S98" s="55"/>
      <c r="T98" s="79"/>
    </row>
    <row r="99" spans="2:20" x14ac:dyDescent="0.3">
      <c r="B99" s="82"/>
      <c r="C99" s="53"/>
      <c r="D99" s="7"/>
      <c r="E99" s="7"/>
      <c r="F99" s="8"/>
      <c r="G99" s="8"/>
      <c r="H99" s="8"/>
      <c r="I99" s="8"/>
      <c r="J99" s="8"/>
      <c r="K99" s="8"/>
      <c r="L99" s="8"/>
      <c r="M99" s="8"/>
      <c r="N99" s="53"/>
      <c r="O99" s="8"/>
      <c r="P99" s="8"/>
      <c r="Q99" s="8"/>
      <c r="R99" s="8"/>
      <c r="S99" s="55"/>
      <c r="T99" s="79"/>
    </row>
    <row r="100" spans="2:20" x14ac:dyDescent="0.3">
      <c r="B100" s="82"/>
      <c r="C100" s="53"/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53"/>
      <c r="O100" s="8"/>
      <c r="P100" s="8"/>
      <c r="Q100" s="8"/>
      <c r="R100" s="8"/>
      <c r="S100" s="55"/>
      <c r="T100" s="79"/>
    </row>
    <row r="101" spans="2:20" ht="16.2" thickBot="1" x14ac:dyDescent="0.35">
      <c r="B101" s="91"/>
      <c r="C101" s="92"/>
      <c r="D101" s="51"/>
      <c r="E101" s="51"/>
      <c r="F101" s="54"/>
      <c r="G101" s="54"/>
      <c r="H101" s="54"/>
      <c r="I101" s="54"/>
      <c r="J101" s="54"/>
      <c r="K101" s="54"/>
      <c r="L101" s="54"/>
      <c r="M101" s="54"/>
      <c r="N101" s="77"/>
      <c r="O101" s="54"/>
      <c r="P101" s="54"/>
      <c r="Q101" s="54"/>
      <c r="R101" s="54"/>
      <c r="S101" s="56"/>
      <c r="T101" s="81"/>
    </row>
    <row r="102" spans="2:20" x14ac:dyDescent="0.3">
      <c r="B102" s="82"/>
      <c r="C102" s="53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53"/>
      <c r="O102" s="8"/>
      <c r="P102" s="8"/>
      <c r="Q102" s="8"/>
      <c r="R102" s="8"/>
      <c r="S102" s="55"/>
      <c r="T102" s="79"/>
    </row>
    <row r="103" spans="2:20" x14ac:dyDescent="0.3">
      <c r="B103" s="82"/>
      <c r="C103" s="53"/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53"/>
      <c r="O103" s="8"/>
      <c r="P103" s="8"/>
      <c r="Q103" s="8"/>
      <c r="R103" s="8"/>
      <c r="S103" s="55"/>
      <c r="T103" s="79"/>
    </row>
    <row r="104" spans="2:20" x14ac:dyDescent="0.3">
      <c r="B104" s="82"/>
      <c r="C104" s="53"/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53"/>
      <c r="O104" s="8"/>
      <c r="P104" s="8"/>
      <c r="Q104" s="8"/>
      <c r="R104" s="8"/>
      <c r="S104" s="55"/>
      <c r="T104" s="79"/>
    </row>
    <row r="105" spans="2:20" x14ac:dyDescent="0.3">
      <c r="B105" s="82"/>
      <c r="C105" s="53"/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53"/>
      <c r="O105" s="8"/>
      <c r="P105" s="8"/>
      <c r="Q105" s="8"/>
      <c r="R105" s="8"/>
      <c r="S105" s="55"/>
      <c r="T105" s="79"/>
    </row>
    <row r="106" spans="2:20" x14ac:dyDescent="0.3">
      <c r="B106" s="82"/>
      <c r="C106" s="53"/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53"/>
      <c r="O106" s="8"/>
      <c r="P106" s="8"/>
      <c r="Q106" s="8"/>
      <c r="R106" s="8"/>
      <c r="S106" s="55"/>
      <c r="T106" s="79"/>
    </row>
    <row r="107" spans="2:20" ht="16.2" thickBot="1" x14ac:dyDescent="0.35">
      <c r="B107" s="91"/>
      <c r="C107" s="92"/>
      <c r="D107" s="51"/>
      <c r="E107" s="51"/>
      <c r="F107" s="54"/>
      <c r="G107" s="54"/>
      <c r="H107" s="54"/>
      <c r="I107" s="54"/>
      <c r="J107" s="54"/>
      <c r="K107" s="54"/>
      <c r="L107" s="54"/>
      <c r="M107" s="54"/>
      <c r="N107" s="77"/>
      <c r="O107" s="54"/>
      <c r="P107" s="54"/>
      <c r="Q107" s="54"/>
      <c r="R107" s="54"/>
      <c r="S107" s="56"/>
      <c r="T107" s="81"/>
    </row>
    <row r="108" spans="2:20" x14ac:dyDescent="0.3">
      <c r="B108" s="82"/>
      <c r="C108" s="53"/>
      <c r="D108" s="7"/>
      <c r="E108" s="7"/>
      <c r="F108" s="7"/>
      <c r="G108" s="8"/>
      <c r="H108" s="7"/>
      <c r="I108" s="7"/>
      <c r="J108" s="8"/>
      <c r="K108" s="8"/>
      <c r="L108" s="8"/>
      <c r="M108" s="8"/>
      <c r="N108" s="7"/>
      <c r="O108" s="8"/>
      <c r="P108" s="8"/>
      <c r="Q108" s="8"/>
      <c r="R108" s="8"/>
      <c r="S108" s="55"/>
      <c r="T108" s="79"/>
    </row>
    <row r="109" spans="2:20" x14ac:dyDescent="0.3">
      <c r="B109" s="82"/>
      <c r="C109" s="53"/>
      <c r="D109" s="7"/>
      <c r="E109" s="7"/>
      <c r="F109" s="7"/>
      <c r="G109" s="8"/>
      <c r="H109" s="7"/>
      <c r="I109" s="7"/>
      <c r="J109" s="8"/>
      <c r="K109" s="8"/>
      <c r="L109" s="8"/>
      <c r="M109" s="8"/>
      <c r="N109" s="7"/>
      <c r="O109" s="8"/>
      <c r="P109" s="8"/>
      <c r="Q109" s="8"/>
      <c r="R109" s="8"/>
      <c r="S109" s="55"/>
      <c r="T109" s="79"/>
    </row>
    <row r="110" spans="2:20" x14ac:dyDescent="0.3">
      <c r="B110" s="82"/>
      <c r="C110" s="53"/>
      <c r="D110" s="7"/>
      <c r="E110" s="7"/>
      <c r="F110" s="7"/>
      <c r="G110" s="8"/>
      <c r="H110" s="7"/>
      <c r="I110" s="7"/>
      <c r="J110" s="8"/>
      <c r="K110" s="8"/>
      <c r="L110" s="8"/>
      <c r="M110" s="8"/>
      <c r="N110" s="7"/>
      <c r="O110" s="8"/>
      <c r="P110" s="8"/>
      <c r="Q110" s="8"/>
      <c r="R110" s="8"/>
      <c r="S110" s="55"/>
      <c r="T110" s="79"/>
    </row>
    <row r="111" spans="2:20" x14ac:dyDescent="0.3">
      <c r="B111" s="82"/>
      <c r="C111" s="53"/>
      <c r="D111" s="7"/>
      <c r="E111" s="7"/>
      <c r="F111" s="7"/>
      <c r="G111" s="8"/>
      <c r="H111" s="7"/>
      <c r="I111" s="7"/>
      <c r="J111" s="8"/>
      <c r="K111" s="8"/>
      <c r="L111" s="8"/>
      <c r="M111" s="8"/>
      <c r="N111" s="7"/>
      <c r="O111" s="8"/>
      <c r="P111" s="8"/>
      <c r="Q111" s="8"/>
      <c r="R111" s="8"/>
      <c r="S111" s="55"/>
      <c r="T111" s="79"/>
    </row>
    <row r="112" spans="2:20" x14ac:dyDescent="0.3">
      <c r="B112" s="82"/>
      <c r="C112" s="53"/>
      <c r="D112" s="7"/>
      <c r="E112" s="7"/>
      <c r="F112" s="7"/>
      <c r="G112" s="8"/>
      <c r="H112" s="7"/>
      <c r="I112" s="7"/>
      <c r="J112" s="8"/>
      <c r="K112" s="8"/>
      <c r="L112" s="8"/>
      <c r="M112" s="8"/>
      <c r="N112" s="7"/>
      <c r="O112" s="8"/>
      <c r="P112" s="8"/>
      <c r="Q112" s="8"/>
      <c r="R112" s="8"/>
      <c r="S112" s="55"/>
      <c r="T112" s="79"/>
    </row>
    <row r="113" spans="2:20" ht="31.2" customHeight="1" thickBot="1" x14ac:dyDescent="0.35">
      <c r="B113" s="83"/>
      <c r="C113" s="77"/>
      <c r="D113" s="51"/>
      <c r="E113" s="51"/>
      <c r="F113" s="51"/>
      <c r="G113" s="54"/>
      <c r="H113" s="51"/>
      <c r="I113" s="51"/>
      <c r="J113" s="54"/>
      <c r="K113" s="54"/>
      <c r="L113" s="54"/>
      <c r="M113" s="54"/>
      <c r="N113" s="51"/>
      <c r="O113" s="54"/>
      <c r="P113" s="54"/>
      <c r="Q113" s="54"/>
      <c r="R113" s="54"/>
      <c r="S113" s="56"/>
      <c r="T113" s="81"/>
    </row>
  </sheetData>
  <mergeCells count="17">
    <mergeCell ref="L20:O24"/>
    <mergeCell ref="S21:T26"/>
    <mergeCell ref="X21:Y24"/>
    <mergeCell ref="F25:F26"/>
    <mergeCell ref="W6:Y6"/>
    <mergeCell ref="W7:Y7"/>
    <mergeCell ref="Y8:Y11"/>
    <mergeCell ref="E12:K12"/>
    <mergeCell ref="M12:S13"/>
    <mergeCell ref="E13:K17"/>
    <mergeCell ref="Q16:T16"/>
    <mergeCell ref="V16:Y16"/>
    <mergeCell ref="Q17:T18"/>
    <mergeCell ref="V17:Y18"/>
    <mergeCell ref="L18:O19"/>
    <mergeCell ref="R19:T20"/>
    <mergeCell ref="W19:Y20"/>
  </mergeCells>
  <conditionalFormatting sqref="N36:N107">
    <cfRule type="cellIs" dxfId="9" priority="9" operator="equal">
      <formula>"NOT OK"</formula>
    </cfRule>
    <cfRule type="cellIs" dxfId="8" priority="10" operator="equal">
      <formula>"OK"</formula>
    </cfRule>
  </conditionalFormatting>
  <conditionalFormatting sqref="O27">
    <cfRule type="cellIs" dxfId="7" priority="5" operator="notEqual">
      <formula>$M$26</formula>
    </cfRule>
    <cfRule type="cellIs" dxfId="6" priority="6" operator="equal">
      <formula>$M$26</formula>
    </cfRule>
  </conditionalFormatting>
  <conditionalFormatting sqref="O41">
    <cfRule type="cellIs" dxfId="5" priority="1" operator="equal">
      <formula>1</formula>
    </cfRule>
  </conditionalFormatting>
  <conditionalFormatting sqref="P30:P113">
    <cfRule type="cellIs" dxfId="4" priority="4" operator="equal">
      <formula>1</formula>
    </cfRule>
  </conditionalFormatting>
  <conditionalFormatting sqref="R26">
    <cfRule type="cellIs" dxfId="3" priority="7" operator="equal">
      <formula>"H0 Rejected"</formula>
    </cfRule>
    <cfRule type="cellIs" dxfId="2" priority="8" operator="equal">
      <formula>"H0 Accepted"</formula>
    </cfRule>
  </conditionalFormatting>
  <conditionalFormatting sqref="W24">
    <cfRule type="cellIs" dxfId="1" priority="2" operator="equal">
      <formula>"H0 Rejected"</formula>
    </cfRule>
    <cfRule type="cellIs" dxfId="0" priority="3" operator="equal">
      <formula>"H0 Accepted"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Additive Model</vt:lpstr>
      <vt:lpstr>Multiplicative Model</vt:lpstr>
      <vt:lpstr>GorGeus</vt:lpstr>
      <vt:lpstr>Gorgeous Multiplicative Model</vt:lpstr>
      <vt:lpstr>Serras 45</vt:lpstr>
      <vt:lpstr>Carlson_Ad</vt:lpstr>
      <vt:lpstr>Carlson_Mult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Barbosa da Costa</dc:creator>
  <cp:keywords/>
  <dc:description/>
  <cp:lastModifiedBy>Rodrigo Barbosa da Costa</cp:lastModifiedBy>
  <cp:revision/>
  <dcterms:created xsi:type="dcterms:W3CDTF">2015-06-05T18:17:20Z</dcterms:created>
  <dcterms:modified xsi:type="dcterms:W3CDTF">2024-10-11T20:57:29Z</dcterms:modified>
  <cp:category/>
  <cp:contentStatus/>
</cp:coreProperties>
</file>