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dri\Mega\Mestrado_ITA\Dissertacao\Dissertacao_Rodrigo_Dias\SFFS\Subsimuladores\"/>
    </mc:Choice>
  </mc:AlternateContent>
  <xr:revisionPtr revIDLastSave="0" documentId="13_ncr:1_{35319790-0C2F-4F8A-BAF1-42BFDC598A3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  <c r="O8" i="1"/>
  <c r="T8" i="1"/>
  <c r="S8" i="1"/>
  <c r="R8" i="1"/>
  <c r="Q8" i="1"/>
  <c r="J8" i="1"/>
  <c r="I8" i="1"/>
  <c r="H8" i="1"/>
  <c r="G8" i="1"/>
  <c r="E8" i="1"/>
  <c r="B8" i="1"/>
  <c r="T7" i="1"/>
  <c r="Q7" i="1"/>
  <c r="S7" i="1"/>
  <c r="M7" i="1"/>
  <c r="K7" i="1"/>
  <c r="J7" i="1"/>
  <c r="H7" i="1"/>
  <c r="G7" i="1"/>
  <c r="E7" i="1"/>
  <c r="O3" i="1"/>
  <c r="O6" i="1"/>
  <c r="O5" i="1"/>
  <c r="O4" i="1"/>
  <c r="O2" i="1"/>
  <c r="C2" i="2"/>
  <c r="T6" i="1"/>
  <c r="S6" i="1"/>
  <c r="Q6" i="1"/>
  <c r="M6" i="1"/>
  <c r="K6" i="1"/>
  <c r="J6" i="1"/>
  <c r="I6" i="1"/>
  <c r="H6" i="1"/>
  <c r="G6" i="1"/>
  <c r="E6" i="1"/>
  <c r="A6" i="1"/>
  <c r="S5" i="1"/>
  <c r="S4" i="1"/>
  <c r="S3" i="1"/>
  <c r="S2" i="1"/>
  <c r="M5" i="1"/>
  <c r="K5" i="1"/>
  <c r="J5" i="1"/>
  <c r="I5" i="1"/>
  <c r="H5" i="1"/>
  <c r="G5" i="1"/>
  <c r="E5" i="1"/>
  <c r="Q5" i="1"/>
  <c r="T5" i="1"/>
  <c r="A5" i="1"/>
  <c r="Q3" i="1"/>
  <c r="Q2" i="1"/>
  <c r="T4" i="1"/>
  <c r="T3" i="1"/>
  <c r="T2" i="1"/>
  <c r="A3" i="1"/>
  <c r="A4" i="1"/>
  <c r="A2" i="1"/>
  <c r="Q4" i="1"/>
  <c r="M4" i="1"/>
  <c r="K4" i="1"/>
  <c r="J4" i="1"/>
  <c r="I4" i="1"/>
  <c r="H4" i="1"/>
  <c r="G4" i="1"/>
  <c r="E4" i="1"/>
  <c r="G2" i="1"/>
  <c r="E2" i="1"/>
  <c r="M2" i="1"/>
  <c r="K2" i="1"/>
  <c r="J2" i="1"/>
  <c r="I2" i="1"/>
  <c r="H2" i="1"/>
  <c r="M3" i="1"/>
  <c r="K3" i="1"/>
  <c r="J3" i="1"/>
  <c r="I3" i="1"/>
  <c r="H3" i="1"/>
  <c r="G3" i="1"/>
  <c r="E3" i="1"/>
</calcChain>
</file>

<file path=xl/sharedStrings.xml><?xml version="1.0" encoding="utf-8"?>
<sst xmlns="http://schemas.openxmlformats.org/spreadsheetml/2006/main" count="29" uniqueCount="29">
  <si>
    <t>r0_ini</t>
  </si>
  <si>
    <t>r0_dot_ini</t>
  </si>
  <si>
    <t>i0_ini</t>
  </si>
  <si>
    <t>h0_ini</t>
  </si>
  <si>
    <t>theta0_ini</t>
  </si>
  <si>
    <t>ohm0_ini</t>
  </si>
  <si>
    <t>x0_ini</t>
  </si>
  <si>
    <t>y0_ini</t>
  </si>
  <si>
    <t>z0_ini</t>
  </si>
  <si>
    <t>x0_dot_ini</t>
  </si>
  <si>
    <t>y0_dot_ini</t>
  </si>
  <si>
    <t>z0_dot_ini</t>
  </si>
  <si>
    <t>Cd0</t>
  </si>
  <si>
    <t>m0</t>
  </si>
  <si>
    <t>Cd1</t>
  </si>
  <si>
    <t>m1</t>
  </si>
  <si>
    <t>orb</t>
  </si>
  <si>
    <t>man</t>
  </si>
  <si>
    <t>pcoRad</t>
  </si>
  <si>
    <t>Sim</t>
  </si>
  <si>
    <t>drag</t>
  </si>
  <si>
    <t>J2_dist</t>
  </si>
  <si>
    <t>verificar</t>
  </si>
  <si>
    <t>mi</t>
  </si>
  <si>
    <t>e0</t>
  </si>
  <si>
    <t>L0</t>
  </si>
  <si>
    <t>L1</t>
  </si>
  <si>
    <t>step = 1</t>
  </si>
  <si>
    <t>step = 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</si>
</sst>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"/>
  <sheetViews>
    <sheetView tabSelected="1" workbookViewId="0">
      <selection activeCell="B8" sqref="B8"/>
    </sheetView>
  </sheetViews>
  <sheetFormatPr defaultRowHeight="15" x14ac:dyDescent="0.25"/>
  <cols>
    <col min="1" max="1" width="4.140625" bestFit="1" customWidth="1"/>
    <col min="2" max="2" width="12.42578125" bestFit="1" customWidth="1"/>
    <col min="3" max="3" width="3.85546875" bestFit="1" customWidth="1"/>
    <col min="4" max="4" width="6" bestFit="1" customWidth="1"/>
    <col min="5" max="5" width="8" bestFit="1" customWidth="1"/>
    <col min="6" max="6" width="11" bestFit="1" customWidth="1"/>
    <col min="7" max="10" width="12" bestFit="1" customWidth="1"/>
    <col min="11" max="11" width="8.5703125" customWidth="1"/>
    <col min="12" max="12" width="6" bestFit="1" customWidth="1"/>
    <col min="13" max="13" width="7" bestFit="1" customWidth="1"/>
    <col min="14" max="14" width="9.7109375" bestFit="1" customWidth="1"/>
    <col min="15" max="15" width="9.85546875" bestFit="1" customWidth="1"/>
    <col min="16" max="16" width="9.7109375" bestFit="1" customWidth="1"/>
    <col min="17" max="17" width="12.42578125" bestFit="1" customWidth="1"/>
    <col min="18" max="18" width="7.28515625" bestFit="1" customWidth="1"/>
    <col min="19" max="20" width="12.42578125" bestFit="1" customWidth="1"/>
    <col min="21" max="21" width="4.28515625" bestFit="1" customWidth="1"/>
    <col min="22" max="22" width="6" bestFit="1" customWidth="1"/>
    <col min="23" max="23" width="5" bestFit="1" customWidth="1"/>
    <col min="24" max="24" width="4.28515625" bestFit="1" customWidth="1"/>
    <col min="25" max="25" width="6" bestFit="1" customWidth="1"/>
    <col min="26" max="26" width="5" bestFit="1" customWidth="1"/>
    <col min="28" max="28" width="18" customWidth="1"/>
  </cols>
  <sheetData>
    <row r="1" spans="1:29" s="1" customFormat="1" x14ac:dyDescent="0.25">
      <c r="A1" s="2" t="s">
        <v>19</v>
      </c>
      <c r="B1" s="2" t="s">
        <v>22</v>
      </c>
      <c r="C1" s="2" t="s">
        <v>16</v>
      </c>
      <c r="D1" s="2" t="s">
        <v>24</v>
      </c>
      <c r="E1" s="2" t="s">
        <v>0</v>
      </c>
      <c r="F1" s="3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17</v>
      </c>
      <c r="R1" s="2" t="s">
        <v>18</v>
      </c>
      <c r="S1" s="2" t="s">
        <v>21</v>
      </c>
      <c r="T1" s="2" t="s">
        <v>20</v>
      </c>
      <c r="U1" s="2" t="s">
        <v>12</v>
      </c>
      <c r="V1" s="2" t="s">
        <v>25</v>
      </c>
      <c r="W1" s="2" t="s">
        <v>13</v>
      </c>
      <c r="X1" s="2" t="s">
        <v>14</v>
      </c>
      <c r="Y1" s="2" t="s">
        <v>26</v>
      </c>
      <c r="Z1" s="2" t="s">
        <v>15</v>
      </c>
      <c r="AB1" s="12" t="s">
        <v>28</v>
      </c>
      <c r="AC1" s="12" t="s">
        <v>27</v>
      </c>
    </row>
    <row r="2" spans="1:29" x14ac:dyDescent="0.25">
      <c r="A2" s="4">
        <f>ROW()-1</f>
        <v>1</v>
      </c>
      <c r="B2" s="4" t="b">
        <f>TRUE</f>
        <v>1</v>
      </c>
      <c r="C2" s="5">
        <v>2</v>
      </c>
      <c r="D2" s="5">
        <v>0</v>
      </c>
      <c r="E2" s="5">
        <f>6878*10^3</f>
        <v>6878000</v>
      </c>
      <c r="F2" s="5">
        <v>0</v>
      </c>
      <c r="G2" s="5">
        <f>97.7*PI()/180</f>
        <v>1.70518667919846</v>
      </c>
      <c r="H2" s="5">
        <f>5.236*(10^4)*(10^6)</f>
        <v>52360000000</v>
      </c>
      <c r="I2" s="5">
        <f>30*PI()/180</f>
        <v>0.52359877559829882</v>
      </c>
      <c r="J2" s="5">
        <f t="shared" ref="J2:J8" si="0">25*PI()/180</f>
        <v>0.43633231299858238</v>
      </c>
      <c r="K2" s="5">
        <f>25*10^3</f>
        <v>25000</v>
      </c>
      <c r="L2" s="5">
        <v>0</v>
      </c>
      <c r="M2" s="5">
        <f>50*10^3</f>
        <v>50000</v>
      </c>
      <c r="N2" s="5">
        <v>0</v>
      </c>
      <c r="O2" s="5">
        <f>SQRT(2*(Planilha1!$C$2/SQRT((E2+K2)^2 + (L2)^2 + (M2)^2) - Planilha1!$C$2/(2*((H2^2/Planilha1!$C$2)/(1-D2^2))))-((N2-(H2/(E2^2))*L2+F2)^2-P2^2))-((H2/(E2^2))*(K2+E2))</f>
        <v>-55.490413675756827</v>
      </c>
      <c r="P2" s="5">
        <v>0</v>
      </c>
      <c r="Q2" s="6" t="b">
        <f>FALSE</f>
        <v>0</v>
      </c>
      <c r="R2" s="6">
        <v>0</v>
      </c>
      <c r="S2" s="9" t="b">
        <f>TRUE</f>
        <v>1</v>
      </c>
      <c r="T2" s="7" t="b">
        <f>TRUE</f>
        <v>1</v>
      </c>
      <c r="U2" s="8">
        <v>2.2000000000000002</v>
      </c>
      <c r="V2" s="8">
        <v>0.1</v>
      </c>
      <c r="W2" s="8">
        <v>1.33</v>
      </c>
      <c r="X2" s="8">
        <v>2.2000000000000002</v>
      </c>
      <c r="Y2" s="8">
        <v>0.1</v>
      </c>
      <c r="Z2" s="8">
        <v>1.33</v>
      </c>
      <c r="AB2" s="11">
        <v>85.370914999999997</v>
      </c>
      <c r="AC2" s="11">
        <v>67.393868999999995</v>
      </c>
    </row>
    <row r="3" spans="1:29" x14ac:dyDescent="0.25">
      <c r="A3" s="4">
        <f t="shared" ref="A3:A6" si="1">ROW()-1</f>
        <v>2</v>
      </c>
      <c r="B3" s="4" t="b">
        <f>TRUE</f>
        <v>1</v>
      </c>
      <c r="C3" s="5">
        <v>16</v>
      </c>
      <c r="D3" s="5">
        <v>7.0000000000000001E-3</v>
      </c>
      <c r="E3" s="5">
        <f>6829.85*10^3</f>
        <v>6829850</v>
      </c>
      <c r="F3" s="5">
        <v>0</v>
      </c>
      <c r="G3" s="5">
        <f>45*PI()/180</f>
        <v>0.78539816339744828</v>
      </c>
      <c r="H3" s="5">
        <f>5.236*(10^4)*(10^6)</f>
        <v>52360000000</v>
      </c>
      <c r="I3" s="5">
        <f>30*PI()/180</f>
        <v>0.52359877559829882</v>
      </c>
      <c r="J3" s="5">
        <f t="shared" si="0"/>
        <v>0.43633231299858238</v>
      </c>
      <c r="K3" s="5">
        <f>25*10^3</f>
        <v>25000</v>
      </c>
      <c r="L3" s="5">
        <v>0</v>
      </c>
      <c r="M3" s="5">
        <f>50*10^3</f>
        <v>50000</v>
      </c>
      <c r="N3" s="5">
        <v>0</v>
      </c>
      <c r="O3" s="5">
        <f>SQRT(2*(Planilha1!$C$2/SQRT((E3+K3)^2 + (L3)^2 + (M3)^2) - Planilha1!$C$2/(2*((H3^2/Planilha1!$C$2)/(1-D3^2))))-((N3-(H3/(E3^2))*L3+F3)^2-P3^2))-((H3/(E3^2))*(K3+E3))</f>
        <v>-56.081336124092559</v>
      </c>
      <c r="P3" s="5">
        <v>0</v>
      </c>
      <c r="Q3" s="6" t="b">
        <f>FALSE</f>
        <v>0</v>
      </c>
      <c r="R3" s="6">
        <v>0</v>
      </c>
      <c r="S3" s="9" t="b">
        <f>TRUE</f>
        <v>1</v>
      </c>
      <c r="T3" s="7" t="b">
        <f>TRUE</f>
        <v>1</v>
      </c>
      <c r="U3" s="8">
        <v>2.2000000000000002</v>
      </c>
      <c r="V3" s="8">
        <v>0.1</v>
      </c>
      <c r="W3" s="8">
        <v>1.33</v>
      </c>
      <c r="X3" s="8">
        <v>2.2000000000000002</v>
      </c>
      <c r="Y3" s="8">
        <v>0.1</v>
      </c>
      <c r="Z3" s="8">
        <v>1.33</v>
      </c>
      <c r="AB3" s="11">
        <v>123.73282399999999</v>
      </c>
      <c r="AC3" s="11">
        <v>67.052654000000004</v>
      </c>
    </row>
    <row r="4" spans="1:29" x14ac:dyDescent="0.25">
      <c r="A4" s="4">
        <f t="shared" si="1"/>
        <v>3</v>
      </c>
      <c r="B4" s="4" t="b">
        <f>TRUE</f>
        <v>1</v>
      </c>
      <c r="C4" s="5">
        <v>16</v>
      </c>
      <c r="D4" s="5">
        <v>7.0000000000000001E-3</v>
      </c>
      <c r="E4" s="5">
        <f>6829.85*10^3</f>
        <v>6829850</v>
      </c>
      <c r="F4" s="5">
        <v>0</v>
      </c>
      <c r="G4" s="5">
        <f>45*PI()/180</f>
        <v>0.78539816339744828</v>
      </c>
      <c r="H4" s="5">
        <f>5.236*(10^4)*(10^6)</f>
        <v>52360000000</v>
      </c>
      <c r="I4" s="5">
        <f>30*PI()/180</f>
        <v>0.52359877559829882</v>
      </c>
      <c r="J4" s="5">
        <f t="shared" si="0"/>
        <v>0.43633231299858238</v>
      </c>
      <c r="K4" s="5">
        <f>25*10^3</f>
        <v>25000</v>
      </c>
      <c r="L4" s="5">
        <v>0</v>
      </c>
      <c r="M4" s="5">
        <f>50*10^3</f>
        <v>50000</v>
      </c>
      <c r="N4" s="5">
        <v>0</v>
      </c>
      <c r="O4" s="5">
        <f>SQRT(2*(Planilha1!$C$2/SQRT((E4+K4)^2 + (L4)^2 + (M4)^2) - Planilha1!$C$2/(2*((H4^2/Planilha1!$C$2)/(1-D4^2))))-((N4-(H4/(E4^2))*L4+F4)^2-P4^2))-((H4/(E4^2))*(K4+E4))</f>
        <v>-56.081336124092559</v>
      </c>
      <c r="P4" s="5">
        <v>0</v>
      </c>
      <c r="Q4" s="6" t="b">
        <f>FALSE</f>
        <v>0</v>
      </c>
      <c r="R4" s="6">
        <v>0</v>
      </c>
      <c r="S4" s="9" t="b">
        <f>TRUE</f>
        <v>1</v>
      </c>
      <c r="T4" s="7" t="b">
        <f>FALSE</f>
        <v>0</v>
      </c>
      <c r="U4" s="8">
        <v>2.2000000000000002</v>
      </c>
      <c r="V4" s="8">
        <v>0.1</v>
      </c>
      <c r="W4" s="8">
        <v>1.33</v>
      </c>
      <c r="X4" s="8">
        <v>2.2000000000000002</v>
      </c>
      <c r="Y4" s="8">
        <v>0.1</v>
      </c>
      <c r="Z4" s="8">
        <v>1.33</v>
      </c>
      <c r="AB4" s="11">
        <v>86.915197000000006</v>
      </c>
      <c r="AC4" s="11">
        <v>25.627659000000001</v>
      </c>
    </row>
    <row r="5" spans="1:29" x14ac:dyDescent="0.25">
      <c r="A5" s="4">
        <f t="shared" si="1"/>
        <v>4</v>
      </c>
      <c r="B5" s="4" t="b">
        <f>TRUE</f>
        <v>1</v>
      </c>
      <c r="C5" s="5">
        <v>32</v>
      </c>
      <c r="D5" s="5">
        <v>0</v>
      </c>
      <c r="E5" s="5">
        <f>6878*10^3</f>
        <v>6878000</v>
      </c>
      <c r="F5" s="5">
        <v>0</v>
      </c>
      <c r="G5" s="5">
        <f>97.7*PI()/180</f>
        <v>1.70518667919846</v>
      </c>
      <c r="H5" s="5">
        <f>5.236*(10^4)*(10^6)</f>
        <v>52360000000</v>
      </c>
      <c r="I5" s="5">
        <f>30*PI()/180</f>
        <v>0.52359877559829882</v>
      </c>
      <c r="J5" s="5">
        <f t="shared" si="0"/>
        <v>0.43633231299858238</v>
      </c>
      <c r="K5" s="5">
        <f>25*10^3</f>
        <v>25000</v>
      </c>
      <c r="L5" s="5">
        <v>0</v>
      </c>
      <c r="M5" s="5">
        <f>50*10^3</f>
        <v>50000</v>
      </c>
      <c r="N5" s="5">
        <v>0</v>
      </c>
      <c r="O5" s="5">
        <f>SQRT(2*(Planilha1!$C$2/SQRT((E5+K5)^2 + (L5)^2 + (M5)^2) - Planilha1!$C$2/(2*((H5^2/Planilha1!$C$2)/(1-D5^2))))-((N5-(H5/(E5^2))*L5+F5)^2-P5^2))-((H5/(E5^2))*(K5+E5))</f>
        <v>-55.490413675756827</v>
      </c>
      <c r="P5" s="5">
        <v>0</v>
      </c>
      <c r="Q5" s="6" t="b">
        <f>TRUE</f>
        <v>1</v>
      </c>
      <c r="R5" s="6">
        <v>75000</v>
      </c>
      <c r="S5" s="9" t="b">
        <f>TRUE</f>
        <v>1</v>
      </c>
      <c r="T5" s="7" t="b">
        <f>TRUE</f>
        <v>1</v>
      </c>
      <c r="U5" s="8">
        <v>2.2000000000000002</v>
      </c>
      <c r="V5" s="8">
        <v>0.1</v>
      </c>
      <c r="W5" s="8">
        <v>1.33</v>
      </c>
      <c r="X5" s="8">
        <v>2.2000000000000002</v>
      </c>
      <c r="Y5" s="8">
        <v>0.1</v>
      </c>
      <c r="Z5" s="8">
        <v>1.33</v>
      </c>
      <c r="AB5" s="11">
        <v>201.45297600000001</v>
      </c>
      <c r="AC5" s="11">
        <v>73.802659000000006</v>
      </c>
    </row>
    <row r="6" spans="1:29" x14ac:dyDescent="0.25">
      <c r="A6" s="4">
        <f t="shared" si="1"/>
        <v>5</v>
      </c>
      <c r="B6" s="4" t="b">
        <f>TRUE</f>
        <v>1</v>
      </c>
      <c r="C6" s="5">
        <v>32</v>
      </c>
      <c r="D6" s="5">
        <v>0</v>
      </c>
      <c r="E6" s="5">
        <f>6878*10^3</f>
        <v>6878000</v>
      </c>
      <c r="F6" s="5">
        <v>0</v>
      </c>
      <c r="G6" s="5">
        <f>97.7*PI()/180</f>
        <v>1.70518667919846</v>
      </c>
      <c r="H6" s="5">
        <f>5.236*(10^4)*(10^6)</f>
        <v>52360000000</v>
      </c>
      <c r="I6" s="5">
        <f>30*PI()/180</f>
        <v>0.52359877559829882</v>
      </c>
      <c r="J6" s="5">
        <f t="shared" si="0"/>
        <v>0.43633231299858238</v>
      </c>
      <c r="K6" s="5">
        <f>25*10^3</f>
        <v>25000</v>
      </c>
      <c r="L6" s="5">
        <v>0</v>
      </c>
      <c r="M6" s="5">
        <f>50*10^3</f>
        <v>50000</v>
      </c>
      <c r="N6" s="5">
        <v>0</v>
      </c>
      <c r="O6" s="5">
        <f>SQRT(2*(Planilha1!$C$2/SQRT((E6+K6)^2 + (L6)^2 + (M6)^2) - Planilha1!$C$2/(2*((H6^2/Planilha1!$C$2)/(1-D6^2))))-((N6-(H6/(E6^2))*L6+F6)^2-P6^2))-((H6/(E6^2))*(K6+E6))</f>
        <v>-55.490413675756827</v>
      </c>
      <c r="P6" s="5">
        <v>0</v>
      </c>
      <c r="Q6" s="6" t="b">
        <f>TRUE</f>
        <v>1</v>
      </c>
      <c r="R6" s="6">
        <v>75000</v>
      </c>
      <c r="S6" s="9" t="b">
        <f>FALSE</f>
        <v>0</v>
      </c>
      <c r="T6" s="7" t="b">
        <f>FALSE</f>
        <v>0</v>
      </c>
      <c r="U6" s="8">
        <v>2.2000000000000002</v>
      </c>
      <c r="V6" s="8">
        <v>0.1</v>
      </c>
      <c r="W6" s="8">
        <v>1.33</v>
      </c>
      <c r="X6" s="8">
        <v>2.2000000000000002</v>
      </c>
      <c r="Y6" s="8">
        <v>0.1</v>
      </c>
      <c r="Z6" s="8">
        <v>1.33</v>
      </c>
      <c r="AB6" s="11">
        <v>10350.541793</v>
      </c>
      <c r="AC6" s="11">
        <v>30.111705000000001</v>
      </c>
    </row>
    <row r="7" spans="1:29" x14ac:dyDescent="0.25">
      <c r="A7" s="4">
        <v>6</v>
      </c>
      <c r="B7" s="4" t="b">
        <f>TRUE</f>
        <v>1</v>
      </c>
      <c r="C7" s="5">
        <v>2</v>
      </c>
      <c r="D7" s="4">
        <v>0.1</v>
      </c>
      <c r="E7" s="10">
        <f>6.1003*10^6</f>
        <v>6100300</v>
      </c>
      <c r="F7" s="5">
        <v>0</v>
      </c>
      <c r="G7" s="5">
        <f>97.7*PI()/180</f>
        <v>1.70518667919846</v>
      </c>
      <c r="H7" s="5">
        <f>5.1718*10^10</f>
        <v>51718000000</v>
      </c>
      <c r="I7" s="4">
        <v>0</v>
      </c>
      <c r="J7" s="10">
        <f t="shared" si="0"/>
        <v>0.43633231299858238</v>
      </c>
      <c r="K7" s="5">
        <f>-7.6366*10^4</f>
        <v>-76366</v>
      </c>
      <c r="L7" s="5">
        <v>0</v>
      </c>
      <c r="M7" s="5">
        <f>6.7781*10^5</f>
        <v>677810</v>
      </c>
      <c r="N7" s="5">
        <v>153.37119999999999</v>
      </c>
      <c r="O7" s="10">
        <v>153.37119999999999</v>
      </c>
      <c r="P7" s="5">
        <v>0</v>
      </c>
      <c r="Q7" s="6" t="b">
        <f>FALSE</f>
        <v>0</v>
      </c>
      <c r="R7" s="6">
        <v>0</v>
      </c>
      <c r="S7" s="9" t="b">
        <f>FALSE</f>
        <v>0</v>
      </c>
      <c r="T7" s="7" t="b">
        <f>FALSE</f>
        <v>0</v>
      </c>
      <c r="U7" s="8">
        <v>2.2000000000000002</v>
      </c>
      <c r="V7" s="8">
        <v>0.1</v>
      </c>
      <c r="W7" s="8">
        <v>1.33</v>
      </c>
      <c r="X7" s="8">
        <v>2.2000000000000002</v>
      </c>
      <c r="Y7" s="8">
        <v>0.1</v>
      </c>
      <c r="Z7" s="8">
        <v>1.33</v>
      </c>
      <c r="AB7" s="11">
        <v>45.605117</v>
      </c>
      <c r="AC7" s="11">
        <v>54.273733</v>
      </c>
    </row>
    <row r="8" spans="1:29" x14ac:dyDescent="0.25">
      <c r="A8" s="4">
        <v>7</v>
      </c>
      <c r="B8" s="4" t="b">
        <f>TRUE</f>
        <v>1</v>
      </c>
      <c r="C8" s="5">
        <v>32</v>
      </c>
      <c r="D8" s="5">
        <v>0</v>
      </c>
      <c r="E8" s="5">
        <f>6878*10^3</f>
        <v>6878000</v>
      </c>
      <c r="F8" s="5">
        <v>0</v>
      </c>
      <c r="G8" s="5">
        <f>97.7*PI()/180</f>
        <v>1.70518667919846</v>
      </c>
      <c r="H8" s="5">
        <f>5.236*(10^4)*(10^6)</f>
        <v>52360000000</v>
      </c>
      <c r="I8" s="5">
        <f>30*PI()/180</f>
        <v>0.52359877559829882</v>
      </c>
      <c r="J8" s="5">
        <f t="shared" si="0"/>
        <v>0.43633231299858238</v>
      </c>
      <c r="K8" s="5">
        <v>1500</v>
      </c>
      <c r="L8" s="5">
        <v>0</v>
      </c>
      <c r="M8" s="5">
        <v>3000</v>
      </c>
      <c r="N8" s="5">
        <v>0</v>
      </c>
      <c r="O8" s="5">
        <f>SQRT(2*(Planilha1!$C$2/SQRT((E8+K8)^2 + (L8)^2 + (M8)^2) - Planilha1!$C$2/(2*((H8^2/Planilha1!$C$2)/(1-D8^2))))-((N8-(H8/(E8^2))*L8+F8)^2-P8^2))-((H8/(E8^2))*(K8+E8))</f>
        <v>-3.3209923876484027</v>
      </c>
      <c r="P8" s="5">
        <v>0</v>
      </c>
      <c r="Q8" s="6" t="b">
        <f>TRUE</f>
        <v>1</v>
      </c>
      <c r="R8" s="6">
        <f>2*M8</f>
        <v>6000</v>
      </c>
      <c r="S8" s="9" t="b">
        <f>TRUE</f>
        <v>1</v>
      </c>
      <c r="T8" s="7" t="b">
        <f>TRUE</f>
        <v>1</v>
      </c>
      <c r="U8" s="8">
        <v>2.2000000000000002</v>
      </c>
      <c r="V8" s="8">
        <v>0.3</v>
      </c>
      <c r="W8" s="8">
        <v>8</v>
      </c>
      <c r="X8" s="8">
        <v>2.2000000000000002</v>
      </c>
      <c r="Y8" s="8">
        <v>0.3</v>
      </c>
      <c r="Z8" s="8">
        <v>8</v>
      </c>
    </row>
  </sheetData>
  <pageMargins left="0.7" right="0.7" top="0.75" bottom="0.75" header="0.3" footer="0.3"/>
  <pageSetup paperSize="9" orientation="portrait" r:id="rId1"/>
  <ignoredErrors>
    <ignoredError sqref="T4:T5 R8 Q7 E7 H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87FF-F2C3-419E-B7E9-88439E38880C}">
  <dimension ref="B2:C2"/>
  <sheetViews>
    <sheetView workbookViewId="0">
      <selection sqref="A1:XFD1048576"/>
    </sheetView>
  </sheetViews>
  <sheetFormatPr defaultRowHeight="15" x14ac:dyDescent="0.25"/>
  <cols>
    <col min="3" max="3" width="10" bestFit="1" customWidth="1"/>
  </cols>
  <sheetData>
    <row r="2" spans="2:3" x14ac:dyDescent="0.25">
      <c r="B2" t="s">
        <v>23</v>
      </c>
      <c r="C2">
        <f>398600.44189*10^9</f>
        <v>398600441890000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Dantas Dias</dc:creator>
  <cp:lastModifiedBy>Rodrigo Dantas Dias</cp:lastModifiedBy>
  <dcterms:created xsi:type="dcterms:W3CDTF">2015-06-05T18:19:34Z</dcterms:created>
  <dcterms:modified xsi:type="dcterms:W3CDTF">2024-03-19T18:55:24Z</dcterms:modified>
</cp:coreProperties>
</file>