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Coisas trabalho X-Mol\Lab managing\"/>
    </mc:Choice>
  </mc:AlternateContent>
  <xr:revisionPtr revIDLastSave="0" documentId="13_ncr:1_{29C1744D-5A78-42C3-96CC-02D49E6E4803}" xr6:coauthVersionLast="47" xr6:coauthVersionMax="47" xr10:uidLastSave="{00000000-0000-0000-0000-000000000000}"/>
  <bookViews>
    <workbookView xWindow="-120" yWindow="-120" windowWidth="29040" windowHeight="15720" tabRatio="899" activeTab="2" xr2:uid="{97146463-0202-4443-BB08-0E2BD42037CF}"/>
  </bookViews>
  <sheets>
    <sheet name="Sheet4" sheetId="4" r:id="rId1"/>
    <sheet name="Calculos pré definidos" sheetId="3" r:id="rId2"/>
    <sheet name="MODELO PLACA" sheetId="316" r:id="rId3"/>
    <sheet name="Tabela reagentes e lotes em uso" sheetId="37" r:id="rId4"/>
    <sheet name="PLACA-0031" sheetId="42" r:id="rId5"/>
    <sheet name="PLACA-0032" sheetId="43" r:id="rId6"/>
    <sheet name="PLACA-0033" sheetId="44" r:id="rId7"/>
    <sheet name="PLACA-0034" sheetId="45" r:id="rId8"/>
    <sheet name="PLACA-0035" sheetId="51" r:id="rId9"/>
  </sheets>
  <definedNames>
    <definedName name="MultiReplace">_xlfn.LAMBDA(_xlpm.text,_xlpm.old,_xlpm.new, IF(_xlpm.old&lt;&gt;"", MultiReplace(SUBSTITUTE(_xlpm.text, _xlpm.old, _xlpm.new), OFFSET(_xlpm.old, 1, 0), OFFSET(_xlpm.new, 1, 0)), _xlpm.text))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" i="316" l="1"/>
  <c r="I17" i="316"/>
  <c r="F17" i="316"/>
  <c r="C17" i="316"/>
  <c r="L16" i="316"/>
  <c r="I16" i="316"/>
  <c r="F16" i="316"/>
  <c r="C16" i="316"/>
  <c r="L15" i="316"/>
  <c r="I15" i="316"/>
  <c r="F15" i="316"/>
  <c r="C15" i="316"/>
  <c r="L14" i="316"/>
  <c r="I14" i="316"/>
  <c r="F14" i="316"/>
  <c r="C14" i="316"/>
  <c r="L13" i="316"/>
  <c r="I13" i="316"/>
  <c r="F13" i="316"/>
  <c r="C13" i="316"/>
  <c r="L12" i="316"/>
  <c r="I12" i="316"/>
  <c r="F12" i="316"/>
  <c r="C12" i="316"/>
  <c r="L11" i="316"/>
  <c r="I11" i="316"/>
  <c r="F11" i="316"/>
  <c r="C11" i="316"/>
  <c r="L10" i="316"/>
  <c r="I10" i="316"/>
  <c r="F10" i="316"/>
  <c r="C10" i="316"/>
  <c r="L9" i="316"/>
  <c r="I9" i="316"/>
  <c r="C9" i="316"/>
  <c r="L8" i="316"/>
  <c r="I8" i="316"/>
  <c r="C8" i="316"/>
  <c r="L7" i="316"/>
  <c r="I7" i="316"/>
  <c r="C7" i="316"/>
  <c r="M6" i="316"/>
  <c r="L6" i="316"/>
  <c r="K6" i="316"/>
  <c r="J6" i="316"/>
  <c r="G6" i="316"/>
  <c r="F6" i="316"/>
  <c r="E6" i="316"/>
  <c r="D6" i="316"/>
  <c r="D4" i="316"/>
  <c r="L2" i="316"/>
  <c r="L5" i="316" s="1"/>
  <c r="F7" i="316" s="1"/>
  <c r="B1" i="316"/>
  <c r="N20" i="316" a="1"/>
  <c r="N23" i="316" a="1"/>
  <c r="N26" i="316" a="1"/>
  <c r="N24" i="316" a="1"/>
  <c r="N25" i="316" a="1"/>
  <c r="N22" i="316" a="1"/>
  <c r="N27" i="316" a="1"/>
  <c r="N21" i="316" a="1"/>
  <c r="N22" i="316" l="1"/>
  <c r="N23" i="316"/>
  <c r="N21" i="316"/>
  <c r="N24" i="316"/>
  <c r="N26" i="316"/>
  <c r="N20" i="316"/>
  <c r="N25" i="316"/>
  <c r="N27" i="316"/>
  <c r="F10" i="51" l="1"/>
  <c r="L17" i="51" l="1"/>
  <c r="I17" i="51"/>
  <c r="F17" i="51"/>
  <c r="C17" i="51"/>
  <c r="L16" i="51"/>
  <c r="I16" i="51"/>
  <c r="F16" i="51"/>
  <c r="C16" i="51"/>
  <c r="L15" i="51"/>
  <c r="I15" i="51"/>
  <c r="F15" i="51"/>
  <c r="C15" i="51"/>
  <c r="L14" i="51"/>
  <c r="I14" i="51"/>
  <c r="F14" i="51"/>
  <c r="C14" i="51"/>
  <c r="L13" i="51"/>
  <c r="I13" i="51"/>
  <c r="F13" i="51"/>
  <c r="C13" i="51"/>
  <c r="L12" i="51"/>
  <c r="I12" i="51"/>
  <c r="F12" i="51"/>
  <c r="C12" i="51"/>
  <c r="L11" i="51"/>
  <c r="I11" i="51"/>
  <c r="F11" i="51"/>
  <c r="C11" i="51"/>
  <c r="L10" i="51"/>
  <c r="I10" i="51"/>
  <c r="C10" i="51"/>
  <c r="L9" i="51"/>
  <c r="I9" i="51"/>
  <c r="C9" i="51"/>
  <c r="L8" i="51"/>
  <c r="I8" i="51"/>
  <c r="C8" i="51"/>
  <c r="L7" i="51"/>
  <c r="I7" i="51"/>
  <c r="C7" i="51"/>
  <c r="M6" i="51"/>
  <c r="L6" i="51"/>
  <c r="K6" i="51"/>
  <c r="J6" i="51"/>
  <c r="G6" i="51"/>
  <c r="F6" i="51"/>
  <c r="E6" i="51"/>
  <c r="D6" i="51"/>
  <c r="D4" i="51"/>
  <c r="B1" i="51"/>
  <c r="L17" i="45"/>
  <c r="I17" i="45"/>
  <c r="F17" i="45"/>
  <c r="C17" i="45"/>
  <c r="L16" i="45"/>
  <c r="I16" i="45"/>
  <c r="F16" i="45"/>
  <c r="C16" i="45"/>
  <c r="L15" i="45"/>
  <c r="I15" i="45"/>
  <c r="F15" i="45"/>
  <c r="C15" i="45"/>
  <c r="L14" i="45"/>
  <c r="I14" i="45"/>
  <c r="F14" i="45"/>
  <c r="C14" i="45"/>
  <c r="L13" i="45"/>
  <c r="I13" i="45"/>
  <c r="F13" i="45"/>
  <c r="C13" i="45"/>
  <c r="L12" i="45"/>
  <c r="I12" i="45"/>
  <c r="F12" i="45"/>
  <c r="C12" i="45"/>
  <c r="L11" i="45"/>
  <c r="I11" i="45"/>
  <c r="F11" i="45"/>
  <c r="C11" i="45"/>
  <c r="L10" i="45"/>
  <c r="I10" i="45"/>
  <c r="F10" i="45"/>
  <c r="C10" i="45"/>
  <c r="L9" i="45"/>
  <c r="I9" i="45"/>
  <c r="F9" i="45"/>
  <c r="C9" i="45"/>
  <c r="L8" i="45"/>
  <c r="I8" i="45"/>
  <c r="F8" i="45"/>
  <c r="C8" i="45"/>
  <c r="L7" i="45"/>
  <c r="I7" i="45"/>
  <c r="C7" i="45"/>
  <c r="M6" i="45"/>
  <c r="L6" i="45"/>
  <c r="K6" i="45"/>
  <c r="J6" i="45"/>
  <c r="G6" i="45"/>
  <c r="F6" i="45"/>
  <c r="E6" i="45"/>
  <c r="D6" i="45"/>
  <c r="D4" i="45"/>
  <c r="L5" i="45"/>
  <c r="F7" i="45" s="1"/>
  <c r="B1" i="45"/>
  <c r="B1" i="44"/>
  <c r="D4" i="44"/>
  <c r="L5" i="44"/>
  <c r="F7" i="44" s="1"/>
  <c r="D6" i="44"/>
  <c r="E6" i="44"/>
  <c r="F6" i="44"/>
  <c r="G6" i="44"/>
  <c r="J6" i="44"/>
  <c r="K6" i="44"/>
  <c r="L6" i="44"/>
  <c r="M6" i="44"/>
  <c r="C7" i="44"/>
  <c r="I7" i="44"/>
  <c r="L7" i="44"/>
  <c r="C8" i="44"/>
  <c r="I8" i="44"/>
  <c r="L8" i="44"/>
  <c r="C9" i="44"/>
  <c r="I9" i="44"/>
  <c r="L9" i="44"/>
  <c r="C10" i="44"/>
  <c r="F10" i="44"/>
  <c r="I10" i="44"/>
  <c r="L10" i="44"/>
  <c r="C11" i="44"/>
  <c r="F11" i="44"/>
  <c r="I11" i="44"/>
  <c r="L11" i="44"/>
  <c r="C12" i="44"/>
  <c r="F12" i="44"/>
  <c r="I12" i="44"/>
  <c r="L12" i="44"/>
  <c r="C13" i="44"/>
  <c r="F13" i="44"/>
  <c r="I13" i="44"/>
  <c r="L13" i="44"/>
  <c r="C14" i="44"/>
  <c r="F14" i="44"/>
  <c r="I14" i="44"/>
  <c r="L14" i="44"/>
  <c r="C15" i="44"/>
  <c r="F15" i="44"/>
  <c r="I15" i="44"/>
  <c r="L15" i="44"/>
  <c r="C16" i="44"/>
  <c r="F16" i="44"/>
  <c r="I16" i="44"/>
  <c r="L16" i="44"/>
  <c r="C17" i="44"/>
  <c r="F17" i="44"/>
  <c r="I17" i="44"/>
  <c r="L17" i="44"/>
  <c r="B1" i="43"/>
  <c r="D4" i="43"/>
  <c r="L5" i="43"/>
  <c r="D6" i="43"/>
  <c r="E6" i="43"/>
  <c r="F6" i="43"/>
  <c r="G6" i="43"/>
  <c r="J6" i="43"/>
  <c r="K6" i="43"/>
  <c r="L6" i="43"/>
  <c r="M6" i="43"/>
  <c r="C7" i="43"/>
  <c r="I7" i="43"/>
  <c r="L7" i="43"/>
  <c r="C8" i="43"/>
  <c r="I8" i="43"/>
  <c r="L8" i="43"/>
  <c r="C9" i="43"/>
  <c r="I9" i="43"/>
  <c r="L9" i="43"/>
  <c r="C10" i="43"/>
  <c r="I10" i="43"/>
  <c r="L10" i="43"/>
  <c r="C11" i="43"/>
  <c r="F11" i="43"/>
  <c r="I11" i="43"/>
  <c r="L11" i="43"/>
  <c r="C12" i="43"/>
  <c r="F12" i="43"/>
  <c r="I12" i="43"/>
  <c r="L12" i="43"/>
  <c r="C13" i="43"/>
  <c r="F13" i="43"/>
  <c r="I13" i="43"/>
  <c r="L13" i="43"/>
  <c r="C14" i="43"/>
  <c r="F14" i="43"/>
  <c r="I14" i="43"/>
  <c r="L14" i="43"/>
  <c r="C15" i="43"/>
  <c r="F15" i="43"/>
  <c r="I15" i="43"/>
  <c r="L15" i="43"/>
  <c r="C16" i="43"/>
  <c r="F16" i="43"/>
  <c r="I16" i="43"/>
  <c r="L16" i="43"/>
  <c r="C17" i="43"/>
  <c r="F17" i="43"/>
  <c r="I17" i="43"/>
  <c r="L17" i="43"/>
  <c r="B1" i="42"/>
  <c r="D4" i="42"/>
  <c r="L5" i="42"/>
  <c r="F7" i="42" s="1"/>
  <c r="D6" i="42"/>
  <c r="E6" i="42"/>
  <c r="F6" i="42"/>
  <c r="G6" i="42"/>
  <c r="J6" i="42"/>
  <c r="K6" i="42"/>
  <c r="L6" i="42"/>
  <c r="M6" i="42"/>
  <c r="C7" i="42"/>
  <c r="I7" i="42"/>
  <c r="L7" i="42"/>
  <c r="C8" i="42"/>
  <c r="I8" i="42"/>
  <c r="L8" i="42"/>
  <c r="C9" i="42"/>
  <c r="I9" i="42"/>
  <c r="L9" i="42"/>
  <c r="C10" i="42"/>
  <c r="I10" i="42"/>
  <c r="L10" i="42"/>
  <c r="C11" i="42"/>
  <c r="F11" i="42"/>
  <c r="I11" i="42"/>
  <c r="L11" i="42"/>
  <c r="C12" i="42"/>
  <c r="F12" i="42"/>
  <c r="I12" i="42"/>
  <c r="L12" i="42"/>
  <c r="C13" i="42"/>
  <c r="F13" i="42"/>
  <c r="I13" i="42"/>
  <c r="L13" i="42"/>
  <c r="C14" i="42"/>
  <c r="F14" i="42"/>
  <c r="I14" i="42"/>
  <c r="L14" i="42"/>
  <c r="C15" i="42"/>
  <c r="F15" i="42"/>
  <c r="I15" i="42"/>
  <c r="L15" i="42"/>
  <c r="C16" i="42"/>
  <c r="F16" i="42"/>
  <c r="I16" i="42"/>
  <c r="L16" i="42"/>
  <c r="C17" i="42"/>
  <c r="F17" i="42"/>
  <c r="I17" i="42"/>
  <c r="L17" i="42"/>
  <c r="F8" i="44" l="1"/>
  <c r="F8" i="42"/>
  <c r="F9" i="44"/>
  <c r="L5" i="51"/>
  <c r="F9" i="51" s="1"/>
  <c r="F10" i="42"/>
  <c r="F9" i="42"/>
  <c r="F7" i="51" l="1"/>
  <c r="F8" i="51"/>
  <c r="M58" i="4" l="1"/>
  <c r="N31" i="4"/>
  <c r="R31" i="4" l="1"/>
  <c r="O79" i="4"/>
  <c r="O78" i="4"/>
  <c r="O77" i="4"/>
  <c r="O76" i="4"/>
  <c r="N83" i="4"/>
  <c r="M83" i="4"/>
  <c r="L83" i="4"/>
  <c r="K83" i="4"/>
  <c r="J83" i="4"/>
  <c r="I83" i="4"/>
  <c r="H83" i="4"/>
  <c r="G83" i="4"/>
  <c r="F83" i="4"/>
  <c r="E83" i="4"/>
  <c r="D83" i="4"/>
  <c r="N82" i="4"/>
  <c r="M82" i="4"/>
  <c r="L82" i="4"/>
  <c r="K82" i="4"/>
  <c r="J82" i="4"/>
  <c r="I82" i="4"/>
  <c r="H82" i="4"/>
  <c r="G82" i="4"/>
  <c r="F82" i="4"/>
  <c r="E82" i="4"/>
  <c r="D82" i="4"/>
  <c r="N81" i="4"/>
  <c r="M81" i="4"/>
  <c r="L81" i="4"/>
  <c r="K81" i="4"/>
  <c r="J81" i="4"/>
  <c r="I81" i="4"/>
  <c r="H81" i="4"/>
  <c r="G81" i="4"/>
  <c r="F81" i="4"/>
  <c r="E81" i="4"/>
  <c r="D81" i="4"/>
  <c r="N80" i="4"/>
  <c r="M80" i="4"/>
  <c r="L80" i="4"/>
  <c r="K80" i="4"/>
  <c r="J80" i="4"/>
  <c r="I80" i="4"/>
  <c r="H80" i="4"/>
  <c r="G80" i="4"/>
  <c r="F80" i="4"/>
  <c r="E80" i="4"/>
  <c r="D80" i="4"/>
  <c r="N79" i="4"/>
  <c r="M79" i="4"/>
  <c r="L79" i="4"/>
  <c r="K79" i="4"/>
  <c r="J79" i="4"/>
  <c r="I79" i="4"/>
  <c r="H79" i="4"/>
  <c r="G79" i="4"/>
  <c r="F79" i="4"/>
  <c r="E79" i="4"/>
  <c r="D79" i="4"/>
  <c r="N78" i="4"/>
  <c r="M78" i="4"/>
  <c r="L78" i="4"/>
  <c r="K78" i="4"/>
  <c r="J78" i="4"/>
  <c r="I78" i="4"/>
  <c r="H78" i="4"/>
  <c r="G78" i="4"/>
  <c r="F78" i="4"/>
  <c r="E78" i="4"/>
  <c r="D78" i="4"/>
  <c r="N77" i="4"/>
  <c r="M77" i="4"/>
  <c r="L77" i="4"/>
  <c r="K77" i="4"/>
  <c r="J77" i="4"/>
  <c r="I77" i="4"/>
  <c r="H77" i="4"/>
  <c r="G77" i="4"/>
  <c r="F77" i="4"/>
  <c r="E77" i="4"/>
  <c r="D77" i="4"/>
  <c r="N76" i="4"/>
  <c r="M76" i="4"/>
  <c r="L76" i="4"/>
  <c r="K76" i="4"/>
  <c r="J76" i="4"/>
  <c r="I76" i="4"/>
  <c r="H76" i="4"/>
  <c r="G76" i="4"/>
  <c r="F76" i="4"/>
  <c r="E76" i="4"/>
  <c r="D76" i="4"/>
  <c r="N74" i="4"/>
  <c r="N73" i="4"/>
  <c r="N72" i="4"/>
  <c r="N71" i="4"/>
  <c r="N70" i="4"/>
  <c r="N69" i="4"/>
  <c r="N68" i="4"/>
  <c r="N67" i="4"/>
  <c r="M74" i="4"/>
  <c r="L74" i="4"/>
  <c r="K74" i="4"/>
  <c r="J74" i="4"/>
  <c r="I74" i="4"/>
  <c r="H74" i="4"/>
  <c r="G74" i="4"/>
  <c r="F74" i="4"/>
  <c r="E74" i="4"/>
  <c r="D74" i="4"/>
  <c r="M73" i="4"/>
  <c r="L73" i="4"/>
  <c r="K73" i="4"/>
  <c r="J73" i="4"/>
  <c r="I73" i="4"/>
  <c r="H73" i="4"/>
  <c r="G73" i="4"/>
  <c r="F73" i="4"/>
  <c r="E73" i="4"/>
  <c r="D73" i="4"/>
  <c r="M72" i="4"/>
  <c r="L72" i="4"/>
  <c r="K72" i="4"/>
  <c r="J72" i="4"/>
  <c r="I72" i="4"/>
  <c r="H72" i="4"/>
  <c r="G72" i="4"/>
  <c r="F72" i="4"/>
  <c r="E72" i="4"/>
  <c r="D72" i="4"/>
  <c r="M71" i="4"/>
  <c r="L71" i="4"/>
  <c r="K71" i="4"/>
  <c r="J71" i="4"/>
  <c r="I71" i="4"/>
  <c r="H71" i="4"/>
  <c r="G71" i="4"/>
  <c r="F71" i="4"/>
  <c r="E71" i="4"/>
  <c r="D71" i="4"/>
  <c r="M70" i="4"/>
  <c r="L70" i="4"/>
  <c r="K70" i="4"/>
  <c r="J70" i="4"/>
  <c r="I70" i="4"/>
  <c r="H70" i="4"/>
  <c r="G70" i="4"/>
  <c r="F70" i="4"/>
  <c r="E70" i="4"/>
  <c r="D70" i="4"/>
  <c r="M69" i="4"/>
  <c r="L69" i="4"/>
  <c r="K69" i="4"/>
  <c r="J69" i="4"/>
  <c r="I69" i="4"/>
  <c r="H69" i="4"/>
  <c r="G69" i="4"/>
  <c r="F69" i="4"/>
  <c r="E69" i="4"/>
  <c r="D69" i="4"/>
  <c r="M68" i="4"/>
  <c r="L68" i="4"/>
  <c r="K68" i="4"/>
  <c r="J68" i="4"/>
  <c r="I68" i="4"/>
  <c r="H68" i="4"/>
  <c r="G68" i="4"/>
  <c r="F68" i="4"/>
  <c r="E68" i="4"/>
  <c r="D68" i="4"/>
  <c r="M67" i="4"/>
  <c r="L67" i="4"/>
  <c r="K67" i="4"/>
  <c r="J67" i="4"/>
  <c r="I67" i="4"/>
  <c r="H67" i="4"/>
  <c r="G67" i="4"/>
  <c r="F67" i="4"/>
  <c r="E67" i="4"/>
  <c r="D67" i="4"/>
  <c r="N62" i="4"/>
  <c r="N61" i="4"/>
  <c r="N60" i="4"/>
  <c r="N59" i="4"/>
  <c r="N58" i="4"/>
  <c r="M62" i="4"/>
  <c r="M61" i="4"/>
  <c r="M60" i="4"/>
  <c r="M59" i="4"/>
  <c r="L62" i="4"/>
  <c r="K62" i="4"/>
  <c r="J62" i="4"/>
  <c r="I62" i="4"/>
  <c r="H62" i="4"/>
  <c r="G62" i="4"/>
  <c r="F62" i="4"/>
  <c r="E62" i="4"/>
  <c r="D62" i="4"/>
  <c r="L61" i="4"/>
  <c r="K61" i="4"/>
  <c r="J61" i="4"/>
  <c r="I61" i="4"/>
  <c r="H61" i="4"/>
  <c r="G61" i="4"/>
  <c r="F61" i="4"/>
  <c r="E61" i="4"/>
  <c r="D61" i="4"/>
  <c r="L60" i="4"/>
  <c r="K60" i="4"/>
  <c r="J60" i="4"/>
  <c r="I60" i="4"/>
  <c r="H60" i="4"/>
  <c r="G60" i="4"/>
  <c r="F60" i="4"/>
  <c r="E60" i="4"/>
  <c r="D60" i="4"/>
  <c r="L59" i="4"/>
  <c r="K59" i="4"/>
  <c r="J59" i="4"/>
  <c r="I59" i="4"/>
  <c r="H59" i="4"/>
  <c r="G59" i="4"/>
  <c r="F59" i="4"/>
  <c r="E59" i="4"/>
  <c r="D59" i="4"/>
  <c r="L58" i="4"/>
  <c r="K58" i="4"/>
  <c r="J58" i="4"/>
  <c r="I58" i="4"/>
  <c r="H58" i="4"/>
  <c r="G58" i="4"/>
  <c r="F58" i="4"/>
  <c r="E58" i="4"/>
  <c r="D58" i="4"/>
  <c r="N56" i="4"/>
  <c r="N55" i="4"/>
  <c r="N54" i="4"/>
  <c r="N53" i="4"/>
  <c r="N52" i="4"/>
  <c r="N51" i="4"/>
  <c r="N50" i="4"/>
  <c r="N49" i="4"/>
  <c r="M56" i="4"/>
  <c r="L56" i="4"/>
  <c r="K56" i="4"/>
  <c r="J56" i="4"/>
  <c r="I56" i="4"/>
  <c r="H56" i="4"/>
  <c r="G56" i="4"/>
  <c r="F56" i="4"/>
  <c r="E56" i="4"/>
  <c r="D56" i="4"/>
  <c r="M55" i="4"/>
  <c r="L55" i="4"/>
  <c r="K55" i="4"/>
  <c r="J55" i="4"/>
  <c r="I55" i="4"/>
  <c r="H55" i="4"/>
  <c r="G55" i="4"/>
  <c r="F55" i="4"/>
  <c r="E55" i="4"/>
  <c r="D55" i="4"/>
  <c r="M54" i="4"/>
  <c r="L54" i="4"/>
  <c r="K54" i="4"/>
  <c r="J54" i="4"/>
  <c r="I54" i="4"/>
  <c r="H54" i="4"/>
  <c r="G54" i="4"/>
  <c r="F54" i="4"/>
  <c r="E54" i="4"/>
  <c r="D54" i="4"/>
  <c r="M53" i="4"/>
  <c r="L53" i="4"/>
  <c r="K53" i="4"/>
  <c r="J53" i="4"/>
  <c r="I53" i="4"/>
  <c r="H53" i="4"/>
  <c r="G53" i="4"/>
  <c r="F53" i="4"/>
  <c r="E53" i="4"/>
  <c r="D53" i="4"/>
  <c r="M52" i="4"/>
  <c r="L52" i="4"/>
  <c r="K52" i="4"/>
  <c r="J52" i="4"/>
  <c r="I52" i="4"/>
  <c r="H52" i="4"/>
  <c r="G52" i="4"/>
  <c r="F52" i="4"/>
  <c r="E52" i="4"/>
  <c r="D52" i="4"/>
  <c r="M51" i="4"/>
  <c r="L51" i="4"/>
  <c r="K51" i="4"/>
  <c r="J51" i="4"/>
  <c r="I51" i="4"/>
  <c r="H51" i="4"/>
  <c r="G51" i="4"/>
  <c r="F51" i="4"/>
  <c r="E51" i="4"/>
  <c r="D51" i="4"/>
  <c r="M50" i="4"/>
  <c r="L50" i="4"/>
  <c r="K50" i="4"/>
  <c r="J50" i="4"/>
  <c r="I50" i="4"/>
  <c r="H50" i="4"/>
  <c r="G50" i="4"/>
  <c r="F50" i="4"/>
  <c r="E50" i="4"/>
  <c r="D50" i="4"/>
  <c r="M49" i="4"/>
  <c r="L49" i="4"/>
  <c r="K49" i="4"/>
  <c r="J49" i="4"/>
  <c r="I49" i="4"/>
  <c r="H49" i="4"/>
  <c r="G49" i="4"/>
  <c r="F49" i="4"/>
  <c r="E49" i="4"/>
  <c r="D49" i="4"/>
  <c r="N47" i="4"/>
  <c r="N46" i="4"/>
  <c r="N45" i="4"/>
  <c r="N44" i="4"/>
  <c r="N43" i="4"/>
  <c r="N42" i="4"/>
  <c r="N41" i="4"/>
  <c r="N40" i="4"/>
  <c r="M47" i="4"/>
  <c r="L47" i="4"/>
  <c r="K47" i="4"/>
  <c r="J47" i="4"/>
  <c r="I47" i="4"/>
  <c r="H47" i="4"/>
  <c r="G47" i="4"/>
  <c r="F47" i="4"/>
  <c r="E47" i="4"/>
  <c r="D47" i="4"/>
  <c r="M46" i="4"/>
  <c r="L46" i="4"/>
  <c r="K46" i="4"/>
  <c r="J46" i="4"/>
  <c r="I46" i="4"/>
  <c r="H46" i="4"/>
  <c r="G46" i="4"/>
  <c r="F46" i="4"/>
  <c r="E46" i="4"/>
  <c r="D46" i="4"/>
  <c r="M45" i="4"/>
  <c r="L45" i="4"/>
  <c r="K45" i="4"/>
  <c r="J45" i="4"/>
  <c r="I45" i="4"/>
  <c r="H45" i="4"/>
  <c r="G45" i="4"/>
  <c r="F45" i="4"/>
  <c r="E45" i="4"/>
  <c r="D45" i="4"/>
  <c r="M44" i="4"/>
  <c r="L44" i="4"/>
  <c r="K44" i="4"/>
  <c r="J44" i="4"/>
  <c r="I44" i="4"/>
  <c r="H44" i="4"/>
  <c r="G44" i="4"/>
  <c r="F44" i="4"/>
  <c r="E44" i="4"/>
  <c r="D44" i="4"/>
  <c r="M43" i="4"/>
  <c r="L43" i="4"/>
  <c r="K43" i="4"/>
  <c r="J43" i="4"/>
  <c r="I43" i="4"/>
  <c r="H43" i="4"/>
  <c r="G43" i="4"/>
  <c r="F43" i="4"/>
  <c r="E43" i="4"/>
  <c r="D43" i="4"/>
  <c r="M42" i="4"/>
  <c r="L42" i="4"/>
  <c r="K42" i="4"/>
  <c r="J42" i="4"/>
  <c r="I42" i="4"/>
  <c r="H42" i="4"/>
  <c r="G42" i="4"/>
  <c r="F42" i="4"/>
  <c r="E42" i="4"/>
  <c r="D42" i="4"/>
  <c r="M41" i="4"/>
  <c r="L41" i="4"/>
  <c r="K41" i="4"/>
  <c r="J41" i="4"/>
  <c r="I41" i="4"/>
  <c r="H41" i="4"/>
  <c r="G41" i="4"/>
  <c r="F41" i="4"/>
  <c r="E41" i="4"/>
  <c r="D41" i="4"/>
  <c r="M40" i="4"/>
  <c r="L40" i="4"/>
  <c r="K40" i="4"/>
  <c r="J40" i="4"/>
  <c r="I40" i="4"/>
  <c r="H40" i="4"/>
  <c r="G40" i="4"/>
  <c r="F40" i="4"/>
  <c r="E40" i="4"/>
  <c r="D40" i="4"/>
  <c r="N38" i="4"/>
  <c r="N37" i="4"/>
  <c r="N36" i="4"/>
  <c r="N35" i="4"/>
  <c r="N34" i="4"/>
  <c r="N33" i="4"/>
  <c r="N32" i="4"/>
  <c r="M38" i="4"/>
  <c r="L38" i="4"/>
  <c r="K38" i="4"/>
  <c r="J38" i="4"/>
  <c r="I38" i="4"/>
  <c r="H38" i="4"/>
  <c r="G38" i="4"/>
  <c r="F38" i="4"/>
  <c r="E38" i="4"/>
  <c r="D38" i="4"/>
  <c r="M37" i="4"/>
  <c r="L37" i="4"/>
  <c r="K37" i="4"/>
  <c r="J37" i="4"/>
  <c r="I37" i="4"/>
  <c r="H37" i="4"/>
  <c r="G37" i="4"/>
  <c r="F37" i="4"/>
  <c r="E37" i="4"/>
  <c r="D37" i="4"/>
  <c r="M36" i="4"/>
  <c r="L36" i="4"/>
  <c r="K36" i="4"/>
  <c r="J36" i="4"/>
  <c r="I36" i="4"/>
  <c r="H36" i="4"/>
  <c r="G36" i="4"/>
  <c r="F36" i="4"/>
  <c r="E36" i="4"/>
  <c r="D36" i="4"/>
  <c r="M35" i="4"/>
  <c r="L35" i="4"/>
  <c r="K35" i="4"/>
  <c r="J35" i="4"/>
  <c r="I35" i="4"/>
  <c r="H35" i="4"/>
  <c r="G35" i="4"/>
  <c r="F35" i="4"/>
  <c r="E35" i="4"/>
  <c r="D35" i="4"/>
  <c r="M34" i="4"/>
  <c r="L34" i="4"/>
  <c r="K34" i="4"/>
  <c r="J34" i="4"/>
  <c r="I34" i="4"/>
  <c r="H34" i="4"/>
  <c r="G34" i="4"/>
  <c r="F34" i="4"/>
  <c r="E34" i="4"/>
  <c r="D34" i="4"/>
  <c r="M33" i="4"/>
  <c r="L33" i="4"/>
  <c r="K33" i="4"/>
  <c r="J33" i="4"/>
  <c r="I33" i="4"/>
  <c r="H33" i="4"/>
  <c r="G33" i="4"/>
  <c r="F33" i="4"/>
  <c r="E33" i="4"/>
  <c r="D33" i="4"/>
  <c r="M32" i="4"/>
  <c r="L32" i="4"/>
  <c r="K32" i="4"/>
  <c r="J32" i="4"/>
  <c r="I32" i="4"/>
  <c r="H32" i="4"/>
  <c r="G32" i="4"/>
  <c r="F32" i="4"/>
  <c r="E32" i="4"/>
  <c r="D32" i="4"/>
  <c r="M31" i="4"/>
  <c r="L31" i="4"/>
  <c r="K31" i="4"/>
  <c r="J31" i="4"/>
  <c r="I31" i="4"/>
  <c r="H31" i="4"/>
  <c r="G31" i="4"/>
  <c r="F31" i="4"/>
  <c r="E31" i="4"/>
  <c r="D31" i="4"/>
  <c r="N29" i="4"/>
  <c r="N28" i="4"/>
  <c r="N27" i="4"/>
  <c r="N26" i="4"/>
  <c r="N25" i="4"/>
  <c r="N24" i="4"/>
  <c r="N23" i="4"/>
  <c r="N22" i="4"/>
  <c r="M29" i="4"/>
  <c r="L29" i="4"/>
  <c r="K29" i="4"/>
  <c r="J29" i="4"/>
  <c r="I29" i="4"/>
  <c r="H29" i="4"/>
  <c r="G29" i="4"/>
  <c r="F29" i="4"/>
  <c r="E29" i="4"/>
  <c r="D29" i="4"/>
  <c r="M28" i="4"/>
  <c r="L28" i="4"/>
  <c r="K28" i="4"/>
  <c r="J28" i="4"/>
  <c r="I28" i="4"/>
  <c r="H28" i="4"/>
  <c r="G28" i="4"/>
  <c r="F28" i="4"/>
  <c r="E28" i="4"/>
  <c r="D28" i="4"/>
  <c r="M27" i="4"/>
  <c r="L27" i="4"/>
  <c r="K27" i="4"/>
  <c r="J27" i="4"/>
  <c r="I27" i="4"/>
  <c r="H27" i="4"/>
  <c r="G27" i="4"/>
  <c r="F27" i="4"/>
  <c r="E27" i="4"/>
  <c r="D27" i="4"/>
  <c r="M26" i="4"/>
  <c r="L26" i="4"/>
  <c r="K26" i="4"/>
  <c r="J26" i="4"/>
  <c r="I26" i="4"/>
  <c r="H26" i="4"/>
  <c r="G26" i="4"/>
  <c r="F26" i="4"/>
  <c r="E26" i="4"/>
  <c r="D26" i="4"/>
  <c r="M25" i="4"/>
  <c r="L25" i="4"/>
  <c r="K25" i="4"/>
  <c r="J25" i="4"/>
  <c r="I25" i="4"/>
  <c r="H25" i="4"/>
  <c r="G25" i="4"/>
  <c r="F25" i="4"/>
  <c r="E25" i="4"/>
  <c r="D25" i="4"/>
  <c r="M24" i="4"/>
  <c r="L24" i="4"/>
  <c r="K24" i="4"/>
  <c r="J24" i="4"/>
  <c r="I24" i="4"/>
  <c r="H24" i="4"/>
  <c r="G24" i="4"/>
  <c r="F24" i="4"/>
  <c r="E24" i="4"/>
  <c r="D24" i="4"/>
  <c r="M23" i="4"/>
  <c r="L23" i="4"/>
  <c r="K23" i="4"/>
  <c r="J23" i="4"/>
  <c r="I23" i="4"/>
  <c r="H23" i="4"/>
  <c r="G23" i="4"/>
  <c r="F23" i="4"/>
  <c r="E23" i="4"/>
  <c r="D23" i="4"/>
  <c r="M22" i="4"/>
  <c r="L22" i="4"/>
  <c r="K22" i="4"/>
  <c r="J22" i="4"/>
  <c r="I22" i="4"/>
  <c r="H22" i="4"/>
  <c r="G22" i="4"/>
  <c r="F22" i="4"/>
  <c r="E22" i="4"/>
  <c r="D22" i="4"/>
  <c r="O16" i="4"/>
  <c r="O15" i="4"/>
  <c r="O14" i="4"/>
  <c r="O13" i="4"/>
  <c r="N11" i="4"/>
  <c r="N10" i="4"/>
  <c r="N9" i="4"/>
  <c r="N8" i="4"/>
  <c r="N7" i="4"/>
  <c r="N6" i="4"/>
  <c r="N5" i="4"/>
  <c r="N4" i="4"/>
  <c r="N20" i="4"/>
  <c r="M20" i="4"/>
  <c r="L20" i="4"/>
  <c r="K20" i="4"/>
  <c r="J20" i="4"/>
  <c r="I20" i="4"/>
  <c r="H20" i="4"/>
  <c r="G20" i="4"/>
  <c r="F20" i="4"/>
  <c r="N19" i="4"/>
  <c r="M19" i="4"/>
  <c r="L19" i="4"/>
  <c r="K19" i="4"/>
  <c r="J19" i="4"/>
  <c r="I19" i="4"/>
  <c r="H19" i="4"/>
  <c r="G19" i="4"/>
  <c r="F19" i="4"/>
  <c r="N18" i="4"/>
  <c r="M18" i="4"/>
  <c r="L18" i="4"/>
  <c r="K18" i="4"/>
  <c r="J18" i="4"/>
  <c r="I18" i="4"/>
  <c r="H18" i="4"/>
  <c r="G18" i="4"/>
  <c r="F18" i="4"/>
  <c r="N17" i="4"/>
  <c r="M17" i="4"/>
  <c r="L17" i="4"/>
  <c r="K17" i="4"/>
  <c r="J17" i="4"/>
  <c r="I17" i="4"/>
  <c r="H17" i="4"/>
  <c r="G17" i="4"/>
  <c r="F17" i="4"/>
  <c r="N16" i="4"/>
  <c r="M16" i="4"/>
  <c r="L16" i="4"/>
  <c r="K16" i="4"/>
  <c r="J16" i="4"/>
  <c r="I16" i="4"/>
  <c r="H16" i="4"/>
  <c r="G16" i="4"/>
  <c r="F16" i="4"/>
  <c r="N15" i="4"/>
  <c r="M15" i="4"/>
  <c r="L15" i="4"/>
  <c r="K15" i="4"/>
  <c r="J15" i="4"/>
  <c r="I15" i="4"/>
  <c r="H15" i="4"/>
  <c r="G15" i="4"/>
  <c r="F15" i="4"/>
  <c r="N14" i="4"/>
  <c r="M14" i="4"/>
  <c r="L14" i="4"/>
  <c r="K14" i="4"/>
  <c r="J14" i="4"/>
  <c r="I14" i="4"/>
  <c r="H14" i="4"/>
  <c r="G14" i="4"/>
  <c r="F14" i="4"/>
  <c r="N13" i="4"/>
  <c r="M13" i="4"/>
  <c r="L13" i="4"/>
  <c r="K13" i="4"/>
  <c r="J13" i="4"/>
  <c r="I13" i="4"/>
  <c r="H13" i="4"/>
  <c r="G13" i="4"/>
  <c r="F13" i="4"/>
  <c r="E13" i="4"/>
  <c r="E14" i="4"/>
  <c r="E15" i="4"/>
  <c r="E16" i="4"/>
  <c r="E18" i="4"/>
  <c r="E19" i="4"/>
  <c r="E20" i="4"/>
  <c r="E17" i="4"/>
  <c r="D20" i="4"/>
  <c r="D19" i="4"/>
  <c r="D18" i="4"/>
  <c r="D17" i="4"/>
  <c r="D16" i="4"/>
  <c r="D15" i="4"/>
  <c r="D14" i="4"/>
  <c r="D13" i="4"/>
  <c r="M11" i="4"/>
  <c r="L11" i="4"/>
  <c r="K11" i="4"/>
  <c r="J11" i="4"/>
  <c r="I11" i="4"/>
  <c r="H11" i="4"/>
  <c r="G11" i="4"/>
  <c r="F11" i="4"/>
  <c r="E11" i="4"/>
  <c r="D11" i="4"/>
  <c r="M10" i="4"/>
  <c r="L10" i="4"/>
  <c r="K10" i="4"/>
  <c r="J10" i="4"/>
  <c r="I10" i="4"/>
  <c r="H10" i="4"/>
  <c r="G10" i="4"/>
  <c r="F10" i="4"/>
  <c r="E10" i="4"/>
  <c r="D10" i="4"/>
  <c r="M9" i="4"/>
  <c r="L9" i="4"/>
  <c r="K9" i="4"/>
  <c r="J9" i="4"/>
  <c r="I9" i="4"/>
  <c r="H9" i="4"/>
  <c r="G9" i="4"/>
  <c r="F9" i="4"/>
  <c r="E9" i="4"/>
  <c r="D9" i="4"/>
  <c r="M8" i="4"/>
  <c r="L8" i="4"/>
  <c r="K8" i="4"/>
  <c r="J8" i="4"/>
  <c r="I8" i="4"/>
  <c r="H8" i="4"/>
  <c r="G8" i="4"/>
  <c r="F8" i="4"/>
  <c r="E8" i="4"/>
  <c r="D8" i="4"/>
  <c r="M7" i="4"/>
  <c r="L7" i="4"/>
  <c r="K7" i="4"/>
  <c r="J7" i="4"/>
  <c r="I7" i="4"/>
  <c r="H7" i="4"/>
  <c r="G7" i="4"/>
  <c r="F7" i="4"/>
  <c r="E7" i="4"/>
  <c r="D7" i="4"/>
  <c r="M6" i="4"/>
  <c r="L6" i="4"/>
  <c r="K6" i="4"/>
  <c r="J6" i="4"/>
  <c r="I6" i="4"/>
  <c r="H6" i="4"/>
  <c r="G6" i="4"/>
  <c r="F6" i="4"/>
  <c r="E6" i="4"/>
  <c r="D6" i="4"/>
  <c r="M5" i="4"/>
  <c r="L5" i="4"/>
  <c r="K5" i="4"/>
  <c r="J5" i="4"/>
  <c r="I5" i="4"/>
  <c r="H5" i="4"/>
  <c r="G5" i="4"/>
  <c r="F5" i="4"/>
  <c r="E5" i="4"/>
  <c r="D5" i="4"/>
  <c r="M4" i="4"/>
  <c r="L4" i="4"/>
  <c r="K4" i="4"/>
  <c r="J4" i="4"/>
  <c r="I4" i="4"/>
  <c r="H4" i="4"/>
  <c r="G4" i="4"/>
  <c r="F4" i="4"/>
  <c r="E4" i="4"/>
  <c r="D4" i="4"/>
  <c r="E10" i="3"/>
  <c r="G10" i="3" s="1"/>
  <c r="H10" i="3" s="1"/>
  <c r="E9" i="3"/>
  <c r="G9" i="3" s="1"/>
  <c r="H9" i="3" s="1"/>
  <c r="E8" i="3"/>
  <c r="G8" i="3" s="1"/>
  <c r="H8" i="3" s="1"/>
  <c r="E7" i="3"/>
  <c r="G7" i="3" s="1"/>
  <c r="H7" i="3" s="1"/>
  <c r="E6" i="3"/>
  <c r="G6" i="3" s="1"/>
  <c r="H6" i="3" s="1"/>
  <c r="E5" i="3"/>
  <c r="G5" i="3" s="1"/>
  <c r="H5" i="3" s="1"/>
  <c r="E4" i="3"/>
  <c r="G4" i="3" s="1"/>
  <c r="H4" i="3" s="1"/>
  <c r="E3" i="3"/>
  <c r="G3" i="3" s="1"/>
  <c r="H3" i="3" s="1"/>
  <c r="E2" i="3"/>
  <c r="G2" i="3" s="1"/>
  <c r="H2" i="3" s="1"/>
  <c r="Q31" i="4" l="1"/>
  <c r="M27" i="316" a="1"/>
  <c r="E26" i="316" a="1"/>
  <c r="H22" i="316" a="1"/>
  <c r="E21" i="316" a="1"/>
  <c r="H20" i="316" a="1"/>
  <c r="H20" i="42" a="1"/>
  <c r="C27" i="316" a="1"/>
  <c r="I20" i="316" a="1"/>
  <c r="M23" i="43" a="1"/>
  <c r="D27" i="316" a="1"/>
  <c r="J22" i="45" a="1"/>
  <c r="E22" i="316" a="1"/>
  <c r="F22" i="316" a="1"/>
  <c r="H24" i="316" a="1"/>
  <c r="G27" i="316" a="1"/>
  <c r="K21" i="44" a="1"/>
  <c r="H27" i="45" a="1"/>
  <c r="H26" i="316" a="1"/>
  <c r="F20" i="316" a="1"/>
  <c r="L25" i="316" a="1"/>
  <c r="I20" i="44" a="1"/>
  <c r="L24" i="316" a="1"/>
  <c r="K23" i="316" a="1"/>
  <c r="L20" i="316" a="1"/>
  <c r="K22" i="316" a="1"/>
  <c r="H23" i="316" a="1"/>
  <c r="J21" i="42" a="1"/>
  <c r="F23" i="316" a="1"/>
  <c r="M22" i="316" a="1"/>
  <c r="K25" i="45" a="1"/>
  <c r="C24" i="51" a="1"/>
  <c r="C24" i="316" a="1"/>
  <c r="F24" i="316" a="1"/>
  <c r="K26" i="45" a="1"/>
  <c r="J20" i="316" a="1"/>
  <c r="D24" i="316" a="1"/>
  <c r="M25" i="316" a="1"/>
  <c r="M24" i="316" a="1"/>
  <c r="H25" i="316" a="1"/>
  <c r="C25" i="316" a="1"/>
  <c r="L26" i="316" a="1"/>
  <c r="D25" i="316" a="1"/>
  <c r="C25" i="43" a="1"/>
  <c r="K24" i="316" a="1"/>
  <c r="C23" i="316" a="1"/>
  <c r="I24" i="45" a="1"/>
  <c r="L23" i="316" a="1"/>
  <c r="G26" i="316" a="1"/>
  <c r="C25" i="42" a="1"/>
  <c r="D23" i="316" a="1"/>
  <c r="L20" i="45" a="1"/>
  <c r="D21" i="316" a="1"/>
  <c r="J26" i="51" a="1"/>
  <c r="E27" i="316" a="1"/>
  <c r="J25" i="45" a="1"/>
  <c r="M27" i="45" a="1"/>
  <c r="F25" i="316" a="1"/>
  <c r="L27" i="316" a="1"/>
  <c r="L21" i="316" a="1"/>
  <c r="I25" i="45" a="1"/>
  <c r="I22" i="316" a="1"/>
  <c r="F21" i="45" a="1"/>
  <c r="H22" i="44" a="1"/>
  <c r="M21" i="42" a="1"/>
  <c r="H25" i="43" a="1"/>
  <c r="C27" i="45" a="1"/>
  <c r="J25" i="316" a="1"/>
  <c r="D23" i="42" a="1"/>
  <c r="C25" i="51" a="1"/>
  <c r="M25" i="43" a="1"/>
  <c r="E22" i="51" a="1"/>
  <c r="D24" i="44" a="1"/>
  <c r="F22" i="51" a="1"/>
  <c r="M20" i="316" a="1"/>
  <c r="G26" i="44" a="1"/>
  <c r="K27" i="316" a="1"/>
  <c r="M21" i="43" a="1"/>
  <c r="K27" i="51" a="1"/>
  <c r="G21" i="45" a="1"/>
  <c r="H21" i="316" a="1"/>
  <c r="N23" i="43" a="1"/>
  <c r="E20" i="51" a="1"/>
  <c r="K26" i="316" a="1"/>
  <c r="D26" i="316" a="1"/>
  <c r="L27" i="42" a="1"/>
  <c r="M21" i="316" a="1"/>
  <c r="D25" i="43" a="1"/>
  <c r="H26" i="42" a="1"/>
  <c r="G23" i="316" a="1"/>
  <c r="C26" i="43" a="1"/>
  <c r="K27" i="42" a="1"/>
  <c r="M20" i="51" a="1"/>
  <c r="K21" i="316" a="1"/>
  <c r="D21" i="43" a="1"/>
  <c r="F26" i="44" a="1"/>
  <c r="F21" i="316" a="1"/>
  <c r="N20" i="44" a="1"/>
  <c r="K25" i="43" a="1"/>
  <c r="G27" i="43" a="1"/>
  <c r="G22" i="51" a="1"/>
  <c r="E24" i="316" a="1"/>
  <c r="N26" i="45" a="1"/>
  <c r="F25" i="44" a="1"/>
  <c r="L26" i="44" a="1"/>
  <c r="N24" i="45" a="1"/>
  <c r="E25" i="44" a="1"/>
  <c r="N22" i="51" a="1"/>
  <c r="G23" i="43" a="1"/>
  <c r="F25" i="42" a="1"/>
  <c r="L22" i="42" a="1"/>
  <c r="J27" i="316" a="1"/>
  <c r="G25" i="45" a="1"/>
  <c r="J23" i="316" a="1"/>
  <c r="I24" i="43" a="1"/>
  <c r="M25" i="45" a="1"/>
  <c r="H23" i="51" a="1"/>
  <c r="D27" i="51" a="1"/>
  <c r="K23" i="42" a="1"/>
  <c r="E23" i="45" a="1"/>
  <c r="F23" i="42" a="1"/>
  <c r="H23" i="42" a="1"/>
  <c r="I20" i="45" a="1"/>
  <c r="I23" i="316" a="1"/>
  <c r="N21" i="42" a="1"/>
  <c r="D23" i="43" a="1"/>
  <c r="E23" i="51" a="1"/>
  <c r="C23" i="44" a="1"/>
  <c r="E25" i="43" a="1"/>
  <c r="I27" i="43" a="1"/>
  <c r="F20" i="45" a="1"/>
  <c r="J22" i="51" a="1"/>
  <c r="C26" i="51" a="1"/>
  <c r="H26" i="44" a="1"/>
  <c r="L25" i="51" a="1"/>
  <c r="K22" i="43" a="1"/>
  <c r="C20" i="316" a="1"/>
  <c r="M21" i="51" a="1"/>
  <c r="E24" i="43" a="1"/>
  <c r="M22" i="51" a="1"/>
  <c r="M26" i="44" a="1"/>
  <c r="E25" i="316" a="1"/>
  <c r="G21" i="316" a="1"/>
  <c r="J22" i="42" a="1"/>
  <c r="M24" i="43" a="1"/>
  <c r="F22" i="42" a="1"/>
  <c r="N20" i="42" a="1"/>
  <c r="C25" i="45" a="1"/>
  <c r="D22" i="45" a="1"/>
  <c r="J20" i="51" a="1"/>
  <c r="L23" i="44" a="1"/>
  <c r="I26" i="316" a="1"/>
  <c r="M20" i="43" a="1"/>
  <c r="H21" i="43" a="1"/>
  <c r="G23" i="44" a="1"/>
  <c r="K26" i="51" a="1"/>
  <c r="D27" i="43" a="1"/>
  <c r="L27" i="51" a="1"/>
  <c r="N23" i="44" a="1"/>
  <c r="H23" i="44" a="1"/>
  <c r="N20" i="43" a="1"/>
  <c r="J24" i="316" a="1"/>
  <c r="J24" i="51" a="1"/>
  <c r="N24" i="42" a="1"/>
  <c r="D20" i="316" a="1"/>
  <c r="I21" i="51" a="1"/>
  <c r="H24" i="51" a="1"/>
  <c r="F26" i="42" a="1"/>
  <c r="K25" i="44" a="1"/>
  <c r="F25" i="45" a="1"/>
  <c r="D24" i="51" a="1"/>
  <c r="L22" i="316" a="1"/>
  <c r="N24" i="44" a="1"/>
  <c r="K24" i="42" a="1"/>
  <c r="G22" i="44" a="1"/>
  <c r="C26" i="42" a="1"/>
  <c r="E21" i="51" a="1"/>
  <c r="J21" i="316" a="1"/>
  <c r="K27" i="44" a="1"/>
  <c r="F27" i="43" a="1"/>
  <c r="H21" i="51" a="1"/>
  <c r="N25" i="43" a="1"/>
  <c r="N27" i="45" a="1"/>
  <c r="F22" i="43" a="1"/>
  <c r="M26" i="316" a="1"/>
  <c r="D26" i="45" a="1"/>
  <c r="C26" i="45" a="1"/>
  <c r="D22" i="316" a="1"/>
  <c r="M20" i="42" a="1"/>
  <c r="C22" i="51" a="1"/>
  <c r="C21" i="316" a="1"/>
  <c r="I22" i="45" a="1"/>
  <c r="F24" i="51" a="1"/>
  <c r="L23" i="43" a="1"/>
  <c r="D24" i="43" a="1"/>
  <c r="M23" i="44" a="1"/>
  <c r="F23" i="45" a="1"/>
  <c r="I24" i="42" a="1"/>
  <c r="H24" i="44" a="1"/>
  <c r="G25" i="316" a="1"/>
  <c r="F23" i="43" a="1"/>
  <c r="G20" i="42" a="1"/>
  <c r="G26" i="42" a="1"/>
  <c r="N27" i="44" a="1"/>
  <c r="C25" i="44" a="1"/>
  <c r="J20" i="43" a="1"/>
  <c r="I21" i="316" a="1"/>
  <c r="E24" i="45" a="1"/>
  <c r="E25" i="45" a="1"/>
  <c r="J26" i="43" a="1"/>
  <c r="K23" i="44" a="1"/>
  <c r="E23" i="316" a="1"/>
  <c r="K23" i="45" a="1"/>
  <c r="I26" i="44" a="1"/>
  <c r="E26" i="43" a="1"/>
  <c r="H22" i="45" a="1"/>
  <c r="C26" i="316" a="1"/>
  <c r="D20" i="43" a="1"/>
  <c r="N21" i="43" a="1"/>
  <c r="E22" i="44" a="1"/>
  <c r="I25" i="316" a="1"/>
  <c r="I24" i="316" a="1"/>
  <c r="G22" i="316" a="1"/>
  <c r="H24" i="45" a="1"/>
  <c r="F24" i="43" a="1"/>
  <c r="G20" i="51" a="1"/>
  <c r="D23" i="45" a="1"/>
  <c r="F27" i="51" a="1"/>
  <c r="K21" i="51" a="1"/>
  <c r="D26" i="51" a="1"/>
  <c r="K24" i="44" a="1"/>
  <c r="G26" i="45" a="1"/>
  <c r="J26" i="44" a="1"/>
  <c r="I24" i="51" a="1"/>
  <c r="D26" i="44" a="1"/>
  <c r="M26" i="42" a="1"/>
  <c r="M27" i="44" a="1"/>
  <c r="N21" i="45" a="1"/>
  <c r="H22" i="42" a="1"/>
  <c r="G25" i="42" a="1"/>
  <c r="C20" i="43" a="1"/>
  <c r="L25" i="43" a="1"/>
  <c r="L23" i="45" a="1"/>
  <c r="E24" i="44" a="1"/>
  <c r="M26" i="51" a="1"/>
  <c r="D22" i="44" a="1"/>
  <c r="K27" i="43" a="1"/>
  <c r="K20" i="43" a="1"/>
  <c r="C22" i="45" a="1"/>
  <c r="F23" i="51" a="1"/>
  <c r="J22" i="44" a="1"/>
  <c r="F21" i="42" a="1"/>
  <c r="C22" i="43" a="1"/>
  <c r="E27" i="44" a="1"/>
  <c r="H26" i="43" a="1"/>
  <c r="G24" i="42" a="1"/>
  <c r="L24" i="51" a="1"/>
  <c r="C23" i="43" a="1"/>
  <c r="L24" i="45" a="1"/>
  <c r="D21" i="42" a="1"/>
  <c r="M24" i="45" a="1"/>
  <c r="I23" i="51" a="1"/>
  <c r="D22" i="51" a="1"/>
  <c r="J25" i="51" a="1"/>
  <c r="K24" i="45" a="1"/>
  <c r="M23" i="316" a="1"/>
  <c r="M25" i="44" a="1"/>
  <c r="N23" i="45" a="1"/>
  <c r="G25" i="51" a="1"/>
  <c r="N21" i="51" a="1"/>
  <c r="M24" i="44" a="1"/>
  <c r="G24" i="43" a="1"/>
  <c r="K21" i="42" a="1"/>
  <c r="H27" i="316" a="1"/>
  <c r="I21" i="42" a="1"/>
  <c r="M26" i="45" a="1"/>
  <c r="I20" i="51" a="1"/>
  <c r="J21" i="51" a="1"/>
  <c r="D20" i="51" a="1"/>
  <c r="C22" i="44" a="1"/>
  <c r="N20" i="51" a="1"/>
  <c r="N20" i="45" a="1"/>
  <c r="F24" i="45" a="1"/>
  <c r="I23" i="42" a="1"/>
  <c r="G24" i="316" a="1"/>
  <c r="N26" i="51" a="1"/>
  <c r="E21" i="43" a="1"/>
  <c r="F21" i="51" a="1"/>
  <c r="D21" i="44" a="1"/>
  <c r="F21" i="43" a="1"/>
  <c r="I20" i="43" a="1"/>
  <c r="K23" i="43" a="1"/>
  <c r="G20" i="43" a="1"/>
  <c r="J24" i="43" a="1"/>
  <c r="G21" i="51" a="1"/>
  <c r="J21" i="45" a="1"/>
  <c r="H25" i="51" a="1"/>
  <c r="F26" i="43" a="1"/>
  <c r="H20" i="43" a="1"/>
  <c r="H22" i="51" a="1"/>
  <c r="M24" i="51" a="1"/>
  <c r="I21" i="43" a="1"/>
  <c r="N21" i="44" a="1"/>
  <c r="C20" i="51" a="1"/>
  <c r="F27" i="316" a="1"/>
  <c r="J27" i="51" a="1"/>
  <c r="D26" i="43" a="1"/>
  <c r="H26" i="51" a="1"/>
  <c r="I27" i="316" a="1"/>
  <c r="F25" i="51" a="1"/>
  <c r="N23" i="51" a="1"/>
  <c r="E26" i="42" a="1"/>
  <c r="H25" i="42" a="1"/>
  <c r="K26" i="43" a="1"/>
  <c r="L24" i="42" a="1"/>
  <c r="C21" i="42" a="1"/>
  <c r="E27" i="43" a="1"/>
  <c r="G23" i="51" a="1"/>
  <c r="I22" i="44" a="1"/>
  <c r="L25" i="42" a="1"/>
  <c r="D27" i="42" a="1"/>
  <c r="F27" i="45" a="1"/>
  <c r="M21" i="45" a="1"/>
  <c r="E27" i="51" a="1"/>
  <c r="M20" i="45" a="1"/>
  <c r="N26" i="44" a="1"/>
  <c r="H22" i="43" a="1"/>
  <c r="J27" i="44" a="1"/>
  <c r="L23" i="51" a="1"/>
  <c r="K20" i="42" a="1"/>
  <c r="J24" i="42" a="1"/>
  <c r="D27" i="44" a="1"/>
  <c r="H20" i="51" a="1"/>
  <c r="M22" i="43" a="1"/>
  <c r="L26" i="43" a="1"/>
  <c r="H24" i="42" a="1"/>
  <c r="H25" i="44" a="1"/>
  <c r="C27" i="44" a="1"/>
  <c r="K20" i="51" a="1"/>
  <c r="J22" i="316" a="1"/>
  <c r="M23" i="42" a="1"/>
  <c r="L22" i="51" a="1"/>
  <c r="D20" i="45" a="1"/>
  <c r="M26" i="43" a="1"/>
  <c r="E20" i="316" a="1"/>
  <c r="C22" i="316" a="1"/>
  <c r="G27" i="51" a="1"/>
  <c r="N27" i="43" a="1"/>
  <c r="I27" i="51" a="1"/>
  <c r="I26" i="51" a="1"/>
  <c r="H21" i="42" a="1"/>
  <c r="M23" i="45" a="1"/>
  <c r="I22" i="51" a="1"/>
  <c r="F20" i="43" a="1"/>
  <c r="F20" i="51" a="1"/>
  <c r="G20" i="44" a="1"/>
  <c r="G27" i="42" a="1"/>
  <c r="D20" i="44" a="1"/>
  <c r="N23" i="42" a="1"/>
  <c r="J23" i="51" a="1"/>
  <c r="D20" i="42" a="1"/>
  <c r="D26" i="42" a="1"/>
  <c r="I25" i="43" a="1"/>
  <c r="N25" i="45" a="1"/>
  <c r="G26" i="43" a="1"/>
  <c r="M24" i="42" a="1"/>
  <c r="E27" i="45" a="1"/>
  <c r="I27" i="42" a="1"/>
  <c r="J23" i="42" a="1"/>
  <c r="J22" i="43" a="1"/>
  <c r="L27" i="43" a="1"/>
  <c r="F21" i="44" a="1"/>
  <c r="J20" i="42" a="1"/>
  <c r="C21" i="44" a="1"/>
  <c r="N22" i="45" a="1"/>
  <c r="J26" i="316" a="1"/>
  <c r="J21" i="44" a="1"/>
  <c r="C22" i="42" a="1"/>
  <c r="M23" i="51" a="1"/>
  <c r="N25" i="44" a="1"/>
  <c r="L26" i="51" a="1"/>
  <c r="N25" i="42" a="1"/>
  <c r="L25" i="45" a="1"/>
  <c r="C23" i="42" a="1"/>
  <c r="L26" i="45" a="1"/>
  <c r="J23" i="44" a="1"/>
  <c r="M22" i="42" a="1"/>
  <c r="H25" i="45" a="1"/>
  <c r="K26" i="42" a="1"/>
  <c r="G22" i="45" a="1"/>
  <c r="G20" i="316" a="1"/>
  <c r="J26" i="42" a="1"/>
  <c r="F27" i="42" a="1"/>
  <c r="L21" i="44" a="1"/>
  <c r="K22" i="44" a="1"/>
  <c r="I25" i="51" a="1"/>
  <c r="I26" i="45" a="1"/>
  <c r="I26" i="43" a="1"/>
  <c r="E22" i="43" a="1"/>
  <c r="H27" i="51" a="1"/>
  <c r="H23" i="45" a="1"/>
  <c r="L21" i="43" a="1"/>
  <c r="F25" i="43" a="1"/>
  <c r="H27" i="44" a="1"/>
  <c r="N26" i="43" a="1"/>
  <c r="C24" i="43" a="1"/>
  <c r="N22" i="43" a="1"/>
  <c r="C26" i="44" a="1"/>
  <c r="C24" i="42" a="1"/>
  <c r="H27" i="42" a="1"/>
  <c r="N24" i="43" a="1"/>
  <c r="M22" i="45" a="1"/>
  <c r="I23" i="45" a="1"/>
  <c r="E20" i="42" a="1"/>
  <c r="F23" i="44" a="1"/>
  <c r="J27" i="42" a="1"/>
  <c r="G20" i="45" a="1"/>
  <c r="C27" i="51" a="1"/>
  <c r="E25" i="42" a="1"/>
  <c r="J27" i="43" a="1"/>
  <c r="H26" i="45" a="1"/>
  <c r="H20" i="45" a="1"/>
  <c r="C20" i="44" a="1"/>
  <c r="I21" i="45" a="1"/>
  <c r="D25" i="45" a="1"/>
  <c r="C23" i="51" a="1"/>
  <c r="K25" i="316" a="1"/>
  <c r="J24" i="45" a="1"/>
  <c r="E23" i="43" a="1"/>
  <c r="E20" i="44" a="1"/>
  <c r="L22" i="44" a="1"/>
  <c r="L20" i="43" a="1"/>
  <c r="L24" i="43" a="1"/>
  <c r="C21" i="51" a="1"/>
  <c r="N24" i="51" a="1"/>
  <c r="L27" i="44" a="1"/>
  <c r="K24" i="43" a="1"/>
  <c r="D21" i="51" a="1"/>
  <c r="M27" i="51" a="1"/>
  <c r="M21" i="44" a="1"/>
  <c r="F26" i="51" a="1"/>
  <c r="J20" i="44" a="1"/>
  <c r="I27" i="45" a="1"/>
  <c r="E25" i="51" a="1"/>
  <c r="H27" i="43" a="1"/>
  <c r="G23" i="42" a="1"/>
  <c r="F20" i="44" a="1"/>
  <c r="J25" i="44" a="1"/>
  <c r="E20" i="45" a="1"/>
  <c r="D27" i="45" a="1"/>
  <c r="D22" i="43" a="1"/>
  <c r="E23" i="44" a="1"/>
  <c r="M22" i="44" a="1"/>
  <c r="K20" i="45" a="1"/>
  <c r="K22" i="45" a="1"/>
  <c r="G24" i="51" a="1"/>
  <c r="E23" i="42" a="1"/>
  <c r="G26" i="51" a="1"/>
  <c r="G24" i="44" a="1"/>
  <c r="J21" i="43" a="1"/>
  <c r="M20" i="44" a="1"/>
  <c r="L26" i="42" a="1"/>
  <c r="K27" i="45" a="1"/>
  <c r="K20" i="316" a="1"/>
  <c r="J25" i="42" a="1"/>
  <c r="L22" i="45" a="1"/>
  <c r="D23" i="44" a="1"/>
  <c r="G22" i="42" a="1"/>
  <c r="G21" i="44" a="1"/>
  <c r="D24" i="42" a="1"/>
  <c r="F27" i="44" a="1"/>
  <c r="E26" i="45" a="1"/>
  <c r="I22" i="42" a="1"/>
  <c r="G21" i="43" a="1"/>
  <c r="I22" i="43" a="1"/>
  <c r="G24" i="45" a="1"/>
  <c r="N22" i="44" a="1"/>
  <c r="C21" i="43" a="1"/>
  <c r="M25" i="51" a="1"/>
  <c r="L21" i="51" a="1"/>
  <c r="F22" i="45" a="1"/>
  <c r="F24" i="44" a="1"/>
  <c r="G25" i="44" a="1"/>
  <c r="E21" i="42" a="1"/>
  <c r="G22" i="43" a="1"/>
  <c r="K20" i="44" a="1"/>
  <c r="L20" i="42" a="1"/>
  <c r="D25" i="51" a="1"/>
  <c r="I25" i="42" a="1"/>
  <c r="J23" i="45" a="1"/>
  <c r="K21" i="43" a="1"/>
  <c r="J20" i="45" a="1"/>
  <c r="N22" i="42" a="1"/>
  <c r="I20" i="42" a="1"/>
  <c r="I26" i="42" a="1"/>
  <c r="L23" i="42" a="1"/>
  <c r="G21" i="42" a="1"/>
  <c r="G23" i="45" a="1"/>
  <c r="C24" i="45" a="1"/>
  <c r="E24" i="42" a="1"/>
  <c r="F22" i="44" a="1"/>
  <c r="E20" i="43" a="1"/>
  <c r="E27" i="42" a="1"/>
  <c r="K25" i="51" a="1"/>
  <c r="M27" i="42" a="1"/>
  <c r="K21" i="45" a="1"/>
  <c r="L21" i="45" a="1"/>
  <c r="F26" i="45" a="1"/>
  <c r="E26" i="44" a="1"/>
  <c r="C21" i="45" a="1"/>
  <c r="K24" i="51" a="1"/>
  <c r="L27" i="45" a="1"/>
  <c r="L22" i="43" a="1"/>
  <c r="C27" i="42" a="1"/>
  <c r="J24" i="44" a="1"/>
  <c r="L25" i="44" a="1"/>
  <c r="N27" i="42" a="1"/>
  <c r="K23" i="51" a="1"/>
  <c r="D25" i="42" a="1"/>
  <c r="M27" i="43" a="1"/>
  <c r="L21" i="42" a="1"/>
  <c r="J23" i="43" a="1"/>
  <c r="C20" i="45" a="1"/>
  <c r="D24" i="45" a="1"/>
  <c r="C27" i="43" a="1"/>
  <c r="I23" i="44" a="1"/>
  <c r="G25" i="43" a="1"/>
  <c r="E21" i="45" a="1"/>
  <c r="N26" i="42" a="1"/>
  <c r="I23" i="43" a="1"/>
  <c r="C23" i="45" a="1"/>
  <c r="F20" i="42" a="1"/>
  <c r="H21" i="44" a="1"/>
  <c r="J26" i="45" a="1"/>
  <c r="G27" i="45" a="1"/>
  <c r="C20" i="42" a="1"/>
  <c r="K25" i="42" a="1"/>
  <c r="D23" i="51" a="1"/>
  <c r="F26" i="316" a="1"/>
  <c r="L24" i="44" a="1"/>
  <c r="H24" i="43" a="1"/>
  <c r="N25" i="51" a="1"/>
  <c r="E22" i="45" a="1"/>
  <c r="L20" i="44" a="1"/>
  <c r="E22" i="42" a="1"/>
  <c r="D25" i="44" a="1"/>
  <c r="L20" i="51" a="1"/>
  <c r="H21" i="45" a="1"/>
  <c r="D22" i="42" a="1"/>
  <c r="K22" i="42" a="1"/>
  <c r="E26" i="51" a="1"/>
  <c r="K22" i="51" a="1"/>
  <c r="D21" i="45" a="1"/>
  <c r="I21" i="44" a="1"/>
  <c r="I25" i="44" a="1"/>
  <c r="J25" i="43" a="1"/>
  <c r="G27" i="44" a="1"/>
  <c r="N27" i="51" a="1"/>
  <c r="H23" i="43" a="1"/>
  <c r="E21" i="44" a="1"/>
  <c r="M25" i="42" a="1"/>
  <c r="J27" i="45" a="1"/>
  <c r="K26" i="44" a="1"/>
  <c r="I27" i="44" a="1"/>
  <c r="F24" i="42" a="1"/>
  <c r="E24" i="51" a="1"/>
  <c r="I24" i="44" a="1"/>
  <c r="C24" i="44" a="1"/>
  <c r="H20" i="44" a="1"/>
  <c r="G25" i="43" l="1"/>
  <c r="K25" i="51"/>
  <c r="K22" i="51"/>
  <c r="M27" i="42"/>
  <c r="E27" i="42"/>
  <c r="I23" i="44"/>
  <c r="L21" i="45"/>
  <c r="E26" i="51"/>
  <c r="I20" i="42"/>
  <c r="L25" i="44"/>
  <c r="D25" i="44"/>
  <c r="N22" i="42"/>
  <c r="K21" i="45"/>
  <c r="J24" i="44"/>
  <c r="E22" i="42"/>
  <c r="J20" i="45"/>
  <c r="G27" i="45"/>
  <c r="M25" i="42"/>
  <c r="K22" i="42"/>
  <c r="E21" i="44"/>
  <c r="J26" i="45"/>
  <c r="K24" i="51"/>
  <c r="E22" i="45"/>
  <c r="D22" i="42"/>
  <c r="H23" i="43"/>
  <c r="H21" i="44"/>
  <c r="G21" i="42"/>
  <c r="C27" i="43"/>
  <c r="C24" i="44"/>
  <c r="N27" i="42"/>
  <c r="K26" i="44"/>
  <c r="C27" i="42"/>
  <c r="N25" i="51"/>
  <c r="H20" i="44"/>
  <c r="E20" i="43"/>
  <c r="K21" i="43"/>
  <c r="I24" i="44"/>
  <c r="H24" i="43"/>
  <c r="L23" i="42"/>
  <c r="F20" i="42"/>
  <c r="L24" i="44"/>
  <c r="C23" i="45"/>
  <c r="F22" i="44"/>
  <c r="F26" i="45"/>
  <c r="D24" i="45"/>
  <c r="E24" i="42"/>
  <c r="H21" i="45"/>
  <c r="E24" i="51"/>
  <c r="C20" i="45"/>
  <c r="L20" i="51"/>
  <c r="N27" i="51"/>
  <c r="J23" i="43"/>
  <c r="F26" i="316"/>
  <c r="G27" i="44"/>
  <c r="C21" i="45"/>
  <c r="E26" i="44"/>
  <c r="F24" i="42"/>
  <c r="L21" i="42"/>
  <c r="L20" i="44"/>
  <c r="C24" i="45"/>
  <c r="G25" i="44"/>
  <c r="D23" i="51"/>
  <c r="J25" i="43"/>
  <c r="G24" i="51"/>
  <c r="D21" i="51"/>
  <c r="K24" i="43"/>
  <c r="I25" i="44"/>
  <c r="L27" i="44"/>
  <c r="F24" i="44"/>
  <c r="J23" i="45"/>
  <c r="N24" i="51"/>
  <c r="M27" i="43"/>
  <c r="L22" i="43"/>
  <c r="J25" i="42"/>
  <c r="I26" i="42"/>
  <c r="I23" i="43"/>
  <c r="G21" i="44"/>
  <c r="K20" i="316"/>
  <c r="J27" i="45"/>
  <c r="K22" i="45"/>
  <c r="K25" i="42"/>
  <c r="N26" i="42"/>
  <c r="K27" i="45"/>
  <c r="C20" i="42"/>
  <c r="L26" i="42"/>
  <c r="H27" i="43"/>
  <c r="C21" i="51"/>
  <c r="M20" i="44"/>
  <c r="D25" i="42"/>
  <c r="G22" i="42"/>
  <c r="E25" i="51"/>
  <c r="D23" i="44"/>
  <c r="K20" i="44"/>
  <c r="L27" i="45"/>
  <c r="G24" i="45"/>
  <c r="L22" i="45"/>
  <c r="I27" i="44"/>
  <c r="I21" i="44"/>
  <c r="K20" i="45"/>
  <c r="M22" i="44"/>
  <c r="K23" i="51"/>
  <c r="I27" i="45"/>
  <c r="E23" i="44"/>
  <c r="L24" i="43"/>
  <c r="D22" i="43"/>
  <c r="J20" i="44"/>
  <c r="I25" i="42"/>
  <c r="J21" i="43"/>
  <c r="I22" i="43"/>
  <c r="G21" i="43"/>
  <c r="G24" i="44"/>
  <c r="I22" i="42"/>
  <c r="M25" i="51"/>
  <c r="D27" i="45"/>
  <c r="E26" i="45"/>
  <c r="G26" i="51"/>
  <c r="D25" i="51"/>
  <c r="G22" i="43"/>
  <c r="F27" i="44"/>
  <c r="F22" i="45"/>
  <c r="F26" i="51"/>
  <c r="M21" i="44"/>
  <c r="G23" i="45"/>
  <c r="E21" i="45"/>
  <c r="E20" i="45"/>
  <c r="J25" i="44"/>
  <c r="E23" i="42"/>
  <c r="D21" i="45"/>
  <c r="M27" i="51"/>
  <c r="L20" i="42"/>
  <c r="N22" i="43"/>
  <c r="L20" i="43"/>
  <c r="L26" i="51"/>
  <c r="I25" i="51"/>
  <c r="C21" i="43"/>
  <c r="J27" i="42"/>
  <c r="F23" i="44"/>
  <c r="K26" i="42"/>
  <c r="D24" i="42"/>
  <c r="L22" i="44"/>
  <c r="N25" i="44"/>
  <c r="H27" i="44"/>
  <c r="C24" i="43"/>
  <c r="J21" i="44"/>
  <c r="F20" i="44"/>
  <c r="H20" i="45"/>
  <c r="F25" i="43"/>
  <c r="E20" i="44"/>
  <c r="E23" i="43"/>
  <c r="J24" i="45"/>
  <c r="K22" i="44"/>
  <c r="L21" i="43"/>
  <c r="K25" i="316"/>
  <c r="H25" i="45"/>
  <c r="M23" i="51"/>
  <c r="H27" i="42"/>
  <c r="J26" i="316"/>
  <c r="E20" i="42"/>
  <c r="H26" i="45"/>
  <c r="C22" i="42"/>
  <c r="L21" i="44"/>
  <c r="M22" i="42"/>
  <c r="C24" i="42"/>
  <c r="N22" i="45"/>
  <c r="J23" i="44"/>
  <c r="H23" i="45"/>
  <c r="C21" i="44"/>
  <c r="C23" i="51"/>
  <c r="H27" i="51"/>
  <c r="I26" i="45"/>
  <c r="E22" i="43"/>
  <c r="D25" i="45"/>
  <c r="N22" i="44"/>
  <c r="J27" i="43"/>
  <c r="G23" i="42"/>
  <c r="I21" i="45"/>
  <c r="C26" i="44"/>
  <c r="L21" i="51"/>
  <c r="F27" i="42"/>
  <c r="E25" i="42"/>
  <c r="N26" i="43"/>
  <c r="C27" i="51"/>
  <c r="L26" i="45"/>
  <c r="L26" i="43"/>
  <c r="H25" i="42"/>
  <c r="N23" i="42"/>
  <c r="G20" i="45"/>
  <c r="E26" i="42"/>
  <c r="G26" i="43"/>
  <c r="J20" i="42"/>
  <c r="N26" i="44"/>
  <c r="I26" i="51"/>
  <c r="I23" i="45"/>
  <c r="N25" i="45"/>
  <c r="N23" i="51"/>
  <c r="C23" i="42"/>
  <c r="I25" i="43"/>
  <c r="F21" i="44"/>
  <c r="M22" i="45"/>
  <c r="J26" i="42"/>
  <c r="I26" i="43"/>
  <c r="N24" i="43"/>
  <c r="L27" i="43"/>
  <c r="F25" i="51"/>
  <c r="I27" i="51"/>
  <c r="I27" i="316"/>
  <c r="M23" i="42"/>
  <c r="H26" i="51"/>
  <c r="J22" i="43"/>
  <c r="G20" i="316"/>
  <c r="L25" i="45"/>
  <c r="J27" i="44"/>
  <c r="J22" i="316"/>
  <c r="M20" i="45"/>
  <c r="F20" i="51"/>
  <c r="C20" i="44"/>
  <c r="N27" i="43"/>
  <c r="K20" i="51"/>
  <c r="E27" i="51"/>
  <c r="J23" i="42"/>
  <c r="G23" i="51"/>
  <c r="M22" i="43"/>
  <c r="D20" i="44"/>
  <c r="C27" i="44"/>
  <c r="F20" i="43"/>
  <c r="H20" i="51"/>
  <c r="D26" i="43"/>
  <c r="I27" i="42"/>
  <c r="E27" i="43"/>
  <c r="G27" i="51"/>
  <c r="D27" i="44"/>
  <c r="H22" i="43"/>
  <c r="J24" i="42"/>
  <c r="I22" i="51"/>
  <c r="M21" i="45"/>
  <c r="J27" i="51"/>
  <c r="K20" i="42"/>
  <c r="C21" i="42"/>
  <c r="H25" i="44"/>
  <c r="G27" i="42"/>
  <c r="C22" i="316"/>
  <c r="F27" i="316"/>
  <c r="D26" i="42"/>
  <c r="C20" i="51"/>
  <c r="D20" i="42"/>
  <c r="F27" i="45"/>
  <c r="D27" i="42"/>
  <c r="L25" i="42"/>
  <c r="G22" i="45"/>
  <c r="E27" i="45"/>
  <c r="E20" i="316"/>
  <c r="K27" i="43"/>
  <c r="H27" i="316"/>
  <c r="K21" i="42"/>
  <c r="L24" i="45"/>
  <c r="G20" i="44"/>
  <c r="I21" i="43"/>
  <c r="M26" i="43"/>
  <c r="J25" i="51"/>
  <c r="L24" i="42"/>
  <c r="E21" i="42"/>
  <c r="D22" i="44"/>
  <c r="G24" i="43"/>
  <c r="H24" i="42"/>
  <c r="M26" i="51"/>
  <c r="M24" i="51"/>
  <c r="C23" i="43"/>
  <c r="J21" i="45"/>
  <c r="D22" i="51"/>
  <c r="N25" i="42"/>
  <c r="N20" i="51"/>
  <c r="M24" i="44"/>
  <c r="L24" i="51"/>
  <c r="G20" i="43"/>
  <c r="G21" i="51"/>
  <c r="H22" i="51"/>
  <c r="K23" i="43"/>
  <c r="I20" i="43"/>
  <c r="F21" i="43"/>
  <c r="E24" i="44"/>
  <c r="F24" i="45"/>
  <c r="N21" i="51"/>
  <c r="M23" i="45"/>
  <c r="D20" i="45"/>
  <c r="D21" i="44"/>
  <c r="I23" i="51"/>
  <c r="M24" i="45"/>
  <c r="C22" i="44"/>
  <c r="G24" i="42"/>
  <c r="G25" i="51"/>
  <c r="E27" i="44"/>
  <c r="N23" i="45"/>
  <c r="D20" i="51"/>
  <c r="I22" i="44"/>
  <c r="J21" i="51"/>
  <c r="F21" i="51"/>
  <c r="N21" i="44"/>
  <c r="L23" i="45"/>
  <c r="E21" i="43"/>
  <c r="I20" i="51"/>
  <c r="C22" i="43"/>
  <c r="M26" i="45"/>
  <c r="K26" i="43"/>
  <c r="D21" i="42"/>
  <c r="L25" i="43"/>
  <c r="F21" i="42"/>
  <c r="J22" i="44"/>
  <c r="M25" i="44"/>
  <c r="N20" i="45"/>
  <c r="J24" i="43"/>
  <c r="H20" i="43"/>
  <c r="C20" i="43"/>
  <c r="F23" i="51"/>
  <c r="G25" i="42"/>
  <c r="C22" i="45"/>
  <c r="H22" i="42"/>
  <c r="N21" i="45"/>
  <c r="H21" i="42"/>
  <c r="M23" i="316"/>
  <c r="I21" i="42"/>
  <c r="N26" i="51"/>
  <c r="J23" i="51"/>
  <c r="L22" i="51"/>
  <c r="G26" i="45"/>
  <c r="L23" i="51"/>
  <c r="M27" i="44"/>
  <c r="E22" i="44"/>
  <c r="K24" i="44"/>
  <c r="E26" i="43"/>
  <c r="D23" i="45"/>
  <c r="D26" i="44"/>
  <c r="G24" i="316"/>
  <c r="D26" i="51"/>
  <c r="G20" i="51"/>
  <c r="D20" i="43"/>
  <c r="I26" i="44"/>
  <c r="K24" i="45"/>
  <c r="K23" i="45"/>
  <c r="F24" i="43"/>
  <c r="F26" i="43"/>
  <c r="H24" i="45"/>
  <c r="G22" i="316"/>
  <c r="C26" i="316"/>
  <c r="M24" i="42"/>
  <c r="E23" i="316"/>
  <c r="K23" i="44"/>
  <c r="J26" i="43"/>
  <c r="I24" i="316"/>
  <c r="M26" i="42"/>
  <c r="I23" i="42"/>
  <c r="H26" i="43"/>
  <c r="N20" i="43"/>
  <c r="H23" i="44"/>
  <c r="M26" i="316"/>
  <c r="I21" i="51"/>
  <c r="K21" i="51"/>
  <c r="F22" i="43"/>
  <c r="E24" i="45"/>
  <c r="C26" i="42"/>
  <c r="F27" i="51"/>
  <c r="I21" i="316"/>
  <c r="G22" i="44"/>
  <c r="H24" i="44"/>
  <c r="E25" i="45"/>
  <c r="N23" i="44"/>
  <c r="K24" i="42"/>
  <c r="L27" i="51"/>
  <c r="G20" i="42"/>
  <c r="I25" i="316"/>
  <c r="N21" i="43"/>
  <c r="J21" i="316"/>
  <c r="D24" i="51"/>
  <c r="J20" i="43"/>
  <c r="H25" i="51"/>
  <c r="N27" i="45"/>
  <c r="D20" i="316"/>
  <c r="C25" i="44"/>
  <c r="N27" i="44"/>
  <c r="E21" i="51"/>
  <c r="I24" i="42"/>
  <c r="I24" i="51"/>
  <c r="F23" i="45"/>
  <c r="K20" i="43"/>
  <c r="N25" i="43"/>
  <c r="C22" i="51"/>
  <c r="G26" i="42"/>
  <c r="F23" i="43"/>
  <c r="M23" i="44"/>
  <c r="N24" i="42"/>
  <c r="N24" i="44"/>
  <c r="M20" i="42"/>
  <c r="H22" i="45"/>
  <c r="L23" i="43"/>
  <c r="D27" i="43"/>
  <c r="D22" i="316"/>
  <c r="L22" i="316"/>
  <c r="H21" i="51"/>
  <c r="C26" i="45"/>
  <c r="D24" i="43"/>
  <c r="F27" i="43"/>
  <c r="K26" i="51"/>
  <c r="F24" i="51"/>
  <c r="F25" i="45"/>
  <c r="L23" i="44"/>
  <c r="D26" i="45"/>
  <c r="F20" i="45"/>
  <c r="I27" i="43"/>
  <c r="J20" i="51"/>
  <c r="I22" i="45"/>
  <c r="I23" i="316"/>
  <c r="I20" i="45"/>
  <c r="M21" i="51"/>
  <c r="D22" i="45"/>
  <c r="J24" i="51"/>
  <c r="K25" i="44"/>
  <c r="E25" i="43"/>
  <c r="C25" i="45"/>
  <c r="G25" i="316"/>
  <c r="H23" i="51"/>
  <c r="M25" i="45"/>
  <c r="H23" i="42"/>
  <c r="F23" i="42"/>
  <c r="I24" i="43"/>
  <c r="J23" i="316"/>
  <c r="C20" i="316"/>
  <c r="C21" i="316"/>
  <c r="G23" i="44"/>
  <c r="D23" i="43"/>
  <c r="E23" i="45"/>
  <c r="F26" i="42"/>
  <c r="N20" i="42"/>
  <c r="G25" i="45"/>
  <c r="H21" i="43"/>
  <c r="F22" i="42"/>
  <c r="M22" i="51"/>
  <c r="M24" i="43"/>
  <c r="F25" i="42"/>
  <c r="E24" i="43"/>
  <c r="K27" i="44"/>
  <c r="H24" i="51"/>
  <c r="K23" i="42"/>
  <c r="J27" i="316"/>
  <c r="K22" i="43"/>
  <c r="M20" i="43"/>
  <c r="J24" i="316"/>
  <c r="D27" i="51"/>
  <c r="L25" i="51"/>
  <c r="H26" i="44"/>
  <c r="N21" i="42"/>
  <c r="J22" i="42"/>
  <c r="G23" i="43"/>
  <c r="L22" i="42"/>
  <c r="G22" i="51"/>
  <c r="M21" i="316"/>
  <c r="G27" i="43"/>
  <c r="C26" i="51"/>
  <c r="K25" i="43"/>
  <c r="G21" i="316"/>
  <c r="C23" i="44"/>
  <c r="I26" i="316"/>
  <c r="L26" i="44"/>
  <c r="F25" i="44"/>
  <c r="E25" i="316"/>
  <c r="L27" i="42"/>
  <c r="G23" i="316"/>
  <c r="N20" i="44"/>
  <c r="E23" i="51"/>
  <c r="F21" i="316"/>
  <c r="D26" i="316"/>
  <c r="N22" i="51"/>
  <c r="M20" i="51"/>
  <c r="F26" i="44"/>
  <c r="J22" i="51"/>
  <c r="E25" i="44"/>
  <c r="K27" i="42"/>
  <c r="N24" i="45"/>
  <c r="H26" i="42"/>
  <c r="M26" i="44"/>
  <c r="E24" i="316"/>
  <c r="D25" i="43"/>
  <c r="M21" i="43"/>
  <c r="J26" i="44"/>
  <c r="G21" i="45"/>
  <c r="C27" i="45"/>
  <c r="C26" i="43"/>
  <c r="E20" i="51"/>
  <c r="F22" i="51"/>
  <c r="M21" i="42"/>
  <c r="D24" i="44"/>
  <c r="N26" i="45"/>
  <c r="D21" i="43"/>
  <c r="M20" i="316"/>
  <c r="H25" i="43"/>
  <c r="K27" i="51"/>
  <c r="K27" i="316"/>
  <c r="D23" i="42"/>
  <c r="J25" i="316"/>
  <c r="H22" i="44"/>
  <c r="E22" i="51"/>
  <c r="F21" i="45"/>
  <c r="I22" i="316"/>
  <c r="N23" i="43"/>
  <c r="K21" i="316"/>
  <c r="M25" i="43"/>
  <c r="G26" i="44"/>
  <c r="I25" i="45"/>
  <c r="H21" i="316"/>
  <c r="G26" i="316"/>
  <c r="J25" i="45"/>
  <c r="C25" i="43"/>
  <c r="M25" i="316"/>
  <c r="J26" i="51"/>
  <c r="L23" i="316"/>
  <c r="F25" i="316"/>
  <c r="D24" i="316"/>
  <c r="D21" i="316"/>
  <c r="D23" i="316"/>
  <c r="L21" i="316"/>
  <c r="D25" i="316"/>
  <c r="K26" i="316"/>
  <c r="I24" i="45"/>
  <c r="L27" i="316"/>
  <c r="L26" i="316"/>
  <c r="C25" i="316"/>
  <c r="H25" i="316"/>
  <c r="C25" i="42"/>
  <c r="L20" i="45"/>
  <c r="M27" i="45"/>
  <c r="M24" i="316"/>
  <c r="L24" i="316"/>
  <c r="C23" i="316"/>
  <c r="C25" i="51"/>
  <c r="H23" i="316"/>
  <c r="J20" i="316"/>
  <c r="E27" i="316"/>
  <c r="K22" i="316"/>
  <c r="F24" i="316"/>
  <c r="H26" i="316"/>
  <c r="K26" i="45"/>
  <c r="H27" i="45"/>
  <c r="I20" i="44"/>
  <c r="L25" i="316"/>
  <c r="J21" i="42"/>
  <c r="K23" i="316"/>
  <c r="E22" i="316"/>
  <c r="K25" i="45"/>
  <c r="L20" i="316"/>
  <c r="J22" i="45"/>
  <c r="M22" i="316"/>
  <c r="M27" i="316"/>
  <c r="C24" i="316"/>
  <c r="M23" i="43"/>
  <c r="C27" i="316"/>
  <c r="H22" i="316"/>
  <c r="E26" i="316"/>
  <c r="D27" i="316"/>
  <c r="F23" i="316"/>
  <c r="H20" i="316"/>
  <c r="F20" i="316"/>
  <c r="G27" i="316"/>
  <c r="F22" i="316"/>
  <c r="K21" i="44"/>
  <c r="I20" i="316"/>
  <c r="K24" i="316"/>
  <c r="E21" i="316"/>
  <c r="H24" i="316"/>
  <c r="H20" i="42"/>
  <c r="C24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<sst xmlns="http://schemas.openxmlformats.org/spreadsheetml/2006/main" count="451" uniqueCount="106">
  <si>
    <t>ALK/ROS1/RET/MET</t>
  </si>
  <si>
    <t>Volume final</t>
  </si>
  <si>
    <t>Concentração final ng/uL</t>
  </si>
  <si>
    <t>Concentração minima p/ tubo</t>
  </si>
  <si>
    <t>Volume por tubo</t>
  </si>
  <si>
    <t>-</t>
  </si>
  <si>
    <t>Proporção volume extra</t>
  </si>
  <si>
    <t>Concentração total final</t>
  </si>
  <si>
    <t>RT021 KRAS</t>
  </si>
  <si>
    <t>RT022 BRAF</t>
  </si>
  <si>
    <t>RT023 EGFR</t>
  </si>
  <si>
    <t>RT024 NRAS</t>
  </si>
  <si>
    <t>RT036 PIK3CA</t>
  </si>
  <si>
    <t>RT031 IDH1/2</t>
  </si>
  <si>
    <t>RT026 DPYD</t>
  </si>
  <si>
    <t>RT032 Thyreoide</t>
  </si>
  <si>
    <t>EasyPGX ready KRAS</t>
  </si>
  <si>
    <t>EasyPGX ready BRAF</t>
  </si>
  <si>
    <t>EasyPGX ready EGFR</t>
  </si>
  <si>
    <t>EasyPGX ready NRAS</t>
  </si>
  <si>
    <t>EasyPGX ready PIK3CA</t>
  </si>
  <si>
    <t>EasyPGX ready IDH1/2</t>
  </si>
  <si>
    <t>EasyPGX ready DPYD</t>
  </si>
  <si>
    <t>EasyPGX ready ALK/ROS1/RET/MET</t>
  </si>
  <si>
    <t>EasyPGX ready THYROID Fusion</t>
  </si>
  <si>
    <t>Escolha o kit a ser utilizado:</t>
  </si>
  <si>
    <t>A</t>
  </si>
  <si>
    <t>B</t>
  </si>
  <si>
    <t>C</t>
  </si>
  <si>
    <t>D</t>
  </si>
  <si>
    <t>E</t>
  </si>
  <si>
    <t>F</t>
  </si>
  <si>
    <t>G</t>
  </si>
  <si>
    <t>H</t>
  </si>
  <si>
    <t>RT025 ALK/ROS1/RET/MET</t>
  </si>
  <si>
    <t>KRAS</t>
  </si>
  <si>
    <t>BRAF</t>
  </si>
  <si>
    <t>EGFR</t>
  </si>
  <si>
    <t>NRAS</t>
  </si>
  <si>
    <t>PIK3CA</t>
  </si>
  <si>
    <t>IDH1/2</t>
  </si>
  <si>
    <t>DPYD</t>
  </si>
  <si>
    <t>Thyreoide</t>
  </si>
  <si>
    <t>Número de pacientes na rotina:</t>
  </si>
  <si>
    <t>Identificação dos pacientes:</t>
  </si>
  <si>
    <t>Volume por tubo:</t>
  </si>
  <si>
    <t>Concentração minima p/ tubo:</t>
  </si>
  <si>
    <t>μl</t>
  </si>
  <si>
    <t>ng total</t>
  </si>
  <si>
    <t>Concentração final:</t>
  </si>
  <si>
    <t>ng/μl</t>
  </si>
  <si>
    <t>Volume final mínimo:</t>
  </si>
  <si>
    <t>Água</t>
  </si>
  <si>
    <t>Número de amostras máximo por kit</t>
  </si>
  <si>
    <t>Senha:</t>
  </si>
  <si>
    <t>Label da placa/rotina</t>
  </si>
  <si>
    <t>EasyPGX® qPCR instrument 96</t>
  </si>
  <si>
    <t>Serial do equipamento:</t>
  </si>
  <si>
    <t>Validade:</t>
  </si>
  <si>
    <t>Data:</t>
  </si>
  <si>
    <t>Resp. Bancada:</t>
  </si>
  <si>
    <t>Lote:</t>
  </si>
  <si>
    <t>Equipamento:</t>
  </si>
  <si>
    <t>Observação:</t>
  </si>
  <si>
    <t>Rodrigo + Carol</t>
  </si>
  <si>
    <t>RT036/A22/01-RUO</t>
  </si>
  <si>
    <t>RT031/A22/01-RUO</t>
  </si>
  <si>
    <t>RT022/A22/02-RUO</t>
  </si>
  <si>
    <t>RT021/A22/03-RUO</t>
  </si>
  <si>
    <t>RT023/A22/01-RUO</t>
  </si>
  <si>
    <t>RT024/A22/01-RUO</t>
  </si>
  <si>
    <t>RT025/A22/02-RUO</t>
  </si>
  <si>
    <t>RT032/A22/01-RUO</t>
  </si>
  <si>
    <t>EasyPGX® ready KRAS (RT021)</t>
  </si>
  <si>
    <t>EasyPGX® ready BRAF (RT022)</t>
  </si>
  <si>
    <t>EasyPGX® ready EGFR (RT023)</t>
  </si>
  <si>
    <t>EasyPGX® ready NRAS (RT024)</t>
  </si>
  <si>
    <t>EasyPGX® ready ALK/ROS1/RET/MET (RT025)</t>
  </si>
  <si>
    <t>EasyPGX® read IDH1/2 (RT031)</t>
  </si>
  <si>
    <t>EasyPGX® ready Thyreoide (RT032)</t>
  </si>
  <si>
    <t>EasyPGX® ready PIK3CA (RT036)</t>
  </si>
  <si>
    <t>Nome da solução</t>
  </si>
  <si>
    <t>Lote</t>
  </si>
  <si>
    <t>Validade</t>
  </si>
  <si>
    <t>PLACA-0031</t>
  </si>
  <si>
    <t>PLACA-0032</t>
  </si>
  <si>
    <t>PLACA-0033</t>
  </si>
  <si>
    <t>108 E.N.</t>
  </si>
  <si>
    <t>109 A.G.</t>
  </si>
  <si>
    <t>110 G.B.</t>
  </si>
  <si>
    <t>Placa diluida junto com a 0031</t>
  </si>
  <si>
    <t>37S R.G.S.V</t>
  </si>
  <si>
    <t>111 K.V.</t>
  </si>
  <si>
    <t>112 B.B.</t>
  </si>
  <si>
    <t>113 F.S.</t>
  </si>
  <si>
    <t>PLACA-0034</t>
  </si>
  <si>
    <t>42S N.F.M.</t>
  </si>
  <si>
    <t>40S V.M.M.G.</t>
  </si>
  <si>
    <t>PLACA-0035</t>
  </si>
  <si>
    <t>38 S F.C.M.</t>
  </si>
  <si>
    <t>EasyPGX® ready DPYD (RT026)</t>
  </si>
  <si>
    <t>RT026/A22/04-RUO</t>
  </si>
  <si>
    <t>Vanêssa</t>
  </si>
  <si>
    <t>MY21355316</t>
  </si>
  <si>
    <t>Item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</si>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</sst>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6" fillId="2" borderId="1" applyNumberFormat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7" fillId="2" borderId="1" xfId="2" applyFont="1" applyProtection="1">
      <protection locked="0"/>
    </xf>
    <xf numFmtId="0" fontId="2" fillId="3" borderId="0" xfId="0" applyFont="1" applyFill="1" applyAlignment="1">
      <alignment horizontal="right"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right" vertical="center"/>
    </xf>
    <xf numFmtId="0" fontId="0" fillId="3" borderId="0" xfId="0" applyFill="1" applyAlignment="1">
      <alignment horizontal="centerContinuous"/>
    </xf>
    <xf numFmtId="0" fontId="1" fillId="4" borderId="3" xfId="1" applyFill="1" applyBorder="1" applyAlignment="1" applyProtection="1">
      <alignment horizontal="left"/>
      <protection locked="0"/>
    </xf>
    <xf numFmtId="0" fontId="1" fillId="4" borderId="4" xfId="1" applyFill="1" applyBorder="1" applyAlignment="1" applyProtection="1">
      <alignment horizontal="left"/>
    </xf>
    <xf numFmtId="0" fontId="1" fillId="4" borderId="2" xfId="1" applyFill="1" applyProtection="1">
      <protection locked="0"/>
    </xf>
    <xf numFmtId="0" fontId="0" fillId="3" borderId="0" xfId="0" applyFill="1" applyProtection="1">
      <protection locked="0"/>
    </xf>
    <xf numFmtId="0" fontId="10" fillId="3" borderId="7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right" vertical="center"/>
    </xf>
    <xf numFmtId="14" fontId="10" fillId="3" borderId="11" xfId="0" applyNumberFormat="1" applyFont="1" applyFill="1" applyBorder="1" applyAlignment="1" applyProtection="1">
      <alignment horizontal="left" vertical="center"/>
      <protection locked="0"/>
    </xf>
    <xf numFmtId="0" fontId="10" fillId="3" borderId="7" xfId="0" applyFont="1" applyFill="1" applyBorder="1" applyAlignment="1" applyProtection="1">
      <alignment horizontal="left" vertical="center"/>
      <protection locked="0"/>
    </xf>
    <xf numFmtId="0" fontId="10" fillId="3" borderId="8" xfId="0" applyFont="1" applyFill="1" applyBorder="1" applyAlignment="1">
      <alignment vertical="center"/>
    </xf>
    <xf numFmtId="0" fontId="10" fillId="3" borderId="12" xfId="0" applyFont="1" applyFill="1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14" xfId="0" applyFill="1" applyBorder="1" applyAlignment="1" applyProtection="1">
      <alignment horizontal="left" vertical="center"/>
      <protection locked="0"/>
    </xf>
    <xf numFmtId="0" fontId="0" fillId="3" borderId="14" xfId="0" applyFill="1" applyBorder="1" applyAlignment="1">
      <alignment horizontal="left" vertical="center"/>
    </xf>
    <xf numFmtId="0" fontId="0" fillId="3" borderId="6" xfId="0" applyFill="1" applyBorder="1" applyAlignment="1" applyProtection="1">
      <alignment horizontal="left" vertical="center"/>
      <protection locked="0"/>
    </xf>
    <xf numFmtId="0" fontId="0" fillId="3" borderId="6" xfId="0" applyFill="1" applyBorder="1" applyAlignment="1">
      <alignment horizontal="left" vertical="center"/>
    </xf>
    <xf numFmtId="0" fontId="10" fillId="3" borderId="9" xfId="0" applyFont="1" applyFill="1" applyBorder="1" applyAlignment="1" applyProtection="1">
      <alignment horizontal="left" vertical="center"/>
      <protection locked="0"/>
    </xf>
    <xf numFmtId="0" fontId="9" fillId="3" borderId="10" xfId="0" applyFont="1" applyFill="1" applyBorder="1" applyAlignment="1">
      <alignment horizontal="right" vertical="center"/>
    </xf>
    <xf numFmtId="0" fontId="9" fillId="3" borderId="13" xfId="0" applyFont="1" applyFill="1" applyBorder="1" applyAlignment="1">
      <alignment horizontal="right" vertical="center"/>
    </xf>
    <xf numFmtId="0" fontId="8" fillId="3" borderId="8" xfId="0" applyFont="1" applyFill="1" applyBorder="1" applyAlignment="1">
      <alignment vertical="center"/>
    </xf>
    <xf numFmtId="0" fontId="10" fillId="3" borderId="7" xfId="0" applyFont="1" applyFill="1" applyBorder="1" applyAlignment="1" applyProtection="1">
      <alignment vertical="center"/>
      <protection locked="0"/>
    </xf>
    <xf numFmtId="0" fontId="4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Continuous" vertical="center"/>
    </xf>
    <xf numFmtId="2" fontId="0" fillId="3" borderId="0" xfId="0" applyNumberFormat="1" applyFill="1"/>
    <xf numFmtId="0" fontId="1" fillId="4" borderId="4" xfId="1" applyFill="1" applyBorder="1" applyAlignment="1">
      <alignment horizontal="left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2" fillId="3" borderId="0" xfId="0" applyFont="1" applyFill="1" applyProtection="1">
      <protection locked="0"/>
    </xf>
    <xf numFmtId="14" fontId="10" fillId="3" borderId="13" xfId="0" applyNumberFormat="1" applyFont="1" applyFill="1" applyBorder="1" applyAlignment="1" applyProtection="1">
      <alignment horizontal="left" vertical="center"/>
      <protection locked="0"/>
    </xf>
    <xf numFmtId="0" fontId="11" fillId="5" borderId="17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10" fillId="3" borderId="5" xfId="0" applyFont="1" applyFill="1" applyBorder="1" applyAlignment="1" applyProtection="1">
      <alignment horizontal="left" vertical="center"/>
      <protection locked="0"/>
    </xf>
    <xf numFmtId="0" fontId="11" fillId="5" borderId="16" xfId="0" applyFont="1" applyFill="1" applyBorder="1" applyAlignment="1">
      <alignment vertical="center" wrapText="1"/>
    </xf>
    <xf numFmtId="14" fontId="10" fillId="3" borderId="11" xfId="0" applyNumberFormat="1" applyFont="1" applyFill="1" applyBorder="1" applyAlignment="1" applyProtection="1">
      <alignment vertical="center"/>
      <protection locked="0"/>
    </xf>
  </cellXfs>
  <cellStyles count="3">
    <cellStyle name="Calculation" xfId="2" builtinId="22"/>
    <cellStyle name="Normal" xfId="0" builtinId="0"/>
    <cellStyle name="Output" xfId="1" builtinId="21"/>
  </cellStyles>
  <dxfs count="1365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7C8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7C80"/>
        </patternFill>
      </fill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7C80"/>
        </patternFill>
      </fill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7C80"/>
        </patternFill>
      </fill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7C80"/>
        </patternFill>
      </fill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7C80"/>
        </patternFill>
      </fill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5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7C80"/>
      <color rgb="FFBBC6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298-E94E-464D-AC73-166C1314DBFF}">
  <sheetPr codeName="Planilha1"/>
  <dimension ref="A1:R83"/>
  <sheetViews>
    <sheetView topLeftCell="A16" workbookViewId="0">
      <selection activeCell="A2" sqref="A2:O11"/>
    </sheetView>
  </sheetViews>
  <sheetFormatPr defaultRowHeight="15" x14ac:dyDescent="0.25"/>
  <cols>
    <col min="1" max="1" width="24.28515625" bestFit="1" customWidth="1"/>
    <col min="2" max="2" width="18.5703125" bestFit="1" customWidth="1"/>
    <col min="3" max="3" width="4.85546875" customWidth="1"/>
    <col min="4" max="12" width="9.85546875" bestFit="1" customWidth="1"/>
    <col min="13" max="13" width="12.5703125" bestFit="1" customWidth="1"/>
    <col min="14" max="14" width="25.7109375" bestFit="1" customWidth="1"/>
    <col min="15" max="15" width="17" bestFit="1" customWidth="1"/>
  </cols>
  <sheetData>
    <row r="1" spans="1:15" x14ac:dyDescent="0.25">
      <c r="A1" s="5" t="s">
        <v>54</v>
      </c>
      <c r="B1" s="4">
        <v>123456</v>
      </c>
      <c r="C1" s="5"/>
    </row>
    <row r="2" spans="1:15" x14ac:dyDescent="0.25"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</row>
    <row r="3" spans="1:15" x14ac:dyDescent="0.25">
      <c r="C3" s="3"/>
    </row>
    <row r="4" spans="1:15" x14ac:dyDescent="0.25">
      <c r="A4" t="s">
        <v>8</v>
      </c>
      <c r="B4" t="s">
        <v>35</v>
      </c>
      <c r="C4" s="3" t="s">
        <v>26</v>
      </c>
      <c r="D4" s="2" t="str">
        <f t="shared" ref="D4:M11" si="0">"Amostra "&amp;D$2</f>
        <v>Amostra 1</v>
      </c>
      <c r="E4" s="2" t="str">
        <f t="shared" si="0"/>
        <v>Amostra 2</v>
      </c>
      <c r="F4" s="2" t="str">
        <f t="shared" si="0"/>
        <v>Amostra 3</v>
      </c>
      <c r="G4" s="2" t="str">
        <f t="shared" si="0"/>
        <v>Amostra 4</v>
      </c>
      <c r="H4" s="2" t="str">
        <f t="shared" si="0"/>
        <v>Amostra 5</v>
      </c>
      <c r="I4" s="2" t="str">
        <f t="shared" si="0"/>
        <v>Amostra 6</v>
      </c>
      <c r="J4" s="2" t="str">
        <f t="shared" si="0"/>
        <v>Amostra 7</v>
      </c>
      <c r="K4" s="2" t="str">
        <f t="shared" si="0"/>
        <v>Amostra 8</v>
      </c>
      <c r="L4" s="2" t="str">
        <f t="shared" si="0"/>
        <v>Amostra 9</v>
      </c>
      <c r="M4" s="2" t="str">
        <f t="shared" si="0"/>
        <v>Amostra 10</v>
      </c>
      <c r="N4" s="2" t="str">
        <f>$B$4&amp;" pos ctrl"</f>
        <v>KRAS pos ctrl</v>
      </c>
      <c r="O4" s="2" t="s">
        <v>52</v>
      </c>
    </row>
    <row r="5" spans="1:15" x14ac:dyDescent="0.25">
      <c r="C5" s="3" t="s">
        <v>27</v>
      </c>
      <c r="D5" s="2" t="str">
        <f t="shared" si="0"/>
        <v>Amostra 1</v>
      </c>
      <c r="E5" s="2" t="str">
        <f t="shared" si="0"/>
        <v>Amostra 2</v>
      </c>
      <c r="F5" s="2" t="str">
        <f t="shared" si="0"/>
        <v>Amostra 3</v>
      </c>
      <c r="G5" s="2" t="str">
        <f t="shared" si="0"/>
        <v>Amostra 4</v>
      </c>
      <c r="H5" s="2" t="str">
        <f t="shared" si="0"/>
        <v>Amostra 5</v>
      </c>
      <c r="I5" s="2" t="str">
        <f t="shared" si="0"/>
        <v>Amostra 6</v>
      </c>
      <c r="J5" s="2" t="str">
        <f t="shared" si="0"/>
        <v>Amostra 7</v>
      </c>
      <c r="K5" s="2" t="str">
        <f t="shared" si="0"/>
        <v>Amostra 8</v>
      </c>
      <c r="L5" s="2" t="str">
        <f t="shared" si="0"/>
        <v>Amostra 9</v>
      </c>
      <c r="M5" s="2" t="str">
        <f t="shared" si="0"/>
        <v>Amostra 10</v>
      </c>
      <c r="N5" s="2" t="str">
        <f t="shared" ref="N5:N11" si="1">$B$4&amp;" pos ctrl"</f>
        <v>KRAS pos ctrl</v>
      </c>
      <c r="O5" s="2" t="s">
        <v>52</v>
      </c>
    </row>
    <row r="6" spans="1:15" x14ac:dyDescent="0.25">
      <c r="C6" s="3" t="s">
        <v>28</v>
      </c>
      <c r="D6" s="2" t="str">
        <f t="shared" si="0"/>
        <v>Amostra 1</v>
      </c>
      <c r="E6" s="2" t="str">
        <f t="shared" si="0"/>
        <v>Amostra 2</v>
      </c>
      <c r="F6" s="2" t="str">
        <f t="shared" si="0"/>
        <v>Amostra 3</v>
      </c>
      <c r="G6" s="2" t="str">
        <f t="shared" si="0"/>
        <v>Amostra 4</v>
      </c>
      <c r="H6" s="2" t="str">
        <f t="shared" si="0"/>
        <v>Amostra 5</v>
      </c>
      <c r="I6" s="2" t="str">
        <f t="shared" si="0"/>
        <v>Amostra 6</v>
      </c>
      <c r="J6" s="2" t="str">
        <f t="shared" si="0"/>
        <v>Amostra 7</v>
      </c>
      <c r="K6" s="2" t="str">
        <f t="shared" si="0"/>
        <v>Amostra 8</v>
      </c>
      <c r="L6" s="2" t="str">
        <f t="shared" si="0"/>
        <v>Amostra 9</v>
      </c>
      <c r="M6" s="2" t="str">
        <f t="shared" si="0"/>
        <v>Amostra 10</v>
      </c>
      <c r="N6" s="2" t="str">
        <f t="shared" si="1"/>
        <v>KRAS pos ctrl</v>
      </c>
      <c r="O6" s="2" t="s">
        <v>52</v>
      </c>
    </row>
    <row r="7" spans="1:15" x14ac:dyDescent="0.25">
      <c r="C7" s="3" t="s">
        <v>29</v>
      </c>
      <c r="D7" s="2" t="str">
        <f t="shared" si="0"/>
        <v>Amostra 1</v>
      </c>
      <c r="E7" s="2" t="str">
        <f t="shared" si="0"/>
        <v>Amostra 2</v>
      </c>
      <c r="F7" s="2" t="str">
        <f t="shared" si="0"/>
        <v>Amostra 3</v>
      </c>
      <c r="G7" s="2" t="str">
        <f t="shared" si="0"/>
        <v>Amostra 4</v>
      </c>
      <c r="H7" s="2" t="str">
        <f t="shared" si="0"/>
        <v>Amostra 5</v>
      </c>
      <c r="I7" s="2" t="str">
        <f t="shared" si="0"/>
        <v>Amostra 6</v>
      </c>
      <c r="J7" s="2" t="str">
        <f t="shared" si="0"/>
        <v>Amostra 7</v>
      </c>
      <c r="K7" s="2" t="str">
        <f t="shared" si="0"/>
        <v>Amostra 8</v>
      </c>
      <c r="L7" s="2" t="str">
        <f t="shared" si="0"/>
        <v>Amostra 9</v>
      </c>
      <c r="M7" s="2" t="str">
        <f t="shared" si="0"/>
        <v>Amostra 10</v>
      </c>
      <c r="N7" s="2" t="str">
        <f t="shared" si="1"/>
        <v>KRAS pos ctrl</v>
      </c>
      <c r="O7" s="2" t="s">
        <v>52</v>
      </c>
    </row>
    <row r="8" spans="1:15" x14ac:dyDescent="0.25">
      <c r="C8" s="3" t="s">
        <v>30</v>
      </c>
      <c r="D8" s="2" t="str">
        <f t="shared" si="0"/>
        <v>Amostra 1</v>
      </c>
      <c r="E8" s="2" t="str">
        <f t="shared" si="0"/>
        <v>Amostra 2</v>
      </c>
      <c r="F8" s="2" t="str">
        <f t="shared" si="0"/>
        <v>Amostra 3</v>
      </c>
      <c r="G8" s="2" t="str">
        <f t="shared" si="0"/>
        <v>Amostra 4</v>
      </c>
      <c r="H8" s="2" t="str">
        <f t="shared" si="0"/>
        <v>Amostra 5</v>
      </c>
      <c r="I8" s="2" t="str">
        <f t="shared" si="0"/>
        <v>Amostra 6</v>
      </c>
      <c r="J8" s="2" t="str">
        <f t="shared" si="0"/>
        <v>Amostra 7</v>
      </c>
      <c r="K8" s="2" t="str">
        <f t="shared" si="0"/>
        <v>Amostra 8</v>
      </c>
      <c r="L8" s="2" t="str">
        <f t="shared" si="0"/>
        <v>Amostra 9</v>
      </c>
      <c r="M8" s="2" t="str">
        <f t="shared" si="0"/>
        <v>Amostra 10</v>
      </c>
      <c r="N8" s="2" t="str">
        <f t="shared" si="1"/>
        <v>KRAS pos ctrl</v>
      </c>
      <c r="O8" s="2" t="s">
        <v>52</v>
      </c>
    </row>
    <row r="9" spans="1:15" x14ac:dyDescent="0.25">
      <c r="C9" s="3" t="s">
        <v>31</v>
      </c>
      <c r="D9" s="2" t="str">
        <f t="shared" si="0"/>
        <v>Amostra 1</v>
      </c>
      <c r="E9" s="2" t="str">
        <f t="shared" si="0"/>
        <v>Amostra 2</v>
      </c>
      <c r="F9" s="2" t="str">
        <f t="shared" si="0"/>
        <v>Amostra 3</v>
      </c>
      <c r="G9" s="2" t="str">
        <f t="shared" si="0"/>
        <v>Amostra 4</v>
      </c>
      <c r="H9" s="2" t="str">
        <f t="shared" si="0"/>
        <v>Amostra 5</v>
      </c>
      <c r="I9" s="2" t="str">
        <f t="shared" si="0"/>
        <v>Amostra 6</v>
      </c>
      <c r="J9" s="2" t="str">
        <f t="shared" si="0"/>
        <v>Amostra 7</v>
      </c>
      <c r="K9" s="2" t="str">
        <f t="shared" si="0"/>
        <v>Amostra 8</v>
      </c>
      <c r="L9" s="2" t="str">
        <f t="shared" si="0"/>
        <v>Amostra 9</v>
      </c>
      <c r="M9" s="2" t="str">
        <f t="shared" si="0"/>
        <v>Amostra 10</v>
      </c>
      <c r="N9" s="2" t="str">
        <f t="shared" si="1"/>
        <v>KRAS pos ctrl</v>
      </c>
      <c r="O9" s="2" t="s">
        <v>52</v>
      </c>
    </row>
    <row r="10" spans="1:15" x14ac:dyDescent="0.25">
      <c r="C10" s="3" t="s">
        <v>32</v>
      </c>
      <c r="D10" s="2" t="str">
        <f t="shared" si="0"/>
        <v>Amostra 1</v>
      </c>
      <c r="E10" s="2" t="str">
        <f t="shared" si="0"/>
        <v>Amostra 2</v>
      </c>
      <c r="F10" s="2" t="str">
        <f t="shared" si="0"/>
        <v>Amostra 3</v>
      </c>
      <c r="G10" s="2" t="str">
        <f t="shared" si="0"/>
        <v>Amostra 4</v>
      </c>
      <c r="H10" s="2" t="str">
        <f t="shared" si="0"/>
        <v>Amostra 5</v>
      </c>
      <c r="I10" s="2" t="str">
        <f t="shared" si="0"/>
        <v>Amostra 6</v>
      </c>
      <c r="J10" s="2" t="str">
        <f t="shared" si="0"/>
        <v>Amostra 7</v>
      </c>
      <c r="K10" s="2" t="str">
        <f t="shared" si="0"/>
        <v>Amostra 8</v>
      </c>
      <c r="L10" s="2" t="str">
        <f t="shared" si="0"/>
        <v>Amostra 9</v>
      </c>
      <c r="M10" s="2" t="str">
        <f t="shared" si="0"/>
        <v>Amostra 10</v>
      </c>
      <c r="N10" s="2" t="str">
        <f t="shared" si="1"/>
        <v>KRAS pos ctrl</v>
      </c>
      <c r="O10" s="2" t="s">
        <v>52</v>
      </c>
    </row>
    <row r="11" spans="1:15" x14ac:dyDescent="0.25">
      <c r="C11" s="3" t="s">
        <v>33</v>
      </c>
      <c r="D11" s="2" t="str">
        <f t="shared" si="0"/>
        <v>Amostra 1</v>
      </c>
      <c r="E11" s="2" t="str">
        <f t="shared" si="0"/>
        <v>Amostra 2</v>
      </c>
      <c r="F11" s="2" t="str">
        <f t="shared" si="0"/>
        <v>Amostra 3</v>
      </c>
      <c r="G11" s="2" t="str">
        <f t="shared" si="0"/>
        <v>Amostra 4</v>
      </c>
      <c r="H11" s="2" t="str">
        <f t="shared" si="0"/>
        <v>Amostra 5</v>
      </c>
      <c r="I11" s="2" t="str">
        <f t="shared" si="0"/>
        <v>Amostra 6</v>
      </c>
      <c r="J11" s="2" t="str">
        <f t="shared" si="0"/>
        <v>Amostra 7</v>
      </c>
      <c r="K11" s="2" t="str">
        <f t="shared" si="0"/>
        <v>Amostra 8</v>
      </c>
      <c r="L11" s="2" t="str">
        <f t="shared" si="0"/>
        <v>Amostra 9</v>
      </c>
      <c r="M11" s="2" t="str">
        <f t="shared" si="0"/>
        <v>Amostra 10</v>
      </c>
      <c r="N11" s="2" t="str">
        <f t="shared" si="1"/>
        <v>KRAS pos ctrl</v>
      </c>
      <c r="O11" s="2" t="s">
        <v>52</v>
      </c>
    </row>
    <row r="13" spans="1:15" x14ac:dyDescent="0.25">
      <c r="A13" t="s">
        <v>9</v>
      </c>
      <c r="B13" t="s">
        <v>36</v>
      </c>
      <c r="C13" s="3" t="s">
        <v>26</v>
      </c>
      <c r="D13" s="2" t="str">
        <f>"Amostra "&amp;D$2</f>
        <v>Amostra 1</v>
      </c>
      <c r="E13" s="2" t="str">
        <f>"Amostra "&amp;E$2*2-1</f>
        <v>Amostra 3</v>
      </c>
      <c r="F13" s="2" t="str">
        <f t="shared" ref="F13:N13" si="2">"Amostra "&amp;F$2*2-1</f>
        <v>Amostra 5</v>
      </c>
      <c r="G13" s="2" t="str">
        <f t="shared" si="2"/>
        <v>Amostra 7</v>
      </c>
      <c r="H13" s="2" t="str">
        <f t="shared" si="2"/>
        <v>Amostra 9</v>
      </c>
      <c r="I13" s="2" t="str">
        <f t="shared" si="2"/>
        <v>Amostra 11</v>
      </c>
      <c r="J13" s="2" t="str">
        <f t="shared" si="2"/>
        <v>Amostra 13</v>
      </c>
      <c r="K13" s="2" t="str">
        <f t="shared" si="2"/>
        <v>Amostra 15</v>
      </c>
      <c r="L13" s="2" t="str">
        <f t="shared" si="2"/>
        <v>Amostra 17</v>
      </c>
      <c r="M13" s="2" t="str">
        <f t="shared" si="2"/>
        <v>Amostra 19</v>
      </c>
      <c r="N13" s="2" t="str">
        <f t="shared" si="2"/>
        <v>Amostra 21</v>
      </c>
      <c r="O13" s="2" t="str">
        <f>$B$13&amp;" pos ctrl"</f>
        <v>BRAF pos ctrl</v>
      </c>
    </row>
    <row r="14" spans="1:15" x14ac:dyDescent="0.25">
      <c r="C14" s="3" t="s">
        <v>27</v>
      </c>
      <c r="D14" s="2" t="str">
        <f>"Amostra "&amp;D$2</f>
        <v>Amostra 1</v>
      </c>
      <c r="E14" s="2" t="str">
        <f t="shared" ref="E14:N16" si="3">"Amostra "&amp;E$2*2-1</f>
        <v>Amostra 3</v>
      </c>
      <c r="F14" s="2" t="str">
        <f t="shared" si="3"/>
        <v>Amostra 5</v>
      </c>
      <c r="G14" s="2" t="str">
        <f t="shared" si="3"/>
        <v>Amostra 7</v>
      </c>
      <c r="H14" s="2" t="str">
        <f t="shared" si="3"/>
        <v>Amostra 9</v>
      </c>
      <c r="I14" s="2" t="str">
        <f t="shared" si="3"/>
        <v>Amostra 11</v>
      </c>
      <c r="J14" s="2" t="str">
        <f t="shared" si="3"/>
        <v>Amostra 13</v>
      </c>
      <c r="K14" s="2" t="str">
        <f t="shared" si="3"/>
        <v>Amostra 15</v>
      </c>
      <c r="L14" s="2" t="str">
        <f t="shared" si="3"/>
        <v>Amostra 17</v>
      </c>
      <c r="M14" s="2" t="str">
        <f t="shared" si="3"/>
        <v>Amostra 19</v>
      </c>
      <c r="N14" s="2" t="str">
        <f t="shared" si="3"/>
        <v>Amostra 21</v>
      </c>
      <c r="O14" s="2" t="str">
        <f t="shared" ref="O14:O16" si="4">$B$13&amp;" pos ctrl"</f>
        <v>BRAF pos ctrl</v>
      </c>
    </row>
    <row r="15" spans="1:15" x14ac:dyDescent="0.25">
      <c r="C15" s="3" t="s">
        <v>28</v>
      </c>
      <c r="D15" s="2" t="str">
        <f>"Amostra "&amp;D$2</f>
        <v>Amostra 1</v>
      </c>
      <c r="E15" s="2" t="str">
        <f t="shared" si="3"/>
        <v>Amostra 3</v>
      </c>
      <c r="F15" s="2" t="str">
        <f t="shared" si="3"/>
        <v>Amostra 5</v>
      </c>
      <c r="G15" s="2" t="str">
        <f t="shared" si="3"/>
        <v>Amostra 7</v>
      </c>
      <c r="H15" s="2" t="str">
        <f t="shared" si="3"/>
        <v>Amostra 9</v>
      </c>
      <c r="I15" s="2" t="str">
        <f t="shared" si="3"/>
        <v>Amostra 11</v>
      </c>
      <c r="J15" s="2" t="str">
        <f t="shared" si="3"/>
        <v>Amostra 13</v>
      </c>
      <c r="K15" s="2" t="str">
        <f t="shared" si="3"/>
        <v>Amostra 15</v>
      </c>
      <c r="L15" s="2" t="str">
        <f t="shared" si="3"/>
        <v>Amostra 17</v>
      </c>
      <c r="M15" s="2" t="str">
        <f t="shared" si="3"/>
        <v>Amostra 19</v>
      </c>
      <c r="N15" s="2" t="str">
        <f t="shared" si="3"/>
        <v>Amostra 21</v>
      </c>
      <c r="O15" s="2" t="str">
        <f t="shared" si="4"/>
        <v>BRAF pos ctrl</v>
      </c>
    </row>
    <row r="16" spans="1:15" x14ac:dyDescent="0.25">
      <c r="C16" s="3" t="s">
        <v>29</v>
      </c>
      <c r="D16" s="2" t="str">
        <f>"Amostra "&amp;D$2</f>
        <v>Amostra 1</v>
      </c>
      <c r="E16" s="2" t="str">
        <f t="shared" si="3"/>
        <v>Amostra 3</v>
      </c>
      <c r="F16" s="2" t="str">
        <f t="shared" si="3"/>
        <v>Amostra 5</v>
      </c>
      <c r="G16" s="2" t="str">
        <f t="shared" si="3"/>
        <v>Amostra 7</v>
      </c>
      <c r="H16" s="2" t="str">
        <f t="shared" si="3"/>
        <v>Amostra 9</v>
      </c>
      <c r="I16" s="2" t="str">
        <f t="shared" si="3"/>
        <v>Amostra 11</v>
      </c>
      <c r="J16" s="2" t="str">
        <f t="shared" si="3"/>
        <v>Amostra 13</v>
      </c>
      <c r="K16" s="2" t="str">
        <f t="shared" si="3"/>
        <v>Amostra 15</v>
      </c>
      <c r="L16" s="2" t="str">
        <f t="shared" si="3"/>
        <v>Amostra 17</v>
      </c>
      <c r="M16" s="2" t="str">
        <f t="shared" si="3"/>
        <v>Amostra 19</v>
      </c>
      <c r="N16" s="2" t="str">
        <f t="shared" si="3"/>
        <v>Amostra 21</v>
      </c>
      <c r="O16" s="2" t="str">
        <f t="shared" si="4"/>
        <v>BRAF pos ctrl</v>
      </c>
    </row>
    <row r="17" spans="1:18" x14ac:dyDescent="0.25">
      <c r="C17" s="3" t="s">
        <v>30</v>
      </c>
      <c r="D17" s="2" t="str">
        <f>"Amostra "&amp;D$2+1</f>
        <v>Amostra 2</v>
      </c>
      <c r="E17" s="2" t="str">
        <f>"Amostra "&amp;E$2*2</f>
        <v>Amostra 4</v>
      </c>
      <c r="F17" s="2" t="str">
        <f t="shared" ref="F17:N17" si="5">"Amostra "&amp;F$2*2</f>
        <v>Amostra 6</v>
      </c>
      <c r="G17" s="2" t="str">
        <f t="shared" si="5"/>
        <v>Amostra 8</v>
      </c>
      <c r="H17" s="2" t="str">
        <f t="shared" si="5"/>
        <v>Amostra 10</v>
      </c>
      <c r="I17" s="2" t="str">
        <f t="shared" si="5"/>
        <v>Amostra 12</v>
      </c>
      <c r="J17" s="2" t="str">
        <f t="shared" si="5"/>
        <v>Amostra 14</v>
      </c>
      <c r="K17" s="2" t="str">
        <f t="shared" si="5"/>
        <v>Amostra 16</v>
      </c>
      <c r="L17" s="2" t="str">
        <f t="shared" si="5"/>
        <v>Amostra 18</v>
      </c>
      <c r="M17" s="2" t="str">
        <f t="shared" si="5"/>
        <v>Amostra 20</v>
      </c>
      <c r="N17" s="2" t="str">
        <f t="shared" si="5"/>
        <v>Amostra 22</v>
      </c>
      <c r="O17" s="2" t="s">
        <v>52</v>
      </c>
    </row>
    <row r="18" spans="1:18" x14ac:dyDescent="0.25">
      <c r="C18" s="3" t="s">
        <v>31</v>
      </c>
      <c r="D18" s="2" t="str">
        <f t="shared" ref="D18:D20" si="6">"Amostra "&amp;D$2+1</f>
        <v>Amostra 2</v>
      </c>
      <c r="E18" s="2" t="str">
        <f t="shared" ref="E18:N20" si="7">"Amostra "&amp;E$2*2</f>
        <v>Amostra 4</v>
      </c>
      <c r="F18" s="2" t="str">
        <f t="shared" si="7"/>
        <v>Amostra 6</v>
      </c>
      <c r="G18" s="2" t="str">
        <f t="shared" si="7"/>
        <v>Amostra 8</v>
      </c>
      <c r="H18" s="2" t="str">
        <f t="shared" si="7"/>
        <v>Amostra 10</v>
      </c>
      <c r="I18" s="2" t="str">
        <f t="shared" si="7"/>
        <v>Amostra 12</v>
      </c>
      <c r="J18" s="2" t="str">
        <f t="shared" si="7"/>
        <v>Amostra 14</v>
      </c>
      <c r="K18" s="2" t="str">
        <f t="shared" si="7"/>
        <v>Amostra 16</v>
      </c>
      <c r="L18" s="2" t="str">
        <f t="shared" si="7"/>
        <v>Amostra 18</v>
      </c>
      <c r="M18" s="2" t="str">
        <f t="shared" si="7"/>
        <v>Amostra 20</v>
      </c>
      <c r="N18" s="2" t="str">
        <f t="shared" si="7"/>
        <v>Amostra 22</v>
      </c>
      <c r="O18" s="2" t="s">
        <v>52</v>
      </c>
    </row>
    <row r="19" spans="1:18" x14ac:dyDescent="0.25">
      <c r="C19" s="3" t="s">
        <v>32</v>
      </c>
      <c r="D19" s="2" t="str">
        <f t="shared" si="6"/>
        <v>Amostra 2</v>
      </c>
      <c r="E19" s="2" t="str">
        <f t="shared" si="7"/>
        <v>Amostra 4</v>
      </c>
      <c r="F19" s="2" t="str">
        <f t="shared" si="7"/>
        <v>Amostra 6</v>
      </c>
      <c r="G19" s="2" t="str">
        <f t="shared" si="7"/>
        <v>Amostra 8</v>
      </c>
      <c r="H19" s="2" t="str">
        <f t="shared" si="7"/>
        <v>Amostra 10</v>
      </c>
      <c r="I19" s="2" t="str">
        <f t="shared" si="7"/>
        <v>Amostra 12</v>
      </c>
      <c r="J19" s="2" t="str">
        <f t="shared" si="7"/>
        <v>Amostra 14</v>
      </c>
      <c r="K19" s="2" t="str">
        <f t="shared" si="7"/>
        <v>Amostra 16</v>
      </c>
      <c r="L19" s="2" t="str">
        <f t="shared" si="7"/>
        <v>Amostra 18</v>
      </c>
      <c r="M19" s="2" t="str">
        <f t="shared" si="7"/>
        <v>Amostra 20</v>
      </c>
      <c r="N19" s="2" t="str">
        <f t="shared" si="7"/>
        <v>Amostra 22</v>
      </c>
      <c r="O19" s="2" t="s">
        <v>52</v>
      </c>
    </row>
    <row r="20" spans="1:18" x14ac:dyDescent="0.25">
      <c r="C20" s="3" t="s">
        <v>33</v>
      </c>
      <c r="D20" s="2" t="str">
        <f t="shared" si="6"/>
        <v>Amostra 2</v>
      </c>
      <c r="E20" s="2" t="str">
        <f t="shared" si="7"/>
        <v>Amostra 4</v>
      </c>
      <c r="F20" s="2" t="str">
        <f t="shared" si="7"/>
        <v>Amostra 6</v>
      </c>
      <c r="G20" s="2" t="str">
        <f t="shared" si="7"/>
        <v>Amostra 8</v>
      </c>
      <c r="H20" s="2" t="str">
        <f t="shared" si="7"/>
        <v>Amostra 10</v>
      </c>
      <c r="I20" s="2" t="str">
        <f t="shared" si="7"/>
        <v>Amostra 12</v>
      </c>
      <c r="J20" s="2" t="str">
        <f t="shared" si="7"/>
        <v>Amostra 14</v>
      </c>
      <c r="K20" s="2" t="str">
        <f t="shared" si="7"/>
        <v>Amostra 16</v>
      </c>
      <c r="L20" s="2" t="str">
        <f t="shared" si="7"/>
        <v>Amostra 18</v>
      </c>
      <c r="M20" s="2" t="str">
        <f t="shared" si="7"/>
        <v>Amostra 20</v>
      </c>
      <c r="N20" s="2" t="str">
        <f t="shared" si="7"/>
        <v>Amostra 22</v>
      </c>
      <c r="O20" s="2" t="s">
        <v>52</v>
      </c>
    </row>
    <row r="22" spans="1:18" x14ac:dyDescent="0.25">
      <c r="A22" t="s">
        <v>10</v>
      </c>
      <c r="B22" t="s">
        <v>37</v>
      </c>
      <c r="C22" s="3" t="s">
        <v>26</v>
      </c>
      <c r="D22" s="2" t="str">
        <f t="shared" ref="D22:M29" si="8">"Amostra "&amp;D$2</f>
        <v>Amostra 1</v>
      </c>
      <c r="E22" s="2" t="str">
        <f t="shared" si="8"/>
        <v>Amostra 2</v>
      </c>
      <c r="F22" s="2" t="str">
        <f t="shared" si="8"/>
        <v>Amostra 3</v>
      </c>
      <c r="G22" s="2" t="str">
        <f t="shared" si="8"/>
        <v>Amostra 4</v>
      </c>
      <c r="H22" s="2" t="str">
        <f t="shared" si="8"/>
        <v>Amostra 5</v>
      </c>
      <c r="I22" s="2" t="str">
        <f t="shared" si="8"/>
        <v>Amostra 6</v>
      </c>
      <c r="J22" s="2" t="str">
        <f t="shared" si="8"/>
        <v>Amostra 7</v>
      </c>
      <c r="K22" s="2" t="str">
        <f t="shared" si="8"/>
        <v>Amostra 8</v>
      </c>
      <c r="L22" s="2" t="str">
        <f t="shared" si="8"/>
        <v>Amostra 9</v>
      </c>
      <c r="M22" s="2" t="str">
        <f t="shared" si="8"/>
        <v>Amostra 10</v>
      </c>
      <c r="N22" s="2" t="str">
        <f>$B$22&amp;" pos ctrl"</f>
        <v>EGFR pos ctrl</v>
      </c>
      <c r="O22" s="2" t="s">
        <v>52</v>
      </c>
    </row>
    <row r="23" spans="1:18" x14ac:dyDescent="0.25">
      <c r="C23" s="3" t="s">
        <v>27</v>
      </c>
      <c r="D23" s="2" t="str">
        <f t="shared" si="8"/>
        <v>Amostra 1</v>
      </c>
      <c r="E23" s="2" t="str">
        <f t="shared" si="8"/>
        <v>Amostra 2</v>
      </c>
      <c r="F23" s="2" t="str">
        <f t="shared" si="8"/>
        <v>Amostra 3</v>
      </c>
      <c r="G23" s="2" t="str">
        <f t="shared" si="8"/>
        <v>Amostra 4</v>
      </c>
      <c r="H23" s="2" t="str">
        <f t="shared" si="8"/>
        <v>Amostra 5</v>
      </c>
      <c r="I23" s="2" t="str">
        <f t="shared" si="8"/>
        <v>Amostra 6</v>
      </c>
      <c r="J23" s="2" t="str">
        <f t="shared" si="8"/>
        <v>Amostra 7</v>
      </c>
      <c r="K23" s="2" t="str">
        <f t="shared" si="8"/>
        <v>Amostra 8</v>
      </c>
      <c r="L23" s="2" t="str">
        <f t="shared" si="8"/>
        <v>Amostra 9</v>
      </c>
      <c r="M23" s="2" t="str">
        <f t="shared" si="8"/>
        <v>Amostra 10</v>
      </c>
      <c r="N23" s="2" t="str">
        <f t="shared" ref="N23:N29" si="9">$B$22&amp;" pos ctrl"</f>
        <v>EGFR pos ctrl</v>
      </c>
      <c r="O23" s="2" t="s">
        <v>52</v>
      </c>
    </row>
    <row r="24" spans="1:18" x14ac:dyDescent="0.25">
      <c r="C24" s="3" t="s">
        <v>28</v>
      </c>
      <c r="D24" s="2" t="str">
        <f t="shared" si="8"/>
        <v>Amostra 1</v>
      </c>
      <c r="E24" s="2" t="str">
        <f t="shared" si="8"/>
        <v>Amostra 2</v>
      </c>
      <c r="F24" s="2" t="str">
        <f t="shared" si="8"/>
        <v>Amostra 3</v>
      </c>
      <c r="G24" s="2" t="str">
        <f t="shared" si="8"/>
        <v>Amostra 4</v>
      </c>
      <c r="H24" s="2" t="str">
        <f t="shared" si="8"/>
        <v>Amostra 5</v>
      </c>
      <c r="I24" s="2" t="str">
        <f t="shared" si="8"/>
        <v>Amostra 6</v>
      </c>
      <c r="J24" s="2" t="str">
        <f t="shared" si="8"/>
        <v>Amostra 7</v>
      </c>
      <c r="K24" s="2" t="str">
        <f t="shared" si="8"/>
        <v>Amostra 8</v>
      </c>
      <c r="L24" s="2" t="str">
        <f t="shared" si="8"/>
        <v>Amostra 9</v>
      </c>
      <c r="M24" s="2" t="str">
        <f t="shared" si="8"/>
        <v>Amostra 10</v>
      </c>
      <c r="N24" s="2" t="str">
        <f t="shared" si="9"/>
        <v>EGFR pos ctrl</v>
      </c>
      <c r="O24" s="2" t="s">
        <v>52</v>
      </c>
    </row>
    <row r="25" spans="1:18" x14ac:dyDescent="0.25">
      <c r="C25" s="3" t="s">
        <v>29</v>
      </c>
      <c r="D25" s="2" t="str">
        <f t="shared" si="8"/>
        <v>Amostra 1</v>
      </c>
      <c r="E25" s="2" t="str">
        <f t="shared" si="8"/>
        <v>Amostra 2</v>
      </c>
      <c r="F25" s="2" t="str">
        <f t="shared" si="8"/>
        <v>Amostra 3</v>
      </c>
      <c r="G25" s="2" t="str">
        <f t="shared" si="8"/>
        <v>Amostra 4</v>
      </c>
      <c r="H25" s="2" t="str">
        <f t="shared" si="8"/>
        <v>Amostra 5</v>
      </c>
      <c r="I25" s="2" t="str">
        <f t="shared" si="8"/>
        <v>Amostra 6</v>
      </c>
      <c r="J25" s="2" t="str">
        <f t="shared" si="8"/>
        <v>Amostra 7</v>
      </c>
      <c r="K25" s="2" t="str">
        <f t="shared" si="8"/>
        <v>Amostra 8</v>
      </c>
      <c r="L25" s="2" t="str">
        <f t="shared" si="8"/>
        <v>Amostra 9</v>
      </c>
      <c r="M25" s="2" t="str">
        <f t="shared" si="8"/>
        <v>Amostra 10</v>
      </c>
      <c r="N25" s="2" t="str">
        <f t="shared" si="9"/>
        <v>EGFR pos ctrl</v>
      </c>
      <c r="O25" s="2" t="s">
        <v>52</v>
      </c>
    </row>
    <row r="26" spans="1:18" x14ac:dyDescent="0.25">
      <c r="C26" s="3" t="s">
        <v>30</v>
      </c>
      <c r="D26" s="2" t="str">
        <f t="shared" si="8"/>
        <v>Amostra 1</v>
      </c>
      <c r="E26" s="2" t="str">
        <f t="shared" si="8"/>
        <v>Amostra 2</v>
      </c>
      <c r="F26" s="2" t="str">
        <f t="shared" si="8"/>
        <v>Amostra 3</v>
      </c>
      <c r="G26" s="2" t="str">
        <f t="shared" si="8"/>
        <v>Amostra 4</v>
      </c>
      <c r="H26" s="2" t="str">
        <f t="shared" si="8"/>
        <v>Amostra 5</v>
      </c>
      <c r="I26" s="2" t="str">
        <f t="shared" si="8"/>
        <v>Amostra 6</v>
      </c>
      <c r="J26" s="2" t="str">
        <f t="shared" si="8"/>
        <v>Amostra 7</v>
      </c>
      <c r="K26" s="2" t="str">
        <f t="shared" si="8"/>
        <v>Amostra 8</v>
      </c>
      <c r="L26" s="2" t="str">
        <f t="shared" si="8"/>
        <v>Amostra 9</v>
      </c>
      <c r="M26" s="2" t="str">
        <f t="shared" si="8"/>
        <v>Amostra 10</v>
      </c>
      <c r="N26" s="2" t="str">
        <f t="shared" si="9"/>
        <v>EGFR pos ctrl</v>
      </c>
      <c r="O26" s="2" t="s">
        <v>52</v>
      </c>
    </row>
    <row r="27" spans="1:18" x14ac:dyDescent="0.25">
      <c r="C27" s="3" t="s">
        <v>31</v>
      </c>
      <c r="D27" s="2" t="str">
        <f t="shared" si="8"/>
        <v>Amostra 1</v>
      </c>
      <c r="E27" s="2" t="str">
        <f t="shared" si="8"/>
        <v>Amostra 2</v>
      </c>
      <c r="F27" s="2" t="str">
        <f t="shared" si="8"/>
        <v>Amostra 3</v>
      </c>
      <c r="G27" s="2" t="str">
        <f t="shared" si="8"/>
        <v>Amostra 4</v>
      </c>
      <c r="H27" s="2" t="str">
        <f t="shared" si="8"/>
        <v>Amostra 5</v>
      </c>
      <c r="I27" s="2" t="str">
        <f t="shared" si="8"/>
        <v>Amostra 6</v>
      </c>
      <c r="J27" s="2" t="str">
        <f t="shared" si="8"/>
        <v>Amostra 7</v>
      </c>
      <c r="K27" s="2" t="str">
        <f t="shared" si="8"/>
        <v>Amostra 8</v>
      </c>
      <c r="L27" s="2" t="str">
        <f t="shared" si="8"/>
        <v>Amostra 9</v>
      </c>
      <c r="M27" s="2" t="str">
        <f t="shared" si="8"/>
        <v>Amostra 10</v>
      </c>
      <c r="N27" s="2" t="str">
        <f t="shared" si="9"/>
        <v>EGFR pos ctrl</v>
      </c>
      <c r="O27" s="2" t="s">
        <v>52</v>
      </c>
    </row>
    <row r="28" spans="1:18" x14ac:dyDescent="0.25">
      <c r="C28" s="3" t="s">
        <v>32</v>
      </c>
      <c r="D28" s="2" t="str">
        <f t="shared" si="8"/>
        <v>Amostra 1</v>
      </c>
      <c r="E28" s="2" t="str">
        <f t="shared" si="8"/>
        <v>Amostra 2</v>
      </c>
      <c r="F28" s="2" t="str">
        <f t="shared" si="8"/>
        <v>Amostra 3</v>
      </c>
      <c r="G28" s="2" t="str">
        <f t="shared" si="8"/>
        <v>Amostra 4</v>
      </c>
      <c r="H28" s="2" t="str">
        <f t="shared" si="8"/>
        <v>Amostra 5</v>
      </c>
      <c r="I28" s="2" t="str">
        <f t="shared" si="8"/>
        <v>Amostra 6</v>
      </c>
      <c r="J28" s="2" t="str">
        <f t="shared" si="8"/>
        <v>Amostra 7</v>
      </c>
      <c r="K28" s="2" t="str">
        <f t="shared" si="8"/>
        <v>Amostra 8</v>
      </c>
      <c r="L28" s="2" t="str">
        <f t="shared" si="8"/>
        <v>Amostra 9</v>
      </c>
      <c r="M28" s="2" t="str">
        <f t="shared" si="8"/>
        <v>Amostra 10</v>
      </c>
      <c r="N28" s="2" t="str">
        <f t="shared" si="9"/>
        <v>EGFR pos ctrl</v>
      </c>
      <c r="O28" s="2" t="s">
        <v>52</v>
      </c>
    </row>
    <row r="29" spans="1:18" x14ac:dyDescent="0.25">
      <c r="C29" s="3" t="s">
        <v>33</v>
      </c>
      <c r="D29" s="2" t="str">
        <f t="shared" si="8"/>
        <v>Amostra 1</v>
      </c>
      <c r="E29" s="2" t="str">
        <f t="shared" si="8"/>
        <v>Amostra 2</v>
      </c>
      <c r="F29" s="2" t="str">
        <f t="shared" si="8"/>
        <v>Amostra 3</v>
      </c>
      <c r="G29" s="2" t="str">
        <f t="shared" si="8"/>
        <v>Amostra 4</v>
      </c>
      <c r="H29" s="2" t="str">
        <f t="shared" si="8"/>
        <v>Amostra 5</v>
      </c>
      <c r="I29" s="2" t="str">
        <f t="shared" si="8"/>
        <v>Amostra 6</v>
      </c>
      <c r="J29" s="2" t="str">
        <f t="shared" si="8"/>
        <v>Amostra 7</v>
      </c>
      <c r="K29" s="2" t="str">
        <f t="shared" si="8"/>
        <v>Amostra 8</v>
      </c>
      <c r="L29" s="2" t="str">
        <f t="shared" si="8"/>
        <v>Amostra 9</v>
      </c>
      <c r="M29" s="2" t="str">
        <f t="shared" si="8"/>
        <v>Amostra 10</v>
      </c>
      <c r="N29" s="2" t="str">
        <f t="shared" si="9"/>
        <v>EGFR pos ctrl</v>
      </c>
      <c r="O29" s="2" t="s">
        <v>52</v>
      </c>
    </row>
    <row r="31" spans="1:18" x14ac:dyDescent="0.25">
      <c r="A31" t="s">
        <v>11</v>
      </c>
      <c r="B31" t="s">
        <v>38</v>
      </c>
      <c r="C31" s="3" t="s">
        <v>26</v>
      </c>
      <c r="D31" s="2" t="str">
        <f t="shared" ref="D31:M38" si="10">"Amostra "&amp;D$2</f>
        <v>Amostra 1</v>
      </c>
      <c r="E31" s="2" t="str">
        <f t="shared" si="10"/>
        <v>Amostra 2</v>
      </c>
      <c r="F31" s="2" t="str">
        <f t="shared" si="10"/>
        <v>Amostra 3</v>
      </c>
      <c r="G31" s="2" t="str">
        <f t="shared" si="10"/>
        <v>Amostra 4</v>
      </c>
      <c r="H31" s="2" t="str">
        <f t="shared" si="10"/>
        <v>Amostra 5</v>
      </c>
      <c r="I31" s="2" t="str">
        <f t="shared" si="10"/>
        <v>Amostra 6</v>
      </c>
      <c r="J31" s="2" t="str">
        <f t="shared" si="10"/>
        <v>Amostra 7</v>
      </c>
      <c r="K31" s="2" t="str">
        <f t="shared" si="10"/>
        <v>Amostra 8</v>
      </c>
      <c r="L31" s="2" t="str">
        <f t="shared" si="10"/>
        <v>Amostra 9</v>
      </c>
      <c r="M31" s="2" t="str">
        <f t="shared" si="10"/>
        <v>Amostra 10</v>
      </c>
      <c r="N31" s="2" t="str">
        <f>$B$31&amp;" pos ctrl"</f>
        <v>NRAS pos ctrl</v>
      </c>
      <c r="O31" s="2" t="s">
        <v>52</v>
      </c>
      <c r="Q31" t="b">
        <f>ISNUMBER(FIND("ctrl",M31))</f>
        <v>0</v>
      </c>
      <c r="R31" t="b">
        <f>ISNUMBER(FIND("ctrl",N31))</f>
        <v>1</v>
      </c>
    </row>
    <row r="32" spans="1:18" x14ac:dyDescent="0.25">
      <c r="C32" s="3" t="s">
        <v>27</v>
      </c>
      <c r="D32" s="2" t="str">
        <f t="shared" si="10"/>
        <v>Amostra 1</v>
      </c>
      <c r="E32" s="2" t="str">
        <f t="shared" si="10"/>
        <v>Amostra 2</v>
      </c>
      <c r="F32" s="2" t="str">
        <f t="shared" si="10"/>
        <v>Amostra 3</v>
      </c>
      <c r="G32" s="2" t="str">
        <f t="shared" si="10"/>
        <v>Amostra 4</v>
      </c>
      <c r="H32" s="2" t="str">
        <f t="shared" si="10"/>
        <v>Amostra 5</v>
      </c>
      <c r="I32" s="2" t="str">
        <f t="shared" si="10"/>
        <v>Amostra 6</v>
      </c>
      <c r="J32" s="2" t="str">
        <f t="shared" si="10"/>
        <v>Amostra 7</v>
      </c>
      <c r="K32" s="2" t="str">
        <f t="shared" si="10"/>
        <v>Amostra 8</v>
      </c>
      <c r="L32" s="2" t="str">
        <f t="shared" si="10"/>
        <v>Amostra 9</v>
      </c>
      <c r="M32" s="2" t="str">
        <f t="shared" si="10"/>
        <v>Amostra 10</v>
      </c>
      <c r="N32" s="2" t="str">
        <f t="shared" ref="N32:N38" si="11">$B$31&amp;" pos ctrl"</f>
        <v>NRAS pos ctrl</v>
      </c>
      <c r="O32" s="2" t="s">
        <v>52</v>
      </c>
    </row>
    <row r="33" spans="1:15" x14ac:dyDescent="0.25">
      <c r="C33" s="3" t="s">
        <v>28</v>
      </c>
      <c r="D33" s="2" t="str">
        <f t="shared" si="10"/>
        <v>Amostra 1</v>
      </c>
      <c r="E33" s="2" t="str">
        <f t="shared" si="10"/>
        <v>Amostra 2</v>
      </c>
      <c r="F33" s="2" t="str">
        <f t="shared" si="10"/>
        <v>Amostra 3</v>
      </c>
      <c r="G33" s="2" t="str">
        <f t="shared" si="10"/>
        <v>Amostra 4</v>
      </c>
      <c r="H33" s="2" t="str">
        <f t="shared" si="10"/>
        <v>Amostra 5</v>
      </c>
      <c r="I33" s="2" t="str">
        <f t="shared" si="10"/>
        <v>Amostra 6</v>
      </c>
      <c r="J33" s="2" t="str">
        <f t="shared" si="10"/>
        <v>Amostra 7</v>
      </c>
      <c r="K33" s="2" t="str">
        <f t="shared" si="10"/>
        <v>Amostra 8</v>
      </c>
      <c r="L33" s="2" t="str">
        <f t="shared" si="10"/>
        <v>Amostra 9</v>
      </c>
      <c r="M33" s="2" t="str">
        <f t="shared" si="10"/>
        <v>Amostra 10</v>
      </c>
      <c r="N33" s="2" t="str">
        <f t="shared" si="11"/>
        <v>NRAS pos ctrl</v>
      </c>
      <c r="O33" s="2" t="s">
        <v>52</v>
      </c>
    </row>
    <row r="34" spans="1:15" x14ac:dyDescent="0.25">
      <c r="C34" s="3" t="s">
        <v>29</v>
      </c>
      <c r="D34" s="2" t="str">
        <f t="shared" si="10"/>
        <v>Amostra 1</v>
      </c>
      <c r="E34" s="2" t="str">
        <f t="shared" si="10"/>
        <v>Amostra 2</v>
      </c>
      <c r="F34" s="2" t="str">
        <f t="shared" si="10"/>
        <v>Amostra 3</v>
      </c>
      <c r="G34" s="2" t="str">
        <f t="shared" si="10"/>
        <v>Amostra 4</v>
      </c>
      <c r="H34" s="2" t="str">
        <f t="shared" si="10"/>
        <v>Amostra 5</v>
      </c>
      <c r="I34" s="2" t="str">
        <f t="shared" si="10"/>
        <v>Amostra 6</v>
      </c>
      <c r="J34" s="2" t="str">
        <f t="shared" si="10"/>
        <v>Amostra 7</v>
      </c>
      <c r="K34" s="2" t="str">
        <f t="shared" si="10"/>
        <v>Amostra 8</v>
      </c>
      <c r="L34" s="2" t="str">
        <f t="shared" si="10"/>
        <v>Amostra 9</v>
      </c>
      <c r="M34" s="2" t="str">
        <f t="shared" si="10"/>
        <v>Amostra 10</v>
      </c>
      <c r="N34" s="2" t="str">
        <f t="shared" si="11"/>
        <v>NRAS pos ctrl</v>
      </c>
      <c r="O34" s="2" t="s">
        <v>52</v>
      </c>
    </row>
    <row r="35" spans="1:15" x14ac:dyDescent="0.25">
      <c r="C35" s="3" t="s">
        <v>30</v>
      </c>
      <c r="D35" s="2" t="str">
        <f t="shared" si="10"/>
        <v>Amostra 1</v>
      </c>
      <c r="E35" s="2" t="str">
        <f t="shared" si="10"/>
        <v>Amostra 2</v>
      </c>
      <c r="F35" s="2" t="str">
        <f t="shared" si="10"/>
        <v>Amostra 3</v>
      </c>
      <c r="G35" s="2" t="str">
        <f t="shared" si="10"/>
        <v>Amostra 4</v>
      </c>
      <c r="H35" s="2" t="str">
        <f t="shared" si="10"/>
        <v>Amostra 5</v>
      </c>
      <c r="I35" s="2" t="str">
        <f t="shared" si="10"/>
        <v>Amostra 6</v>
      </c>
      <c r="J35" s="2" t="str">
        <f t="shared" si="10"/>
        <v>Amostra 7</v>
      </c>
      <c r="K35" s="2" t="str">
        <f t="shared" si="10"/>
        <v>Amostra 8</v>
      </c>
      <c r="L35" s="2" t="str">
        <f t="shared" si="10"/>
        <v>Amostra 9</v>
      </c>
      <c r="M35" s="2" t="str">
        <f t="shared" si="10"/>
        <v>Amostra 10</v>
      </c>
      <c r="N35" s="2" t="str">
        <f t="shared" si="11"/>
        <v>NRAS pos ctrl</v>
      </c>
      <c r="O35" s="2" t="s">
        <v>52</v>
      </c>
    </row>
    <row r="36" spans="1:15" x14ac:dyDescent="0.25">
      <c r="C36" s="3" t="s">
        <v>31</v>
      </c>
      <c r="D36" s="2" t="str">
        <f t="shared" si="10"/>
        <v>Amostra 1</v>
      </c>
      <c r="E36" s="2" t="str">
        <f t="shared" si="10"/>
        <v>Amostra 2</v>
      </c>
      <c r="F36" s="2" t="str">
        <f t="shared" si="10"/>
        <v>Amostra 3</v>
      </c>
      <c r="G36" s="2" t="str">
        <f t="shared" si="10"/>
        <v>Amostra 4</v>
      </c>
      <c r="H36" s="2" t="str">
        <f t="shared" si="10"/>
        <v>Amostra 5</v>
      </c>
      <c r="I36" s="2" t="str">
        <f t="shared" si="10"/>
        <v>Amostra 6</v>
      </c>
      <c r="J36" s="2" t="str">
        <f t="shared" si="10"/>
        <v>Amostra 7</v>
      </c>
      <c r="K36" s="2" t="str">
        <f t="shared" si="10"/>
        <v>Amostra 8</v>
      </c>
      <c r="L36" s="2" t="str">
        <f t="shared" si="10"/>
        <v>Amostra 9</v>
      </c>
      <c r="M36" s="2" t="str">
        <f t="shared" si="10"/>
        <v>Amostra 10</v>
      </c>
      <c r="N36" s="2" t="str">
        <f t="shared" si="11"/>
        <v>NRAS pos ctrl</v>
      </c>
      <c r="O36" s="2" t="s">
        <v>52</v>
      </c>
    </row>
    <row r="37" spans="1:15" x14ac:dyDescent="0.25">
      <c r="C37" s="3" t="s">
        <v>32</v>
      </c>
      <c r="D37" s="2" t="str">
        <f t="shared" si="10"/>
        <v>Amostra 1</v>
      </c>
      <c r="E37" s="2" t="str">
        <f t="shared" si="10"/>
        <v>Amostra 2</v>
      </c>
      <c r="F37" s="2" t="str">
        <f t="shared" si="10"/>
        <v>Amostra 3</v>
      </c>
      <c r="G37" s="2" t="str">
        <f t="shared" si="10"/>
        <v>Amostra 4</v>
      </c>
      <c r="H37" s="2" t="str">
        <f t="shared" si="10"/>
        <v>Amostra 5</v>
      </c>
      <c r="I37" s="2" t="str">
        <f t="shared" si="10"/>
        <v>Amostra 6</v>
      </c>
      <c r="J37" s="2" t="str">
        <f t="shared" si="10"/>
        <v>Amostra 7</v>
      </c>
      <c r="K37" s="2" t="str">
        <f t="shared" si="10"/>
        <v>Amostra 8</v>
      </c>
      <c r="L37" s="2" t="str">
        <f t="shared" si="10"/>
        <v>Amostra 9</v>
      </c>
      <c r="M37" s="2" t="str">
        <f t="shared" si="10"/>
        <v>Amostra 10</v>
      </c>
      <c r="N37" s="2" t="str">
        <f t="shared" si="11"/>
        <v>NRAS pos ctrl</v>
      </c>
      <c r="O37" s="2" t="s">
        <v>52</v>
      </c>
    </row>
    <row r="38" spans="1:15" x14ac:dyDescent="0.25">
      <c r="C38" s="3" t="s">
        <v>33</v>
      </c>
      <c r="D38" s="2" t="str">
        <f t="shared" si="10"/>
        <v>Amostra 1</v>
      </c>
      <c r="E38" s="2" t="str">
        <f t="shared" si="10"/>
        <v>Amostra 2</v>
      </c>
      <c r="F38" s="2" t="str">
        <f t="shared" si="10"/>
        <v>Amostra 3</v>
      </c>
      <c r="G38" s="2" t="str">
        <f t="shared" si="10"/>
        <v>Amostra 4</v>
      </c>
      <c r="H38" s="2" t="str">
        <f t="shared" si="10"/>
        <v>Amostra 5</v>
      </c>
      <c r="I38" s="2" t="str">
        <f t="shared" si="10"/>
        <v>Amostra 6</v>
      </c>
      <c r="J38" s="2" t="str">
        <f t="shared" si="10"/>
        <v>Amostra 7</v>
      </c>
      <c r="K38" s="2" t="str">
        <f t="shared" si="10"/>
        <v>Amostra 8</v>
      </c>
      <c r="L38" s="2" t="str">
        <f t="shared" si="10"/>
        <v>Amostra 9</v>
      </c>
      <c r="M38" s="2" t="str">
        <f t="shared" si="10"/>
        <v>Amostra 10</v>
      </c>
      <c r="N38" s="2" t="str">
        <f t="shared" si="11"/>
        <v>NRAS pos ctrl</v>
      </c>
      <c r="O38" s="2" t="s">
        <v>52</v>
      </c>
    </row>
    <row r="40" spans="1:15" x14ac:dyDescent="0.25">
      <c r="A40" t="s">
        <v>12</v>
      </c>
      <c r="B40" t="s">
        <v>39</v>
      </c>
      <c r="C40" s="3" t="s">
        <v>26</v>
      </c>
      <c r="D40" s="2" t="str">
        <f t="shared" ref="D40:M47" si="12">"Amostra "&amp;D$2</f>
        <v>Amostra 1</v>
      </c>
      <c r="E40" s="2" t="str">
        <f t="shared" si="12"/>
        <v>Amostra 2</v>
      </c>
      <c r="F40" s="2" t="str">
        <f t="shared" si="12"/>
        <v>Amostra 3</v>
      </c>
      <c r="G40" s="2" t="str">
        <f t="shared" si="12"/>
        <v>Amostra 4</v>
      </c>
      <c r="H40" s="2" t="str">
        <f t="shared" si="12"/>
        <v>Amostra 5</v>
      </c>
      <c r="I40" s="2" t="str">
        <f t="shared" si="12"/>
        <v>Amostra 6</v>
      </c>
      <c r="J40" s="2" t="str">
        <f t="shared" si="12"/>
        <v>Amostra 7</v>
      </c>
      <c r="K40" s="2" t="str">
        <f t="shared" si="12"/>
        <v>Amostra 8</v>
      </c>
      <c r="L40" s="2" t="str">
        <f t="shared" si="12"/>
        <v>Amostra 9</v>
      </c>
      <c r="M40" s="2" t="str">
        <f t="shared" si="12"/>
        <v>Amostra 10</v>
      </c>
      <c r="N40" s="2" t="str">
        <f>$B$40&amp;" pos ctrl"</f>
        <v>PIK3CA pos ctrl</v>
      </c>
      <c r="O40" s="2" t="s">
        <v>52</v>
      </c>
    </row>
    <row r="41" spans="1:15" x14ac:dyDescent="0.25">
      <c r="C41" s="3" t="s">
        <v>27</v>
      </c>
      <c r="D41" s="2" t="str">
        <f t="shared" si="12"/>
        <v>Amostra 1</v>
      </c>
      <c r="E41" s="2" t="str">
        <f t="shared" si="12"/>
        <v>Amostra 2</v>
      </c>
      <c r="F41" s="2" t="str">
        <f t="shared" si="12"/>
        <v>Amostra 3</v>
      </c>
      <c r="G41" s="2" t="str">
        <f t="shared" si="12"/>
        <v>Amostra 4</v>
      </c>
      <c r="H41" s="2" t="str">
        <f t="shared" si="12"/>
        <v>Amostra 5</v>
      </c>
      <c r="I41" s="2" t="str">
        <f t="shared" si="12"/>
        <v>Amostra 6</v>
      </c>
      <c r="J41" s="2" t="str">
        <f t="shared" si="12"/>
        <v>Amostra 7</v>
      </c>
      <c r="K41" s="2" t="str">
        <f t="shared" si="12"/>
        <v>Amostra 8</v>
      </c>
      <c r="L41" s="2" t="str">
        <f t="shared" si="12"/>
        <v>Amostra 9</v>
      </c>
      <c r="M41" s="2" t="str">
        <f t="shared" si="12"/>
        <v>Amostra 10</v>
      </c>
      <c r="N41" s="2" t="str">
        <f t="shared" ref="N41:N47" si="13">$B$40&amp;" pos ctrl"</f>
        <v>PIK3CA pos ctrl</v>
      </c>
      <c r="O41" s="2" t="s">
        <v>52</v>
      </c>
    </row>
    <row r="42" spans="1:15" x14ac:dyDescent="0.25">
      <c r="C42" s="3" t="s">
        <v>28</v>
      </c>
      <c r="D42" s="2" t="str">
        <f t="shared" si="12"/>
        <v>Amostra 1</v>
      </c>
      <c r="E42" s="2" t="str">
        <f t="shared" si="12"/>
        <v>Amostra 2</v>
      </c>
      <c r="F42" s="2" t="str">
        <f t="shared" si="12"/>
        <v>Amostra 3</v>
      </c>
      <c r="G42" s="2" t="str">
        <f t="shared" si="12"/>
        <v>Amostra 4</v>
      </c>
      <c r="H42" s="2" t="str">
        <f t="shared" si="12"/>
        <v>Amostra 5</v>
      </c>
      <c r="I42" s="2" t="str">
        <f t="shared" si="12"/>
        <v>Amostra 6</v>
      </c>
      <c r="J42" s="2" t="str">
        <f t="shared" si="12"/>
        <v>Amostra 7</v>
      </c>
      <c r="K42" s="2" t="str">
        <f t="shared" si="12"/>
        <v>Amostra 8</v>
      </c>
      <c r="L42" s="2" t="str">
        <f t="shared" si="12"/>
        <v>Amostra 9</v>
      </c>
      <c r="M42" s="2" t="str">
        <f t="shared" si="12"/>
        <v>Amostra 10</v>
      </c>
      <c r="N42" s="2" t="str">
        <f t="shared" si="13"/>
        <v>PIK3CA pos ctrl</v>
      </c>
      <c r="O42" s="2" t="s">
        <v>52</v>
      </c>
    </row>
    <row r="43" spans="1:15" x14ac:dyDescent="0.25">
      <c r="C43" s="3" t="s">
        <v>29</v>
      </c>
      <c r="D43" s="2" t="str">
        <f t="shared" si="12"/>
        <v>Amostra 1</v>
      </c>
      <c r="E43" s="2" t="str">
        <f t="shared" si="12"/>
        <v>Amostra 2</v>
      </c>
      <c r="F43" s="2" t="str">
        <f t="shared" si="12"/>
        <v>Amostra 3</v>
      </c>
      <c r="G43" s="2" t="str">
        <f t="shared" si="12"/>
        <v>Amostra 4</v>
      </c>
      <c r="H43" s="2" t="str">
        <f t="shared" si="12"/>
        <v>Amostra 5</v>
      </c>
      <c r="I43" s="2" t="str">
        <f t="shared" si="12"/>
        <v>Amostra 6</v>
      </c>
      <c r="J43" s="2" t="str">
        <f t="shared" si="12"/>
        <v>Amostra 7</v>
      </c>
      <c r="K43" s="2" t="str">
        <f t="shared" si="12"/>
        <v>Amostra 8</v>
      </c>
      <c r="L43" s="2" t="str">
        <f t="shared" si="12"/>
        <v>Amostra 9</v>
      </c>
      <c r="M43" s="2" t="str">
        <f t="shared" si="12"/>
        <v>Amostra 10</v>
      </c>
      <c r="N43" s="2" t="str">
        <f t="shared" si="13"/>
        <v>PIK3CA pos ctrl</v>
      </c>
      <c r="O43" s="2" t="s">
        <v>52</v>
      </c>
    </row>
    <row r="44" spans="1:15" x14ac:dyDescent="0.25">
      <c r="C44" s="3" t="s">
        <v>30</v>
      </c>
      <c r="D44" s="2" t="str">
        <f t="shared" si="12"/>
        <v>Amostra 1</v>
      </c>
      <c r="E44" s="2" t="str">
        <f t="shared" si="12"/>
        <v>Amostra 2</v>
      </c>
      <c r="F44" s="2" t="str">
        <f t="shared" si="12"/>
        <v>Amostra 3</v>
      </c>
      <c r="G44" s="2" t="str">
        <f t="shared" si="12"/>
        <v>Amostra 4</v>
      </c>
      <c r="H44" s="2" t="str">
        <f t="shared" si="12"/>
        <v>Amostra 5</v>
      </c>
      <c r="I44" s="2" t="str">
        <f t="shared" si="12"/>
        <v>Amostra 6</v>
      </c>
      <c r="J44" s="2" t="str">
        <f t="shared" si="12"/>
        <v>Amostra 7</v>
      </c>
      <c r="K44" s="2" t="str">
        <f t="shared" si="12"/>
        <v>Amostra 8</v>
      </c>
      <c r="L44" s="2" t="str">
        <f t="shared" si="12"/>
        <v>Amostra 9</v>
      </c>
      <c r="M44" s="2" t="str">
        <f t="shared" si="12"/>
        <v>Amostra 10</v>
      </c>
      <c r="N44" s="2" t="str">
        <f t="shared" si="13"/>
        <v>PIK3CA pos ctrl</v>
      </c>
      <c r="O44" s="2" t="s">
        <v>52</v>
      </c>
    </row>
    <row r="45" spans="1:15" x14ac:dyDescent="0.25">
      <c r="C45" s="3" t="s">
        <v>31</v>
      </c>
      <c r="D45" s="2" t="str">
        <f t="shared" si="12"/>
        <v>Amostra 1</v>
      </c>
      <c r="E45" s="2" t="str">
        <f t="shared" si="12"/>
        <v>Amostra 2</v>
      </c>
      <c r="F45" s="2" t="str">
        <f t="shared" si="12"/>
        <v>Amostra 3</v>
      </c>
      <c r="G45" s="2" t="str">
        <f t="shared" si="12"/>
        <v>Amostra 4</v>
      </c>
      <c r="H45" s="2" t="str">
        <f t="shared" si="12"/>
        <v>Amostra 5</v>
      </c>
      <c r="I45" s="2" t="str">
        <f t="shared" si="12"/>
        <v>Amostra 6</v>
      </c>
      <c r="J45" s="2" t="str">
        <f t="shared" si="12"/>
        <v>Amostra 7</v>
      </c>
      <c r="K45" s="2" t="str">
        <f t="shared" si="12"/>
        <v>Amostra 8</v>
      </c>
      <c r="L45" s="2" t="str">
        <f t="shared" si="12"/>
        <v>Amostra 9</v>
      </c>
      <c r="M45" s="2" t="str">
        <f t="shared" si="12"/>
        <v>Amostra 10</v>
      </c>
      <c r="N45" s="2" t="str">
        <f t="shared" si="13"/>
        <v>PIK3CA pos ctrl</v>
      </c>
      <c r="O45" s="2" t="s">
        <v>52</v>
      </c>
    </row>
    <row r="46" spans="1:15" x14ac:dyDescent="0.25">
      <c r="C46" s="3" t="s">
        <v>32</v>
      </c>
      <c r="D46" s="2" t="str">
        <f t="shared" si="12"/>
        <v>Amostra 1</v>
      </c>
      <c r="E46" s="2" t="str">
        <f t="shared" si="12"/>
        <v>Amostra 2</v>
      </c>
      <c r="F46" s="2" t="str">
        <f t="shared" si="12"/>
        <v>Amostra 3</v>
      </c>
      <c r="G46" s="2" t="str">
        <f t="shared" si="12"/>
        <v>Amostra 4</v>
      </c>
      <c r="H46" s="2" t="str">
        <f t="shared" si="12"/>
        <v>Amostra 5</v>
      </c>
      <c r="I46" s="2" t="str">
        <f t="shared" si="12"/>
        <v>Amostra 6</v>
      </c>
      <c r="J46" s="2" t="str">
        <f t="shared" si="12"/>
        <v>Amostra 7</v>
      </c>
      <c r="K46" s="2" t="str">
        <f t="shared" si="12"/>
        <v>Amostra 8</v>
      </c>
      <c r="L46" s="2" t="str">
        <f t="shared" si="12"/>
        <v>Amostra 9</v>
      </c>
      <c r="M46" s="2" t="str">
        <f t="shared" si="12"/>
        <v>Amostra 10</v>
      </c>
      <c r="N46" s="2" t="str">
        <f t="shared" si="13"/>
        <v>PIK3CA pos ctrl</v>
      </c>
      <c r="O46" s="2" t="s">
        <v>52</v>
      </c>
    </row>
    <row r="47" spans="1:15" x14ac:dyDescent="0.25">
      <c r="C47" s="3" t="s">
        <v>33</v>
      </c>
      <c r="D47" s="2" t="str">
        <f t="shared" si="12"/>
        <v>Amostra 1</v>
      </c>
      <c r="E47" s="2" t="str">
        <f t="shared" si="12"/>
        <v>Amostra 2</v>
      </c>
      <c r="F47" s="2" t="str">
        <f t="shared" si="12"/>
        <v>Amostra 3</v>
      </c>
      <c r="G47" s="2" t="str">
        <f t="shared" si="12"/>
        <v>Amostra 4</v>
      </c>
      <c r="H47" s="2" t="str">
        <f t="shared" si="12"/>
        <v>Amostra 5</v>
      </c>
      <c r="I47" s="2" t="str">
        <f t="shared" si="12"/>
        <v>Amostra 6</v>
      </c>
      <c r="J47" s="2" t="str">
        <f t="shared" si="12"/>
        <v>Amostra 7</v>
      </c>
      <c r="K47" s="2" t="str">
        <f t="shared" si="12"/>
        <v>Amostra 8</v>
      </c>
      <c r="L47" s="2" t="str">
        <f t="shared" si="12"/>
        <v>Amostra 9</v>
      </c>
      <c r="M47" s="2" t="str">
        <f t="shared" si="12"/>
        <v>Amostra 10</v>
      </c>
      <c r="N47" s="2" t="str">
        <f t="shared" si="13"/>
        <v>PIK3CA pos ctrl</v>
      </c>
      <c r="O47" s="2" t="s">
        <v>52</v>
      </c>
    </row>
    <row r="49" spans="1:15" x14ac:dyDescent="0.25">
      <c r="A49" t="s">
        <v>13</v>
      </c>
      <c r="B49" t="s">
        <v>40</v>
      </c>
      <c r="C49" s="3" t="s">
        <v>26</v>
      </c>
      <c r="D49" s="2" t="str">
        <f t="shared" ref="D49:M56" si="14">"Amostra "&amp;D$2</f>
        <v>Amostra 1</v>
      </c>
      <c r="E49" s="2" t="str">
        <f t="shared" si="14"/>
        <v>Amostra 2</v>
      </c>
      <c r="F49" s="2" t="str">
        <f t="shared" si="14"/>
        <v>Amostra 3</v>
      </c>
      <c r="G49" s="2" t="str">
        <f t="shared" si="14"/>
        <v>Amostra 4</v>
      </c>
      <c r="H49" s="2" t="str">
        <f t="shared" si="14"/>
        <v>Amostra 5</v>
      </c>
      <c r="I49" s="2" t="str">
        <f t="shared" si="14"/>
        <v>Amostra 6</v>
      </c>
      <c r="J49" s="2" t="str">
        <f t="shared" si="14"/>
        <v>Amostra 7</v>
      </c>
      <c r="K49" s="2" t="str">
        <f t="shared" si="14"/>
        <v>Amostra 8</v>
      </c>
      <c r="L49" s="2" t="str">
        <f t="shared" si="14"/>
        <v>Amostra 9</v>
      </c>
      <c r="M49" s="2" t="str">
        <f t="shared" si="14"/>
        <v>Amostra 10</v>
      </c>
      <c r="N49" s="2" t="str">
        <f>$B$49&amp;" pos ctrl"</f>
        <v>IDH1/2 pos ctrl</v>
      </c>
      <c r="O49" s="2" t="s">
        <v>52</v>
      </c>
    </row>
    <row r="50" spans="1:15" x14ac:dyDescent="0.25">
      <c r="C50" s="3" t="s">
        <v>27</v>
      </c>
      <c r="D50" s="2" t="str">
        <f t="shared" si="14"/>
        <v>Amostra 1</v>
      </c>
      <c r="E50" s="2" t="str">
        <f t="shared" si="14"/>
        <v>Amostra 2</v>
      </c>
      <c r="F50" s="2" t="str">
        <f t="shared" si="14"/>
        <v>Amostra 3</v>
      </c>
      <c r="G50" s="2" t="str">
        <f t="shared" si="14"/>
        <v>Amostra 4</v>
      </c>
      <c r="H50" s="2" t="str">
        <f t="shared" si="14"/>
        <v>Amostra 5</v>
      </c>
      <c r="I50" s="2" t="str">
        <f t="shared" si="14"/>
        <v>Amostra 6</v>
      </c>
      <c r="J50" s="2" t="str">
        <f t="shared" si="14"/>
        <v>Amostra 7</v>
      </c>
      <c r="K50" s="2" t="str">
        <f t="shared" si="14"/>
        <v>Amostra 8</v>
      </c>
      <c r="L50" s="2" t="str">
        <f t="shared" si="14"/>
        <v>Amostra 9</v>
      </c>
      <c r="M50" s="2" t="str">
        <f t="shared" si="14"/>
        <v>Amostra 10</v>
      </c>
      <c r="N50" s="2" t="str">
        <f t="shared" ref="N50:N56" si="15">$B$49&amp;" pos ctrl"</f>
        <v>IDH1/2 pos ctrl</v>
      </c>
      <c r="O50" s="2" t="s">
        <v>52</v>
      </c>
    </row>
    <row r="51" spans="1:15" x14ac:dyDescent="0.25">
      <c r="C51" s="3" t="s">
        <v>28</v>
      </c>
      <c r="D51" s="2" t="str">
        <f t="shared" si="14"/>
        <v>Amostra 1</v>
      </c>
      <c r="E51" s="2" t="str">
        <f t="shared" si="14"/>
        <v>Amostra 2</v>
      </c>
      <c r="F51" s="2" t="str">
        <f t="shared" si="14"/>
        <v>Amostra 3</v>
      </c>
      <c r="G51" s="2" t="str">
        <f t="shared" si="14"/>
        <v>Amostra 4</v>
      </c>
      <c r="H51" s="2" t="str">
        <f t="shared" si="14"/>
        <v>Amostra 5</v>
      </c>
      <c r="I51" s="2" t="str">
        <f t="shared" si="14"/>
        <v>Amostra 6</v>
      </c>
      <c r="J51" s="2" t="str">
        <f t="shared" si="14"/>
        <v>Amostra 7</v>
      </c>
      <c r="K51" s="2" t="str">
        <f t="shared" si="14"/>
        <v>Amostra 8</v>
      </c>
      <c r="L51" s="2" t="str">
        <f t="shared" si="14"/>
        <v>Amostra 9</v>
      </c>
      <c r="M51" s="2" t="str">
        <f t="shared" si="14"/>
        <v>Amostra 10</v>
      </c>
      <c r="N51" s="2" t="str">
        <f t="shared" si="15"/>
        <v>IDH1/2 pos ctrl</v>
      </c>
      <c r="O51" s="2" t="s">
        <v>52</v>
      </c>
    </row>
    <row r="52" spans="1:15" x14ac:dyDescent="0.25">
      <c r="C52" s="3" t="s">
        <v>29</v>
      </c>
      <c r="D52" s="2" t="str">
        <f t="shared" si="14"/>
        <v>Amostra 1</v>
      </c>
      <c r="E52" s="2" t="str">
        <f t="shared" si="14"/>
        <v>Amostra 2</v>
      </c>
      <c r="F52" s="2" t="str">
        <f t="shared" si="14"/>
        <v>Amostra 3</v>
      </c>
      <c r="G52" s="2" t="str">
        <f t="shared" si="14"/>
        <v>Amostra 4</v>
      </c>
      <c r="H52" s="2" t="str">
        <f t="shared" si="14"/>
        <v>Amostra 5</v>
      </c>
      <c r="I52" s="2" t="str">
        <f t="shared" si="14"/>
        <v>Amostra 6</v>
      </c>
      <c r="J52" s="2" t="str">
        <f t="shared" si="14"/>
        <v>Amostra 7</v>
      </c>
      <c r="K52" s="2" t="str">
        <f t="shared" si="14"/>
        <v>Amostra 8</v>
      </c>
      <c r="L52" s="2" t="str">
        <f t="shared" si="14"/>
        <v>Amostra 9</v>
      </c>
      <c r="M52" s="2" t="str">
        <f t="shared" si="14"/>
        <v>Amostra 10</v>
      </c>
      <c r="N52" s="2" t="str">
        <f t="shared" si="15"/>
        <v>IDH1/2 pos ctrl</v>
      </c>
      <c r="O52" s="2" t="s">
        <v>52</v>
      </c>
    </row>
    <row r="53" spans="1:15" x14ac:dyDescent="0.25">
      <c r="C53" s="3" t="s">
        <v>30</v>
      </c>
      <c r="D53" s="2" t="str">
        <f t="shared" si="14"/>
        <v>Amostra 1</v>
      </c>
      <c r="E53" s="2" t="str">
        <f t="shared" si="14"/>
        <v>Amostra 2</v>
      </c>
      <c r="F53" s="2" t="str">
        <f t="shared" si="14"/>
        <v>Amostra 3</v>
      </c>
      <c r="G53" s="2" t="str">
        <f t="shared" si="14"/>
        <v>Amostra 4</v>
      </c>
      <c r="H53" s="2" t="str">
        <f t="shared" si="14"/>
        <v>Amostra 5</v>
      </c>
      <c r="I53" s="2" t="str">
        <f t="shared" si="14"/>
        <v>Amostra 6</v>
      </c>
      <c r="J53" s="2" t="str">
        <f t="shared" si="14"/>
        <v>Amostra 7</v>
      </c>
      <c r="K53" s="2" t="str">
        <f t="shared" si="14"/>
        <v>Amostra 8</v>
      </c>
      <c r="L53" s="2" t="str">
        <f t="shared" si="14"/>
        <v>Amostra 9</v>
      </c>
      <c r="M53" s="2" t="str">
        <f t="shared" si="14"/>
        <v>Amostra 10</v>
      </c>
      <c r="N53" s="2" t="str">
        <f t="shared" si="15"/>
        <v>IDH1/2 pos ctrl</v>
      </c>
      <c r="O53" s="2" t="s">
        <v>52</v>
      </c>
    </row>
    <row r="54" spans="1:15" x14ac:dyDescent="0.25">
      <c r="C54" s="3" t="s">
        <v>31</v>
      </c>
      <c r="D54" s="2" t="str">
        <f t="shared" si="14"/>
        <v>Amostra 1</v>
      </c>
      <c r="E54" s="2" t="str">
        <f t="shared" si="14"/>
        <v>Amostra 2</v>
      </c>
      <c r="F54" s="2" t="str">
        <f t="shared" si="14"/>
        <v>Amostra 3</v>
      </c>
      <c r="G54" s="2" t="str">
        <f t="shared" si="14"/>
        <v>Amostra 4</v>
      </c>
      <c r="H54" s="2" t="str">
        <f t="shared" si="14"/>
        <v>Amostra 5</v>
      </c>
      <c r="I54" s="2" t="str">
        <f t="shared" si="14"/>
        <v>Amostra 6</v>
      </c>
      <c r="J54" s="2" t="str">
        <f t="shared" si="14"/>
        <v>Amostra 7</v>
      </c>
      <c r="K54" s="2" t="str">
        <f t="shared" si="14"/>
        <v>Amostra 8</v>
      </c>
      <c r="L54" s="2" t="str">
        <f t="shared" si="14"/>
        <v>Amostra 9</v>
      </c>
      <c r="M54" s="2" t="str">
        <f t="shared" si="14"/>
        <v>Amostra 10</v>
      </c>
      <c r="N54" s="2" t="str">
        <f t="shared" si="15"/>
        <v>IDH1/2 pos ctrl</v>
      </c>
      <c r="O54" s="2" t="s">
        <v>52</v>
      </c>
    </row>
    <row r="55" spans="1:15" x14ac:dyDescent="0.25">
      <c r="C55" s="3" t="s">
        <v>32</v>
      </c>
      <c r="D55" s="2" t="str">
        <f t="shared" si="14"/>
        <v>Amostra 1</v>
      </c>
      <c r="E55" s="2" t="str">
        <f t="shared" si="14"/>
        <v>Amostra 2</v>
      </c>
      <c r="F55" s="2" t="str">
        <f t="shared" si="14"/>
        <v>Amostra 3</v>
      </c>
      <c r="G55" s="2" t="str">
        <f t="shared" si="14"/>
        <v>Amostra 4</v>
      </c>
      <c r="H55" s="2" t="str">
        <f t="shared" si="14"/>
        <v>Amostra 5</v>
      </c>
      <c r="I55" s="2" t="str">
        <f t="shared" si="14"/>
        <v>Amostra 6</v>
      </c>
      <c r="J55" s="2" t="str">
        <f t="shared" si="14"/>
        <v>Amostra 7</v>
      </c>
      <c r="K55" s="2" t="str">
        <f t="shared" si="14"/>
        <v>Amostra 8</v>
      </c>
      <c r="L55" s="2" t="str">
        <f t="shared" si="14"/>
        <v>Amostra 9</v>
      </c>
      <c r="M55" s="2" t="str">
        <f t="shared" si="14"/>
        <v>Amostra 10</v>
      </c>
      <c r="N55" s="2" t="str">
        <f t="shared" si="15"/>
        <v>IDH1/2 pos ctrl</v>
      </c>
      <c r="O55" s="2" t="s">
        <v>52</v>
      </c>
    </row>
    <row r="56" spans="1:15" x14ac:dyDescent="0.25">
      <c r="C56" s="3" t="s">
        <v>33</v>
      </c>
      <c r="D56" s="2" t="str">
        <f t="shared" si="14"/>
        <v>Amostra 1</v>
      </c>
      <c r="E56" s="2" t="str">
        <f t="shared" si="14"/>
        <v>Amostra 2</v>
      </c>
      <c r="F56" s="2" t="str">
        <f t="shared" si="14"/>
        <v>Amostra 3</v>
      </c>
      <c r="G56" s="2" t="str">
        <f t="shared" si="14"/>
        <v>Amostra 4</v>
      </c>
      <c r="H56" s="2" t="str">
        <f t="shared" si="14"/>
        <v>Amostra 5</v>
      </c>
      <c r="I56" s="2" t="str">
        <f t="shared" si="14"/>
        <v>Amostra 6</v>
      </c>
      <c r="J56" s="2" t="str">
        <f t="shared" si="14"/>
        <v>Amostra 7</v>
      </c>
      <c r="K56" s="2" t="str">
        <f t="shared" si="14"/>
        <v>Amostra 8</v>
      </c>
      <c r="L56" s="2" t="str">
        <f t="shared" si="14"/>
        <v>Amostra 9</v>
      </c>
      <c r="M56" s="2" t="str">
        <f t="shared" si="14"/>
        <v>Amostra 10</v>
      </c>
      <c r="N56" s="2" t="str">
        <f t="shared" si="15"/>
        <v>IDH1/2 pos ctrl</v>
      </c>
      <c r="O56" s="2" t="s">
        <v>52</v>
      </c>
    </row>
    <row r="58" spans="1:15" x14ac:dyDescent="0.25">
      <c r="A58" t="s">
        <v>14</v>
      </c>
      <c r="B58" t="s">
        <v>41</v>
      </c>
      <c r="C58" s="3" t="s">
        <v>26</v>
      </c>
      <c r="D58" s="2" t="str">
        <f t="shared" ref="D58:L62" si="16">"Amostra "&amp;D$2</f>
        <v>Amostra 1</v>
      </c>
      <c r="E58" s="2" t="str">
        <f t="shared" si="16"/>
        <v>Amostra 2</v>
      </c>
      <c r="F58" s="2" t="str">
        <f t="shared" si="16"/>
        <v>Amostra 3</v>
      </c>
      <c r="G58" s="2" t="str">
        <f t="shared" si="16"/>
        <v>Amostra 4</v>
      </c>
      <c r="H58" s="2" t="str">
        <f t="shared" si="16"/>
        <v>Amostra 5</v>
      </c>
      <c r="I58" s="2" t="str">
        <f t="shared" si="16"/>
        <v>Amostra 6</v>
      </c>
      <c r="J58" s="2" t="str">
        <f t="shared" si="16"/>
        <v>Amostra 7</v>
      </c>
      <c r="K58" s="2" t="str">
        <f t="shared" si="16"/>
        <v>Amostra 8</v>
      </c>
      <c r="L58" s="2" t="str">
        <f t="shared" si="16"/>
        <v>Amostra 9</v>
      </c>
      <c r="M58" s="2" t="str">
        <f>$B$58&amp;" pos ctrl"</f>
        <v>DPYD pos ctrl</v>
      </c>
      <c r="N58" s="2" t="str">
        <f>$B$58&amp;" WT ctrl"</f>
        <v>DPYD WT ctrl</v>
      </c>
      <c r="O58" s="2" t="s">
        <v>52</v>
      </c>
    </row>
    <row r="59" spans="1:15" x14ac:dyDescent="0.25">
      <c r="C59" s="3" t="s">
        <v>27</v>
      </c>
      <c r="D59" s="2" t="str">
        <f t="shared" si="16"/>
        <v>Amostra 1</v>
      </c>
      <c r="E59" s="2" t="str">
        <f t="shared" si="16"/>
        <v>Amostra 2</v>
      </c>
      <c r="F59" s="2" t="str">
        <f t="shared" si="16"/>
        <v>Amostra 3</v>
      </c>
      <c r="G59" s="2" t="str">
        <f t="shared" si="16"/>
        <v>Amostra 4</v>
      </c>
      <c r="H59" s="2" t="str">
        <f t="shared" si="16"/>
        <v>Amostra 5</v>
      </c>
      <c r="I59" s="2" t="str">
        <f t="shared" si="16"/>
        <v>Amostra 6</v>
      </c>
      <c r="J59" s="2" t="str">
        <f t="shared" si="16"/>
        <v>Amostra 7</v>
      </c>
      <c r="K59" s="2" t="str">
        <f t="shared" si="16"/>
        <v>Amostra 8</v>
      </c>
      <c r="L59" s="2" t="str">
        <f t="shared" si="16"/>
        <v>Amostra 9</v>
      </c>
      <c r="M59" s="2" t="str">
        <f t="shared" ref="M59:M62" si="17">$B$58&amp;" pos ctrl"</f>
        <v>DPYD pos ctrl</v>
      </c>
      <c r="N59" s="2" t="str">
        <f t="shared" ref="N59:N62" si="18">$B$58&amp;" WT ctrl"</f>
        <v>DPYD WT ctrl</v>
      </c>
      <c r="O59" s="2" t="s">
        <v>52</v>
      </c>
    </row>
    <row r="60" spans="1:15" x14ac:dyDescent="0.25">
      <c r="C60" s="3" t="s">
        <v>28</v>
      </c>
      <c r="D60" s="2" t="str">
        <f t="shared" si="16"/>
        <v>Amostra 1</v>
      </c>
      <c r="E60" s="2" t="str">
        <f t="shared" si="16"/>
        <v>Amostra 2</v>
      </c>
      <c r="F60" s="2" t="str">
        <f t="shared" si="16"/>
        <v>Amostra 3</v>
      </c>
      <c r="G60" s="2" t="str">
        <f t="shared" si="16"/>
        <v>Amostra 4</v>
      </c>
      <c r="H60" s="2" t="str">
        <f t="shared" si="16"/>
        <v>Amostra 5</v>
      </c>
      <c r="I60" s="2" t="str">
        <f t="shared" si="16"/>
        <v>Amostra 6</v>
      </c>
      <c r="J60" s="2" t="str">
        <f t="shared" si="16"/>
        <v>Amostra 7</v>
      </c>
      <c r="K60" s="2" t="str">
        <f t="shared" si="16"/>
        <v>Amostra 8</v>
      </c>
      <c r="L60" s="2" t="str">
        <f t="shared" si="16"/>
        <v>Amostra 9</v>
      </c>
      <c r="M60" s="2" t="str">
        <f t="shared" si="17"/>
        <v>DPYD pos ctrl</v>
      </c>
      <c r="N60" s="2" t="str">
        <f t="shared" si="18"/>
        <v>DPYD WT ctrl</v>
      </c>
      <c r="O60" s="2" t="s">
        <v>52</v>
      </c>
    </row>
    <row r="61" spans="1:15" x14ac:dyDescent="0.25">
      <c r="C61" s="3" t="s">
        <v>29</v>
      </c>
      <c r="D61" s="2" t="str">
        <f t="shared" si="16"/>
        <v>Amostra 1</v>
      </c>
      <c r="E61" s="2" t="str">
        <f t="shared" si="16"/>
        <v>Amostra 2</v>
      </c>
      <c r="F61" s="2" t="str">
        <f t="shared" si="16"/>
        <v>Amostra 3</v>
      </c>
      <c r="G61" s="2" t="str">
        <f t="shared" si="16"/>
        <v>Amostra 4</v>
      </c>
      <c r="H61" s="2" t="str">
        <f t="shared" si="16"/>
        <v>Amostra 5</v>
      </c>
      <c r="I61" s="2" t="str">
        <f t="shared" si="16"/>
        <v>Amostra 6</v>
      </c>
      <c r="J61" s="2" t="str">
        <f t="shared" si="16"/>
        <v>Amostra 7</v>
      </c>
      <c r="K61" s="2" t="str">
        <f t="shared" si="16"/>
        <v>Amostra 8</v>
      </c>
      <c r="L61" s="2" t="str">
        <f t="shared" si="16"/>
        <v>Amostra 9</v>
      </c>
      <c r="M61" s="2" t="str">
        <f t="shared" si="17"/>
        <v>DPYD pos ctrl</v>
      </c>
      <c r="N61" s="2" t="str">
        <f t="shared" si="18"/>
        <v>DPYD WT ctrl</v>
      </c>
      <c r="O61" s="2" t="s">
        <v>52</v>
      </c>
    </row>
    <row r="62" spans="1:15" x14ac:dyDescent="0.25">
      <c r="C62" s="3" t="s">
        <v>30</v>
      </c>
      <c r="D62" s="2" t="str">
        <f t="shared" si="16"/>
        <v>Amostra 1</v>
      </c>
      <c r="E62" s="2" t="str">
        <f t="shared" si="16"/>
        <v>Amostra 2</v>
      </c>
      <c r="F62" s="2" t="str">
        <f t="shared" si="16"/>
        <v>Amostra 3</v>
      </c>
      <c r="G62" s="2" t="str">
        <f t="shared" si="16"/>
        <v>Amostra 4</v>
      </c>
      <c r="H62" s="2" t="str">
        <f t="shared" si="16"/>
        <v>Amostra 5</v>
      </c>
      <c r="I62" s="2" t="str">
        <f t="shared" si="16"/>
        <v>Amostra 6</v>
      </c>
      <c r="J62" s="2" t="str">
        <f t="shared" si="16"/>
        <v>Amostra 7</v>
      </c>
      <c r="K62" s="2" t="str">
        <f t="shared" si="16"/>
        <v>Amostra 8</v>
      </c>
      <c r="L62" s="2" t="str">
        <f t="shared" si="16"/>
        <v>Amostra 9</v>
      </c>
      <c r="M62" s="2" t="str">
        <f t="shared" si="17"/>
        <v>DPYD pos ctrl</v>
      </c>
      <c r="N62" s="2" t="str">
        <f t="shared" si="18"/>
        <v>DPYD WT ctrl</v>
      </c>
      <c r="O62" s="2" t="s">
        <v>52</v>
      </c>
    </row>
    <row r="63" spans="1:15" x14ac:dyDescent="0.25">
      <c r="C63" s="3" t="s">
        <v>31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</row>
    <row r="64" spans="1:15" x14ac:dyDescent="0.25">
      <c r="C64" s="3" t="s">
        <v>32</v>
      </c>
      <c r="D64" s="2" t="s">
        <v>5</v>
      </c>
      <c r="E64" s="2" t="s">
        <v>5</v>
      </c>
      <c r="F64" s="2" t="s">
        <v>5</v>
      </c>
      <c r="G64" s="2" t="s">
        <v>5</v>
      </c>
      <c r="H64" s="2" t="s">
        <v>5</v>
      </c>
      <c r="I64" s="2" t="s">
        <v>5</v>
      </c>
      <c r="J64" s="2" t="s">
        <v>5</v>
      </c>
      <c r="K64" s="2" t="s">
        <v>5</v>
      </c>
      <c r="L64" s="2" t="s">
        <v>5</v>
      </c>
      <c r="M64" s="2" t="s">
        <v>5</v>
      </c>
      <c r="N64" s="2" t="s">
        <v>5</v>
      </c>
      <c r="O64" s="2" t="s">
        <v>5</v>
      </c>
    </row>
    <row r="65" spans="1:15" x14ac:dyDescent="0.25">
      <c r="C65" s="3" t="s">
        <v>33</v>
      </c>
      <c r="D65" s="2" t="s">
        <v>5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</row>
    <row r="67" spans="1:15" x14ac:dyDescent="0.25">
      <c r="A67" t="s">
        <v>34</v>
      </c>
      <c r="B67" t="s">
        <v>0</v>
      </c>
      <c r="C67" s="3" t="s">
        <v>26</v>
      </c>
      <c r="D67" s="2" t="str">
        <f t="shared" ref="D67:M74" si="19">"Amostra "&amp;D$2</f>
        <v>Amostra 1</v>
      </c>
      <c r="E67" s="2" t="str">
        <f t="shared" si="19"/>
        <v>Amostra 2</v>
      </c>
      <c r="F67" s="2" t="str">
        <f t="shared" si="19"/>
        <v>Amostra 3</v>
      </c>
      <c r="G67" s="2" t="str">
        <f t="shared" si="19"/>
        <v>Amostra 4</v>
      </c>
      <c r="H67" s="2" t="str">
        <f t="shared" si="19"/>
        <v>Amostra 5</v>
      </c>
      <c r="I67" s="2" t="str">
        <f t="shared" si="19"/>
        <v>Amostra 6</v>
      </c>
      <c r="J67" s="2" t="str">
        <f t="shared" si="19"/>
        <v>Amostra 7</v>
      </c>
      <c r="K67" s="2" t="str">
        <f t="shared" si="19"/>
        <v>Amostra 8</v>
      </c>
      <c r="L67" s="2" t="str">
        <f t="shared" si="19"/>
        <v>Amostra 9</v>
      </c>
      <c r="M67" s="2" t="str">
        <f t="shared" si="19"/>
        <v>Amostra 10</v>
      </c>
      <c r="N67" s="2" t="str">
        <f>$B$67&amp;" pos ctrl"</f>
        <v>ALK/ROS1/RET/MET pos ctrl</v>
      </c>
      <c r="O67" s="2" t="s">
        <v>52</v>
      </c>
    </row>
    <row r="68" spans="1:15" x14ac:dyDescent="0.25">
      <c r="C68" s="3" t="s">
        <v>27</v>
      </c>
      <c r="D68" s="2" t="str">
        <f t="shared" si="19"/>
        <v>Amostra 1</v>
      </c>
      <c r="E68" s="2" t="str">
        <f t="shared" si="19"/>
        <v>Amostra 2</v>
      </c>
      <c r="F68" s="2" t="str">
        <f t="shared" si="19"/>
        <v>Amostra 3</v>
      </c>
      <c r="G68" s="2" t="str">
        <f t="shared" si="19"/>
        <v>Amostra 4</v>
      </c>
      <c r="H68" s="2" t="str">
        <f t="shared" si="19"/>
        <v>Amostra 5</v>
      </c>
      <c r="I68" s="2" t="str">
        <f t="shared" si="19"/>
        <v>Amostra 6</v>
      </c>
      <c r="J68" s="2" t="str">
        <f t="shared" si="19"/>
        <v>Amostra 7</v>
      </c>
      <c r="K68" s="2" t="str">
        <f t="shared" si="19"/>
        <v>Amostra 8</v>
      </c>
      <c r="L68" s="2" t="str">
        <f t="shared" si="19"/>
        <v>Amostra 9</v>
      </c>
      <c r="M68" s="2" t="str">
        <f t="shared" si="19"/>
        <v>Amostra 10</v>
      </c>
      <c r="N68" s="2" t="str">
        <f t="shared" ref="N68:N74" si="20">$B$67&amp;" pos ctrl"</f>
        <v>ALK/ROS1/RET/MET pos ctrl</v>
      </c>
      <c r="O68" s="2" t="s">
        <v>52</v>
      </c>
    </row>
    <row r="69" spans="1:15" x14ac:dyDescent="0.25">
      <c r="C69" s="3" t="s">
        <v>28</v>
      </c>
      <c r="D69" s="2" t="str">
        <f t="shared" si="19"/>
        <v>Amostra 1</v>
      </c>
      <c r="E69" s="2" t="str">
        <f t="shared" si="19"/>
        <v>Amostra 2</v>
      </c>
      <c r="F69" s="2" t="str">
        <f t="shared" si="19"/>
        <v>Amostra 3</v>
      </c>
      <c r="G69" s="2" t="str">
        <f t="shared" si="19"/>
        <v>Amostra 4</v>
      </c>
      <c r="H69" s="2" t="str">
        <f t="shared" si="19"/>
        <v>Amostra 5</v>
      </c>
      <c r="I69" s="2" t="str">
        <f t="shared" si="19"/>
        <v>Amostra 6</v>
      </c>
      <c r="J69" s="2" t="str">
        <f t="shared" si="19"/>
        <v>Amostra 7</v>
      </c>
      <c r="K69" s="2" t="str">
        <f t="shared" si="19"/>
        <v>Amostra 8</v>
      </c>
      <c r="L69" s="2" t="str">
        <f t="shared" si="19"/>
        <v>Amostra 9</v>
      </c>
      <c r="M69" s="2" t="str">
        <f t="shared" si="19"/>
        <v>Amostra 10</v>
      </c>
      <c r="N69" s="2" t="str">
        <f t="shared" si="20"/>
        <v>ALK/ROS1/RET/MET pos ctrl</v>
      </c>
      <c r="O69" s="2" t="s">
        <v>52</v>
      </c>
    </row>
    <row r="70" spans="1:15" x14ac:dyDescent="0.25">
      <c r="C70" s="3" t="s">
        <v>29</v>
      </c>
      <c r="D70" s="2" t="str">
        <f t="shared" si="19"/>
        <v>Amostra 1</v>
      </c>
      <c r="E70" s="2" t="str">
        <f t="shared" si="19"/>
        <v>Amostra 2</v>
      </c>
      <c r="F70" s="2" t="str">
        <f t="shared" si="19"/>
        <v>Amostra 3</v>
      </c>
      <c r="G70" s="2" t="str">
        <f t="shared" si="19"/>
        <v>Amostra 4</v>
      </c>
      <c r="H70" s="2" t="str">
        <f t="shared" si="19"/>
        <v>Amostra 5</v>
      </c>
      <c r="I70" s="2" t="str">
        <f t="shared" si="19"/>
        <v>Amostra 6</v>
      </c>
      <c r="J70" s="2" t="str">
        <f t="shared" si="19"/>
        <v>Amostra 7</v>
      </c>
      <c r="K70" s="2" t="str">
        <f t="shared" si="19"/>
        <v>Amostra 8</v>
      </c>
      <c r="L70" s="2" t="str">
        <f t="shared" si="19"/>
        <v>Amostra 9</v>
      </c>
      <c r="M70" s="2" t="str">
        <f t="shared" si="19"/>
        <v>Amostra 10</v>
      </c>
      <c r="N70" s="2" t="str">
        <f t="shared" si="20"/>
        <v>ALK/ROS1/RET/MET pos ctrl</v>
      </c>
      <c r="O70" s="2" t="s">
        <v>52</v>
      </c>
    </row>
    <row r="71" spans="1:15" x14ac:dyDescent="0.25">
      <c r="C71" s="3" t="s">
        <v>30</v>
      </c>
      <c r="D71" s="2" t="str">
        <f t="shared" si="19"/>
        <v>Amostra 1</v>
      </c>
      <c r="E71" s="2" t="str">
        <f t="shared" si="19"/>
        <v>Amostra 2</v>
      </c>
      <c r="F71" s="2" t="str">
        <f t="shared" si="19"/>
        <v>Amostra 3</v>
      </c>
      <c r="G71" s="2" t="str">
        <f t="shared" si="19"/>
        <v>Amostra 4</v>
      </c>
      <c r="H71" s="2" t="str">
        <f t="shared" si="19"/>
        <v>Amostra 5</v>
      </c>
      <c r="I71" s="2" t="str">
        <f t="shared" si="19"/>
        <v>Amostra 6</v>
      </c>
      <c r="J71" s="2" t="str">
        <f t="shared" si="19"/>
        <v>Amostra 7</v>
      </c>
      <c r="K71" s="2" t="str">
        <f t="shared" si="19"/>
        <v>Amostra 8</v>
      </c>
      <c r="L71" s="2" t="str">
        <f t="shared" si="19"/>
        <v>Amostra 9</v>
      </c>
      <c r="M71" s="2" t="str">
        <f t="shared" si="19"/>
        <v>Amostra 10</v>
      </c>
      <c r="N71" s="2" t="str">
        <f t="shared" si="20"/>
        <v>ALK/ROS1/RET/MET pos ctrl</v>
      </c>
      <c r="O71" s="2" t="s">
        <v>52</v>
      </c>
    </row>
    <row r="72" spans="1:15" x14ac:dyDescent="0.25">
      <c r="C72" s="3" t="s">
        <v>31</v>
      </c>
      <c r="D72" s="2" t="str">
        <f t="shared" si="19"/>
        <v>Amostra 1</v>
      </c>
      <c r="E72" s="2" t="str">
        <f t="shared" si="19"/>
        <v>Amostra 2</v>
      </c>
      <c r="F72" s="2" t="str">
        <f t="shared" si="19"/>
        <v>Amostra 3</v>
      </c>
      <c r="G72" s="2" t="str">
        <f t="shared" si="19"/>
        <v>Amostra 4</v>
      </c>
      <c r="H72" s="2" t="str">
        <f t="shared" si="19"/>
        <v>Amostra 5</v>
      </c>
      <c r="I72" s="2" t="str">
        <f t="shared" si="19"/>
        <v>Amostra 6</v>
      </c>
      <c r="J72" s="2" t="str">
        <f t="shared" si="19"/>
        <v>Amostra 7</v>
      </c>
      <c r="K72" s="2" t="str">
        <f t="shared" si="19"/>
        <v>Amostra 8</v>
      </c>
      <c r="L72" s="2" t="str">
        <f t="shared" si="19"/>
        <v>Amostra 9</v>
      </c>
      <c r="M72" s="2" t="str">
        <f t="shared" si="19"/>
        <v>Amostra 10</v>
      </c>
      <c r="N72" s="2" t="str">
        <f t="shared" si="20"/>
        <v>ALK/ROS1/RET/MET pos ctrl</v>
      </c>
      <c r="O72" s="2" t="s">
        <v>52</v>
      </c>
    </row>
    <row r="73" spans="1:15" x14ac:dyDescent="0.25">
      <c r="C73" s="3" t="s">
        <v>32</v>
      </c>
      <c r="D73" s="2" t="str">
        <f t="shared" si="19"/>
        <v>Amostra 1</v>
      </c>
      <c r="E73" s="2" t="str">
        <f t="shared" si="19"/>
        <v>Amostra 2</v>
      </c>
      <c r="F73" s="2" t="str">
        <f t="shared" si="19"/>
        <v>Amostra 3</v>
      </c>
      <c r="G73" s="2" t="str">
        <f t="shared" si="19"/>
        <v>Amostra 4</v>
      </c>
      <c r="H73" s="2" t="str">
        <f t="shared" si="19"/>
        <v>Amostra 5</v>
      </c>
      <c r="I73" s="2" t="str">
        <f t="shared" si="19"/>
        <v>Amostra 6</v>
      </c>
      <c r="J73" s="2" t="str">
        <f t="shared" si="19"/>
        <v>Amostra 7</v>
      </c>
      <c r="K73" s="2" t="str">
        <f t="shared" si="19"/>
        <v>Amostra 8</v>
      </c>
      <c r="L73" s="2" t="str">
        <f t="shared" si="19"/>
        <v>Amostra 9</v>
      </c>
      <c r="M73" s="2" t="str">
        <f t="shared" si="19"/>
        <v>Amostra 10</v>
      </c>
      <c r="N73" s="2" t="str">
        <f t="shared" si="20"/>
        <v>ALK/ROS1/RET/MET pos ctrl</v>
      </c>
      <c r="O73" s="2" t="s">
        <v>52</v>
      </c>
    </row>
    <row r="74" spans="1:15" x14ac:dyDescent="0.25">
      <c r="C74" s="3" t="s">
        <v>33</v>
      </c>
      <c r="D74" s="2" t="str">
        <f t="shared" si="19"/>
        <v>Amostra 1</v>
      </c>
      <c r="E74" s="2" t="str">
        <f t="shared" si="19"/>
        <v>Amostra 2</v>
      </c>
      <c r="F74" s="2" t="str">
        <f t="shared" si="19"/>
        <v>Amostra 3</v>
      </c>
      <c r="G74" s="2" t="str">
        <f t="shared" si="19"/>
        <v>Amostra 4</v>
      </c>
      <c r="H74" s="2" t="str">
        <f t="shared" si="19"/>
        <v>Amostra 5</v>
      </c>
      <c r="I74" s="2" t="str">
        <f t="shared" si="19"/>
        <v>Amostra 6</v>
      </c>
      <c r="J74" s="2" t="str">
        <f t="shared" si="19"/>
        <v>Amostra 7</v>
      </c>
      <c r="K74" s="2" t="str">
        <f t="shared" si="19"/>
        <v>Amostra 8</v>
      </c>
      <c r="L74" s="2" t="str">
        <f t="shared" si="19"/>
        <v>Amostra 9</v>
      </c>
      <c r="M74" s="2" t="str">
        <f t="shared" si="19"/>
        <v>Amostra 10</v>
      </c>
      <c r="N74" s="2" t="str">
        <f t="shared" si="20"/>
        <v>ALK/ROS1/RET/MET pos ctrl</v>
      </c>
      <c r="O74" s="2" t="s">
        <v>52</v>
      </c>
    </row>
    <row r="76" spans="1:15" x14ac:dyDescent="0.25">
      <c r="A76" t="s">
        <v>15</v>
      </c>
      <c r="B76" t="s">
        <v>42</v>
      </c>
      <c r="C76" s="3" t="s">
        <v>26</v>
      </c>
      <c r="D76" s="2" t="str">
        <f>"Amostra "&amp;D$2</f>
        <v>Amostra 1</v>
      </c>
      <c r="E76" s="2" t="str">
        <f>"Amostra "&amp;E$2*2-1</f>
        <v>Amostra 3</v>
      </c>
      <c r="F76" s="2" t="str">
        <f t="shared" ref="F76:N76" si="21">"Amostra "&amp;F$2*2-1</f>
        <v>Amostra 5</v>
      </c>
      <c r="G76" s="2" t="str">
        <f t="shared" si="21"/>
        <v>Amostra 7</v>
      </c>
      <c r="H76" s="2" t="str">
        <f t="shared" si="21"/>
        <v>Amostra 9</v>
      </c>
      <c r="I76" s="2" t="str">
        <f t="shared" si="21"/>
        <v>Amostra 11</v>
      </c>
      <c r="J76" s="2" t="str">
        <f t="shared" si="21"/>
        <v>Amostra 13</v>
      </c>
      <c r="K76" s="2" t="str">
        <f t="shared" si="21"/>
        <v>Amostra 15</v>
      </c>
      <c r="L76" s="2" t="str">
        <f t="shared" si="21"/>
        <v>Amostra 17</v>
      </c>
      <c r="M76" s="2" t="str">
        <f t="shared" si="21"/>
        <v>Amostra 19</v>
      </c>
      <c r="N76" s="2" t="str">
        <f t="shared" si="21"/>
        <v>Amostra 21</v>
      </c>
      <c r="O76" s="2" t="str">
        <f>$B$76&amp;" pos ctrl"</f>
        <v>Thyreoide pos ctrl</v>
      </c>
    </row>
    <row r="77" spans="1:15" x14ac:dyDescent="0.25">
      <c r="C77" s="3" t="s">
        <v>27</v>
      </c>
      <c r="D77" s="2" t="str">
        <f>"Amostra "&amp;D$2</f>
        <v>Amostra 1</v>
      </c>
      <c r="E77" s="2" t="str">
        <f t="shared" ref="E77:N79" si="22">"Amostra "&amp;E$2*2-1</f>
        <v>Amostra 3</v>
      </c>
      <c r="F77" s="2" t="str">
        <f t="shared" si="22"/>
        <v>Amostra 5</v>
      </c>
      <c r="G77" s="2" t="str">
        <f t="shared" si="22"/>
        <v>Amostra 7</v>
      </c>
      <c r="H77" s="2" t="str">
        <f t="shared" si="22"/>
        <v>Amostra 9</v>
      </c>
      <c r="I77" s="2" t="str">
        <f t="shared" si="22"/>
        <v>Amostra 11</v>
      </c>
      <c r="J77" s="2" t="str">
        <f t="shared" si="22"/>
        <v>Amostra 13</v>
      </c>
      <c r="K77" s="2" t="str">
        <f t="shared" si="22"/>
        <v>Amostra 15</v>
      </c>
      <c r="L77" s="2" t="str">
        <f t="shared" si="22"/>
        <v>Amostra 17</v>
      </c>
      <c r="M77" s="2" t="str">
        <f t="shared" si="22"/>
        <v>Amostra 19</v>
      </c>
      <c r="N77" s="2" t="str">
        <f t="shared" si="22"/>
        <v>Amostra 21</v>
      </c>
      <c r="O77" s="2" t="str">
        <f t="shared" ref="O77:O79" si="23">$B$76&amp;" pos ctrl"</f>
        <v>Thyreoide pos ctrl</v>
      </c>
    </row>
    <row r="78" spans="1:15" x14ac:dyDescent="0.25">
      <c r="C78" s="3" t="s">
        <v>28</v>
      </c>
      <c r="D78" s="2" t="str">
        <f>"Amostra "&amp;D$2</f>
        <v>Amostra 1</v>
      </c>
      <c r="E78" s="2" t="str">
        <f t="shared" si="22"/>
        <v>Amostra 3</v>
      </c>
      <c r="F78" s="2" t="str">
        <f t="shared" si="22"/>
        <v>Amostra 5</v>
      </c>
      <c r="G78" s="2" t="str">
        <f t="shared" si="22"/>
        <v>Amostra 7</v>
      </c>
      <c r="H78" s="2" t="str">
        <f t="shared" si="22"/>
        <v>Amostra 9</v>
      </c>
      <c r="I78" s="2" t="str">
        <f t="shared" si="22"/>
        <v>Amostra 11</v>
      </c>
      <c r="J78" s="2" t="str">
        <f t="shared" si="22"/>
        <v>Amostra 13</v>
      </c>
      <c r="K78" s="2" t="str">
        <f t="shared" si="22"/>
        <v>Amostra 15</v>
      </c>
      <c r="L78" s="2" t="str">
        <f t="shared" si="22"/>
        <v>Amostra 17</v>
      </c>
      <c r="M78" s="2" t="str">
        <f t="shared" si="22"/>
        <v>Amostra 19</v>
      </c>
      <c r="N78" s="2" t="str">
        <f t="shared" si="22"/>
        <v>Amostra 21</v>
      </c>
      <c r="O78" s="2" t="str">
        <f t="shared" si="23"/>
        <v>Thyreoide pos ctrl</v>
      </c>
    </row>
    <row r="79" spans="1:15" x14ac:dyDescent="0.25">
      <c r="C79" s="3" t="s">
        <v>29</v>
      </c>
      <c r="D79" s="2" t="str">
        <f>"Amostra "&amp;D$2</f>
        <v>Amostra 1</v>
      </c>
      <c r="E79" s="2" t="str">
        <f t="shared" si="22"/>
        <v>Amostra 3</v>
      </c>
      <c r="F79" s="2" t="str">
        <f t="shared" si="22"/>
        <v>Amostra 5</v>
      </c>
      <c r="G79" s="2" t="str">
        <f t="shared" si="22"/>
        <v>Amostra 7</v>
      </c>
      <c r="H79" s="2" t="str">
        <f t="shared" si="22"/>
        <v>Amostra 9</v>
      </c>
      <c r="I79" s="2" t="str">
        <f t="shared" si="22"/>
        <v>Amostra 11</v>
      </c>
      <c r="J79" s="2" t="str">
        <f t="shared" si="22"/>
        <v>Amostra 13</v>
      </c>
      <c r="K79" s="2" t="str">
        <f t="shared" si="22"/>
        <v>Amostra 15</v>
      </c>
      <c r="L79" s="2" t="str">
        <f t="shared" si="22"/>
        <v>Amostra 17</v>
      </c>
      <c r="M79" s="2" t="str">
        <f t="shared" si="22"/>
        <v>Amostra 19</v>
      </c>
      <c r="N79" s="2" t="str">
        <f t="shared" si="22"/>
        <v>Amostra 21</v>
      </c>
      <c r="O79" s="2" t="str">
        <f t="shared" si="23"/>
        <v>Thyreoide pos ctrl</v>
      </c>
    </row>
    <row r="80" spans="1:15" x14ac:dyDescent="0.25">
      <c r="C80" s="3" t="s">
        <v>30</v>
      </c>
      <c r="D80" s="2" t="str">
        <f>"Amostra "&amp;D$2+1</f>
        <v>Amostra 2</v>
      </c>
      <c r="E80" s="2" t="str">
        <f>"Amostra "&amp;E$2*2</f>
        <v>Amostra 4</v>
      </c>
      <c r="F80" s="2" t="str">
        <f t="shared" ref="F80:N80" si="24">"Amostra "&amp;F$2*2</f>
        <v>Amostra 6</v>
      </c>
      <c r="G80" s="2" t="str">
        <f t="shared" si="24"/>
        <v>Amostra 8</v>
      </c>
      <c r="H80" s="2" t="str">
        <f t="shared" si="24"/>
        <v>Amostra 10</v>
      </c>
      <c r="I80" s="2" t="str">
        <f t="shared" si="24"/>
        <v>Amostra 12</v>
      </c>
      <c r="J80" s="2" t="str">
        <f t="shared" si="24"/>
        <v>Amostra 14</v>
      </c>
      <c r="K80" s="2" t="str">
        <f t="shared" si="24"/>
        <v>Amostra 16</v>
      </c>
      <c r="L80" s="2" t="str">
        <f t="shared" si="24"/>
        <v>Amostra 18</v>
      </c>
      <c r="M80" s="2" t="str">
        <f t="shared" si="24"/>
        <v>Amostra 20</v>
      </c>
      <c r="N80" s="2" t="str">
        <f t="shared" si="24"/>
        <v>Amostra 22</v>
      </c>
      <c r="O80" s="2" t="s">
        <v>52</v>
      </c>
    </row>
    <row r="81" spans="3:15" x14ac:dyDescent="0.25">
      <c r="C81" s="3" t="s">
        <v>31</v>
      </c>
      <c r="D81" s="2" t="str">
        <f t="shared" ref="D81:D83" si="25">"Amostra "&amp;D$2+1</f>
        <v>Amostra 2</v>
      </c>
      <c r="E81" s="2" t="str">
        <f t="shared" ref="E81:N83" si="26">"Amostra "&amp;E$2*2</f>
        <v>Amostra 4</v>
      </c>
      <c r="F81" s="2" t="str">
        <f t="shared" si="26"/>
        <v>Amostra 6</v>
      </c>
      <c r="G81" s="2" t="str">
        <f t="shared" si="26"/>
        <v>Amostra 8</v>
      </c>
      <c r="H81" s="2" t="str">
        <f t="shared" si="26"/>
        <v>Amostra 10</v>
      </c>
      <c r="I81" s="2" t="str">
        <f t="shared" si="26"/>
        <v>Amostra 12</v>
      </c>
      <c r="J81" s="2" t="str">
        <f t="shared" si="26"/>
        <v>Amostra 14</v>
      </c>
      <c r="K81" s="2" t="str">
        <f t="shared" si="26"/>
        <v>Amostra 16</v>
      </c>
      <c r="L81" s="2" t="str">
        <f t="shared" si="26"/>
        <v>Amostra 18</v>
      </c>
      <c r="M81" s="2" t="str">
        <f t="shared" si="26"/>
        <v>Amostra 20</v>
      </c>
      <c r="N81" s="2" t="str">
        <f t="shared" si="26"/>
        <v>Amostra 22</v>
      </c>
      <c r="O81" s="2" t="s">
        <v>52</v>
      </c>
    </row>
    <row r="82" spans="3:15" x14ac:dyDescent="0.25">
      <c r="C82" s="3" t="s">
        <v>32</v>
      </c>
      <c r="D82" s="2" t="str">
        <f t="shared" si="25"/>
        <v>Amostra 2</v>
      </c>
      <c r="E82" s="2" t="str">
        <f t="shared" si="26"/>
        <v>Amostra 4</v>
      </c>
      <c r="F82" s="2" t="str">
        <f t="shared" si="26"/>
        <v>Amostra 6</v>
      </c>
      <c r="G82" s="2" t="str">
        <f t="shared" si="26"/>
        <v>Amostra 8</v>
      </c>
      <c r="H82" s="2" t="str">
        <f t="shared" si="26"/>
        <v>Amostra 10</v>
      </c>
      <c r="I82" s="2" t="str">
        <f t="shared" si="26"/>
        <v>Amostra 12</v>
      </c>
      <c r="J82" s="2" t="str">
        <f t="shared" si="26"/>
        <v>Amostra 14</v>
      </c>
      <c r="K82" s="2" t="str">
        <f t="shared" si="26"/>
        <v>Amostra 16</v>
      </c>
      <c r="L82" s="2" t="str">
        <f t="shared" si="26"/>
        <v>Amostra 18</v>
      </c>
      <c r="M82" s="2" t="str">
        <f t="shared" si="26"/>
        <v>Amostra 20</v>
      </c>
      <c r="N82" s="2" t="str">
        <f t="shared" si="26"/>
        <v>Amostra 22</v>
      </c>
      <c r="O82" s="2" t="s">
        <v>52</v>
      </c>
    </row>
    <row r="83" spans="3:15" x14ac:dyDescent="0.25">
      <c r="C83" s="3" t="s">
        <v>33</v>
      </c>
      <c r="D83" s="2" t="str">
        <f t="shared" si="25"/>
        <v>Amostra 2</v>
      </c>
      <c r="E83" s="2" t="str">
        <f t="shared" si="26"/>
        <v>Amostra 4</v>
      </c>
      <c r="F83" s="2" t="str">
        <f t="shared" si="26"/>
        <v>Amostra 6</v>
      </c>
      <c r="G83" s="2" t="str">
        <f t="shared" si="26"/>
        <v>Amostra 8</v>
      </c>
      <c r="H83" s="2" t="str">
        <f t="shared" si="26"/>
        <v>Amostra 10</v>
      </c>
      <c r="I83" s="2" t="str">
        <f t="shared" si="26"/>
        <v>Amostra 12</v>
      </c>
      <c r="J83" s="2" t="str">
        <f t="shared" si="26"/>
        <v>Amostra 14</v>
      </c>
      <c r="K83" s="2" t="str">
        <f t="shared" si="26"/>
        <v>Amostra 16</v>
      </c>
      <c r="L83" s="2" t="str">
        <f t="shared" si="26"/>
        <v>Amostra 18</v>
      </c>
      <c r="M83" s="2" t="str">
        <f t="shared" si="26"/>
        <v>Amostra 20</v>
      </c>
      <c r="N83" s="2" t="str">
        <f t="shared" si="26"/>
        <v>Amostra 22</v>
      </c>
      <c r="O83" s="2" t="s">
        <v>52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70C2-4D8C-4276-AABC-AD93F820E868}">
  <sheetPr codeName="Planilha2"/>
  <dimension ref="A1:I10"/>
  <sheetViews>
    <sheetView workbookViewId="0">
      <selection activeCell="A8" sqref="A8"/>
    </sheetView>
  </sheetViews>
  <sheetFormatPr defaultRowHeight="15" x14ac:dyDescent="0.25"/>
  <cols>
    <col min="1" max="1" width="24.28515625" bestFit="1" customWidth="1"/>
    <col min="2" max="2" width="37" customWidth="1"/>
    <col min="3" max="3" width="12.42578125" bestFit="1" customWidth="1"/>
    <col min="4" max="4" width="16.140625" bestFit="1" customWidth="1"/>
    <col min="5" max="5" width="22.5703125" bestFit="1" customWidth="1"/>
    <col min="6" max="6" width="27.7109375" bestFit="1" customWidth="1"/>
    <col min="7" max="7" width="22.42578125" bestFit="1" customWidth="1"/>
    <col min="8" max="8" width="23.28515625" bestFit="1" customWidth="1"/>
    <col min="9" max="9" width="34" bestFit="1" customWidth="1"/>
    <col min="10" max="11" width="9.28515625" customWidth="1"/>
    <col min="12" max="12" width="14.42578125" bestFit="1" customWidth="1"/>
    <col min="13" max="15" width="9.28515625" customWidth="1"/>
  </cols>
  <sheetData>
    <row r="1" spans="1:9" x14ac:dyDescent="0.25">
      <c r="A1" s="5" t="s">
        <v>54</v>
      </c>
      <c r="B1" s="4">
        <v>123456</v>
      </c>
      <c r="C1" t="s">
        <v>1</v>
      </c>
      <c r="D1" t="s">
        <v>4</v>
      </c>
      <c r="E1" t="s">
        <v>6</v>
      </c>
      <c r="F1" t="s">
        <v>3</v>
      </c>
      <c r="G1" t="s">
        <v>7</v>
      </c>
      <c r="H1" t="s">
        <v>2</v>
      </c>
      <c r="I1" t="s">
        <v>53</v>
      </c>
    </row>
    <row r="2" spans="1:9" x14ac:dyDescent="0.25">
      <c r="A2" t="s">
        <v>8</v>
      </c>
      <c r="B2" s="1" t="s">
        <v>16</v>
      </c>
      <c r="C2">
        <v>220</v>
      </c>
      <c r="D2">
        <v>25</v>
      </c>
      <c r="E2">
        <f>C2/D2</f>
        <v>8.8000000000000007</v>
      </c>
      <c r="F2">
        <v>25</v>
      </c>
      <c r="G2">
        <f>F2*E2</f>
        <v>220.00000000000003</v>
      </c>
      <c r="H2">
        <f t="shared" ref="H2:H10" si="0">G2/C2</f>
        <v>1.0000000000000002</v>
      </c>
      <c r="I2">
        <v>10</v>
      </c>
    </row>
    <row r="3" spans="1:9" x14ac:dyDescent="0.25">
      <c r="A3" t="s">
        <v>9</v>
      </c>
      <c r="B3" s="1" t="s">
        <v>17</v>
      </c>
      <c r="C3">
        <v>120</v>
      </c>
      <c r="D3">
        <v>25</v>
      </c>
      <c r="E3">
        <f t="shared" ref="E3:E6" si="1">C3/D3</f>
        <v>4.8</v>
      </c>
      <c r="F3">
        <v>25</v>
      </c>
      <c r="G3">
        <f t="shared" ref="G3:G6" si="2">F3*E3</f>
        <v>120</v>
      </c>
      <c r="H3">
        <f t="shared" si="0"/>
        <v>1</v>
      </c>
      <c r="I3">
        <v>22</v>
      </c>
    </row>
    <row r="4" spans="1:9" x14ac:dyDescent="0.25">
      <c r="A4" t="s">
        <v>10</v>
      </c>
      <c r="B4" s="1" t="s">
        <v>18</v>
      </c>
      <c r="C4">
        <v>220</v>
      </c>
      <c r="D4">
        <v>25</v>
      </c>
      <c r="E4">
        <f t="shared" si="1"/>
        <v>8.8000000000000007</v>
      </c>
      <c r="F4">
        <v>25</v>
      </c>
      <c r="G4">
        <f t="shared" si="2"/>
        <v>220.00000000000003</v>
      </c>
      <c r="H4">
        <f t="shared" si="0"/>
        <v>1.0000000000000002</v>
      </c>
      <c r="I4">
        <v>10</v>
      </c>
    </row>
    <row r="5" spans="1:9" x14ac:dyDescent="0.25">
      <c r="A5" t="s">
        <v>11</v>
      </c>
      <c r="B5" s="1" t="s">
        <v>19</v>
      </c>
      <c r="C5">
        <v>220</v>
      </c>
      <c r="D5">
        <v>25</v>
      </c>
      <c r="E5">
        <f t="shared" si="1"/>
        <v>8.8000000000000007</v>
      </c>
      <c r="F5">
        <v>25</v>
      </c>
      <c r="G5">
        <f t="shared" si="2"/>
        <v>220.00000000000003</v>
      </c>
      <c r="H5">
        <f t="shared" si="0"/>
        <v>1.0000000000000002</v>
      </c>
      <c r="I5">
        <v>10</v>
      </c>
    </row>
    <row r="6" spans="1:9" x14ac:dyDescent="0.25">
      <c r="A6" t="s">
        <v>12</v>
      </c>
      <c r="B6" s="1" t="s">
        <v>20</v>
      </c>
      <c r="C6">
        <v>220</v>
      </c>
      <c r="D6">
        <v>25</v>
      </c>
      <c r="E6">
        <f t="shared" si="1"/>
        <v>8.8000000000000007</v>
      </c>
      <c r="F6">
        <v>25</v>
      </c>
      <c r="G6">
        <f t="shared" si="2"/>
        <v>220.00000000000003</v>
      </c>
      <c r="H6">
        <f t="shared" si="0"/>
        <v>1.0000000000000002</v>
      </c>
      <c r="I6">
        <v>10</v>
      </c>
    </row>
    <row r="7" spans="1:9" x14ac:dyDescent="0.25">
      <c r="A7" t="s">
        <v>13</v>
      </c>
      <c r="B7" s="1" t="s">
        <v>21</v>
      </c>
      <c r="C7">
        <v>220</v>
      </c>
      <c r="D7">
        <v>25</v>
      </c>
      <c r="E7">
        <f>C7/D7</f>
        <v>8.8000000000000007</v>
      </c>
      <c r="F7">
        <v>25</v>
      </c>
      <c r="G7">
        <f>F7*E7</f>
        <v>220.00000000000003</v>
      </c>
      <c r="H7">
        <f t="shared" si="0"/>
        <v>1.0000000000000002</v>
      </c>
      <c r="I7">
        <v>10</v>
      </c>
    </row>
    <row r="8" spans="1:9" x14ac:dyDescent="0.25">
      <c r="A8" t="s">
        <v>14</v>
      </c>
      <c r="B8" s="1" t="s">
        <v>22</v>
      </c>
      <c r="C8">
        <v>150</v>
      </c>
      <c r="D8">
        <v>25</v>
      </c>
      <c r="E8">
        <f>C8/D8</f>
        <v>6</v>
      </c>
      <c r="F8">
        <v>20</v>
      </c>
      <c r="G8">
        <f>F8*E8</f>
        <v>120</v>
      </c>
      <c r="H8">
        <f t="shared" si="0"/>
        <v>0.8</v>
      </c>
      <c r="I8">
        <v>9</v>
      </c>
    </row>
    <row r="9" spans="1:9" x14ac:dyDescent="0.25">
      <c r="A9" t="s">
        <v>34</v>
      </c>
      <c r="B9" s="1" t="s">
        <v>23</v>
      </c>
      <c r="C9">
        <v>220</v>
      </c>
      <c r="D9">
        <v>25</v>
      </c>
      <c r="E9">
        <f>C9/D9</f>
        <v>8.8000000000000007</v>
      </c>
      <c r="F9">
        <v>30</v>
      </c>
      <c r="G9">
        <f>F9*E9</f>
        <v>264</v>
      </c>
      <c r="H9">
        <f t="shared" si="0"/>
        <v>1.2</v>
      </c>
      <c r="I9">
        <v>10</v>
      </c>
    </row>
    <row r="10" spans="1:9" x14ac:dyDescent="0.25">
      <c r="A10" t="s">
        <v>15</v>
      </c>
      <c r="B10" s="1" t="s">
        <v>24</v>
      </c>
      <c r="C10">
        <v>120</v>
      </c>
      <c r="D10">
        <v>25</v>
      </c>
      <c r="E10">
        <f>C10/D10</f>
        <v>4.8</v>
      </c>
      <c r="F10">
        <v>50</v>
      </c>
      <c r="G10">
        <f>F10*E10</f>
        <v>240</v>
      </c>
      <c r="H10">
        <f t="shared" si="0"/>
        <v>2</v>
      </c>
      <c r="I10">
        <v>22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1B72-FCD2-43AC-976A-A00EE7A6EF68}">
  <dimension ref="B1:N35"/>
  <sheetViews>
    <sheetView tabSelected="1" view="pageBreakPreview" zoomScale="85" zoomScaleNormal="40" zoomScaleSheetLayoutView="85" zoomScalePageLayoutView="70" workbookViewId="0">
      <selection activeCell="F7" sqref="F7"/>
    </sheetView>
  </sheetViews>
  <sheetFormatPr defaultColWidth="9.140625" defaultRowHeight="15" x14ac:dyDescent="0.25"/>
  <cols>
    <col min="1" max="1" width="18.140625" style="2" customWidth="1"/>
    <col min="2" max="2" width="10.85546875" style="24" customWidth="1"/>
    <col min="3" max="3" width="15.7109375" style="2" customWidth="1"/>
    <col min="4" max="15" width="15.140625" style="2" customWidth="1"/>
    <col min="16" max="16" width="9.28515625" style="2" customWidth="1"/>
    <col min="17" max="16384" width="9.140625" style="2"/>
  </cols>
  <sheetData>
    <row r="1" spans="2:14" ht="36" customHeight="1" x14ac:dyDescent="0.25">
      <c r="B1" s="35" t="str">
        <f>"Tabela de diluição de amostras para RT-PCR para "&amp;C2</f>
        <v>Tabela de diluição de amostras para RT-PCR para RT036 PIK3CA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2:14" ht="15.75" x14ac:dyDescent="0.25">
      <c r="B2" s="34" t="s">
        <v>25</v>
      </c>
      <c r="C2" s="14" t="s">
        <v>12</v>
      </c>
      <c r="D2" s="15"/>
      <c r="F2" s="34" t="s">
        <v>55</v>
      </c>
      <c r="G2" s="14"/>
      <c r="H2" s="15"/>
      <c r="K2" s="6" t="s">
        <v>45</v>
      </c>
      <c r="L2" s="9">
        <f>VLOOKUP($C$2,'Calculos pré definidos'!$A:$H,4,FALSE)</f>
        <v>25</v>
      </c>
      <c r="M2" s="2" t="s">
        <v>47</v>
      </c>
    </row>
    <row r="3" spans="2:14" x14ac:dyDescent="0.25">
      <c r="K3" s="6" t="s">
        <v>51</v>
      </c>
      <c r="L3" s="9">
        <v>210</v>
      </c>
      <c r="M3" s="2" t="s">
        <v>47</v>
      </c>
    </row>
    <row r="4" spans="2:14" x14ac:dyDescent="0.25">
      <c r="B4" s="10" t="s">
        <v>43</v>
      </c>
      <c r="C4" s="16">
        <v>1</v>
      </c>
      <c r="D4" s="2" t="str">
        <f>IF(C4&gt;VLOOKUP($C$2,'Calculos pré definidos'!A1:I10,9),"ERRO! Muitas amostras. Reduza a quantidade.","")</f>
        <v/>
      </c>
      <c r="K4" s="6" t="s">
        <v>46</v>
      </c>
      <c r="L4" s="9">
        <v>6</v>
      </c>
      <c r="M4" s="2" t="s">
        <v>48</v>
      </c>
    </row>
    <row r="5" spans="2:14" x14ac:dyDescent="0.25">
      <c r="K5" s="6" t="s">
        <v>49</v>
      </c>
      <c r="L5" s="9">
        <f>L3/L2*L4/L3</f>
        <v>0.24000000000000002</v>
      </c>
      <c r="M5" s="2" t="s">
        <v>50</v>
      </c>
    </row>
    <row r="6" spans="2:14" ht="30" x14ac:dyDescent="0.25">
      <c r="D6" s="7" t="str">
        <f>IF(C4&gt;=1,"Concentração Inicial (C1)","")</f>
        <v>Concentração Inicial (C1)</v>
      </c>
      <c r="E6" s="7" t="str">
        <f>IF(C4&gt;=1,"Volume inicial DNA/RNA (V1)","")</f>
        <v>Volume inicial DNA/RNA (V1)</v>
      </c>
      <c r="F6" s="7" t="str">
        <f>IF(C4&gt;=1,"H20 (V2-V1)","")</f>
        <v>H20 (V2-V1)</v>
      </c>
      <c r="G6" s="7" t="str">
        <f>IF(C4&gt;=1,"ID da Amostra","")</f>
        <v>ID da Amostra</v>
      </c>
      <c r="J6" s="7" t="str">
        <f>IF(C4&gt;=12,"Concentração Inicial (C1)","")</f>
        <v/>
      </c>
      <c r="K6" s="7" t="str">
        <f>IF(C4&gt;=12,"Volume inicial DNA/RNA (V1)","")</f>
        <v/>
      </c>
      <c r="L6" s="7" t="str">
        <f>IF(C4&gt;=12,"H20 (V2-V1)","")</f>
        <v/>
      </c>
      <c r="M6" s="7" t="str">
        <f>IF(C4&gt;=12,"ID da Amostra","")</f>
        <v/>
      </c>
    </row>
    <row r="7" spans="2:14" x14ac:dyDescent="0.25">
      <c r="B7" s="10" t="s">
        <v>44</v>
      </c>
      <c r="C7" s="2" t="str">
        <f t="shared" ref="C7:C17" si="0">IF(ROW(B4)-3&lt;=$C$4,"Amostra "&amp;ROW(B4)-3,"")</f>
        <v>Amostra 1</v>
      </c>
      <c r="D7" s="17">
        <v>1.1299999999999999</v>
      </c>
      <c r="E7" s="17">
        <v>45</v>
      </c>
      <c r="F7" s="36">
        <f t="shared" ref="F7:F11" si="1">IF(ISBLANK(D7),"",IF((D7/$L$5*E7)&lt;$L$3,"Aumente o V1",(D7/$L$5*E7)-E7))</f>
        <v>166.87499999999994</v>
      </c>
      <c r="G7" s="17"/>
      <c r="I7" s="2" t="str">
        <f t="shared" ref="I7:I17" si="2">IF(ROW(B4)+8&lt;=$C$4,"Amostra "&amp;ROW(B4)+8,"")</f>
        <v/>
      </c>
      <c r="J7" s="17"/>
      <c r="K7" s="17"/>
      <c r="L7" s="2" t="str">
        <f>IF(ISBLANK(J7),"",IF((J7/$L$5*K7)&lt;$L$3,"Aumente o V1",(J7/$L$5*K7)-K7))</f>
        <v/>
      </c>
      <c r="M7" s="17"/>
    </row>
    <row r="8" spans="2:14" x14ac:dyDescent="0.25">
      <c r="C8" s="2" t="str">
        <f t="shared" si="0"/>
        <v/>
      </c>
      <c r="D8" s="17"/>
      <c r="E8" s="17"/>
      <c r="G8" s="17"/>
      <c r="I8" s="2" t="str">
        <f t="shared" si="2"/>
        <v/>
      </c>
      <c r="J8" s="17"/>
      <c r="K8" s="17"/>
      <c r="L8" s="2" t="str">
        <f>IF(ISBLANK(J8),"",IF((J8/$L$5*K8)&lt;$L$3,"Aumente o V1",(J8/$L$5*K8)-K8))</f>
        <v/>
      </c>
      <c r="M8" s="17"/>
    </row>
    <row r="9" spans="2:14" x14ac:dyDescent="0.25">
      <c r="C9" s="2" t="str">
        <f t="shared" si="0"/>
        <v/>
      </c>
      <c r="D9" s="17"/>
      <c r="E9" s="17"/>
      <c r="G9" s="17"/>
      <c r="I9" s="2" t="str">
        <f t="shared" si="2"/>
        <v/>
      </c>
      <c r="J9" s="17"/>
      <c r="K9" s="17"/>
      <c r="L9" s="2" t="str">
        <f>IF(ISBLANK(J9),"",IF((J9/$L$5*K9)&lt;$L$3,"Aumente o V1",(J9/$L$5*K9)-K9))</f>
        <v/>
      </c>
      <c r="M9" s="17"/>
    </row>
    <row r="10" spans="2:14" x14ac:dyDescent="0.25">
      <c r="C10" s="2" t="str">
        <f t="shared" si="0"/>
        <v/>
      </c>
      <c r="D10" s="17"/>
      <c r="E10" s="17"/>
      <c r="F10" s="2" t="str">
        <f t="shared" si="1"/>
        <v/>
      </c>
      <c r="G10" s="17"/>
      <c r="I10" s="2" t="str">
        <f t="shared" si="2"/>
        <v/>
      </c>
      <c r="J10" s="17"/>
      <c r="K10" s="17"/>
      <c r="L10" s="2" t="str">
        <f t="shared" ref="L10:L17" si="3">IF(ISBLANK(J10),"",IF((J10/$L$5*K10)&lt;$L$3,"Aumente o V1",(J10/$L$5*K10)-K10))</f>
        <v/>
      </c>
      <c r="M10" s="17"/>
    </row>
    <row r="11" spans="2:14" x14ac:dyDescent="0.25">
      <c r="C11" s="2" t="str">
        <f t="shared" si="0"/>
        <v/>
      </c>
      <c r="D11" s="17"/>
      <c r="E11" s="17"/>
      <c r="F11" s="2" t="str">
        <f t="shared" si="1"/>
        <v/>
      </c>
      <c r="G11" s="17"/>
      <c r="I11" s="2" t="str">
        <f t="shared" si="2"/>
        <v/>
      </c>
      <c r="J11" s="17"/>
      <c r="K11" s="17"/>
      <c r="L11" s="2" t="str">
        <f t="shared" si="3"/>
        <v/>
      </c>
      <c r="M11" s="17"/>
    </row>
    <row r="12" spans="2:14" x14ac:dyDescent="0.25">
      <c r="C12" s="2" t="str">
        <f t="shared" si="0"/>
        <v/>
      </c>
      <c r="D12" s="17"/>
      <c r="E12" s="17"/>
      <c r="F12" s="2" t="str">
        <f>IF(ISBLANK(D12),"",IF((D12/$L$5*E12)&lt;$L$3,"Aumente o V1",(D12/$L$5*E12)-E12))</f>
        <v/>
      </c>
      <c r="G12" s="17"/>
      <c r="I12" s="2" t="str">
        <f t="shared" si="2"/>
        <v/>
      </c>
      <c r="J12" s="17"/>
      <c r="K12" s="17"/>
      <c r="L12" s="2" t="str">
        <f t="shared" si="3"/>
        <v/>
      </c>
      <c r="M12" s="17"/>
    </row>
    <row r="13" spans="2:14" x14ac:dyDescent="0.25">
      <c r="C13" s="2" t="str">
        <f t="shared" si="0"/>
        <v/>
      </c>
      <c r="D13" s="17"/>
      <c r="E13" s="17"/>
      <c r="F13" s="2" t="str">
        <f t="shared" ref="F13:F17" si="4">IF(ISBLANK(D13),"",IF((D13/$L$5*E13)&lt;$L$3,"Aumente o V1",(D13/$L$5*E13)-E13))</f>
        <v/>
      </c>
      <c r="G13" s="17"/>
      <c r="I13" s="2" t="str">
        <f t="shared" si="2"/>
        <v/>
      </c>
      <c r="J13" s="17"/>
      <c r="K13" s="17"/>
      <c r="L13" s="2" t="str">
        <f t="shared" si="3"/>
        <v/>
      </c>
      <c r="M13" s="17"/>
    </row>
    <row r="14" spans="2:14" x14ac:dyDescent="0.25">
      <c r="C14" s="2" t="str">
        <f t="shared" si="0"/>
        <v/>
      </c>
      <c r="D14" s="17"/>
      <c r="E14" s="17"/>
      <c r="F14" s="2" t="str">
        <f t="shared" si="4"/>
        <v/>
      </c>
      <c r="G14" s="17"/>
      <c r="I14" s="2" t="str">
        <f t="shared" si="2"/>
        <v/>
      </c>
      <c r="J14" s="17"/>
      <c r="K14" s="17"/>
      <c r="L14" s="2" t="str">
        <f t="shared" si="3"/>
        <v/>
      </c>
      <c r="M14" s="17"/>
    </row>
    <row r="15" spans="2:14" x14ac:dyDescent="0.25">
      <c r="C15" s="2" t="str">
        <f t="shared" si="0"/>
        <v/>
      </c>
      <c r="D15" s="17"/>
      <c r="E15" s="17"/>
      <c r="F15" s="2" t="str">
        <f t="shared" si="4"/>
        <v/>
      </c>
      <c r="G15" s="17"/>
      <c r="I15" s="2" t="str">
        <f t="shared" si="2"/>
        <v/>
      </c>
      <c r="J15" s="17"/>
      <c r="K15" s="17"/>
      <c r="L15" s="2" t="str">
        <f t="shared" si="3"/>
        <v/>
      </c>
      <c r="M15" s="17"/>
    </row>
    <row r="16" spans="2:14" x14ac:dyDescent="0.25">
      <c r="C16" s="2" t="str">
        <f t="shared" si="0"/>
        <v/>
      </c>
      <c r="D16" s="17"/>
      <c r="E16" s="17"/>
      <c r="F16" s="2" t="str">
        <f t="shared" si="4"/>
        <v/>
      </c>
      <c r="G16" s="17"/>
      <c r="I16" s="2" t="str">
        <f t="shared" si="2"/>
        <v/>
      </c>
      <c r="J16" s="17"/>
      <c r="K16" s="17"/>
      <c r="L16" s="2" t="str">
        <f t="shared" si="3"/>
        <v/>
      </c>
      <c r="M16" s="17"/>
    </row>
    <row r="17" spans="2:14" x14ac:dyDescent="0.25">
      <c r="C17" s="2" t="str">
        <f t="shared" si="0"/>
        <v/>
      </c>
      <c r="D17" s="17"/>
      <c r="E17" s="17"/>
      <c r="F17" s="2" t="str">
        <f t="shared" si="4"/>
        <v/>
      </c>
      <c r="G17" s="17"/>
      <c r="I17" s="2" t="str">
        <f t="shared" si="2"/>
        <v/>
      </c>
      <c r="J17" s="17"/>
      <c r="K17" s="17"/>
      <c r="L17" s="2" t="str">
        <f t="shared" si="3"/>
        <v/>
      </c>
      <c r="M17" s="17"/>
    </row>
    <row r="19" spans="2:14" x14ac:dyDescent="0.25">
      <c r="C19" s="11">
        <v>1</v>
      </c>
      <c r="D19" s="11">
        <v>2</v>
      </c>
      <c r="E19" s="11">
        <v>3</v>
      </c>
      <c r="F19" s="11">
        <v>4</v>
      </c>
      <c r="G19" s="11">
        <v>5</v>
      </c>
      <c r="H19" s="11">
        <v>6</v>
      </c>
      <c r="I19" s="11">
        <v>7</v>
      </c>
      <c r="J19" s="11">
        <v>8</v>
      </c>
      <c r="K19" s="11">
        <v>9</v>
      </c>
      <c r="L19" s="11">
        <v>10</v>
      </c>
      <c r="M19" s="11">
        <v>11</v>
      </c>
      <c r="N19" s="11">
        <v>12</v>
      </c>
    </row>
    <row r="20" spans="2:14" ht="26.25" x14ac:dyDescent="0.25">
      <c r="B20" s="12" t="s">
        <v>26</v>
      </c>
      <c r="C20" s="8" t="str" cm="1">
        <f t="array" aca="1" ref="C20" ca="1">IF(ISNUMBER(FIND("ctrl",INDIRECT("Sheet4!"&amp;"D"&amp;MATCH($C$2,Sheet4!$A:$A,0)+0))),
INDIRECT("Sheet4!"&amp;"D"&amp;MATCH($C$2,Sheet4!$A:$A,0)+0),IF(INDIRECT("Sheet4!"&amp;"D"&amp;MATCH($C$2,Sheet4!$A:$A,0)+0)="Água","Água",
IF(INDIRECT("Sheet4!"&amp;"D"&amp;MATCH($C$2,Sheet4!$A:$A,0)+0)="-","-",
IF(_xlfn.NUMBERVALUE(MID(INDIRECT("Sheet4!"&amp;"D"&amp;MATCH($C$2,Sheet4!$A:$A,0)+0),9,2))&lt;=$C$4,
_xlfn.IFNA(VLOOKUP(INDIRECT("Sheet4!"&amp;"D"&amp;MATCH($C$2,Sheet4!$A:$A,0)+0),$C$7:$H$17,1,FALSE)&amp;CHAR(10)&amp;VLOOKUP(INDIRECT("Sheet4!"&amp;"D"&amp;MATCH($C$2,Sheet4!$A:$A,0)+0),$C$7:$H$17,5,FALSE),
VLOOKUP(INDIRECT("Sheet4!"&amp;"D"&amp;MATCH($C$2,Sheet4!$A:$A,0)+0),$I$7:$N$17,1,FALSE)&amp;CHAR(10)&amp;VLOOKUP(INDIRECT("Sheet4!"&amp;"D"&amp;MATCH($C$2,Sheet4!$A:$A,0)+0),$I$7:$N$17,5,FALSE)),"-"))))</f>
        <v xml:space="preserve">Amostra 1
</v>
      </c>
      <c r="D20" s="8" t="str" cm="1">
        <f t="array" aca="1" ref="D20" ca="1">IF(ISNUMBER(FIND("ctrl",INDIRECT("Sheet4!"&amp;"E"&amp;MATCH($C$2,Sheet4!$A:$A,0)+0))),
INDIRECT("Sheet4!"&amp;"E"&amp;MATCH($C$2,Sheet4!$A:$A,0)+0),IF(INDIRECT("Sheet4!"&amp;"E"&amp;MATCH($C$2,Sheet4!$A:$A,0)+0)="Água","Água",
IF(INDIRECT("Sheet4!"&amp;"E"&amp;MATCH($C$2,Sheet4!$A:$A,0)+0)="-","-",
IF(_xlfn.NUMBERVALUE(MID(INDIRECT("Sheet4!"&amp;"E"&amp;MATCH($C$2,Sheet4!$A:$A,0)+0),9,2))&lt;=$C$4,
_xlfn.IFNA(VLOOKUP(INDIRECT("Sheet4!"&amp;"E"&amp;MATCH($C$2,Sheet4!$A:$A,0)+0),$C$7:$H$17,1,FALSE)&amp;CHAR(10)&amp;VLOOKUP(INDIRECT("Sheet4!"&amp;"E"&amp;MATCH($C$2,Sheet4!$A:$A,0)+0),$C$7:$H$17,5,FALSE),
VLOOKUP(INDIRECT("Sheet4!"&amp;"E"&amp;MATCH($C$2,Sheet4!$A:$A,0)+0),$I$7:$N$17,1,FALSE)&amp;CHAR(10)&amp;VLOOKUP(INDIRECT("Sheet4!"&amp;"E"&amp;MATCH($C$2,Sheet4!$A:$A,0)+0),$I$7:$N$17,5,FALSE)),"-"))))</f>
        <v>-</v>
      </c>
      <c r="E20" s="8" t="str" cm="1">
        <f t="array" aca="1" ref="E20" ca="1">IF(ISNUMBER(FIND("ctrl",INDIRECT("Sheet4!"&amp;"F"&amp;MATCH($C$2,Sheet4!$A:$A,0)+0))),
INDIRECT("Sheet4!"&amp;"F"&amp;MATCH($C$2,Sheet4!$A:$A,0)+0),IF(INDIRECT("Sheet4!"&amp;"F"&amp;MATCH($C$2,Sheet4!$A:$A,0)+0)="Água","Água",
IF(INDIRECT("Sheet4!"&amp;"F"&amp;MATCH($C$2,Sheet4!$A:$A,0)+0)="-","-",
IF(_xlfn.NUMBERVALUE(MID(INDIRECT("Sheet4!"&amp;"F"&amp;MATCH($C$2,Sheet4!$A:$A,0)+0),9,2))&lt;=$C$4,
_xlfn.IFNA(VLOOKUP(INDIRECT("Sheet4!"&amp;"F"&amp;MATCH($C$2,Sheet4!$A:$A,0)+0),$C$7:$H$17,1,FALSE)&amp;CHAR(10)&amp;VLOOKUP(INDIRECT("Sheet4!"&amp;"F"&amp;MATCH($C$2,Sheet4!$A:$A,0)+0),$C$7:$H$17,5,FALSE),
VLOOKUP(INDIRECT("Sheet4!"&amp;"F"&amp;MATCH($C$2,Sheet4!$A:$A,0)+0),$I$7:$N$17,1,FALSE)&amp;CHAR(10)&amp;VLOOKUP(INDIRECT("Sheet4!"&amp;"F"&amp;MATCH($C$2,Sheet4!$A:$A,0)+0),$I$7:$N$17,5,FALSE)),"-"))))</f>
        <v>-</v>
      </c>
      <c r="F20" s="8" t="str" cm="1">
        <f t="array" aca="1" ref="F20" ca="1">IF(ISNUMBER(FIND("ctrl",INDIRECT("Sheet4!"&amp;"G"&amp;MATCH($C$2,Sheet4!$A:$A,0)+0))),
INDIRECT("Sheet4!"&amp;"G"&amp;MATCH($C$2,Sheet4!$A:$A,0)+0),IF(INDIRECT("Sheet4!"&amp;"G"&amp;MATCH($C$2,Sheet4!$A:$A,0)+0)="Água","Água",
IF(INDIRECT("Sheet4!"&amp;"G"&amp;MATCH($C$2,Sheet4!$A:$A,0)+0)="-","-",
IF(_xlfn.NUMBERVALUE(MID(INDIRECT("Sheet4!"&amp;"G"&amp;MATCH($C$2,Sheet4!$A:$A,0)+0),9,2))&lt;=$C$4,
_xlfn.IFNA(VLOOKUP(INDIRECT("Sheet4!"&amp;"G"&amp;MATCH($C$2,Sheet4!$A:$A,0)+0),$C$7:$H$17,1,FALSE)&amp;CHAR(10)&amp;VLOOKUP(INDIRECT("Sheet4!"&amp;"G"&amp;MATCH($C$2,Sheet4!$A:$A,0)+0),$C$7:$H$17,5,FALSE),
VLOOKUP(INDIRECT("Sheet4!"&amp;"G"&amp;MATCH($C$2,Sheet4!$A:$A,0)+0),$I$7:$N$17,1,FALSE)&amp;CHAR(10)&amp;VLOOKUP(INDIRECT("Sheet4!"&amp;"G"&amp;MATCH($C$2,Sheet4!$A:$A,0)+0),$I$7:$N$17,5,FALSE)),"-"))))</f>
        <v>-</v>
      </c>
      <c r="G20" s="8" t="str" cm="1">
        <f t="array" aca="1" ref="G20" ca="1">IF(ISNUMBER(FIND("ctrl",INDIRECT("Sheet4!"&amp;"H"&amp;MATCH($C$2,Sheet4!$A:$A,0)+0))),
INDIRECT("Sheet4!"&amp;"H"&amp;MATCH($C$2,Sheet4!$A:$A,0)+0),IF(INDIRECT("Sheet4!"&amp;"H"&amp;MATCH($C$2,Sheet4!$A:$A,0)+0)="Água","Água",
IF(INDIRECT("Sheet4!"&amp;"H"&amp;MATCH($C$2,Sheet4!$A:$A,0)+0)="-","-",
IF(_xlfn.NUMBERVALUE(MID(INDIRECT("Sheet4!"&amp;"H"&amp;MATCH($C$2,Sheet4!$A:$A,0)+0),9,2))&lt;=$C$4,
_xlfn.IFNA(VLOOKUP(INDIRECT("Sheet4!"&amp;"H"&amp;MATCH($C$2,Sheet4!$A:$A,0)+0),$C$7:$H$17,1,FALSE)&amp;CHAR(10)&amp;VLOOKUP(INDIRECT("Sheet4!"&amp;"H"&amp;MATCH($C$2,Sheet4!$A:$A,0)+0),$C$7:$H$17,5,FALSE),
VLOOKUP(INDIRECT("Sheet4!"&amp;"H"&amp;MATCH($C$2,Sheet4!$A:$A,0)+0),$I$7:$N$17,1,FALSE)&amp;CHAR(10)&amp;VLOOKUP(INDIRECT("Sheet4!"&amp;"H"&amp;MATCH($C$2,Sheet4!$A:$A,0)+0),$I$7:$N$17,5,FALSE)),"-"))))</f>
        <v>-</v>
      </c>
      <c r="H20" s="8" t="str" cm="1">
        <f t="array" aca="1" ref="H20" ca="1">IF(ISNUMBER(FIND("ctrl",INDIRECT("Sheet4!"&amp;"I"&amp;MATCH($C$2,Sheet4!$A:$A,0)+0))),
INDIRECT("Sheet4!"&amp;"I"&amp;MATCH($C$2,Sheet4!$A:$A,0)+0),IF(INDIRECT("Sheet4!"&amp;"I"&amp;MATCH($C$2,Sheet4!$A:$A,0)+0)="Água","Água",
IF(INDIRECT("Sheet4!"&amp;"I"&amp;MATCH($C$2,Sheet4!$A:$A,0)+0)="-","-",
IF(_xlfn.NUMBERVALUE(MID(INDIRECT("Sheet4!"&amp;"I"&amp;MATCH($C$2,Sheet4!$A:$A,0)+0),9,2))&lt;=$C$4,
_xlfn.IFNA(VLOOKUP(INDIRECT("Sheet4!"&amp;"I"&amp;MATCH($C$2,Sheet4!$A:$A,0)+0),$C$7:$H$17,1,FALSE)&amp;CHAR(10)&amp;VLOOKUP(INDIRECT("Sheet4!"&amp;"I"&amp;MATCH($C$2,Sheet4!$A:$A,0)+0),$C$7:$H$17,5,FALSE),
VLOOKUP(INDIRECT("Sheet4!"&amp;"I"&amp;MATCH($C$2,Sheet4!$A:$A,0)+0),$I$7:$N$17,1,FALSE)&amp;CHAR(10)&amp;VLOOKUP(INDIRECT("Sheet4!"&amp;"I"&amp;MATCH($C$2,Sheet4!$A:$A,0)+0),$I$7:$N$17,5,FALSE)),"-"))))</f>
        <v>-</v>
      </c>
      <c r="I20" s="8" t="str" cm="1">
        <f t="array" aca="1" ref="I20" ca="1">IF(ISNUMBER(FIND("ctrl",INDIRECT("Sheet4!"&amp;"J"&amp;MATCH($C$2,Sheet4!$A:$A,0)+0))),
INDIRECT("Sheet4!"&amp;"J"&amp;MATCH($C$2,Sheet4!$A:$A,0)+0),IF(INDIRECT("Sheet4!"&amp;"J"&amp;MATCH($C$2,Sheet4!$A:$A,0)+0)="Água","Água",
IF(INDIRECT("Sheet4!"&amp;"J"&amp;MATCH($C$2,Sheet4!$A:$A,0)+0)="-","-",
IF(_xlfn.NUMBERVALUE(MID(INDIRECT("Sheet4!"&amp;"J"&amp;MATCH($C$2,Sheet4!$A:$A,0)+0),9,2))&lt;=$C$4,
_xlfn.IFNA(VLOOKUP(INDIRECT("Sheet4!"&amp;"J"&amp;MATCH($C$2,Sheet4!$A:$A,0)+0),$C$7:$H$17,1,FALSE)&amp;CHAR(10)&amp;VLOOKUP(INDIRECT("Sheet4!"&amp;"J"&amp;MATCH($C$2,Sheet4!$A:$A,0)+0),$C$7:$H$17,5,FALSE),
VLOOKUP(INDIRECT("Sheet4!"&amp;"J"&amp;MATCH($C$2,Sheet4!$A:$A,0)+0),$I$7:$N$17,1,FALSE)&amp;CHAR(10)&amp;VLOOKUP(INDIRECT("Sheet4!"&amp;"J"&amp;MATCH($C$2,Sheet4!$A:$A,0)+0),$I$7:$N$17,5,FALSE)),"-"))))</f>
        <v>-</v>
      </c>
      <c r="J20" s="8" t="str" cm="1">
        <f t="array" aca="1" ref="J20" ca="1">IF(ISNUMBER(FIND("ctrl",INDIRECT("Sheet4!"&amp;"K"&amp;MATCH($C$2,Sheet4!$A:$A,0)+0))),
INDIRECT("Sheet4!"&amp;"K"&amp;MATCH($C$2,Sheet4!$A:$A,0)+0),IF(INDIRECT("Sheet4!"&amp;"K"&amp;MATCH($C$2,Sheet4!$A:$A,0)+0)="Água","Água",
IF(INDIRECT("Sheet4!"&amp;"K"&amp;MATCH($C$2,Sheet4!$A:$A,0)+0)="-","-",
IF(_xlfn.NUMBERVALUE(MID(INDIRECT("Sheet4!"&amp;"K"&amp;MATCH($C$2,Sheet4!$A:$A,0)+0),9,2))&lt;=$C$4,
_xlfn.IFNA(VLOOKUP(INDIRECT("Sheet4!"&amp;"K"&amp;MATCH($C$2,Sheet4!$A:$A,0)+0),$C$7:$H$17,1,FALSE)&amp;CHAR(10)&amp;VLOOKUP(INDIRECT("Sheet4!"&amp;"K"&amp;MATCH($C$2,Sheet4!$A:$A,0)+0),$C$7:$H$17,5,FALSE),
VLOOKUP(INDIRECT("Sheet4!"&amp;"K"&amp;MATCH($C$2,Sheet4!$A:$A,0)+0),$I$7:$N$17,1,FALSE)&amp;CHAR(10)&amp;VLOOKUP(INDIRECT("Sheet4!"&amp;"K"&amp;MATCH($C$2,Sheet4!$A:$A,0)+0),$I$7:$N$17,5,FALSE)),"-"))))</f>
        <v>-</v>
      </c>
      <c r="K20" s="8" t="str" cm="1">
        <f t="array" aca="1" ref="K20" ca="1">IF(ISNUMBER(FIND("ctrl",INDIRECT("Sheet4!"&amp;"L"&amp;MATCH($C$2,Sheet4!$A:$A,0)+0))),
INDIRECT("Sheet4!"&amp;"L"&amp;MATCH($C$2,Sheet4!$A:$A,0)+0),IF(INDIRECT("Sheet4!"&amp;"L"&amp;MATCH($C$2,Sheet4!$A:$A,0)+0)="Água","Água",
IF(INDIRECT("Sheet4!"&amp;"L"&amp;MATCH($C$2,Sheet4!$A:$A,0)+0)="-","-",
IF(_xlfn.NUMBERVALUE(MID(INDIRECT("Sheet4!"&amp;"L"&amp;MATCH($C$2,Sheet4!$A:$A,0)+0),9,2))&lt;=$C$4,
_xlfn.IFNA(VLOOKUP(INDIRECT("Sheet4!"&amp;"L"&amp;MATCH($C$2,Sheet4!$A:$A,0)+0),$C$7:$H$17,1,FALSE)&amp;CHAR(10)&amp;VLOOKUP(INDIRECT("Sheet4!"&amp;"L"&amp;MATCH($C$2,Sheet4!$A:$A,0)+0),$C$7:$H$17,5,FALSE),
VLOOKUP(INDIRECT("Sheet4!"&amp;"L"&amp;MATCH($C$2,Sheet4!$A:$A,0)+0),$I$7:$N$17,1,FALSE)&amp;CHAR(10)&amp;VLOOKUP(INDIRECT("Sheet4!"&amp;"L"&amp;MATCH($C$2,Sheet4!$A:$A,0)+0),$I$7:$N$17,5,FALSE)),"-"))))</f>
        <v>-</v>
      </c>
      <c r="L20" s="8" t="str" cm="1">
        <f t="array" aca="1" ref="L20" ca="1">IF(ISNUMBER(FIND("ctrl",INDIRECT("Sheet4!"&amp;"M"&amp;MATCH($C$2,Sheet4!$A:$A,0)+0))),
INDIRECT("Sheet4!"&amp;"M"&amp;MATCH($C$2,Sheet4!$A:$A,0)+0),IF(INDIRECT("Sheet4!"&amp;"M"&amp;MATCH($C$2,Sheet4!$A:$A,0)+0)="Água","Água",
IF(INDIRECT("Sheet4!"&amp;"M"&amp;MATCH($C$2,Sheet4!$A:$A,0)+0)="-","-",
IF(_xlfn.NUMBERVALUE(MID(INDIRECT("Sheet4!"&amp;"M"&amp;MATCH($C$2,Sheet4!$A:$A,0)+0),9,2))&lt;=$C$4,
_xlfn.IFNA(VLOOKUP(INDIRECT("Sheet4!"&amp;"M"&amp;MATCH($C$2,Sheet4!$A:$A,0)+0),$C$7:$H$17,1,FALSE)&amp;CHAR(10)&amp;VLOOKUP(INDIRECT("Sheet4!"&amp;"M"&amp;MATCH($C$2,Sheet4!$A:$A,0)+0),$C$7:$H$17,5,FALSE),
VLOOKUP(INDIRECT("Sheet4!"&amp;"M"&amp;MATCH($C$2,Sheet4!$A:$A,0)+0),$I$7:$N$17,1,FALSE)&amp;CHAR(10)&amp;VLOOKUP(INDIRECT("Sheet4!"&amp;"M"&amp;MATCH($C$2,Sheet4!$A:$A,0)+0),$I$7:$N$17,5,FALSE)),"-"))))</f>
        <v>-</v>
      </c>
      <c r="M20" s="8" t="str" cm="1">
        <f t="array" aca="1" ref="M20" ca="1">IF(ISNUMBER(FIND("ctrl",INDIRECT("Sheet4!"&amp;"N"&amp;MATCH($C$2,Sheet4!$A:$A,0)+0))),
INDIRECT("Sheet4!"&amp;"N"&amp;MATCH($C$2,Sheet4!$A:$A,0)+0),IF(INDIRECT("Sheet4!"&amp;"N"&amp;MATCH($C$2,Sheet4!$A:$A,0)+0)="Água","Água",
IF(INDIRECT("Sheet4!"&amp;"N"&amp;MATCH($C$2,Sheet4!$A:$A,0)+0)="-","-",
IF(_xlfn.NUMBERVALUE(MID(INDIRECT("Sheet4!"&amp;"N"&amp;MATCH($C$2,Sheet4!$A:$A,0)+0),9,2))&lt;=$C$4,
_xlfn.IFNA(VLOOKUP(INDIRECT("Sheet4!"&amp;"N"&amp;MATCH($C$2,Sheet4!$A:$A,0)+0),$C$7:$H$17,1,FALSE)&amp;CHAR(10)&amp;VLOOKUP(INDIRECT("Sheet4!"&amp;"N"&amp;MATCH($C$2,Sheet4!$A:$A,0)+0),$C$7:$H$17,5,FALSE),
VLOOKUP(INDIRECT("Sheet4!"&amp;"N"&amp;MATCH($C$2,Sheet4!$A:$A,0)+0),$I$7:$N$17,1,FALSE)&amp;CHAR(10)&amp;VLOOKUP(INDIRECT("Sheet4!"&amp;"N"&amp;MATCH($C$2,Sheet4!$A:$A,0)+0),$I$7:$N$17,5,FALSE)),"-"))))</f>
        <v>PIK3CA pos ctrl</v>
      </c>
      <c r="N20" s="8" t="str" cm="1">
        <f t="array" aca="1" ref="N20" ca="1">IF(ISNUMBER(FIND("ctrl",INDIRECT("Sheet4!"&amp;"O"&amp;MATCH($C$2,Sheet4!$A:$A,0)+0))),
INDIRECT("Sheet4!"&amp;"O"&amp;MATCH($C$2,Sheet4!$A:$A,0)+0),IF(INDIRECT("Sheet4!"&amp;"O"&amp;MATCH($C$2,Sheet4!$A:$A,0)+0)="Água","Água",
IF(INDIRECT("Sheet4!"&amp;"O"&amp;MATCH($C$2,Sheet4!$A:$A,0)+0)="-","-",
IF(_xlfn.NUMBERVALUE(MID(INDIRECT("Sheet4!"&amp;"O"&amp;MATCH($C$2,Sheet4!$A:$A,0)+0),9,2))&lt;=$C$4,
_xlfn.IFNA(VLOOKUP(INDIRECT("Sheet4!"&amp;"O"&amp;MATCH($C$2,Sheet4!$A:$A,0)+0),$C$7:$H$17,1,FALSE)&amp;CHAR(10)&amp;VLOOKUP(INDIRECT("Sheet4!"&amp;"O"&amp;MATCH($C$2,Sheet4!$A:$A,0)+0),$C$7:$H$17,5,FALSE),
VLOOKUP(INDIRECT("Sheet4!"&amp;"O"&amp;MATCH($C$2,Sheet4!$A:$A,0)+0),$I$7:$N$17,1,FALSE)&amp;CHAR(10)&amp;VLOOKUP(INDIRECT("Sheet4!"&amp;"O"&amp;MATCH($C$2,Sheet4!$A:$A,0)+0),$I$7:$N$17,5,FALSE)),"-"))))</f>
        <v>Água</v>
      </c>
    </row>
    <row r="21" spans="2:14" ht="15" customHeight="1" x14ac:dyDescent="0.25">
      <c r="B21" s="12" t="s">
        <v>27</v>
      </c>
      <c r="C21" s="8" t="str" cm="1">
        <f t="array" aca="1" ref="C21" ca="1">IF(ISNUMBER(FIND("ctrl",INDIRECT("Sheet4!"&amp;"D"&amp;MATCH($C$2,Sheet4!$A:$A,0)+1))),
INDIRECT("Sheet4!"&amp;"D"&amp;MATCH($C$2,Sheet4!$A:$A,0)+1),IF(INDIRECT("Sheet4!"&amp;"D"&amp;MATCH($C$2,Sheet4!$A:$A,0)+1)="Água","Água",
IF(INDIRECT("Sheet4!"&amp;"D"&amp;MATCH($C$2,Sheet4!$A:$A,0)+1)="-","-",
IF(_xlfn.NUMBERVALUE(MID(INDIRECT("Sheet4!"&amp;"D"&amp;MATCH($C$2,Sheet4!$A:$A,0)+1),9,2))&lt;=$C$4,
_xlfn.IFNA(VLOOKUP(INDIRECT("Sheet4!"&amp;"D"&amp;MATCH($C$2,Sheet4!$A:$A,0)+1),$C$7:$H$17,1,FALSE)&amp;CHAR(10)&amp;VLOOKUP(INDIRECT("Sheet4!"&amp;"D"&amp;MATCH($C$2,Sheet4!$A:$A,0)+1),$C$7:$H$17,5,FALSE),
VLOOKUP(INDIRECT("Sheet4!"&amp;"D"&amp;MATCH($C$2,Sheet4!$A:$A,0)+1),$I$7:$N$17,1,FALSE)&amp;CHAR(10)&amp;VLOOKUP(INDIRECT("Sheet4!"&amp;"D"&amp;MATCH($C$2,Sheet4!$A:$A,0)+1),$I$7:$N$17,5,FALSE)),"-"))))</f>
        <v xml:space="preserve">Amostra 1
</v>
      </c>
      <c r="D21" s="8" t="str" cm="1">
        <f t="array" aca="1" ref="D21" ca="1">IF(ISNUMBER(FIND("ctrl",INDIRECT("Sheet4!"&amp;"E"&amp;MATCH($C$2,Sheet4!$A:$A,0)+1))),
INDIRECT("Sheet4!"&amp;"E"&amp;MATCH($C$2,Sheet4!$A:$A,0)+1),IF(INDIRECT("Sheet4!"&amp;"E"&amp;MATCH($C$2,Sheet4!$A:$A,0)+1)="Água","Água",
IF(INDIRECT("Sheet4!"&amp;"E"&amp;MATCH($C$2,Sheet4!$A:$A,0)+1)="-","-",
IF(_xlfn.NUMBERVALUE(MID(INDIRECT("Sheet4!"&amp;"E"&amp;MATCH($C$2,Sheet4!$A:$A,0)+1),9,2))&lt;=$C$4,
_xlfn.IFNA(VLOOKUP(INDIRECT("Sheet4!"&amp;"E"&amp;MATCH($C$2,Sheet4!$A:$A,0)+1),$C$7:$H$17,1,FALSE)&amp;CHAR(10)&amp;VLOOKUP(INDIRECT("Sheet4!"&amp;"E"&amp;MATCH($C$2,Sheet4!$A:$A,0)+1),$C$7:$H$17,5,FALSE),
VLOOKUP(INDIRECT("Sheet4!"&amp;"E"&amp;MATCH($C$2,Sheet4!$A:$A,0)+1),$I$7:$N$17,1,FALSE)&amp;CHAR(10)&amp;VLOOKUP(INDIRECT("Sheet4!"&amp;"E"&amp;MATCH($C$2,Sheet4!$A:$A,0)+1),$I$7:$N$17,5,FALSE)),"-"))))</f>
        <v>-</v>
      </c>
      <c r="E21" s="8" t="str" cm="1">
        <f t="array" aca="1" ref="E21" ca="1">IF(ISNUMBER(FIND("ctrl",INDIRECT("Sheet4!"&amp;"F"&amp;MATCH($C$2,Sheet4!$A:$A,0)+1))),
INDIRECT("Sheet4!"&amp;"F"&amp;MATCH($C$2,Sheet4!$A:$A,0)+1),IF(INDIRECT("Sheet4!"&amp;"F"&amp;MATCH($C$2,Sheet4!$A:$A,0)+1)="Água","Água",
IF(INDIRECT("Sheet4!"&amp;"F"&amp;MATCH($C$2,Sheet4!$A:$A,0)+1)="-","-",
IF(_xlfn.NUMBERVALUE(MID(INDIRECT("Sheet4!"&amp;"F"&amp;MATCH($C$2,Sheet4!$A:$A,0)+1),9,2))&lt;=$C$4,
_xlfn.IFNA(VLOOKUP(INDIRECT("Sheet4!"&amp;"F"&amp;MATCH($C$2,Sheet4!$A:$A,0)+1),$C$7:$H$17,1,FALSE)&amp;CHAR(10)&amp;VLOOKUP(INDIRECT("Sheet4!"&amp;"F"&amp;MATCH($C$2,Sheet4!$A:$A,0)+1),$C$7:$H$17,5,FALSE),
VLOOKUP(INDIRECT("Sheet4!"&amp;"F"&amp;MATCH($C$2,Sheet4!$A:$A,0)+1),$I$7:$N$17,1,FALSE)&amp;CHAR(10)&amp;VLOOKUP(INDIRECT("Sheet4!"&amp;"F"&amp;MATCH($C$2,Sheet4!$A:$A,0)+1),$I$7:$N$17,5,FALSE)),"-"))))</f>
        <v>-</v>
      </c>
      <c r="F21" s="8" t="str" cm="1">
        <f t="array" aca="1" ref="F21" ca="1">IF(ISNUMBER(FIND("ctrl",INDIRECT("Sheet4!"&amp;"G"&amp;MATCH($C$2,Sheet4!$A:$A,0)+1))),
INDIRECT("Sheet4!"&amp;"G"&amp;MATCH($C$2,Sheet4!$A:$A,0)+1),IF(INDIRECT("Sheet4!"&amp;"G"&amp;MATCH($C$2,Sheet4!$A:$A,0)+1)="Água","Água",
IF(INDIRECT("Sheet4!"&amp;"G"&amp;MATCH($C$2,Sheet4!$A:$A,0)+1)="-","-",
IF(_xlfn.NUMBERVALUE(MID(INDIRECT("Sheet4!"&amp;"G"&amp;MATCH($C$2,Sheet4!$A:$A,0)+1),9,2))&lt;=$C$4,
_xlfn.IFNA(VLOOKUP(INDIRECT("Sheet4!"&amp;"G"&amp;MATCH($C$2,Sheet4!$A:$A,0)+1),$C$7:$H$17,1,FALSE)&amp;CHAR(10)&amp;VLOOKUP(INDIRECT("Sheet4!"&amp;"G"&amp;MATCH($C$2,Sheet4!$A:$A,0)+1),$C$7:$H$17,5,FALSE),
VLOOKUP(INDIRECT("Sheet4!"&amp;"G"&amp;MATCH($C$2,Sheet4!$A:$A,0)+1),$I$7:$N$17,1,FALSE)&amp;CHAR(10)&amp;VLOOKUP(INDIRECT("Sheet4!"&amp;"G"&amp;MATCH($C$2,Sheet4!$A:$A,0)+1),$I$7:$N$17,5,FALSE)),"-"))))</f>
        <v>-</v>
      </c>
      <c r="G21" s="8" t="str" cm="1">
        <f t="array" aca="1" ref="G21" ca="1">IF(ISNUMBER(FIND("ctrl",INDIRECT("Sheet4!"&amp;"H"&amp;MATCH($C$2,Sheet4!$A:$A,0)+1))),
INDIRECT("Sheet4!"&amp;"H"&amp;MATCH($C$2,Sheet4!$A:$A,0)+1),IF(INDIRECT("Sheet4!"&amp;"H"&amp;MATCH($C$2,Sheet4!$A:$A,0)+1)="Água","Água",
IF(INDIRECT("Sheet4!"&amp;"H"&amp;MATCH($C$2,Sheet4!$A:$A,0)+1)="-","-",
IF(_xlfn.NUMBERVALUE(MID(INDIRECT("Sheet4!"&amp;"H"&amp;MATCH($C$2,Sheet4!$A:$A,0)+1),9,2))&lt;=$C$4,
_xlfn.IFNA(VLOOKUP(INDIRECT("Sheet4!"&amp;"H"&amp;MATCH($C$2,Sheet4!$A:$A,0)+1),$C$7:$H$17,1,FALSE)&amp;CHAR(10)&amp;VLOOKUP(INDIRECT("Sheet4!"&amp;"H"&amp;MATCH($C$2,Sheet4!$A:$A,0)+1),$C$7:$H$17,5,FALSE),
VLOOKUP(INDIRECT("Sheet4!"&amp;"H"&amp;MATCH($C$2,Sheet4!$A:$A,0)+1),$I$7:$N$17,1,FALSE)&amp;CHAR(10)&amp;VLOOKUP(INDIRECT("Sheet4!"&amp;"H"&amp;MATCH($C$2,Sheet4!$A:$A,0)+1),$I$7:$N$17,5,FALSE)),"-"))))</f>
        <v>-</v>
      </c>
      <c r="H21" s="8" t="str" cm="1">
        <f t="array" aca="1" ref="H21" ca="1">IF(ISNUMBER(FIND("ctrl",INDIRECT("Sheet4!"&amp;"I"&amp;MATCH($C$2,Sheet4!$A:$A,0)+1))),
INDIRECT("Sheet4!"&amp;"I"&amp;MATCH($C$2,Sheet4!$A:$A,0)+1),IF(INDIRECT("Sheet4!"&amp;"I"&amp;MATCH($C$2,Sheet4!$A:$A,0)+1)="Água","Água",
IF(INDIRECT("Sheet4!"&amp;"I"&amp;MATCH($C$2,Sheet4!$A:$A,0)+1)="-","-",
IF(_xlfn.NUMBERVALUE(MID(INDIRECT("Sheet4!"&amp;"I"&amp;MATCH($C$2,Sheet4!$A:$A,0)+1),9,2))&lt;=$C$4,
_xlfn.IFNA(VLOOKUP(INDIRECT("Sheet4!"&amp;"I"&amp;MATCH($C$2,Sheet4!$A:$A,0)+1),$C$7:$H$17,1,FALSE)&amp;CHAR(10)&amp;VLOOKUP(INDIRECT("Sheet4!"&amp;"I"&amp;MATCH($C$2,Sheet4!$A:$A,0)+1),$C$7:$H$17,5,FALSE),
VLOOKUP(INDIRECT("Sheet4!"&amp;"I"&amp;MATCH($C$2,Sheet4!$A:$A,0)+1),$I$7:$N$17,1,FALSE)&amp;CHAR(10)&amp;VLOOKUP(INDIRECT("Sheet4!"&amp;"I"&amp;MATCH($C$2,Sheet4!$A:$A,0)+1),$I$7:$N$17,5,FALSE)),"-"))))</f>
        <v>-</v>
      </c>
      <c r="I21" s="8" t="str" cm="1">
        <f t="array" aca="1" ref="I21" ca="1">IF(ISNUMBER(FIND("ctrl",INDIRECT("Sheet4!"&amp;"J"&amp;MATCH($C$2,Sheet4!$A:$A,0)+1))),
INDIRECT("Sheet4!"&amp;"J"&amp;MATCH($C$2,Sheet4!$A:$A,0)+1),IF(INDIRECT("Sheet4!"&amp;"J"&amp;MATCH($C$2,Sheet4!$A:$A,0)+1)="Água","Água",
IF(INDIRECT("Sheet4!"&amp;"J"&amp;MATCH($C$2,Sheet4!$A:$A,0)+1)="-","-",
IF(_xlfn.NUMBERVALUE(MID(INDIRECT("Sheet4!"&amp;"J"&amp;MATCH($C$2,Sheet4!$A:$A,0)+1),9,2))&lt;=$C$4,
_xlfn.IFNA(VLOOKUP(INDIRECT("Sheet4!"&amp;"J"&amp;MATCH($C$2,Sheet4!$A:$A,0)+1),$C$7:$H$17,1,FALSE)&amp;CHAR(10)&amp;VLOOKUP(INDIRECT("Sheet4!"&amp;"J"&amp;MATCH($C$2,Sheet4!$A:$A,0)+1),$C$7:$H$17,5,FALSE),
VLOOKUP(INDIRECT("Sheet4!"&amp;"J"&amp;MATCH($C$2,Sheet4!$A:$A,0)+1),$I$7:$N$17,1,FALSE)&amp;CHAR(10)&amp;VLOOKUP(INDIRECT("Sheet4!"&amp;"J"&amp;MATCH($C$2,Sheet4!$A:$A,0)+1),$I$7:$N$17,5,FALSE)),"-"))))</f>
        <v>-</v>
      </c>
      <c r="J21" s="8" t="str" cm="1">
        <f t="array" aca="1" ref="J21" ca="1">IF(ISNUMBER(FIND("ctrl",INDIRECT("Sheet4!"&amp;"K"&amp;MATCH($C$2,Sheet4!$A:$A,0)+1))),
INDIRECT("Sheet4!"&amp;"K"&amp;MATCH($C$2,Sheet4!$A:$A,0)+1),IF(INDIRECT("Sheet4!"&amp;"K"&amp;MATCH($C$2,Sheet4!$A:$A,0)+1)="Água","Água",
IF(INDIRECT("Sheet4!"&amp;"K"&amp;MATCH($C$2,Sheet4!$A:$A,0)+1)="-","-",
IF(_xlfn.NUMBERVALUE(MID(INDIRECT("Sheet4!"&amp;"K"&amp;MATCH($C$2,Sheet4!$A:$A,0)+1),9,2))&lt;=$C$4,
_xlfn.IFNA(VLOOKUP(INDIRECT("Sheet4!"&amp;"K"&amp;MATCH($C$2,Sheet4!$A:$A,0)+1),$C$7:$H$17,1,FALSE)&amp;CHAR(10)&amp;VLOOKUP(INDIRECT("Sheet4!"&amp;"K"&amp;MATCH($C$2,Sheet4!$A:$A,0)+1),$C$7:$H$17,5,FALSE),
VLOOKUP(INDIRECT("Sheet4!"&amp;"K"&amp;MATCH($C$2,Sheet4!$A:$A,0)+1),$I$7:$N$17,1,FALSE)&amp;CHAR(10)&amp;VLOOKUP(INDIRECT("Sheet4!"&amp;"K"&amp;MATCH($C$2,Sheet4!$A:$A,0)+1),$I$7:$N$17,5,FALSE)),"-"))))</f>
        <v>-</v>
      </c>
      <c r="K21" s="8" t="str" cm="1">
        <f t="array" aca="1" ref="K21" ca="1">IF(ISNUMBER(FIND("ctrl",INDIRECT("Sheet4!"&amp;"L"&amp;MATCH($C$2,Sheet4!$A:$A,0)+1))),
INDIRECT("Sheet4!"&amp;"L"&amp;MATCH($C$2,Sheet4!$A:$A,0)+1),IF(INDIRECT("Sheet4!"&amp;"L"&amp;MATCH($C$2,Sheet4!$A:$A,0)+1)="Água","Água",
IF(INDIRECT("Sheet4!"&amp;"L"&amp;MATCH($C$2,Sheet4!$A:$A,0)+1)="-","-",
IF(_xlfn.NUMBERVALUE(MID(INDIRECT("Sheet4!"&amp;"L"&amp;MATCH($C$2,Sheet4!$A:$A,0)+1),9,2))&lt;=$C$4,
_xlfn.IFNA(VLOOKUP(INDIRECT("Sheet4!"&amp;"L"&amp;MATCH($C$2,Sheet4!$A:$A,0)+1),$C$7:$H$17,1,FALSE)&amp;CHAR(10)&amp;VLOOKUP(INDIRECT("Sheet4!"&amp;"L"&amp;MATCH($C$2,Sheet4!$A:$A,0)+1),$C$7:$H$17,5,FALSE),
VLOOKUP(INDIRECT("Sheet4!"&amp;"L"&amp;MATCH($C$2,Sheet4!$A:$A,0)+1),$I$7:$N$17,1,FALSE)&amp;CHAR(10)&amp;VLOOKUP(INDIRECT("Sheet4!"&amp;"L"&amp;MATCH($C$2,Sheet4!$A:$A,0)+1),$I$7:$N$17,5,FALSE)),"-"))))</f>
        <v>-</v>
      </c>
      <c r="L21" s="8" t="str" cm="1">
        <f t="array" aca="1" ref="L21" ca="1">IF(ISNUMBER(FIND("ctrl",INDIRECT("Sheet4!"&amp;"M"&amp;MATCH($C$2,Sheet4!$A:$A,0)+1))),
INDIRECT("Sheet4!"&amp;"M"&amp;MATCH($C$2,Sheet4!$A:$A,0)+1),IF(INDIRECT("Sheet4!"&amp;"M"&amp;MATCH($C$2,Sheet4!$A:$A,0)+1)="Água","Água",
IF(INDIRECT("Sheet4!"&amp;"M"&amp;MATCH($C$2,Sheet4!$A:$A,0)+1)="-","-",
IF(_xlfn.NUMBERVALUE(MID(INDIRECT("Sheet4!"&amp;"M"&amp;MATCH($C$2,Sheet4!$A:$A,0)+1),9,2))&lt;=$C$4,
_xlfn.IFNA(VLOOKUP(INDIRECT("Sheet4!"&amp;"M"&amp;MATCH($C$2,Sheet4!$A:$A,0)+1),$C$7:$H$17,1,FALSE)&amp;CHAR(10)&amp;VLOOKUP(INDIRECT("Sheet4!"&amp;"M"&amp;MATCH($C$2,Sheet4!$A:$A,0)+1),$C$7:$H$17,5,FALSE),
VLOOKUP(INDIRECT("Sheet4!"&amp;"M"&amp;MATCH($C$2,Sheet4!$A:$A,0)+1),$I$7:$N$17,1,FALSE)&amp;CHAR(10)&amp;VLOOKUP(INDIRECT("Sheet4!"&amp;"M"&amp;MATCH($C$2,Sheet4!$A:$A,0)+1),$I$7:$N$17,5,FALSE)),"-"))))</f>
        <v>-</v>
      </c>
      <c r="M21" s="8" t="str" cm="1">
        <f t="array" aca="1" ref="M21" ca="1">IF(ISNUMBER(FIND("ctrl",INDIRECT("Sheet4!"&amp;"N"&amp;MATCH($C$2,Sheet4!$A:$A,0)+1))),
INDIRECT("Sheet4!"&amp;"N"&amp;MATCH($C$2,Sheet4!$A:$A,0)+1),IF(INDIRECT("Sheet4!"&amp;"N"&amp;MATCH($C$2,Sheet4!$A:$A,0)+1)="Água","Água",
IF(INDIRECT("Sheet4!"&amp;"N"&amp;MATCH($C$2,Sheet4!$A:$A,0)+1)="-","-",
IF(_xlfn.NUMBERVALUE(MID(INDIRECT("Sheet4!"&amp;"N"&amp;MATCH($C$2,Sheet4!$A:$A,0)+1),9,2))&lt;=$C$4,
_xlfn.IFNA(VLOOKUP(INDIRECT("Sheet4!"&amp;"N"&amp;MATCH($C$2,Sheet4!$A:$A,0)+1),$C$7:$H$17,1,FALSE)&amp;CHAR(10)&amp;VLOOKUP(INDIRECT("Sheet4!"&amp;"N"&amp;MATCH($C$2,Sheet4!$A:$A,0)+1),$C$7:$H$17,5,FALSE),
VLOOKUP(INDIRECT("Sheet4!"&amp;"N"&amp;MATCH($C$2,Sheet4!$A:$A,0)+1),$I$7:$N$17,1,FALSE)&amp;CHAR(10)&amp;VLOOKUP(INDIRECT("Sheet4!"&amp;"N"&amp;MATCH($C$2,Sheet4!$A:$A,0)+1),$I$7:$N$17,5,FALSE)),"-"))))</f>
        <v>PIK3CA pos ctrl</v>
      </c>
      <c r="N21" s="8" t="str" cm="1">
        <f t="array" aca="1" ref="N21" ca="1">IF(ISNUMBER(FIND("ctrl",INDIRECT("Sheet4!"&amp;"O"&amp;MATCH($C$2,Sheet4!$A:$A,0)+1))),
INDIRECT("Sheet4!"&amp;"O"&amp;MATCH($C$2,Sheet4!$A:$A,0)+1),IF(INDIRECT("Sheet4!"&amp;"O"&amp;MATCH($C$2,Sheet4!$A:$A,0)+1)="Água","Água",
IF(INDIRECT("Sheet4!"&amp;"O"&amp;MATCH($C$2,Sheet4!$A:$A,0)+1)="-","-",
IF(_xlfn.NUMBERVALUE(MID(INDIRECT("Sheet4!"&amp;"O"&amp;MATCH($C$2,Sheet4!$A:$A,0)+1),9,2))&lt;=$C$4,
_xlfn.IFNA(VLOOKUP(INDIRECT("Sheet4!"&amp;"O"&amp;MATCH($C$2,Sheet4!$A:$A,0)+1),$C$7:$H$17,1,FALSE)&amp;CHAR(10)&amp;VLOOKUP(INDIRECT("Sheet4!"&amp;"O"&amp;MATCH($C$2,Sheet4!$A:$A,0)+1),$C$7:$H$17,5,FALSE),
VLOOKUP(INDIRECT("Sheet4!"&amp;"O"&amp;MATCH($C$2,Sheet4!$A:$A,0)+1),$I$7:$N$17,1,FALSE)&amp;CHAR(10)&amp;VLOOKUP(INDIRECT("Sheet4!"&amp;"O"&amp;MATCH($C$2,Sheet4!$A:$A,0)+1),$I$7:$N$17,5,FALSE)),"-"))))</f>
        <v>Água</v>
      </c>
    </row>
    <row r="22" spans="2:14" ht="15" customHeight="1" x14ac:dyDescent="0.25">
      <c r="B22" s="12" t="s">
        <v>28</v>
      </c>
      <c r="C22" s="8" t="str" cm="1">
        <f t="array" aca="1" ref="C22" ca="1">IF(ISNUMBER(FIND("ctrl",INDIRECT("Sheet4!"&amp;"D"&amp;MATCH($C$2,Sheet4!$A:$A,0)+2))),
INDIRECT("Sheet4!"&amp;"D"&amp;MATCH($C$2,Sheet4!$A:$A,0)+2),IF(INDIRECT("Sheet4!"&amp;"D"&amp;MATCH($C$2,Sheet4!$A:$A,0)+2)="Água","Água",
IF(INDIRECT("Sheet4!"&amp;"D"&amp;MATCH($C$2,Sheet4!$A:$A,0)+2)="-","-",
IF(_xlfn.NUMBERVALUE(MID(INDIRECT("Sheet4!"&amp;"D"&amp;MATCH($C$2,Sheet4!$A:$A,0)+2),9,2))&lt;=$C$4,
_xlfn.IFNA(VLOOKUP(INDIRECT("Sheet4!"&amp;"D"&amp;MATCH($C$2,Sheet4!$A:$A,0)+2),$C$7:$H$17,1,FALSE)&amp;CHAR(10)&amp;VLOOKUP(INDIRECT("Sheet4!"&amp;"D"&amp;MATCH($C$2,Sheet4!$A:$A,0)+2),$C$7:$H$17,5,FALSE),
VLOOKUP(INDIRECT("Sheet4!"&amp;"D"&amp;MATCH($C$2,Sheet4!$A:$A,0)+2),$I$7:$N$17,1,FALSE)&amp;CHAR(10)&amp;VLOOKUP(INDIRECT("Sheet4!"&amp;"D"&amp;MATCH($C$2,Sheet4!$A:$A,0)+2),$I$7:$N$17,5,FALSE)),"-"))))</f>
        <v xml:space="preserve">Amostra 1
</v>
      </c>
      <c r="D22" s="8" t="str" cm="1">
        <f t="array" aca="1" ref="D22" ca="1">IF(ISNUMBER(FIND("ctrl",INDIRECT("Sheet4!"&amp;"E"&amp;MATCH($C$2,Sheet4!$A:$A,0)+2))),
INDIRECT("Sheet4!"&amp;"E"&amp;MATCH($C$2,Sheet4!$A:$A,0)+2),IF(INDIRECT("Sheet4!"&amp;"E"&amp;MATCH($C$2,Sheet4!$A:$A,0)+2)="Água","Água",
IF(INDIRECT("Sheet4!"&amp;"E"&amp;MATCH($C$2,Sheet4!$A:$A,0)+2)="-","-",
IF(_xlfn.NUMBERVALUE(MID(INDIRECT("Sheet4!"&amp;"E"&amp;MATCH($C$2,Sheet4!$A:$A,0)+2),9,2))&lt;=$C$4,
_xlfn.IFNA(VLOOKUP(INDIRECT("Sheet4!"&amp;"E"&amp;MATCH($C$2,Sheet4!$A:$A,0)+2),$C$7:$H$17,1,FALSE)&amp;CHAR(10)&amp;VLOOKUP(INDIRECT("Sheet4!"&amp;"E"&amp;MATCH($C$2,Sheet4!$A:$A,0)+2),$C$7:$H$17,5,FALSE),
VLOOKUP(INDIRECT("Sheet4!"&amp;"E"&amp;MATCH($C$2,Sheet4!$A:$A,0)+2),$I$7:$N$17,1,FALSE)&amp;CHAR(10)&amp;VLOOKUP(INDIRECT("Sheet4!"&amp;"E"&amp;MATCH($C$2,Sheet4!$A:$A,0)+2),$I$7:$N$17,5,FALSE)),"-"))))</f>
        <v>-</v>
      </c>
      <c r="E22" s="8" t="str" cm="1">
        <f t="array" aca="1" ref="E22" ca="1">IF(ISNUMBER(FIND("ctrl",INDIRECT("Sheet4!"&amp;"F"&amp;MATCH($C$2,Sheet4!$A:$A,0)+2))),
INDIRECT("Sheet4!"&amp;"F"&amp;MATCH($C$2,Sheet4!$A:$A,0)+2),IF(INDIRECT("Sheet4!"&amp;"F"&amp;MATCH($C$2,Sheet4!$A:$A,0)+2)="Água","Água",
IF(INDIRECT("Sheet4!"&amp;"F"&amp;MATCH($C$2,Sheet4!$A:$A,0)+2)="-","-",
IF(_xlfn.NUMBERVALUE(MID(INDIRECT("Sheet4!"&amp;"F"&amp;MATCH($C$2,Sheet4!$A:$A,0)+2),9,2))&lt;=$C$4,
_xlfn.IFNA(VLOOKUP(INDIRECT("Sheet4!"&amp;"F"&amp;MATCH($C$2,Sheet4!$A:$A,0)+2),$C$7:$H$17,1,FALSE)&amp;CHAR(10)&amp;VLOOKUP(INDIRECT("Sheet4!"&amp;"F"&amp;MATCH($C$2,Sheet4!$A:$A,0)+2),$C$7:$H$17,5,FALSE),
VLOOKUP(INDIRECT("Sheet4!"&amp;"F"&amp;MATCH($C$2,Sheet4!$A:$A,0)+2),$I$7:$N$17,1,FALSE)&amp;CHAR(10)&amp;VLOOKUP(INDIRECT("Sheet4!"&amp;"F"&amp;MATCH($C$2,Sheet4!$A:$A,0)+2),$I$7:$N$17,5,FALSE)),"-"))))</f>
        <v>-</v>
      </c>
      <c r="F22" s="8" t="str" cm="1">
        <f t="array" aca="1" ref="F22" ca="1">IF(ISNUMBER(FIND("ctrl",INDIRECT("Sheet4!"&amp;"G"&amp;MATCH($C$2,Sheet4!$A:$A,0)+2))),
INDIRECT("Sheet4!"&amp;"G"&amp;MATCH($C$2,Sheet4!$A:$A,0)+2),IF(INDIRECT("Sheet4!"&amp;"G"&amp;MATCH($C$2,Sheet4!$A:$A,0)+2)="Água","Água",
IF(INDIRECT("Sheet4!"&amp;"G"&amp;MATCH($C$2,Sheet4!$A:$A,0)+2)="-","-",
IF(_xlfn.NUMBERVALUE(MID(INDIRECT("Sheet4!"&amp;"G"&amp;MATCH($C$2,Sheet4!$A:$A,0)+2),9,2))&lt;=$C$4,
_xlfn.IFNA(VLOOKUP(INDIRECT("Sheet4!"&amp;"G"&amp;MATCH($C$2,Sheet4!$A:$A,0)+2),$C$7:$H$17,1,FALSE)&amp;CHAR(10)&amp;VLOOKUP(INDIRECT("Sheet4!"&amp;"G"&amp;MATCH($C$2,Sheet4!$A:$A,0)+2),$C$7:$H$17,5,FALSE),
VLOOKUP(INDIRECT("Sheet4!"&amp;"G"&amp;MATCH($C$2,Sheet4!$A:$A,0)+2),$I$7:$N$17,1,FALSE)&amp;CHAR(10)&amp;VLOOKUP(INDIRECT("Sheet4!"&amp;"G"&amp;MATCH($C$2,Sheet4!$A:$A,0)+2),$I$7:$N$17,5,FALSE)),"-"))))</f>
        <v>-</v>
      </c>
      <c r="G22" s="8" t="str" cm="1">
        <f t="array" aca="1" ref="G22" ca="1">IF(ISNUMBER(FIND("ctrl",INDIRECT("Sheet4!"&amp;"H"&amp;MATCH($C$2,Sheet4!$A:$A,0)+2))),
INDIRECT("Sheet4!"&amp;"H"&amp;MATCH($C$2,Sheet4!$A:$A,0)+2),IF(INDIRECT("Sheet4!"&amp;"H"&amp;MATCH($C$2,Sheet4!$A:$A,0)+2)="Água","Água",
IF(INDIRECT("Sheet4!"&amp;"H"&amp;MATCH($C$2,Sheet4!$A:$A,0)+2)="-","-",
IF(_xlfn.NUMBERVALUE(MID(INDIRECT("Sheet4!"&amp;"H"&amp;MATCH($C$2,Sheet4!$A:$A,0)+2),9,2))&lt;=$C$4,
_xlfn.IFNA(VLOOKUP(INDIRECT("Sheet4!"&amp;"H"&amp;MATCH($C$2,Sheet4!$A:$A,0)+2),$C$7:$H$17,1,FALSE)&amp;CHAR(10)&amp;VLOOKUP(INDIRECT("Sheet4!"&amp;"H"&amp;MATCH($C$2,Sheet4!$A:$A,0)+2),$C$7:$H$17,5,FALSE),
VLOOKUP(INDIRECT("Sheet4!"&amp;"H"&amp;MATCH($C$2,Sheet4!$A:$A,0)+2),$I$7:$N$17,1,FALSE)&amp;CHAR(10)&amp;VLOOKUP(INDIRECT("Sheet4!"&amp;"H"&amp;MATCH($C$2,Sheet4!$A:$A,0)+2),$I$7:$N$17,5,FALSE)),"-"))))</f>
        <v>-</v>
      </c>
      <c r="H22" s="8" t="str" cm="1">
        <f t="array" aca="1" ref="H22" ca="1">IF(ISNUMBER(FIND("ctrl",INDIRECT("Sheet4!"&amp;"I"&amp;MATCH($C$2,Sheet4!$A:$A,0)+2))),
INDIRECT("Sheet4!"&amp;"I"&amp;MATCH($C$2,Sheet4!$A:$A,0)+2),IF(INDIRECT("Sheet4!"&amp;"I"&amp;MATCH($C$2,Sheet4!$A:$A,0)+2)="Água","Água",
IF(INDIRECT("Sheet4!"&amp;"I"&amp;MATCH($C$2,Sheet4!$A:$A,0)+2)="-","-",
IF(_xlfn.NUMBERVALUE(MID(INDIRECT("Sheet4!"&amp;"I"&amp;MATCH($C$2,Sheet4!$A:$A,0)+2),9,2))&lt;=$C$4,
_xlfn.IFNA(VLOOKUP(INDIRECT("Sheet4!"&amp;"I"&amp;MATCH($C$2,Sheet4!$A:$A,0)+2),$C$7:$H$17,1,FALSE)&amp;CHAR(10)&amp;VLOOKUP(INDIRECT("Sheet4!"&amp;"I"&amp;MATCH($C$2,Sheet4!$A:$A,0)+2),$C$7:$H$17,5,FALSE),
VLOOKUP(INDIRECT("Sheet4!"&amp;"I"&amp;MATCH($C$2,Sheet4!$A:$A,0)+2),$I$7:$N$17,1,FALSE)&amp;CHAR(10)&amp;VLOOKUP(INDIRECT("Sheet4!"&amp;"I"&amp;MATCH($C$2,Sheet4!$A:$A,0)+2),$I$7:$N$17,5,FALSE)),"-"))))</f>
        <v>-</v>
      </c>
      <c r="I22" s="8" t="str" cm="1">
        <f t="array" aca="1" ref="I22" ca="1">IF(ISNUMBER(FIND("ctrl",INDIRECT("Sheet4!"&amp;"J"&amp;MATCH($C$2,Sheet4!$A:$A,0)+2))),
INDIRECT("Sheet4!"&amp;"J"&amp;MATCH($C$2,Sheet4!$A:$A,0)+2),IF(INDIRECT("Sheet4!"&amp;"J"&amp;MATCH($C$2,Sheet4!$A:$A,0)+2)="Água","Água",
IF(INDIRECT("Sheet4!"&amp;"J"&amp;MATCH($C$2,Sheet4!$A:$A,0)+2)="-","-",
IF(_xlfn.NUMBERVALUE(MID(INDIRECT("Sheet4!"&amp;"J"&amp;MATCH($C$2,Sheet4!$A:$A,0)+2),9,2))&lt;=$C$4,
_xlfn.IFNA(VLOOKUP(INDIRECT("Sheet4!"&amp;"J"&amp;MATCH($C$2,Sheet4!$A:$A,0)+2),$C$7:$H$17,1,FALSE)&amp;CHAR(10)&amp;VLOOKUP(INDIRECT("Sheet4!"&amp;"J"&amp;MATCH($C$2,Sheet4!$A:$A,0)+2),$C$7:$H$17,5,FALSE),
VLOOKUP(INDIRECT("Sheet4!"&amp;"J"&amp;MATCH($C$2,Sheet4!$A:$A,0)+2),$I$7:$N$17,1,FALSE)&amp;CHAR(10)&amp;VLOOKUP(INDIRECT("Sheet4!"&amp;"J"&amp;MATCH($C$2,Sheet4!$A:$A,0)+2),$I$7:$N$17,5,FALSE)),"-"))))</f>
        <v>-</v>
      </c>
      <c r="J22" s="8" t="str" cm="1">
        <f t="array" aca="1" ref="J22" ca="1">IF(ISNUMBER(FIND("ctrl",INDIRECT("Sheet4!"&amp;"K"&amp;MATCH($C$2,Sheet4!$A:$A,0)+2))),
INDIRECT("Sheet4!"&amp;"K"&amp;MATCH($C$2,Sheet4!$A:$A,0)+2),IF(INDIRECT("Sheet4!"&amp;"K"&amp;MATCH($C$2,Sheet4!$A:$A,0)+2)="Água","Água",
IF(INDIRECT("Sheet4!"&amp;"K"&amp;MATCH($C$2,Sheet4!$A:$A,0)+2)="-","-",
IF(_xlfn.NUMBERVALUE(MID(INDIRECT("Sheet4!"&amp;"K"&amp;MATCH($C$2,Sheet4!$A:$A,0)+2),9,2))&lt;=$C$4,
_xlfn.IFNA(VLOOKUP(INDIRECT("Sheet4!"&amp;"K"&amp;MATCH($C$2,Sheet4!$A:$A,0)+2),$C$7:$H$17,1,FALSE)&amp;CHAR(10)&amp;VLOOKUP(INDIRECT("Sheet4!"&amp;"K"&amp;MATCH($C$2,Sheet4!$A:$A,0)+2),$C$7:$H$17,5,FALSE),
VLOOKUP(INDIRECT("Sheet4!"&amp;"K"&amp;MATCH($C$2,Sheet4!$A:$A,0)+2),$I$7:$N$17,1,FALSE)&amp;CHAR(10)&amp;VLOOKUP(INDIRECT("Sheet4!"&amp;"K"&amp;MATCH($C$2,Sheet4!$A:$A,0)+2),$I$7:$N$17,5,FALSE)),"-"))))</f>
        <v>-</v>
      </c>
      <c r="K22" s="8" t="str" cm="1">
        <f t="array" aca="1" ref="K22" ca="1">IF(ISNUMBER(FIND("ctrl",INDIRECT("Sheet4!"&amp;"L"&amp;MATCH($C$2,Sheet4!$A:$A,0)+2))),
INDIRECT("Sheet4!"&amp;"L"&amp;MATCH($C$2,Sheet4!$A:$A,0)+2),IF(INDIRECT("Sheet4!"&amp;"L"&amp;MATCH($C$2,Sheet4!$A:$A,0)+2)="Água","Água",
IF(INDIRECT("Sheet4!"&amp;"L"&amp;MATCH($C$2,Sheet4!$A:$A,0)+2)="-","-",
IF(_xlfn.NUMBERVALUE(MID(INDIRECT("Sheet4!"&amp;"L"&amp;MATCH($C$2,Sheet4!$A:$A,0)+2),9,2))&lt;=$C$4,
_xlfn.IFNA(VLOOKUP(INDIRECT("Sheet4!"&amp;"L"&amp;MATCH($C$2,Sheet4!$A:$A,0)+2),$C$7:$H$17,1,FALSE)&amp;CHAR(10)&amp;VLOOKUP(INDIRECT("Sheet4!"&amp;"L"&amp;MATCH($C$2,Sheet4!$A:$A,0)+2),$C$7:$H$17,5,FALSE),
VLOOKUP(INDIRECT("Sheet4!"&amp;"L"&amp;MATCH($C$2,Sheet4!$A:$A,0)+2),$I$7:$N$17,1,FALSE)&amp;CHAR(10)&amp;VLOOKUP(INDIRECT("Sheet4!"&amp;"L"&amp;MATCH($C$2,Sheet4!$A:$A,0)+2),$I$7:$N$17,5,FALSE)),"-"))))</f>
        <v>-</v>
      </c>
      <c r="L22" s="8" t="str" cm="1">
        <f t="array" aca="1" ref="L22" ca="1">IF(ISNUMBER(FIND("ctrl",INDIRECT("Sheet4!"&amp;"M"&amp;MATCH($C$2,Sheet4!$A:$A,0)+2))),
INDIRECT("Sheet4!"&amp;"M"&amp;MATCH($C$2,Sheet4!$A:$A,0)+2),IF(INDIRECT("Sheet4!"&amp;"M"&amp;MATCH($C$2,Sheet4!$A:$A,0)+2)="Água","Água",
IF(INDIRECT("Sheet4!"&amp;"M"&amp;MATCH($C$2,Sheet4!$A:$A,0)+2)="-","-",
IF(_xlfn.NUMBERVALUE(MID(INDIRECT("Sheet4!"&amp;"M"&amp;MATCH($C$2,Sheet4!$A:$A,0)+2),9,2))&lt;=$C$4,
_xlfn.IFNA(VLOOKUP(INDIRECT("Sheet4!"&amp;"M"&amp;MATCH($C$2,Sheet4!$A:$A,0)+2),$C$7:$H$17,1,FALSE)&amp;CHAR(10)&amp;VLOOKUP(INDIRECT("Sheet4!"&amp;"M"&amp;MATCH($C$2,Sheet4!$A:$A,0)+2),$C$7:$H$17,5,FALSE),
VLOOKUP(INDIRECT("Sheet4!"&amp;"M"&amp;MATCH($C$2,Sheet4!$A:$A,0)+2),$I$7:$N$17,1,FALSE)&amp;CHAR(10)&amp;VLOOKUP(INDIRECT("Sheet4!"&amp;"M"&amp;MATCH($C$2,Sheet4!$A:$A,0)+2),$I$7:$N$17,5,FALSE)),"-"))))</f>
        <v>-</v>
      </c>
      <c r="M22" s="8" t="str" cm="1">
        <f t="array" aca="1" ref="M22" ca="1">IF(ISNUMBER(FIND("ctrl",INDIRECT("Sheet4!"&amp;"N"&amp;MATCH($C$2,Sheet4!$A:$A,0)+2))),
INDIRECT("Sheet4!"&amp;"N"&amp;MATCH($C$2,Sheet4!$A:$A,0)+2),IF(INDIRECT("Sheet4!"&amp;"N"&amp;MATCH($C$2,Sheet4!$A:$A,0)+2)="Água","Água",
IF(INDIRECT("Sheet4!"&amp;"N"&amp;MATCH($C$2,Sheet4!$A:$A,0)+2)="-","-",
IF(_xlfn.NUMBERVALUE(MID(INDIRECT("Sheet4!"&amp;"N"&amp;MATCH($C$2,Sheet4!$A:$A,0)+2),9,2))&lt;=$C$4,
_xlfn.IFNA(VLOOKUP(INDIRECT("Sheet4!"&amp;"N"&amp;MATCH($C$2,Sheet4!$A:$A,0)+2),$C$7:$H$17,1,FALSE)&amp;CHAR(10)&amp;VLOOKUP(INDIRECT("Sheet4!"&amp;"N"&amp;MATCH($C$2,Sheet4!$A:$A,0)+2),$C$7:$H$17,5,FALSE),
VLOOKUP(INDIRECT("Sheet4!"&amp;"N"&amp;MATCH($C$2,Sheet4!$A:$A,0)+2),$I$7:$N$17,1,FALSE)&amp;CHAR(10)&amp;VLOOKUP(INDIRECT("Sheet4!"&amp;"N"&amp;MATCH($C$2,Sheet4!$A:$A,0)+2),$I$7:$N$17,5,FALSE)),"-"))))</f>
        <v>PIK3CA pos ctrl</v>
      </c>
      <c r="N22" s="8" t="str" cm="1">
        <f t="array" aca="1" ref="N22" ca="1">IF(ISNUMBER(FIND("ctrl",INDIRECT("Sheet4!"&amp;"O"&amp;MATCH($C$2,Sheet4!$A:$A,0)+2))),
INDIRECT("Sheet4!"&amp;"O"&amp;MATCH($C$2,Sheet4!$A:$A,0)+2),IF(INDIRECT("Sheet4!"&amp;"O"&amp;MATCH($C$2,Sheet4!$A:$A,0)+2)="Água","Água",
IF(INDIRECT("Sheet4!"&amp;"O"&amp;MATCH($C$2,Sheet4!$A:$A,0)+2)="-","-",
IF(_xlfn.NUMBERVALUE(MID(INDIRECT("Sheet4!"&amp;"O"&amp;MATCH($C$2,Sheet4!$A:$A,0)+2),9,2))&lt;=$C$4,
_xlfn.IFNA(VLOOKUP(INDIRECT("Sheet4!"&amp;"O"&amp;MATCH($C$2,Sheet4!$A:$A,0)+2),$C$7:$H$17,1,FALSE)&amp;CHAR(10)&amp;VLOOKUP(INDIRECT("Sheet4!"&amp;"O"&amp;MATCH($C$2,Sheet4!$A:$A,0)+2),$C$7:$H$17,5,FALSE),
VLOOKUP(INDIRECT("Sheet4!"&amp;"O"&amp;MATCH($C$2,Sheet4!$A:$A,0)+2),$I$7:$N$17,1,FALSE)&amp;CHAR(10)&amp;VLOOKUP(INDIRECT("Sheet4!"&amp;"O"&amp;MATCH($C$2,Sheet4!$A:$A,0)+2),$I$7:$N$17,5,FALSE)),"-"))))</f>
        <v>Água</v>
      </c>
    </row>
    <row r="23" spans="2:14" ht="15" customHeight="1" x14ac:dyDescent="0.25">
      <c r="B23" s="12" t="s">
        <v>29</v>
      </c>
      <c r="C23" s="8" t="str" cm="1">
        <f t="array" aca="1" ref="C23" ca="1">IF(ISNUMBER(FIND("ctrl",INDIRECT("Sheet4!"&amp;"D"&amp;MATCH($C$2,Sheet4!$A:$A,0)+3))),
INDIRECT("Sheet4!"&amp;"D"&amp;MATCH($C$2,Sheet4!$A:$A,0)+3),IF(INDIRECT("Sheet4!"&amp;"D"&amp;MATCH($C$2,Sheet4!$A:$A,0)+3)="Água","Água",
IF(INDIRECT("Sheet4!"&amp;"D"&amp;MATCH($C$2,Sheet4!$A:$A,0)+3)="-","-",
IF(_xlfn.NUMBERVALUE(MID(INDIRECT("Sheet4!"&amp;"D"&amp;MATCH($C$2,Sheet4!$A:$A,0)+3),9,2))&lt;=$C$4,
_xlfn.IFNA(VLOOKUP(INDIRECT("Sheet4!"&amp;"D"&amp;MATCH($C$2,Sheet4!$A:$A,0)+3),$C$7:$H$17,1,FALSE)&amp;CHAR(10)&amp;VLOOKUP(INDIRECT("Sheet4!"&amp;"D"&amp;MATCH($C$2,Sheet4!$A:$A,0)+3),$C$7:$H$17,5,FALSE),
VLOOKUP(INDIRECT("Sheet4!"&amp;"D"&amp;MATCH($C$2,Sheet4!$A:$A,0)+3),$I$7:$N$17,1,FALSE)&amp;CHAR(10)&amp;VLOOKUP(INDIRECT("Sheet4!"&amp;"D"&amp;MATCH($C$2,Sheet4!$A:$A,0)+3),$I$7:$N$17,5,FALSE)),"-"))))</f>
        <v xml:space="preserve">Amostra 1
</v>
      </c>
      <c r="D23" s="8" t="str" cm="1">
        <f t="array" aca="1" ref="D23" ca="1">IF(ISNUMBER(FIND("ctrl",INDIRECT("Sheet4!"&amp;"E"&amp;MATCH($C$2,Sheet4!$A:$A,0)+3))),
INDIRECT("Sheet4!"&amp;"E"&amp;MATCH($C$2,Sheet4!$A:$A,0)+3),IF(INDIRECT("Sheet4!"&amp;"E"&amp;MATCH($C$2,Sheet4!$A:$A,0)+3)="Água","Água",
IF(INDIRECT("Sheet4!"&amp;"E"&amp;MATCH($C$2,Sheet4!$A:$A,0)+3)="-","-",
IF(_xlfn.NUMBERVALUE(MID(INDIRECT("Sheet4!"&amp;"E"&amp;MATCH($C$2,Sheet4!$A:$A,0)+3),9,2))&lt;=$C$4,
_xlfn.IFNA(VLOOKUP(INDIRECT("Sheet4!"&amp;"E"&amp;MATCH($C$2,Sheet4!$A:$A,0)+3),$C$7:$H$17,1,FALSE)&amp;CHAR(10)&amp;VLOOKUP(INDIRECT("Sheet4!"&amp;"E"&amp;MATCH($C$2,Sheet4!$A:$A,0)+3),$C$7:$H$17,5,FALSE),
VLOOKUP(INDIRECT("Sheet4!"&amp;"E"&amp;MATCH($C$2,Sheet4!$A:$A,0)+3),$I$7:$N$17,1,FALSE)&amp;CHAR(10)&amp;VLOOKUP(INDIRECT("Sheet4!"&amp;"E"&amp;MATCH($C$2,Sheet4!$A:$A,0)+3),$I$7:$N$17,5,FALSE)),"-"))))</f>
        <v>-</v>
      </c>
      <c r="E23" s="8" t="str" cm="1">
        <f t="array" aca="1" ref="E23" ca="1">IF(ISNUMBER(FIND("ctrl",INDIRECT("Sheet4!"&amp;"F"&amp;MATCH($C$2,Sheet4!$A:$A,0)+3))),
INDIRECT("Sheet4!"&amp;"F"&amp;MATCH($C$2,Sheet4!$A:$A,0)+3),IF(INDIRECT("Sheet4!"&amp;"F"&amp;MATCH($C$2,Sheet4!$A:$A,0)+3)="Água","Água",
IF(INDIRECT("Sheet4!"&amp;"F"&amp;MATCH($C$2,Sheet4!$A:$A,0)+3)="-","-",
IF(_xlfn.NUMBERVALUE(MID(INDIRECT("Sheet4!"&amp;"F"&amp;MATCH($C$2,Sheet4!$A:$A,0)+3),9,2))&lt;=$C$4,
_xlfn.IFNA(VLOOKUP(INDIRECT("Sheet4!"&amp;"F"&amp;MATCH($C$2,Sheet4!$A:$A,0)+3),$C$7:$H$17,1,FALSE)&amp;CHAR(10)&amp;VLOOKUP(INDIRECT("Sheet4!"&amp;"F"&amp;MATCH($C$2,Sheet4!$A:$A,0)+3),$C$7:$H$17,5,FALSE),
VLOOKUP(INDIRECT("Sheet4!"&amp;"F"&amp;MATCH($C$2,Sheet4!$A:$A,0)+3),$I$7:$N$17,1,FALSE)&amp;CHAR(10)&amp;VLOOKUP(INDIRECT("Sheet4!"&amp;"F"&amp;MATCH($C$2,Sheet4!$A:$A,0)+3),$I$7:$N$17,5,FALSE)),"-"))))</f>
        <v>-</v>
      </c>
      <c r="F23" s="8" t="str" cm="1">
        <f t="array" aca="1" ref="F23" ca="1">IF(ISNUMBER(FIND("ctrl",INDIRECT("Sheet4!"&amp;"G"&amp;MATCH($C$2,Sheet4!$A:$A,0)+3))),
INDIRECT("Sheet4!"&amp;"G"&amp;MATCH($C$2,Sheet4!$A:$A,0)+3),IF(INDIRECT("Sheet4!"&amp;"G"&amp;MATCH($C$2,Sheet4!$A:$A,0)+3)="Água","Água",
IF(INDIRECT("Sheet4!"&amp;"G"&amp;MATCH($C$2,Sheet4!$A:$A,0)+3)="-","-",
IF(_xlfn.NUMBERVALUE(MID(INDIRECT("Sheet4!"&amp;"G"&amp;MATCH($C$2,Sheet4!$A:$A,0)+3),9,2))&lt;=$C$4,
_xlfn.IFNA(VLOOKUP(INDIRECT("Sheet4!"&amp;"G"&amp;MATCH($C$2,Sheet4!$A:$A,0)+3),$C$7:$H$17,1,FALSE)&amp;CHAR(10)&amp;VLOOKUP(INDIRECT("Sheet4!"&amp;"G"&amp;MATCH($C$2,Sheet4!$A:$A,0)+3),$C$7:$H$17,5,FALSE),
VLOOKUP(INDIRECT("Sheet4!"&amp;"G"&amp;MATCH($C$2,Sheet4!$A:$A,0)+3),$I$7:$N$17,1,FALSE)&amp;CHAR(10)&amp;VLOOKUP(INDIRECT("Sheet4!"&amp;"G"&amp;MATCH($C$2,Sheet4!$A:$A,0)+3),$I$7:$N$17,5,FALSE)),"-"))))</f>
        <v>-</v>
      </c>
      <c r="G23" s="8" t="str" cm="1">
        <f t="array" aca="1" ref="G23" ca="1">IF(ISNUMBER(FIND("ctrl",INDIRECT("Sheet4!"&amp;"H"&amp;MATCH($C$2,Sheet4!$A:$A,0)+3))),
INDIRECT("Sheet4!"&amp;"H"&amp;MATCH($C$2,Sheet4!$A:$A,0)+3),IF(INDIRECT("Sheet4!"&amp;"H"&amp;MATCH($C$2,Sheet4!$A:$A,0)+3)="Água","Água",
IF(INDIRECT("Sheet4!"&amp;"H"&amp;MATCH($C$2,Sheet4!$A:$A,0)+3)="-","-",
IF(_xlfn.NUMBERVALUE(MID(INDIRECT("Sheet4!"&amp;"H"&amp;MATCH($C$2,Sheet4!$A:$A,0)+3),9,2))&lt;=$C$4,
_xlfn.IFNA(VLOOKUP(INDIRECT("Sheet4!"&amp;"H"&amp;MATCH($C$2,Sheet4!$A:$A,0)+3),$C$7:$H$17,1,FALSE)&amp;CHAR(10)&amp;VLOOKUP(INDIRECT("Sheet4!"&amp;"H"&amp;MATCH($C$2,Sheet4!$A:$A,0)+3),$C$7:$H$17,5,FALSE),
VLOOKUP(INDIRECT("Sheet4!"&amp;"H"&amp;MATCH($C$2,Sheet4!$A:$A,0)+3),$I$7:$N$17,1,FALSE)&amp;CHAR(10)&amp;VLOOKUP(INDIRECT("Sheet4!"&amp;"H"&amp;MATCH($C$2,Sheet4!$A:$A,0)+3),$I$7:$N$17,5,FALSE)),"-"))))</f>
        <v>-</v>
      </c>
      <c r="H23" s="8" t="str" cm="1">
        <f t="array" aca="1" ref="H23" ca="1">IF(ISNUMBER(FIND("ctrl",INDIRECT("Sheet4!"&amp;"I"&amp;MATCH($C$2,Sheet4!$A:$A,0)+3))),
INDIRECT("Sheet4!"&amp;"I"&amp;MATCH($C$2,Sheet4!$A:$A,0)+3),IF(INDIRECT("Sheet4!"&amp;"I"&amp;MATCH($C$2,Sheet4!$A:$A,0)+3)="Água","Água",
IF(INDIRECT("Sheet4!"&amp;"I"&amp;MATCH($C$2,Sheet4!$A:$A,0)+3)="-","-",
IF(_xlfn.NUMBERVALUE(MID(INDIRECT("Sheet4!"&amp;"I"&amp;MATCH($C$2,Sheet4!$A:$A,0)+3),9,2))&lt;=$C$4,
_xlfn.IFNA(VLOOKUP(INDIRECT("Sheet4!"&amp;"I"&amp;MATCH($C$2,Sheet4!$A:$A,0)+3),$C$7:$H$17,1,FALSE)&amp;CHAR(10)&amp;VLOOKUP(INDIRECT("Sheet4!"&amp;"I"&amp;MATCH($C$2,Sheet4!$A:$A,0)+3),$C$7:$H$17,5,FALSE),
VLOOKUP(INDIRECT("Sheet4!"&amp;"I"&amp;MATCH($C$2,Sheet4!$A:$A,0)+3),$I$7:$N$17,1,FALSE)&amp;CHAR(10)&amp;VLOOKUP(INDIRECT("Sheet4!"&amp;"I"&amp;MATCH($C$2,Sheet4!$A:$A,0)+3),$I$7:$N$17,5,FALSE)),"-"))))</f>
        <v>-</v>
      </c>
      <c r="I23" s="8" t="str" cm="1">
        <f t="array" aca="1" ref="I23" ca="1">IF(ISNUMBER(FIND("ctrl",INDIRECT("Sheet4!"&amp;"J"&amp;MATCH($C$2,Sheet4!$A:$A,0)+3))),
INDIRECT("Sheet4!"&amp;"J"&amp;MATCH($C$2,Sheet4!$A:$A,0)+3),IF(INDIRECT("Sheet4!"&amp;"J"&amp;MATCH($C$2,Sheet4!$A:$A,0)+3)="Água","Água",
IF(INDIRECT("Sheet4!"&amp;"J"&amp;MATCH($C$2,Sheet4!$A:$A,0)+3)="-","-",
IF(_xlfn.NUMBERVALUE(MID(INDIRECT("Sheet4!"&amp;"J"&amp;MATCH($C$2,Sheet4!$A:$A,0)+3),9,2))&lt;=$C$4,
_xlfn.IFNA(VLOOKUP(INDIRECT("Sheet4!"&amp;"J"&amp;MATCH($C$2,Sheet4!$A:$A,0)+3),$C$7:$H$17,1,FALSE)&amp;CHAR(10)&amp;VLOOKUP(INDIRECT("Sheet4!"&amp;"J"&amp;MATCH($C$2,Sheet4!$A:$A,0)+3),$C$7:$H$17,5,FALSE),
VLOOKUP(INDIRECT("Sheet4!"&amp;"J"&amp;MATCH($C$2,Sheet4!$A:$A,0)+3),$I$7:$N$17,1,FALSE)&amp;CHAR(10)&amp;VLOOKUP(INDIRECT("Sheet4!"&amp;"J"&amp;MATCH($C$2,Sheet4!$A:$A,0)+3),$I$7:$N$17,5,FALSE)),"-"))))</f>
        <v>-</v>
      </c>
      <c r="J23" s="8" t="str" cm="1">
        <f t="array" aca="1" ref="J23" ca="1">IF(ISNUMBER(FIND("ctrl",INDIRECT("Sheet4!"&amp;"K"&amp;MATCH($C$2,Sheet4!$A:$A,0)+3))),
INDIRECT("Sheet4!"&amp;"K"&amp;MATCH($C$2,Sheet4!$A:$A,0)+3),IF(INDIRECT("Sheet4!"&amp;"K"&amp;MATCH($C$2,Sheet4!$A:$A,0)+3)="Água","Água",
IF(INDIRECT("Sheet4!"&amp;"K"&amp;MATCH($C$2,Sheet4!$A:$A,0)+3)="-","-",
IF(_xlfn.NUMBERVALUE(MID(INDIRECT("Sheet4!"&amp;"K"&amp;MATCH($C$2,Sheet4!$A:$A,0)+3),9,2))&lt;=$C$4,
_xlfn.IFNA(VLOOKUP(INDIRECT("Sheet4!"&amp;"K"&amp;MATCH($C$2,Sheet4!$A:$A,0)+3),$C$7:$H$17,1,FALSE)&amp;CHAR(10)&amp;VLOOKUP(INDIRECT("Sheet4!"&amp;"K"&amp;MATCH($C$2,Sheet4!$A:$A,0)+3),$C$7:$H$17,5,FALSE),
VLOOKUP(INDIRECT("Sheet4!"&amp;"K"&amp;MATCH($C$2,Sheet4!$A:$A,0)+3),$I$7:$N$17,1,FALSE)&amp;CHAR(10)&amp;VLOOKUP(INDIRECT("Sheet4!"&amp;"K"&amp;MATCH($C$2,Sheet4!$A:$A,0)+3),$I$7:$N$17,5,FALSE)),"-"))))</f>
        <v>-</v>
      </c>
      <c r="K23" s="8" t="str" cm="1">
        <f t="array" aca="1" ref="K23" ca="1">IF(ISNUMBER(FIND("ctrl",INDIRECT("Sheet4!"&amp;"L"&amp;MATCH($C$2,Sheet4!$A:$A,0)+3))),
INDIRECT("Sheet4!"&amp;"L"&amp;MATCH($C$2,Sheet4!$A:$A,0)+3),IF(INDIRECT("Sheet4!"&amp;"L"&amp;MATCH($C$2,Sheet4!$A:$A,0)+3)="Água","Água",
IF(INDIRECT("Sheet4!"&amp;"L"&amp;MATCH($C$2,Sheet4!$A:$A,0)+3)="-","-",
IF(_xlfn.NUMBERVALUE(MID(INDIRECT("Sheet4!"&amp;"L"&amp;MATCH($C$2,Sheet4!$A:$A,0)+3),9,2))&lt;=$C$4,
_xlfn.IFNA(VLOOKUP(INDIRECT("Sheet4!"&amp;"L"&amp;MATCH($C$2,Sheet4!$A:$A,0)+3),$C$7:$H$17,1,FALSE)&amp;CHAR(10)&amp;VLOOKUP(INDIRECT("Sheet4!"&amp;"L"&amp;MATCH($C$2,Sheet4!$A:$A,0)+3),$C$7:$H$17,5,FALSE),
VLOOKUP(INDIRECT("Sheet4!"&amp;"L"&amp;MATCH($C$2,Sheet4!$A:$A,0)+3),$I$7:$N$17,1,FALSE)&amp;CHAR(10)&amp;VLOOKUP(INDIRECT("Sheet4!"&amp;"L"&amp;MATCH($C$2,Sheet4!$A:$A,0)+3),$I$7:$N$17,5,FALSE)),"-"))))</f>
        <v>-</v>
      </c>
      <c r="L23" s="8" t="str" cm="1">
        <f t="array" aca="1" ref="L23" ca="1">IF(ISNUMBER(FIND("ctrl",INDIRECT("Sheet4!"&amp;"M"&amp;MATCH($C$2,Sheet4!$A:$A,0)+3))),
INDIRECT("Sheet4!"&amp;"M"&amp;MATCH($C$2,Sheet4!$A:$A,0)+3),IF(INDIRECT("Sheet4!"&amp;"M"&amp;MATCH($C$2,Sheet4!$A:$A,0)+3)="Água","Água",
IF(INDIRECT("Sheet4!"&amp;"M"&amp;MATCH($C$2,Sheet4!$A:$A,0)+3)="-","-",
IF(_xlfn.NUMBERVALUE(MID(INDIRECT("Sheet4!"&amp;"M"&amp;MATCH($C$2,Sheet4!$A:$A,0)+3),9,2))&lt;=$C$4,
_xlfn.IFNA(VLOOKUP(INDIRECT("Sheet4!"&amp;"M"&amp;MATCH($C$2,Sheet4!$A:$A,0)+3),$C$7:$H$17,1,FALSE)&amp;CHAR(10)&amp;VLOOKUP(INDIRECT("Sheet4!"&amp;"M"&amp;MATCH($C$2,Sheet4!$A:$A,0)+3),$C$7:$H$17,5,FALSE),
VLOOKUP(INDIRECT("Sheet4!"&amp;"M"&amp;MATCH($C$2,Sheet4!$A:$A,0)+3),$I$7:$N$17,1,FALSE)&amp;CHAR(10)&amp;VLOOKUP(INDIRECT("Sheet4!"&amp;"M"&amp;MATCH($C$2,Sheet4!$A:$A,0)+3),$I$7:$N$17,5,FALSE)),"-"))))</f>
        <v>-</v>
      </c>
      <c r="M23" s="8" t="str" cm="1">
        <f t="array" aca="1" ref="M23" ca="1">IF(ISNUMBER(FIND("ctrl",INDIRECT("Sheet4!"&amp;"N"&amp;MATCH($C$2,Sheet4!$A:$A,0)+3))),
INDIRECT("Sheet4!"&amp;"N"&amp;MATCH($C$2,Sheet4!$A:$A,0)+3),IF(INDIRECT("Sheet4!"&amp;"N"&amp;MATCH($C$2,Sheet4!$A:$A,0)+3)="Água","Água",
IF(INDIRECT("Sheet4!"&amp;"N"&amp;MATCH($C$2,Sheet4!$A:$A,0)+3)="-","-",
IF(_xlfn.NUMBERVALUE(MID(INDIRECT("Sheet4!"&amp;"N"&amp;MATCH($C$2,Sheet4!$A:$A,0)+3),9,2))&lt;=$C$4,
_xlfn.IFNA(VLOOKUP(INDIRECT("Sheet4!"&amp;"N"&amp;MATCH($C$2,Sheet4!$A:$A,0)+3),$C$7:$H$17,1,FALSE)&amp;CHAR(10)&amp;VLOOKUP(INDIRECT("Sheet4!"&amp;"N"&amp;MATCH($C$2,Sheet4!$A:$A,0)+3),$C$7:$H$17,5,FALSE),
VLOOKUP(INDIRECT("Sheet4!"&amp;"N"&amp;MATCH($C$2,Sheet4!$A:$A,0)+3),$I$7:$N$17,1,FALSE)&amp;CHAR(10)&amp;VLOOKUP(INDIRECT("Sheet4!"&amp;"N"&amp;MATCH($C$2,Sheet4!$A:$A,0)+3),$I$7:$N$17,5,FALSE)),"-"))))</f>
        <v>PIK3CA pos ctrl</v>
      </c>
      <c r="N23" s="8" t="str" cm="1">
        <f t="array" aca="1" ref="N23" ca="1">IF(ISNUMBER(FIND("ctrl",INDIRECT("Sheet4!"&amp;"O"&amp;MATCH($C$2,Sheet4!$A:$A,0)+3))),
INDIRECT("Sheet4!"&amp;"O"&amp;MATCH($C$2,Sheet4!$A:$A,0)+3),IF(INDIRECT("Sheet4!"&amp;"O"&amp;MATCH($C$2,Sheet4!$A:$A,0)+3)="Água","Água",
IF(INDIRECT("Sheet4!"&amp;"O"&amp;MATCH($C$2,Sheet4!$A:$A,0)+3)="-","-",
IF(_xlfn.NUMBERVALUE(MID(INDIRECT("Sheet4!"&amp;"O"&amp;MATCH($C$2,Sheet4!$A:$A,0)+3),9,2))&lt;=$C$4,
_xlfn.IFNA(VLOOKUP(INDIRECT("Sheet4!"&amp;"O"&amp;MATCH($C$2,Sheet4!$A:$A,0)+3),$C$7:$H$17,1,FALSE)&amp;CHAR(10)&amp;VLOOKUP(INDIRECT("Sheet4!"&amp;"O"&amp;MATCH($C$2,Sheet4!$A:$A,0)+3),$C$7:$H$17,5,FALSE),
VLOOKUP(INDIRECT("Sheet4!"&amp;"O"&amp;MATCH($C$2,Sheet4!$A:$A,0)+3),$I$7:$N$17,1,FALSE)&amp;CHAR(10)&amp;VLOOKUP(INDIRECT("Sheet4!"&amp;"O"&amp;MATCH($C$2,Sheet4!$A:$A,0)+3),$I$7:$N$17,5,FALSE)),"-"))))</f>
        <v>Água</v>
      </c>
    </row>
    <row r="24" spans="2:14" ht="26.25" x14ac:dyDescent="0.25">
      <c r="B24" s="12" t="s">
        <v>30</v>
      </c>
      <c r="C24" s="8" t="str" cm="1">
        <f t="array" aca="1" ref="C24" ca="1">IF(ISNUMBER(FIND("ctrl",INDIRECT("Sheet4!"&amp;"D"&amp;MATCH($C$2,Sheet4!$A:$A,0)+4))),
INDIRECT("Sheet4!"&amp;"D"&amp;MATCH($C$2,Sheet4!$A:$A,0)+4),IF(INDIRECT("Sheet4!"&amp;"D"&amp;MATCH($C$2,Sheet4!$A:$A,0)+4)="Água","Água",
IF(INDIRECT("Sheet4!"&amp;"D"&amp;MATCH($C$2,Sheet4!$A:$A,0)+4)="-","-",
IF(_xlfn.NUMBERVALUE(MID(INDIRECT("Sheet4!"&amp;"D"&amp;MATCH($C$2,Sheet4!$A:$A,0)+4),9,2))&lt;=$C$4,
_xlfn.IFNA(VLOOKUP(INDIRECT("Sheet4!"&amp;"D"&amp;MATCH($C$2,Sheet4!$A:$A,0)+4),$C$7:$H$17,1,FALSE)&amp;CHAR(10)&amp;VLOOKUP(INDIRECT("Sheet4!"&amp;"D"&amp;MATCH($C$2,Sheet4!$A:$A,0)+4),$C$7:$H$17,5,FALSE),
VLOOKUP(INDIRECT("Sheet4!"&amp;"D"&amp;MATCH($C$2,Sheet4!$A:$A,0)+4),$I$7:$N$17,1,FALSE)&amp;CHAR(10)&amp;VLOOKUP(INDIRECT("Sheet4!"&amp;"D"&amp;MATCH($C$2,Sheet4!$A:$A,0)+4),$I$7:$N$17,5,FALSE)),"-"))))</f>
        <v xml:space="preserve">Amostra 1
</v>
      </c>
      <c r="D24" s="8" t="str" cm="1">
        <f t="array" aca="1" ref="D24" ca="1">IF(ISNUMBER(FIND("ctrl",INDIRECT("Sheet4!"&amp;"E"&amp;MATCH($C$2,Sheet4!$A:$A,0)+4))),
INDIRECT("Sheet4!"&amp;"E"&amp;MATCH($C$2,Sheet4!$A:$A,0)+4),IF(INDIRECT("Sheet4!"&amp;"E"&amp;MATCH($C$2,Sheet4!$A:$A,0)+4)="Água","Água",
IF(INDIRECT("Sheet4!"&amp;"E"&amp;MATCH($C$2,Sheet4!$A:$A,0)+4)="-","-",
IF(_xlfn.NUMBERVALUE(MID(INDIRECT("Sheet4!"&amp;"E"&amp;MATCH($C$2,Sheet4!$A:$A,0)+4),9,2))&lt;=$C$4,
_xlfn.IFNA(VLOOKUP(INDIRECT("Sheet4!"&amp;"E"&amp;MATCH($C$2,Sheet4!$A:$A,0)+4),$C$7:$H$17,1,FALSE)&amp;CHAR(10)&amp;VLOOKUP(INDIRECT("Sheet4!"&amp;"E"&amp;MATCH($C$2,Sheet4!$A:$A,0)+4),$C$7:$H$17,5,FALSE),
VLOOKUP(INDIRECT("Sheet4!"&amp;"E"&amp;MATCH($C$2,Sheet4!$A:$A,0)+4),$I$7:$N$17,1,FALSE)&amp;CHAR(10)&amp;VLOOKUP(INDIRECT("Sheet4!"&amp;"E"&amp;MATCH($C$2,Sheet4!$A:$A,0)+4),$I$7:$N$17,5,FALSE)),"-"))))</f>
        <v>-</v>
      </c>
      <c r="E24" s="8" t="str" cm="1">
        <f t="array" aca="1" ref="E24" ca="1">IF(ISNUMBER(FIND("ctrl",INDIRECT("Sheet4!"&amp;"F"&amp;MATCH($C$2,Sheet4!$A:$A,0)+4))),
INDIRECT("Sheet4!"&amp;"F"&amp;MATCH($C$2,Sheet4!$A:$A,0)+4),IF(INDIRECT("Sheet4!"&amp;"F"&amp;MATCH($C$2,Sheet4!$A:$A,0)+4)="Água","Água",
IF(INDIRECT("Sheet4!"&amp;"F"&amp;MATCH($C$2,Sheet4!$A:$A,0)+4)="-","-",
IF(_xlfn.NUMBERVALUE(MID(INDIRECT("Sheet4!"&amp;"F"&amp;MATCH($C$2,Sheet4!$A:$A,0)+4),9,2))&lt;=$C$4,
_xlfn.IFNA(VLOOKUP(INDIRECT("Sheet4!"&amp;"F"&amp;MATCH($C$2,Sheet4!$A:$A,0)+4),$C$7:$H$17,1,FALSE)&amp;CHAR(10)&amp;VLOOKUP(INDIRECT("Sheet4!"&amp;"F"&amp;MATCH($C$2,Sheet4!$A:$A,0)+4),$C$7:$H$17,5,FALSE),
VLOOKUP(INDIRECT("Sheet4!"&amp;"F"&amp;MATCH($C$2,Sheet4!$A:$A,0)+4),$I$7:$N$17,1,FALSE)&amp;CHAR(10)&amp;VLOOKUP(INDIRECT("Sheet4!"&amp;"F"&amp;MATCH($C$2,Sheet4!$A:$A,0)+4),$I$7:$N$17,5,FALSE)),"-"))))</f>
        <v>-</v>
      </c>
      <c r="F24" s="8" t="str" cm="1">
        <f t="array" aca="1" ref="F24" ca="1">IF(ISNUMBER(FIND("ctrl",INDIRECT("Sheet4!"&amp;"G"&amp;MATCH($C$2,Sheet4!$A:$A,0)+4))),
INDIRECT("Sheet4!"&amp;"G"&amp;MATCH($C$2,Sheet4!$A:$A,0)+4),IF(INDIRECT("Sheet4!"&amp;"G"&amp;MATCH($C$2,Sheet4!$A:$A,0)+4)="Água","Água",
IF(INDIRECT("Sheet4!"&amp;"G"&amp;MATCH($C$2,Sheet4!$A:$A,0)+4)="-","-",
IF(_xlfn.NUMBERVALUE(MID(INDIRECT("Sheet4!"&amp;"G"&amp;MATCH($C$2,Sheet4!$A:$A,0)+4),9,2))&lt;=$C$4,
_xlfn.IFNA(VLOOKUP(INDIRECT("Sheet4!"&amp;"G"&amp;MATCH($C$2,Sheet4!$A:$A,0)+4),$C$7:$H$17,1,FALSE)&amp;CHAR(10)&amp;VLOOKUP(INDIRECT("Sheet4!"&amp;"G"&amp;MATCH($C$2,Sheet4!$A:$A,0)+4),$C$7:$H$17,5,FALSE),
VLOOKUP(INDIRECT("Sheet4!"&amp;"G"&amp;MATCH($C$2,Sheet4!$A:$A,0)+4),$I$7:$N$17,1,FALSE)&amp;CHAR(10)&amp;VLOOKUP(INDIRECT("Sheet4!"&amp;"G"&amp;MATCH($C$2,Sheet4!$A:$A,0)+4),$I$7:$N$17,5,FALSE)),"-"))))</f>
        <v>-</v>
      </c>
      <c r="G24" s="8" t="str" cm="1">
        <f t="array" aca="1" ref="G24" ca="1">IF(ISNUMBER(FIND("ctrl",INDIRECT("Sheet4!"&amp;"H"&amp;MATCH($C$2,Sheet4!$A:$A,0)+4))),
INDIRECT("Sheet4!"&amp;"H"&amp;MATCH($C$2,Sheet4!$A:$A,0)+4),IF(INDIRECT("Sheet4!"&amp;"H"&amp;MATCH($C$2,Sheet4!$A:$A,0)+4)="Água","Água",
IF(INDIRECT("Sheet4!"&amp;"H"&amp;MATCH($C$2,Sheet4!$A:$A,0)+4)="-","-",
IF(_xlfn.NUMBERVALUE(MID(INDIRECT("Sheet4!"&amp;"H"&amp;MATCH($C$2,Sheet4!$A:$A,0)+4),9,2))&lt;=$C$4,
_xlfn.IFNA(VLOOKUP(INDIRECT("Sheet4!"&amp;"H"&amp;MATCH($C$2,Sheet4!$A:$A,0)+4),$C$7:$H$17,1,FALSE)&amp;CHAR(10)&amp;VLOOKUP(INDIRECT("Sheet4!"&amp;"H"&amp;MATCH($C$2,Sheet4!$A:$A,0)+4),$C$7:$H$17,5,FALSE),
VLOOKUP(INDIRECT("Sheet4!"&amp;"H"&amp;MATCH($C$2,Sheet4!$A:$A,0)+4),$I$7:$N$17,1,FALSE)&amp;CHAR(10)&amp;VLOOKUP(INDIRECT("Sheet4!"&amp;"H"&amp;MATCH($C$2,Sheet4!$A:$A,0)+4),$I$7:$N$17,5,FALSE)),"-"))))</f>
        <v>-</v>
      </c>
      <c r="H24" s="8" t="str" cm="1">
        <f t="array" aca="1" ref="H24" ca="1">IF(ISNUMBER(FIND("ctrl",INDIRECT("Sheet4!"&amp;"I"&amp;MATCH($C$2,Sheet4!$A:$A,0)+4))),
INDIRECT("Sheet4!"&amp;"I"&amp;MATCH($C$2,Sheet4!$A:$A,0)+4),IF(INDIRECT("Sheet4!"&amp;"I"&amp;MATCH($C$2,Sheet4!$A:$A,0)+4)="Água","Água",
IF(INDIRECT("Sheet4!"&amp;"I"&amp;MATCH($C$2,Sheet4!$A:$A,0)+4)="-","-",
IF(_xlfn.NUMBERVALUE(MID(INDIRECT("Sheet4!"&amp;"I"&amp;MATCH($C$2,Sheet4!$A:$A,0)+4),9,2))&lt;=$C$4,
_xlfn.IFNA(VLOOKUP(INDIRECT("Sheet4!"&amp;"I"&amp;MATCH($C$2,Sheet4!$A:$A,0)+4),$C$7:$H$17,1,FALSE)&amp;CHAR(10)&amp;VLOOKUP(INDIRECT("Sheet4!"&amp;"I"&amp;MATCH($C$2,Sheet4!$A:$A,0)+4),$C$7:$H$17,5,FALSE),
VLOOKUP(INDIRECT("Sheet4!"&amp;"I"&amp;MATCH($C$2,Sheet4!$A:$A,0)+4),$I$7:$N$17,1,FALSE)&amp;CHAR(10)&amp;VLOOKUP(INDIRECT("Sheet4!"&amp;"I"&amp;MATCH($C$2,Sheet4!$A:$A,0)+4),$I$7:$N$17,5,FALSE)),"-"))))</f>
        <v>-</v>
      </c>
      <c r="I24" s="8" t="str" cm="1">
        <f t="array" aca="1" ref="I24" ca="1">IF(ISNUMBER(FIND("ctrl",INDIRECT("Sheet4!"&amp;"J"&amp;MATCH($C$2,Sheet4!$A:$A,0)+4))),
INDIRECT("Sheet4!"&amp;"J"&amp;MATCH($C$2,Sheet4!$A:$A,0)+4),IF(INDIRECT("Sheet4!"&amp;"J"&amp;MATCH($C$2,Sheet4!$A:$A,0)+4)="Água","Água",
IF(INDIRECT("Sheet4!"&amp;"J"&amp;MATCH($C$2,Sheet4!$A:$A,0)+4)="-","-",
IF(_xlfn.NUMBERVALUE(MID(INDIRECT("Sheet4!"&amp;"J"&amp;MATCH($C$2,Sheet4!$A:$A,0)+4),9,2))&lt;=$C$4,
_xlfn.IFNA(VLOOKUP(INDIRECT("Sheet4!"&amp;"J"&amp;MATCH($C$2,Sheet4!$A:$A,0)+4),$C$7:$H$17,1,FALSE)&amp;CHAR(10)&amp;VLOOKUP(INDIRECT("Sheet4!"&amp;"J"&amp;MATCH($C$2,Sheet4!$A:$A,0)+4),$C$7:$H$17,5,FALSE),
VLOOKUP(INDIRECT("Sheet4!"&amp;"J"&amp;MATCH($C$2,Sheet4!$A:$A,0)+4),$I$7:$N$17,1,FALSE)&amp;CHAR(10)&amp;VLOOKUP(INDIRECT("Sheet4!"&amp;"J"&amp;MATCH($C$2,Sheet4!$A:$A,0)+4),$I$7:$N$17,5,FALSE)),"-"))))</f>
        <v>-</v>
      </c>
      <c r="J24" s="8" t="str" cm="1">
        <f t="array" aca="1" ref="J24" ca="1">IF(ISNUMBER(FIND("ctrl",INDIRECT("Sheet4!"&amp;"K"&amp;MATCH($C$2,Sheet4!$A:$A,0)+4))),
INDIRECT("Sheet4!"&amp;"K"&amp;MATCH($C$2,Sheet4!$A:$A,0)+4),IF(INDIRECT("Sheet4!"&amp;"K"&amp;MATCH($C$2,Sheet4!$A:$A,0)+4)="Água","Água",
IF(INDIRECT("Sheet4!"&amp;"K"&amp;MATCH($C$2,Sheet4!$A:$A,0)+4)="-","-",
IF(_xlfn.NUMBERVALUE(MID(INDIRECT("Sheet4!"&amp;"K"&amp;MATCH($C$2,Sheet4!$A:$A,0)+4),9,2))&lt;=$C$4,
_xlfn.IFNA(VLOOKUP(INDIRECT("Sheet4!"&amp;"K"&amp;MATCH($C$2,Sheet4!$A:$A,0)+4),$C$7:$H$17,1,FALSE)&amp;CHAR(10)&amp;VLOOKUP(INDIRECT("Sheet4!"&amp;"K"&amp;MATCH($C$2,Sheet4!$A:$A,0)+4),$C$7:$H$17,5,FALSE),
VLOOKUP(INDIRECT("Sheet4!"&amp;"K"&amp;MATCH($C$2,Sheet4!$A:$A,0)+4),$I$7:$N$17,1,FALSE)&amp;CHAR(10)&amp;VLOOKUP(INDIRECT("Sheet4!"&amp;"K"&amp;MATCH($C$2,Sheet4!$A:$A,0)+4),$I$7:$N$17,5,FALSE)),"-"))))</f>
        <v>-</v>
      </c>
      <c r="K24" s="8" t="str" cm="1">
        <f t="array" aca="1" ref="K24" ca="1">IF(ISNUMBER(FIND("ctrl",INDIRECT("Sheet4!"&amp;"L"&amp;MATCH($C$2,Sheet4!$A:$A,0)+4))),
INDIRECT("Sheet4!"&amp;"L"&amp;MATCH($C$2,Sheet4!$A:$A,0)+4),IF(INDIRECT("Sheet4!"&amp;"L"&amp;MATCH($C$2,Sheet4!$A:$A,0)+4)="Água","Água",
IF(INDIRECT("Sheet4!"&amp;"L"&amp;MATCH($C$2,Sheet4!$A:$A,0)+4)="-","-",
IF(_xlfn.NUMBERVALUE(MID(INDIRECT("Sheet4!"&amp;"L"&amp;MATCH($C$2,Sheet4!$A:$A,0)+4),9,2))&lt;=$C$4,
_xlfn.IFNA(VLOOKUP(INDIRECT("Sheet4!"&amp;"L"&amp;MATCH($C$2,Sheet4!$A:$A,0)+4),$C$7:$H$17,1,FALSE)&amp;CHAR(10)&amp;VLOOKUP(INDIRECT("Sheet4!"&amp;"L"&amp;MATCH($C$2,Sheet4!$A:$A,0)+4),$C$7:$H$17,5,FALSE),
VLOOKUP(INDIRECT("Sheet4!"&amp;"L"&amp;MATCH($C$2,Sheet4!$A:$A,0)+4),$I$7:$N$17,1,FALSE)&amp;CHAR(10)&amp;VLOOKUP(INDIRECT("Sheet4!"&amp;"L"&amp;MATCH($C$2,Sheet4!$A:$A,0)+4),$I$7:$N$17,5,FALSE)),"-"))))</f>
        <v>-</v>
      </c>
      <c r="L24" s="8" t="str" cm="1">
        <f t="array" aca="1" ref="L24" ca="1">IF(ISNUMBER(FIND("ctrl",INDIRECT("Sheet4!"&amp;"M"&amp;MATCH($C$2,Sheet4!$A:$A,0)+4))),
INDIRECT("Sheet4!"&amp;"M"&amp;MATCH($C$2,Sheet4!$A:$A,0)+4),IF(INDIRECT("Sheet4!"&amp;"M"&amp;MATCH($C$2,Sheet4!$A:$A,0)+4)="Água","Água",
IF(INDIRECT("Sheet4!"&amp;"M"&amp;MATCH($C$2,Sheet4!$A:$A,0)+4)="-","-",
IF(_xlfn.NUMBERVALUE(MID(INDIRECT("Sheet4!"&amp;"M"&amp;MATCH($C$2,Sheet4!$A:$A,0)+4),9,2))&lt;=$C$4,
_xlfn.IFNA(VLOOKUP(INDIRECT("Sheet4!"&amp;"M"&amp;MATCH($C$2,Sheet4!$A:$A,0)+4),$C$7:$H$17,1,FALSE)&amp;CHAR(10)&amp;VLOOKUP(INDIRECT("Sheet4!"&amp;"M"&amp;MATCH($C$2,Sheet4!$A:$A,0)+4),$C$7:$H$17,5,FALSE),
VLOOKUP(INDIRECT("Sheet4!"&amp;"M"&amp;MATCH($C$2,Sheet4!$A:$A,0)+4),$I$7:$N$17,1,FALSE)&amp;CHAR(10)&amp;VLOOKUP(INDIRECT("Sheet4!"&amp;"M"&amp;MATCH($C$2,Sheet4!$A:$A,0)+4),$I$7:$N$17,5,FALSE)),"-"))))</f>
        <v>-</v>
      </c>
      <c r="M24" s="8" t="str" cm="1">
        <f t="array" aca="1" ref="M24" ca="1">IF(ISNUMBER(FIND("ctrl",INDIRECT("Sheet4!"&amp;"N"&amp;MATCH($C$2,Sheet4!$A:$A,0)+4))),
INDIRECT("Sheet4!"&amp;"N"&amp;MATCH($C$2,Sheet4!$A:$A,0)+4),IF(INDIRECT("Sheet4!"&amp;"N"&amp;MATCH($C$2,Sheet4!$A:$A,0)+4)="Água","Água",
IF(INDIRECT("Sheet4!"&amp;"N"&amp;MATCH($C$2,Sheet4!$A:$A,0)+4)="-","-",
IF(_xlfn.NUMBERVALUE(MID(INDIRECT("Sheet4!"&amp;"N"&amp;MATCH($C$2,Sheet4!$A:$A,0)+4),9,2))&lt;=$C$4,
_xlfn.IFNA(VLOOKUP(INDIRECT("Sheet4!"&amp;"N"&amp;MATCH($C$2,Sheet4!$A:$A,0)+4),$C$7:$H$17,1,FALSE)&amp;CHAR(10)&amp;VLOOKUP(INDIRECT("Sheet4!"&amp;"N"&amp;MATCH($C$2,Sheet4!$A:$A,0)+4),$C$7:$H$17,5,FALSE),
VLOOKUP(INDIRECT("Sheet4!"&amp;"N"&amp;MATCH($C$2,Sheet4!$A:$A,0)+4),$I$7:$N$17,1,FALSE)&amp;CHAR(10)&amp;VLOOKUP(INDIRECT("Sheet4!"&amp;"N"&amp;MATCH($C$2,Sheet4!$A:$A,0)+4),$I$7:$N$17,5,FALSE)),"-"))))</f>
        <v>PIK3CA pos ctrl</v>
      </c>
      <c r="N24" s="8" t="str" cm="1">
        <f t="array" aca="1" ref="N24" ca="1">IF(ISNUMBER(FIND("ctrl",INDIRECT("Sheet4!"&amp;"O"&amp;MATCH($C$2,Sheet4!$A:$A,0)+4))),
INDIRECT("Sheet4!"&amp;"O"&amp;MATCH($C$2,Sheet4!$A:$A,0)+4),IF(INDIRECT("Sheet4!"&amp;"O"&amp;MATCH($C$2,Sheet4!$A:$A,0)+4)="Água","Água",
IF(INDIRECT("Sheet4!"&amp;"O"&amp;MATCH($C$2,Sheet4!$A:$A,0)+4)="-","-",
IF(_xlfn.NUMBERVALUE(MID(INDIRECT("Sheet4!"&amp;"O"&amp;MATCH($C$2,Sheet4!$A:$A,0)+4),9,2))&lt;=$C$4,
_xlfn.IFNA(VLOOKUP(INDIRECT("Sheet4!"&amp;"O"&amp;MATCH($C$2,Sheet4!$A:$A,0)+4),$C$7:$H$17,1,FALSE)&amp;CHAR(10)&amp;VLOOKUP(INDIRECT("Sheet4!"&amp;"O"&amp;MATCH($C$2,Sheet4!$A:$A,0)+4),$C$7:$H$17,5,FALSE),
VLOOKUP(INDIRECT("Sheet4!"&amp;"O"&amp;MATCH($C$2,Sheet4!$A:$A,0)+4),$I$7:$N$17,1,FALSE)&amp;CHAR(10)&amp;VLOOKUP(INDIRECT("Sheet4!"&amp;"O"&amp;MATCH($C$2,Sheet4!$A:$A,0)+4),$I$7:$N$17,5,FALSE)),"-"))))</f>
        <v>Água</v>
      </c>
    </row>
    <row r="25" spans="2:14" ht="15" customHeight="1" x14ac:dyDescent="0.25">
      <c r="B25" s="12" t="s">
        <v>31</v>
      </c>
      <c r="C25" s="8" t="str" cm="1">
        <f t="array" aca="1" ref="C25" ca="1">IF(ISNUMBER(FIND("ctrl",INDIRECT("Sheet4!"&amp;"D"&amp;MATCH($C$2,Sheet4!$A:$A,0)+5))),
INDIRECT("Sheet4!"&amp;"D"&amp;MATCH($C$2,Sheet4!$A:$A,0)+5),IF(INDIRECT("Sheet4!"&amp;"D"&amp;MATCH($C$2,Sheet4!$A:$A,0)+5)="Água","Água",
IF(INDIRECT("Sheet4!"&amp;"D"&amp;MATCH($C$2,Sheet4!$A:$A,0)+5)="-","-",
IF(_xlfn.NUMBERVALUE(MID(INDIRECT("Sheet4!"&amp;"D"&amp;MATCH($C$2,Sheet4!$A:$A,0)+5),9,2))&lt;=$C$4,
_xlfn.IFNA(VLOOKUP(INDIRECT("Sheet4!"&amp;"D"&amp;MATCH($C$2,Sheet4!$A:$A,0)+5),$C$7:$H$17,1,FALSE)&amp;CHAR(10)&amp;VLOOKUP(INDIRECT("Sheet4!"&amp;"D"&amp;MATCH($C$2,Sheet4!$A:$A,0)+5),$C$7:$H$17,5,FALSE),
VLOOKUP(INDIRECT("Sheet4!"&amp;"D"&amp;MATCH($C$2,Sheet4!$A:$A,0)+5),$I$7:$N$17,1,FALSE)&amp;CHAR(10)&amp;VLOOKUP(INDIRECT("Sheet4!"&amp;"D"&amp;MATCH($C$2,Sheet4!$A:$A,0)+5),$I$7:$N$17,5,FALSE)),"-"))))</f>
        <v xml:space="preserve">Amostra 1
</v>
      </c>
      <c r="D25" s="8" t="str" cm="1">
        <f t="array" aca="1" ref="D25" ca="1">IF(ISNUMBER(FIND("ctrl",INDIRECT("Sheet4!"&amp;"E"&amp;MATCH($C$2,Sheet4!$A:$A,0)+5))),
INDIRECT("Sheet4!"&amp;"E"&amp;MATCH($C$2,Sheet4!$A:$A,0)+5),IF(INDIRECT("Sheet4!"&amp;"E"&amp;MATCH($C$2,Sheet4!$A:$A,0)+5)="Água","Água",
IF(INDIRECT("Sheet4!"&amp;"E"&amp;MATCH($C$2,Sheet4!$A:$A,0)+5)="-","-",
IF(_xlfn.NUMBERVALUE(MID(INDIRECT("Sheet4!"&amp;"E"&amp;MATCH($C$2,Sheet4!$A:$A,0)+5),9,2))&lt;=$C$4,
_xlfn.IFNA(VLOOKUP(INDIRECT("Sheet4!"&amp;"E"&amp;MATCH($C$2,Sheet4!$A:$A,0)+5),$C$7:$H$17,1,FALSE)&amp;CHAR(10)&amp;VLOOKUP(INDIRECT("Sheet4!"&amp;"E"&amp;MATCH($C$2,Sheet4!$A:$A,0)+5),$C$7:$H$17,5,FALSE),
VLOOKUP(INDIRECT("Sheet4!"&amp;"E"&amp;MATCH($C$2,Sheet4!$A:$A,0)+5),$I$7:$N$17,1,FALSE)&amp;CHAR(10)&amp;VLOOKUP(INDIRECT("Sheet4!"&amp;"E"&amp;MATCH($C$2,Sheet4!$A:$A,0)+5),$I$7:$N$17,5,FALSE)),"-"))))</f>
        <v>-</v>
      </c>
      <c r="E25" s="8" t="str" cm="1">
        <f t="array" aca="1" ref="E25" ca="1">IF(ISNUMBER(FIND("ctrl",INDIRECT("Sheet4!"&amp;"F"&amp;MATCH($C$2,Sheet4!$A:$A,0)+5))),
INDIRECT("Sheet4!"&amp;"F"&amp;MATCH($C$2,Sheet4!$A:$A,0)+5),IF(INDIRECT("Sheet4!"&amp;"F"&amp;MATCH($C$2,Sheet4!$A:$A,0)+5)="Água","Água",
IF(INDIRECT("Sheet4!"&amp;"F"&amp;MATCH($C$2,Sheet4!$A:$A,0)+5)="-","-",
IF(_xlfn.NUMBERVALUE(MID(INDIRECT("Sheet4!"&amp;"F"&amp;MATCH($C$2,Sheet4!$A:$A,0)+5),9,2))&lt;=$C$4,
_xlfn.IFNA(VLOOKUP(INDIRECT("Sheet4!"&amp;"F"&amp;MATCH($C$2,Sheet4!$A:$A,0)+5),$C$7:$H$17,1,FALSE)&amp;CHAR(10)&amp;VLOOKUP(INDIRECT("Sheet4!"&amp;"F"&amp;MATCH($C$2,Sheet4!$A:$A,0)+5),$C$7:$H$17,5,FALSE),
VLOOKUP(INDIRECT("Sheet4!"&amp;"F"&amp;MATCH($C$2,Sheet4!$A:$A,0)+5),$I$7:$N$17,1,FALSE)&amp;CHAR(10)&amp;VLOOKUP(INDIRECT("Sheet4!"&amp;"F"&amp;MATCH($C$2,Sheet4!$A:$A,0)+5),$I$7:$N$17,5,FALSE)),"-"))))</f>
        <v>-</v>
      </c>
      <c r="F25" s="8" t="str" cm="1">
        <f t="array" aca="1" ref="F25" ca="1">IF(ISNUMBER(FIND("ctrl",INDIRECT("Sheet4!"&amp;"G"&amp;MATCH($C$2,Sheet4!$A:$A,0)+5))),
INDIRECT("Sheet4!"&amp;"G"&amp;MATCH($C$2,Sheet4!$A:$A,0)+5),IF(INDIRECT("Sheet4!"&amp;"G"&amp;MATCH($C$2,Sheet4!$A:$A,0)+5)="Água","Água",
IF(INDIRECT("Sheet4!"&amp;"G"&amp;MATCH($C$2,Sheet4!$A:$A,0)+5)="-","-",
IF(_xlfn.NUMBERVALUE(MID(INDIRECT("Sheet4!"&amp;"G"&amp;MATCH($C$2,Sheet4!$A:$A,0)+5),9,2))&lt;=$C$4,
_xlfn.IFNA(VLOOKUP(INDIRECT("Sheet4!"&amp;"G"&amp;MATCH($C$2,Sheet4!$A:$A,0)+5),$C$7:$H$17,1,FALSE)&amp;CHAR(10)&amp;VLOOKUP(INDIRECT("Sheet4!"&amp;"G"&amp;MATCH($C$2,Sheet4!$A:$A,0)+5),$C$7:$H$17,5,FALSE),
VLOOKUP(INDIRECT("Sheet4!"&amp;"G"&amp;MATCH($C$2,Sheet4!$A:$A,0)+5),$I$7:$N$17,1,FALSE)&amp;CHAR(10)&amp;VLOOKUP(INDIRECT("Sheet4!"&amp;"G"&amp;MATCH($C$2,Sheet4!$A:$A,0)+5),$I$7:$N$17,5,FALSE)),"-"))))</f>
        <v>-</v>
      </c>
      <c r="G25" s="8" t="str" cm="1">
        <f t="array" aca="1" ref="G25" ca="1">IF(ISNUMBER(FIND("ctrl",INDIRECT("Sheet4!"&amp;"H"&amp;MATCH($C$2,Sheet4!$A:$A,0)+5))),
INDIRECT("Sheet4!"&amp;"H"&amp;MATCH($C$2,Sheet4!$A:$A,0)+5),IF(INDIRECT("Sheet4!"&amp;"H"&amp;MATCH($C$2,Sheet4!$A:$A,0)+5)="Água","Água",
IF(INDIRECT("Sheet4!"&amp;"H"&amp;MATCH($C$2,Sheet4!$A:$A,0)+5)="-","-",
IF(_xlfn.NUMBERVALUE(MID(INDIRECT("Sheet4!"&amp;"H"&amp;MATCH($C$2,Sheet4!$A:$A,0)+5),9,2))&lt;=$C$4,
_xlfn.IFNA(VLOOKUP(INDIRECT("Sheet4!"&amp;"H"&amp;MATCH($C$2,Sheet4!$A:$A,0)+5),$C$7:$H$17,1,FALSE)&amp;CHAR(10)&amp;VLOOKUP(INDIRECT("Sheet4!"&amp;"H"&amp;MATCH($C$2,Sheet4!$A:$A,0)+5),$C$7:$H$17,5,FALSE),
VLOOKUP(INDIRECT("Sheet4!"&amp;"H"&amp;MATCH($C$2,Sheet4!$A:$A,0)+5),$I$7:$N$17,1,FALSE)&amp;CHAR(10)&amp;VLOOKUP(INDIRECT("Sheet4!"&amp;"H"&amp;MATCH($C$2,Sheet4!$A:$A,0)+5),$I$7:$N$17,5,FALSE)),"-"))))</f>
        <v>-</v>
      </c>
      <c r="H25" s="8" t="str" cm="1">
        <f t="array" aca="1" ref="H25" ca="1">IF(ISNUMBER(FIND("ctrl",INDIRECT("Sheet4!"&amp;"I"&amp;MATCH($C$2,Sheet4!$A:$A,0)+5))),
INDIRECT("Sheet4!"&amp;"I"&amp;MATCH($C$2,Sheet4!$A:$A,0)+5),IF(INDIRECT("Sheet4!"&amp;"I"&amp;MATCH($C$2,Sheet4!$A:$A,0)+5)="Água","Água",
IF(INDIRECT("Sheet4!"&amp;"I"&amp;MATCH($C$2,Sheet4!$A:$A,0)+5)="-","-",
IF(_xlfn.NUMBERVALUE(MID(INDIRECT("Sheet4!"&amp;"I"&amp;MATCH($C$2,Sheet4!$A:$A,0)+5),9,2))&lt;=$C$4,
_xlfn.IFNA(VLOOKUP(INDIRECT("Sheet4!"&amp;"I"&amp;MATCH($C$2,Sheet4!$A:$A,0)+5),$C$7:$H$17,1,FALSE)&amp;CHAR(10)&amp;VLOOKUP(INDIRECT("Sheet4!"&amp;"I"&amp;MATCH($C$2,Sheet4!$A:$A,0)+5),$C$7:$H$17,5,FALSE),
VLOOKUP(INDIRECT("Sheet4!"&amp;"I"&amp;MATCH($C$2,Sheet4!$A:$A,0)+5),$I$7:$N$17,1,FALSE)&amp;CHAR(10)&amp;VLOOKUP(INDIRECT("Sheet4!"&amp;"I"&amp;MATCH($C$2,Sheet4!$A:$A,0)+5),$I$7:$N$17,5,FALSE)),"-"))))</f>
        <v>-</v>
      </c>
      <c r="I25" s="8" t="str" cm="1">
        <f t="array" aca="1" ref="I25" ca="1">IF(ISNUMBER(FIND("ctrl",INDIRECT("Sheet4!"&amp;"J"&amp;MATCH($C$2,Sheet4!$A:$A,0)+5))),
INDIRECT("Sheet4!"&amp;"J"&amp;MATCH($C$2,Sheet4!$A:$A,0)+5),IF(INDIRECT("Sheet4!"&amp;"J"&amp;MATCH($C$2,Sheet4!$A:$A,0)+5)="Água","Água",
IF(INDIRECT("Sheet4!"&amp;"J"&amp;MATCH($C$2,Sheet4!$A:$A,0)+5)="-","-",
IF(_xlfn.NUMBERVALUE(MID(INDIRECT("Sheet4!"&amp;"J"&amp;MATCH($C$2,Sheet4!$A:$A,0)+5),9,2))&lt;=$C$4,
_xlfn.IFNA(VLOOKUP(INDIRECT("Sheet4!"&amp;"J"&amp;MATCH($C$2,Sheet4!$A:$A,0)+5),$C$7:$H$17,1,FALSE)&amp;CHAR(10)&amp;VLOOKUP(INDIRECT("Sheet4!"&amp;"J"&amp;MATCH($C$2,Sheet4!$A:$A,0)+5),$C$7:$H$17,5,FALSE),
VLOOKUP(INDIRECT("Sheet4!"&amp;"J"&amp;MATCH($C$2,Sheet4!$A:$A,0)+5),$I$7:$N$17,1,FALSE)&amp;CHAR(10)&amp;VLOOKUP(INDIRECT("Sheet4!"&amp;"J"&amp;MATCH($C$2,Sheet4!$A:$A,0)+5),$I$7:$N$17,5,FALSE)),"-"))))</f>
        <v>-</v>
      </c>
      <c r="J25" s="8" t="str" cm="1">
        <f t="array" aca="1" ref="J25" ca="1">IF(ISNUMBER(FIND("ctrl",INDIRECT("Sheet4!"&amp;"K"&amp;MATCH($C$2,Sheet4!$A:$A,0)+5))),
INDIRECT("Sheet4!"&amp;"K"&amp;MATCH($C$2,Sheet4!$A:$A,0)+5),IF(INDIRECT("Sheet4!"&amp;"K"&amp;MATCH($C$2,Sheet4!$A:$A,0)+5)="Água","Água",
IF(INDIRECT("Sheet4!"&amp;"K"&amp;MATCH($C$2,Sheet4!$A:$A,0)+5)="-","-",
IF(_xlfn.NUMBERVALUE(MID(INDIRECT("Sheet4!"&amp;"K"&amp;MATCH($C$2,Sheet4!$A:$A,0)+5),9,2))&lt;=$C$4,
_xlfn.IFNA(VLOOKUP(INDIRECT("Sheet4!"&amp;"K"&amp;MATCH($C$2,Sheet4!$A:$A,0)+5),$C$7:$H$17,1,FALSE)&amp;CHAR(10)&amp;VLOOKUP(INDIRECT("Sheet4!"&amp;"K"&amp;MATCH($C$2,Sheet4!$A:$A,0)+5),$C$7:$H$17,5,FALSE),
VLOOKUP(INDIRECT("Sheet4!"&amp;"K"&amp;MATCH($C$2,Sheet4!$A:$A,0)+5),$I$7:$N$17,1,FALSE)&amp;CHAR(10)&amp;VLOOKUP(INDIRECT("Sheet4!"&amp;"K"&amp;MATCH($C$2,Sheet4!$A:$A,0)+5),$I$7:$N$17,5,FALSE)),"-"))))</f>
        <v>-</v>
      </c>
      <c r="K25" s="8" t="str" cm="1">
        <f t="array" aca="1" ref="K25" ca="1">IF(ISNUMBER(FIND("ctrl",INDIRECT("Sheet4!"&amp;"L"&amp;MATCH($C$2,Sheet4!$A:$A,0)+5))),
INDIRECT("Sheet4!"&amp;"L"&amp;MATCH($C$2,Sheet4!$A:$A,0)+5),IF(INDIRECT("Sheet4!"&amp;"L"&amp;MATCH($C$2,Sheet4!$A:$A,0)+5)="Água","Água",
IF(INDIRECT("Sheet4!"&amp;"L"&amp;MATCH($C$2,Sheet4!$A:$A,0)+5)="-","-",
IF(_xlfn.NUMBERVALUE(MID(INDIRECT("Sheet4!"&amp;"L"&amp;MATCH($C$2,Sheet4!$A:$A,0)+5),9,2))&lt;=$C$4,
_xlfn.IFNA(VLOOKUP(INDIRECT("Sheet4!"&amp;"L"&amp;MATCH($C$2,Sheet4!$A:$A,0)+5),$C$7:$H$17,1,FALSE)&amp;CHAR(10)&amp;VLOOKUP(INDIRECT("Sheet4!"&amp;"L"&amp;MATCH($C$2,Sheet4!$A:$A,0)+5),$C$7:$H$17,5,FALSE),
VLOOKUP(INDIRECT("Sheet4!"&amp;"L"&amp;MATCH($C$2,Sheet4!$A:$A,0)+5),$I$7:$N$17,1,FALSE)&amp;CHAR(10)&amp;VLOOKUP(INDIRECT("Sheet4!"&amp;"L"&amp;MATCH($C$2,Sheet4!$A:$A,0)+5),$I$7:$N$17,5,FALSE)),"-"))))</f>
        <v>-</v>
      </c>
      <c r="L25" s="8" t="str" cm="1">
        <f t="array" aca="1" ref="L25" ca="1">IF(ISNUMBER(FIND("ctrl",INDIRECT("Sheet4!"&amp;"M"&amp;MATCH($C$2,Sheet4!$A:$A,0)+5))),
INDIRECT("Sheet4!"&amp;"M"&amp;MATCH($C$2,Sheet4!$A:$A,0)+5),IF(INDIRECT("Sheet4!"&amp;"M"&amp;MATCH($C$2,Sheet4!$A:$A,0)+5)="Água","Água",
IF(INDIRECT("Sheet4!"&amp;"M"&amp;MATCH($C$2,Sheet4!$A:$A,0)+5)="-","-",
IF(_xlfn.NUMBERVALUE(MID(INDIRECT("Sheet4!"&amp;"M"&amp;MATCH($C$2,Sheet4!$A:$A,0)+5),9,2))&lt;=$C$4,
_xlfn.IFNA(VLOOKUP(INDIRECT("Sheet4!"&amp;"M"&amp;MATCH($C$2,Sheet4!$A:$A,0)+5),$C$7:$H$17,1,FALSE)&amp;CHAR(10)&amp;VLOOKUP(INDIRECT("Sheet4!"&amp;"M"&amp;MATCH($C$2,Sheet4!$A:$A,0)+5),$C$7:$H$17,5,FALSE),
VLOOKUP(INDIRECT("Sheet4!"&amp;"M"&amp;MATCH($C$2,Sheet4!$A:$A,0)+5),$I$7:$N$17,1,FALSE)&amp;CHAR(10)&amp;VLOOKUP(INDIRECT("Sheet4!"&amp;"M"&amp;MATCH($C$2,Sheet4!$A:$A,0)+5),$I$7:$N$17,5,FALSE)),"-"))))</f>
        <v>-</v>
      </c>
      <c r="M25" s="8" t="str" cm="1">
        <f t="array" aca="1" ref="M25" ca="1">IF(ISNUMBER(FIND("ctrl",INDIRECT("Sheet4!"&amp;"N"&amp;MATCH($C$2,Sheet4!$A:$A,0)+5))),
INDIRECT("Sheet4!"&amp;"N"&amp;MATCH($C$2,Sheet4!$A:$A,0)+5),IF(INDIRECT("Sheet4!"&amp;"N"&amp;MATCH($C$2,Sheet4!$A:$A,0)+5)="Água","Água",
IF(INDIRECT("Sheet4!"&amp;"N"&amp;MATCH($C$2,Sheet4!$A:$A,0)+5)="-","-",
IF(_xlfn.NUMBERVALUE(MID(INDIRECT("Sheet4!"&amp;"N"&amp;MATCH($C$2,Sheet4!$A:$A,0)+5),9,2))&lt;=$C$4,
_xlfn.IFNA(VLOOKUP(INDIRECT("Sheet4!"&amp;"N"&amp;MATCH($C$2,Sheet4!$A:$A,0)+5),$C$7:$H$17,1,FALSE)&amp;CHAR(10)&amp;VLOOKUP(INDIRECT("Sheet4!"&amp;"N"&amp;MATCH($C$2,Sheet4!$A:$A,0)+5),$C$7:$H$17,5,FALSE),
VLOOKUP(INDIRECT("Sheet4!"&amp;"N"&amp;MATCH($C$2,Sheet4!$A:$A,0)+5),$I$7:$N$17,1,FALSE)&amp;CHAR(10)&amp;VLOOKUP(INDIRECT("Sheet4!"&amp;"N"&amp;MATCH($C$2,Sheet4!$A:$A,0)+5),$I$7:$N$17,5,FALSE)),"-"))))</f>
        <v>PIK3CA pos ctrl</v>
      </c>
      <c r="N25" s="8" t="str" cm="1">
        <f t="array" aca="1" ref="N25" ca="1">IF(ISNUMBER(FIND("ctrl",INDIRECT("Sheet4!"&amp;"O"&amp;MATCH($C$2,Sheet4!$A:$A,0)+5))),
INDIRECT("Sheet4!"&amp;"O"&amp;MATCH($C$2,Sheet4!$A:$A,0)+5),IF(INDIRECT("Sheet4!"&amp;"O"&amp;MATCH($C$2,Sheet4!$A:$A,0)+5)="Água","Água",
IF(INDIRECT("Sheet4!"&amp;"O"&amp;MATCH($C$2,Sheet4!$A:$A,0)+5)="-","-",
IF(_xlfn.NUMBERVALUE(MID(INDIRECT("Sheet4!"&amp;"O"&amp;MATCH($C$2,Sheet4!$A:$A,0)+5),9,2))&lt;=$C$4,
_xlfn.IFNA(VLOOKUP(INDIRECT("Sheet4!"&amp;"O"&amp;MATCH($C$2,Sheet4!$A:$A,0)+5),$C$7:$H$17,1,FALSE)&amp;CHAR(10)&amp;VLOOKUP(INDIRECT("Sheet4!"&amp;"O"&amp;MATCH($C$2,Sheet4!$A:$A,0)+5),$C$7:$H$17,5,FALSE),
VLOOKUP(INDIRECT("Sheet4!"&amp;"O"&amp;MATCH($C$2,Sheet4!$A:$A,0)+5),$I$7:$N$17,1,FALSE)&amp;CHAR(10)&amp;VLOOKUP(INDIRECT("Sheet4!"&amp;"O"&amp;MATCH($C$2,Sheet4!$A:$A,0)+5),$I$7:$N$17,5,FALSE)),"-"))))</f>
        <v>Água</v>
      </c>
    </row>
    <row r="26" spans="2:14" ht="15" customHeight="1" x14ac:dyDescent="0.25">
      <c r="B26" s="12" t="s">
        <v>32</v>
      </c>
      <c r="C26" s="8" t="str" cm="1">
        <f t="array" aca="1" ref="C26" ca="1">IF(ISNUMBER(FIND("ctrl",INDIRECT("Sheet4!"&amp;"D"&amp;MATCH($C$2,Sheet4!$A:$A,0)+6))),
INDIRECT("Sheet4!"&amp;"D"&amp;MATCH($C$2,Sheet4!$A:$A,0)+6),IF(INDIRECT("Sheet4!"&amp;"D"&amp;MATCH($C$2,Sheet4!$A:$A,0)+6)="Água","Água",
IF(INDIRECT("Sheet4!"&amp;"D"&amp;MATCH($C$2,Sheet4!$A:$A,0)+6)="-","-",
IF(_xlfn.NUMBERVALUE(MID(INDIRECT("Sheet4!"&amp;"D"&amp;MATCH($C$2,Sheet4!$A:$A,0)+6),9,2))&lt;=$C$4,
_xlfn.IFNA(VLOOKUP(INDIRECT("Sheet4!"&amp;"D"&amp;MATCH($C$2,Sheet4!$A:$A,0)+6),$C$7:$H$17,1,FALSE)&amp;CHAR(10)&amp;VLOOKUP(INDIRECT("Sheet4!"&amp;"D"&amp;MATCH($C$2,Sheet4!$A:$A,0)+6),$C$7:$H$17,5,FALSE),
VLOOKUP(INDIRECT("Sheet4!"&amp;"D"&amp;MATCH($C$2,Sheet4!$A:$A,0)+6),$I$7:$N$17,1,FALSE)&amp;CHAR(10)&amp;VLOOKUP(INDIRECT("Sheet4!"&amp;"D"&amp;MATCH($C$2,Sheet4!$A:$A,0)+6),$I$7:$N$17,5,FALSE)),"-"))))</f>
        <v xml:space="preserve">Amostra 1
</v>
      </c>
      <c r="D26" s="8" t="str" cm="1">
        <f t="array" aca="1" ref="D26" ca="1">IF(ISNUMBER(FIND("ctrl",INDIRECT("Sheet4!"&amp;"E"&amp;MATCH($C$2,Sheet4!$A:$A,0)+6))),
INDIRECT("Sheet4!"&amp;"E"&amp;MATCH($C$2,Sheet4!$A:$A,0)+6),IF(INDIRECT("Sheet4!"&amp;"E"&amp;MATCH($C$2,Sheet4!$A:$A,0)+6)="Água","Água",
IF(INDIRECT("Sheet4!"&amp;"E"&amp;MATCH($C$2,Sheet4!$A:$A,0)+6)="-","-",
IF(_xlfn.NUMBERVALUE(MID(INDIRECT("Sheet4!"&amp;"E"&amp;MATCH($C$2,Sheet4!$A:$A,0)+6),9,2))&lt;=$C$4,
_xlfn.IFNA(VLOOKUP(INDIRECT("Sheet4!"&amp;"E"&amp;MATCH($C$2,Sheet4!$A:$A,0)+6),$C$7:$H$17,1,FALSE)&amp;CHAR(10)&amp;VLOOKUP(INDIRECT("Sheet4!"&amp;"E"&amp;MATCH($C$2,Sheet4!$A:$A,0)+6),$C$7:$H$17,5,FALSE),
VLOOKUP(INDIRECT("Sheet4!"&amp;"E"&amp;MATCH($C$2,Sheet4!$A:$A,0)+6),$I$7:$N$17,1,FALSE)&amp;CHAR(10)&amp;VLOOKUP(INDIRECT("Sheet4!"&amp;"E"&amp;MATCH($C$2,Sheet4!$A:$A,0)+6),$I$7:$N$17,5,FALSE)),"-"))))</f>
        <v>-</v>
      </c>
      <c r="E26" s="8" t="str" cm="1">
        <f t="array" aca="1" ref="E26" ca="1">IF(ISNUMBER(FIND("ctrl",INDIRECT("Sheet4!"&amp;"F"&amp;MATCH($C$2,Sheet4!$A:$A,0)+6))),
INDIRECT("Sheet4!"&amp;"F"&amp;MATCH($C$2,Sheet4!$A:$A,0)+6),IF(INDIRECT("Sheet4!"&amp;"F"&amp;MATCH($C$2,Sheet4!$A:$A,0)+6)="Água","Água",
IF(INDIRECT("Sheet4!"&amp;"F"&amp;MATCH($C$2,Sheet4!$A:$A,0)+6)="-","-",
IF(_xlfn.NUMBERVALUE(MID(INDIRECT("Sheet4!"&amp;"F"&amp;MATCH($C$2,Sheet4!$A:$A,0)+6),9,2))&lt;=$C$4,
_xlfn.IFNA(VLOOKUP(INDIRECT("Sheet4!"&amp;"F"&amp;MATCH($C$2,Sheet4!$A:$A,0)+6),$C$7:$H$17,1,FALSE)&amp;CHAR(10)&amp;VLOOKUP(INDIRECT("Sheet4!"&amp;"F"&amp;MATCH($C$2,Sheet4!$A:$A,0)+6),$C$7:$H$17,5,FALSE),
VLOOKUP(INDIRECT("Sheet4!"&amp;"F"&amp;MATCH($C$2,Sheet4!$A:$A,0)+6),$I$7:$N$17,1,FALSE)&amp;CHAR(10)&amp;VLOOKUP(INDIRECT("Sheet4!"&amp;"F"&amp;MATCH($C$2,Sheet4!$A:$A,0)+6),$I$7:$N$17,5,FALSE)),"-"))))</f>
        <v>-</v>
      </c>
      <c r="F26" s="8" t="str" cm="1">
        <f t="array" aca="1" ref="F26" ca="1">IF(ISNUMBER(FIND("ctrl",INDIRECT("Sheet4!"&amp;"G"&amp;MATCH($C$2,Sheet4!$A:$A,0)+6))),
INDIRECT("Sheet4!"&amp;"G"&amp;MATCH($C$2,Sheet4!$A:$A,0)+6),IF(INDIRECT("Sheet4!"&amp;"G"&amp;MATCH($C$2,Sheet4!$A:$A,0)+6)="Água","Água",
IF(INDIRECT("Sheet4!"&amp;"G"&amp;MATCH($C$2,Sheet4!$A:$A,0)+6)="-","-",
IF(_xlfn.NUMBERVALUE(MID(INDIRECT("Sheet4!"&amp;"G"&amp;MATCH($C$2,Sheet4!$A:$A,0)+6),9,2))&lt;=$C$4,
_xlfn.IFNA(VLOOKUP(INDIRECT("Sheet4!"&amp;"G"&amp;MATCH($C$2,Sheet4!$A:$A,0)+6),$C$7:$H$17,1,FALSE)&amp;CHAR(10)&amp;VLOOKUP(INDIRECT("Sheet4!"&amp;"G"&amp;MATCH($C$2,Sheet4!$A:$A,0)+6),$C$7:$H$17,5,FALSE),
VLOOKUP(INDIRECT("Sheet4!"&amp;"G"&amp;MATCH($C$2,Sheet4!$A:$A,0)+6),$I$7:$N$17,1,FALSE)&amp;CHAR(10)&amp;VLOOKUP(INDIRECT("Sheet4!"&amp;"G"&amp;MATCH($C$2,Sheet4!$A:$A,0)+6),$I$7:$N$17,5,FALSE)),"-"))))</f>
        <v>-</v>
      </c>
      <c r="G26" s="8" t="str" cm="1">
        <f t="array" aca="1" ref="G26" ca="1">IF(ISNUMBER(FIND("ctrl",INDIRECT("Sheet4!"&amp;"H"&amp;MATCH($C$2,Sheet4!$A:$A,0)+6))),
INDIRECT("Sheet4!"&amp;"H"&amp;MATCH($C$2,Sheet4!$A:$A,0)+6),IF(INDIRECT("Sheet4!"&amp;"H"&amp;MATCH($C$2,Sheet4!$A:$A,0)+6)="Água","Água",
IF(INDIRECT("Sheet4!"&amp;"H"&amp;MATCH($C$2,Sheet4!$A:$A,0)+6)="-","-",
IF(_xlfn.NUMBERVALUE(MID(INDIRECT("Sheet4!"&amp;"H"&amp;MATCH($C$2,Sheet4!$A:$A,0)+6),9,2))&lt;=$C$4,
_xlfn.IFNA(VLOOKUP(INDIRECT("Sheet4!"&amp;"H"&amp;MATCH($C$2,Sheet4!$A:$A,0)+6),$C$7:$H$17,1,FALSE)&amp;CHAR(10)&amp;VLOOKUP(INDIRECT("Sheet4!"&amp;"H"&amp;MATCH($C$2,Sheet4!$A:$A,0)+6),$C$7:$H$17,5,FALSE),
VLOOKUP(INDIRECT("Sheet4!"&amp;"H"&amp;MATCH($C$2,Sheet4!$A:$A,0)+6),$I$7:$N$17,1,FALSE)&amp;CHAR(10)&amp;VLOOKUP(INDIRECT("Sheet4!"&amp;"H"&amp;MATCH($C$2,Sheet4!$A:$A,0)+6),$I$7:$N$17,5,FALSE)),"-"))))</f>
        <v>-</v>
      </c>
      <c r="H26" s="8" t="str" cm="1">
        <f t="array" aca="1" ref="H26" ca="1">IF(ISNUMBER(FIND("ctrl",INDIRECT("Sheet4!"&amp;"I"&amp;MATCH($C$2,Sheet4!$A:$A,0)+6))),
INDIRECT("Sheet4!"&amp;"I"&amp;MATCH($C$2,Sheet4!$A:$A,0)+6),IF(INDIRECT("Sheet4!"&amp;"I"&amp;MATCH($C$2,Sheet4!$A:$A,0)+6)="Água","Água",
IF(INDIRECT("Sheet4!"&amp;"I"&amp;MATCH($C$2,Sheet4!$A:$A,0)+6)="-","-",
IF(_xlfn.NUMBERVALUE(MID(INDIRECT("Sheet4!"&amp;"I"&amp;MATCH($C$2,Sheet4!$A:$A,0)+6),9,2))&lt;=$C$4,
_xlfn.IFNA(VLOOKUP(INDIRECT("Sheet4!"&amp;"I"&amp;MATCH($C$2,Sheet4!$A:$A,0)+6),$C$7:$H$17,1,FALSE)&amp;CHAR(10)&amp;VLOOKUP(INDIRECT("Sheet4!"&amp;"I"&amp;MATCH($C$2,Sheet4!$A:$A,0)+6),$C$7:$H$17,5,FALSE),
VLOOKUP(INDIRECT("Sheet4!"&amp;"I"&amp;MATCH($C$2,Sheet4!$A:$A,0)+6),$I$7:$N$17,1,FALSE)&amp;CHAR(10)&amp;VLOOKUP(INDIRECT("Sheet4!"&amp;"I"&amp;MATCH($C$2,Sheet4!$A:$A,0)+6),$I$7:$N$17,5,FALSE)),"-"))))</f>
        <v>-</v>
      </c>
      <c r="I26" s="8" t="str" cm="1">
        <f t="array" aca="1" ref="I26" ca="1">IF(ISNUMBER(FIND("ctrl",INDIRECT("Sheet4!"&amp;"J"&amp;MATCH($C$2,Sheet4!$A:$A,0)+6))),
INDIRECT("Sheet4!"&amp;"J"&amp;MATCH($C$2,Sheet4!$A:$A,0)+6),IF(INDIRECT("Sheet4!"&amp;"J"&amp;MATCH($C$2,Sheet4!$A:$A,0)+6)="Água","Água",
IF(INDIRECT("Sheet4!"&amp;"J"&amp;MATCH($C$2,Sheet4!$A:$A,0)+6)="-","-",
IF(_xlfn.NUMBERVALUE(MID(INDIRECT("Sheet4!"&amp;"J"&amp;MATCH($C$2,Sheet4!$A:$A,0)+6),9,2))&lt;=$C$4,
_xlfn.IFNA(VLOOKUP(INDIRECT("Sheet4!"&amp;"J"&amp;MATCH($C$2,Sheet4!$A:$A,0)+6),$C$7:$H$17,1,FALSE)&amp;CHAR(10)&amp;VLOOKUP(INDIRECT("Sheet4!"&amp;"J"&amp;MATCH($C$2,Sheet4!$A:$A,0)+6),$C$7:$H$17,5,FALSE),
VLOOKUP(INDIRECT("Sheet4!"&amp;"J"&amp;MATCH($C$2,Sheet4!$A:$A,0)+6),$I$7:$N$17,1,FALSE)&amp;CHAR(10)&amp;VLOOKUP(INDIRECT("Sheet4!"&amp;"J"&amp;MATCH($C$2,Sheet4!$A:$A,0)+6),$I$7:$N$17,5,FALSE)),"-"))))</f>
        <v>-</v>
      </c>
      <c r="J26" s="8" t="str" cm="1">
        <f t="array" aca="1" ref="J26" ca="1">IF(ISNUMBER(FIND("ctrl",INDIRECT("Sheet4!"&amp;"K"&amp;MATCH($C$2,Sheet4!$A:$A,0)+6))),
INDIRECT("Sheet4!"&amp;"K"&amp;MATCH($C$2,Sheet4!$A:$A,0)+6),IF(INDIRECT("Sheet4!"&amp;"K"&amp;MATCH($C$2,Sheet4!$A:$A,0)+6)="Água","Água",
IF(INDIRECT("Sheet4!"&amp;"K"&amp;MATCH($C$2,Sheet4!$A:$A,0)+6)="-","-",
IF(_xlfn.NUMBERVALUE(MID(INDIRECT("Sheet4!"&amp;"K"&amp;MATCH($C$2,Sheet4!$A:$A,0)+6),9,2))&lt;=$C$4,
_xlfn.IFNA(VLOOKUP(INDIRECT("Sheet4!"&amp;"K"&amp;MATCH($C$2,Sheet4!$A:$A,0)+6),$C$7:$H$17,1,FALSE)&amp;CHAR(10)&amp;VLOOKUP(INDIRECT("Sheet4!"&amp;"K"&amp;MATCH($C$2,Sheet4!$A:$A,0)+6),$C$7:$H$17,5,FALSE),
VLOOKUP(INDIRECT("Sheet4!"&amp;"K"&amp;MATCH($C$2,Sheet4!$A:$A,0)+6),$I$7:$N$17,1,FALSE)&amp;CHAR(10)&amp;VLOOKUP(INDIRECT("Sheet4!"&amp;"K"&amp;MATCH($C$2,Sheet4!$A:$A,0)+6),$I$7:$N$17,5,FALSE)),"-"))))</f>
        <v>-</v>
      </c>
      <c r="K26" s="8" t="str" cm="1">
        <f t="array" aca="1" ref="K26" ca="1">IF(ISNUMBER(FIND("ctrl",INDIRECT("Sheet4!"&amp;"L"&amp;MATCH($C$2,Sheet4!$A:$A,0)+6))),
INDIRECT("Sheet4!"&amp;"L"&amp;MATCH($C$2,Sheet4!$A:$A,0)+6),IF(INDIRECT("Sheet4!"&amp;"L"&amp;MATCH($C$2,Sheet4!$A:$A,0)+6)="Água","Água",
IF(INDIRECT("Sheet4!"&amp;"L"&amp;MATCH($C$2,Sheet4!$A:$A,0)+6)="-","-",
IF(_xlfn.NUMBERVALUE(MID(INDIRECT("Sheet4!"&amp;"L"&amp;MATCH($C$2,Sheet4!$A:$A,0)+6),9,2))&lt;=$C$4,
_xlfn.IFNA(VLOOKUP(INDIRECT("Sheet4!"&amp;"L"&amp;MATCH($C$2,Sheet4!$A:$A,0)+6),$C$7:$H$17,1,FALSE)&amp;CHAR(10)&amp;VLOOKUP(INDIRECT("Sheet4!"&amp;"L"&amp;MATCH($C$2,Sheet4!$A:$A,0)+6),$C$7:$H$17,5,FALSE),
VLOOKUP(INDIRECT("Sheet4!"&amp;"L"&amp;MATCH($C$2,Sheet4!$A:$A,0)+6),$I$7:$N$17,1,FALSE)&amp;CHAR(10)&amp;VLOOKUP(INDIRECT("Sheet4!"&amp;"L"&amp;MATCH($C$2,Sheet4!$A:$A,0)+6),$I$7:$N$17,5,FALSE)),"-"))))</f>
        <v>-</v>
      </c>
      <c r="L26" s="8" t="str" cm="1">
        <f t="array" aca="1" ref="L26" ca="1">IF(ISNUMBER(FIND("ctrl",INDIRECT("Sheet4!"&amp;"M"&amp;MATCH($C$2,Sheet4!$A:$A,0)+6))),
INDIRECT("Sheet4!"&amp;"M"&amp;MATCH($C$2,Sheet4!$A:$A,0)+6),IF(INDIRECT("Sheet4!"&amp;"M"&amp;MATCH($C$2,Sheet4!$A:$A,0)+6)="Água","Água",
IF(INDIRECT("Sheet4!"&amp;"M"&amp;MATCH($C$2,Sheet4!$A:$A,0)+6)="-","-",
IF(_xlfn.NUMBERVALUE(MID(INDIRECT("Sheet4!"&amp;"M"&amp;MATCH($C$2,Sheet4!$A:$A,0)+6),9,2))&lt;=$C$4,
_xlfn.IFNA(VLOOKUP(INDIRECT("Sheet4!"&amp;"M"&amp;MATCH($C$2,Sheet4!$A:$A,0)+6),$C$7:$H$17,1,FALSE)&amp;CHAR(10)&amp;VLOOKUP(INDIRECT("Sheet4!"&amp;"M"&amp;MATCH($C$2,Sheet4!$A:$A,0)+6),$C$7:$H$17,5,FALSE),
VLOOKUP(INDIRECT("Sheet4!"&amp;"M"&amp;MATCH($C$2,Sheet4!$A:$A,0)+6),$I$7:$N$17,1,FALSE)&amp;CHAR(10)&amp;VLOOKUP(INDIRECT("Sheet4!"&amp;"M"&amp;MATCH($C$2,Sheet4!$A:$A,0)+6),$I$7:$N$17,5,FALSE)),"-"))))</f>
        <v>-</v>
      </c>
      <c r="M26" s="8" t="str" cm="1">
        <f t="array" aca="1" ref="M26" ca="1">IF(ISNUMBER(FIND("ctrl",INDIRECT("Sheet4!"&amp;"N"&amp;MATCH($C$2,Sheet4!$A:$A,0)+6))),
INDIRECT("Sheet4!"&amp;"N"&amp;MATCH($C$2,Sheet4!$A:$A,0)+6),IF(INDIRECT("Sheet4!"&amp;"N"&amp;MATCH($C$2,Sheet4!$A:$A,0)+6)="Água","Água",
IF(INDIRECT("Sheet4!"&amp;"N"&amp;MATCH($C$2,Sheet4!$A:$A,0)+6)="-","-",
IF(_xlfn.NUMBERVALUE(MID(INDIRECT("Sheet4!"&amp;"N"&amp;MATCH($C$2,Sheet4!$A:$A,0)+6),9,2))&lt;=$C$4,
_xlfn.IFNA(VLOOKUP(INDIRECT("Sheet4!"&amp;"N"&amp;MATCH($C$2,Sheet4!$A:$A,0)+6),$C$7:$H$17,1,FALSE)&amp;CHAR(10)&amp;VLOOKUP(INDIRECT("Sheet4!"&amp;"N"&amp;MATCH($C$2,Sheet4!$A:$A,0)+6),$C$7:$H$17,5,FALSE),
VLOOKUP(INDIRECT("Sheet4!"&amp;"N"&amp;MATCH($C$2,Sheet4!$A:$A,0)+6),$I$7:$N$17,1,FALSE)&amp;CHAR(10)&amp;VLOOKUP(INDIRECT("Sheet4!"&amp;"N"&amp;MATCH($C$2,Sheet4!$A:$A,0)+6),$I$7:$N$17,5,FALSE)),"-"))))</f>
        <v>PIK3CA pos ctrl</v>
      </c>
      <c r="N26" s="8" t="str" cm="1">
        <f t="array" aca="1" ref="N26" ca="1">IF(ISNUMBER(FIND("ctrl",INDIRECT("Sheet4!"&amp;"O"&amp;MATCH($C$2,Sheet4!$A:$A,0)+6))),
INDIRECT("Sheet4!"&amp;"O"&amp;MATCH($C$2,Sheet4!$A:$A,0)+6),IF(INDIRECT("Sheet4!"&amp;"O"&amp;MATCH($C$2,Sheet4!$A:$A,0)+6)="Água","Água",
IF(INDIRECT("Sheet4!"&amp;"O"&amp;MATCH($C$2,Sheet4!$A:$A,0)+6)="-","-",
IF(_xlfn.NUMBERVALUE(MID(INDIRECT("Sheet4!"&amp;"O"&amp;MATCH($C$2,Sheet4!$A:$A,0)+6),9,2))&lt;=$C$4,
_xlfn.IFNA(VLOOKUP(INDIRECT("Sheet4!"&amp;"O"&amp;MATCH($C$2,Sheet4!$A:$A,0)+6),$C$7:$H$17,1,FALSE)&amp;CHAR(10)&amp;VLOOKUP(INDIRECT("Sheet4!"&amp;"O"&amp;MATCH($C$2,Sheet4!$A:$A,0)+6),$C$7:$H$17,5,FALSE),
VLOOKUP(INDIRECT("Sheet4!"&amp;"O"&amp;MATCH($C$2,Sheet4!$A:$A,0)+6),$I$7:$N$17,1,FALSE)&amp;CHAR(10)&amp;VLOOKUP(INDIRECT("Sheet4!"&amp;"O"&amp;MATCH($C$2,Sheet4!$A:$A,0)+6),$I$7:$N$17,5,FALSE)),"-"))))</f>
        <v>Água</v>
      </c>
    </row>
    <row r="27" spans="2:14" ht="15" customHeight="1" x14ac:dyDescent="0.25">
      <c r="B27" s="12" t="s">
        <v>33</v>
      </c>
      <c r="C27" s="8" t="str" cm="1">
        <f t="array" aca="1" ref="C27" ca="1">IF(ISNUMBER(FIND("ctrl",INDIRECT("Sheet4!"&amp;"D"&amp;MATCH($C$2,Sheet4!$A:$A,0)+7))),
INDIRECT("Sheet4!"&amp;"D"&amp;MATCH($C$2,Sheet4!$A:$A,0)+7),IF(INDIRECT("Sheet4!"&amp;"D"&amp;MATCH($C$2,Sheet4!$A:$A,0)+7)="Água","Água",
IF(INDIRECT("Sheet4!"&amp;"D"&amp;MATCH($C$2,Sheet4!$A:$A,0)+7)="-","-",
IF(_xlfn.NUMBERVALUE(MID(INDIRECT("Sheet4!"&amp;"D"&amp;MATCH($C$2,Sheet4!$A:$A,0)+7),9,2))&lt;=$C$4,
_xlfn.IFNA(VLOOKUP(INDIRECT("Sheet4!"&amp;"D"&amp;MATCH($C$2,Sheet4!$A:$A,0)+7),$C$7:$H$17,1,FALSE)&amp;CHAR(10)&amp;VLOOKUP(INDIRECT("Sheet4!"&amp;"D"&amp;MATCH($C$2,Sheet4!$A:$A,0)+7),$C$7:$H$17,5,FALSE),
VLOOKUP(INDIRECT("Sheet4!"&amp;"D"&amp;MATCH($C$2,Sheet4!$A:$A,0)+7),$I$7:$N$17,1,FALSE)&amp;CHAR(10)&amp;VLOOKUP(INDIRECT("Sheet4!"&amp;"D"&amp;MATCH($C$2,Sheet4!$A:$A,0)+7),$I$7:$N$17,5,FALSE)),"-"))))</f>
        <v xml:space="preserve">Amostra 1
</v>
      </c>
      <c r="D27" s="8" t="str" cm="1">
        <f t="array" aca="1" ref="D27" ca="1">IF(ISNUMBER(FIND("ctrl",INDIRECT("Sheet4!"&amp;"E"&amp;MATCH($C$2,Sheet4!$A:$A,0)+7))),
INDIRECT("Sheet4!"&amp;"E"&amp;MATCH($C$2,Sheet4!$A:$A,0)+7),IF(INDIRECT("Sheet4!"&amp;"E"&amp;MATCH($C$2,Sheet4!$A:$A,0)+7)="Água","Água",
IF(INDIRECT("Sheet4!"&amp;"E"&amp;MATCH($C$2,Sheet4!$A:$A,0)+7)="-","-",
IF(_xlfn.NUMBERVALUE(MID(INDIRECT("Sheet4!"&amp;"E"&amp;MATCH($C$2,Sheet4!$A:$A,0)+7),9,2))&lt;=$C$4,
_xlfn.IFNA(VLOOKUP(INDIRECT("Sheet4!"&amp;"E"&amp;MATCH($C$2,Sheet4!$A:$A,0)+7),$C$7:$H$17,1,FALSE)&amp;CHAR(10)&amp;VLOOKUP(INDIRECT("Sheet4!"&amp;"E"&amp;MATCH($C$2,Sheet4!$A:$A,0)+7),$C$7:$H$17,5,FALSE),
VLOOKUP(INDIRECT("Sheet4!"&amp;"E"&amp;MATCH($C$2,Sheet4!$A:$A,0)+7),$I$7:$N$17,1,FALSE)&amp;CHAR(10)&amp;VLOOKUP(INDIRECT("Sheet4!"&amp;"E"&amp;MATCH($C$2,Sheet4!$A:$A,0)+7),$I$7:$N$17,5,FALSE)),"-"))))</f>
        <v>-</v>
      </c>
      <c r="E27" s="8" t="str" cm="1">
        <f t="array" aca="1" ref="E27" ca="1">IF(ISNUMBER(FIND("ctrl",INDIRECT("Sheet4!"&amp;"F"&amp;MATCH($C$2,Sheet4!$A:$A,0)+7))),
INDIRECT("Sheet4!"&amp;"F"&amp;MATCH($C$2,Sheet4!$A:$A,0)+7),IF(INDIRECT("Sheet4!"&amp;"F"&amp;MATCH($C$2,Sheet4!$A:$A,0)+7)="Água","Água",
IF(INDIRECT("Sheet4!"&amp;"F"&amp;MATCH($C$2,Sheet4!$A:$A,0)+7)="-","-",
IF(_xlfn.NUMBERVALUE(MID(INDIRECT("Sheet4!"&amp;"F"&amp;MATCH($C$2,Sheet4!$A:$A,0)+7),9,2))&lt;=$C$4,
_xlfn.IFNA(VLOOKUP(INDIRECT("Sheet4!"&amp;"F"&amp;MATCH($C$2,Sheet4!$A:$A,0)+7),$C$7:$H$17,1,FALSE)&amp;CHAR(10)&amp;VLOOKUP(INDIRECT("Sheet4!"&amp;"F"&amp;MATCH($C$2,Sheet4!$A:$A,0)+7),$C$7:$H$17,5,FALSE),
VLOOKUP(INDIRECT("Sheet4!"&amp;"F"&amp;MATCH($C$2,Sheet4!$A:$A,0)+7),$I$7:$N$17,1,FALSE)&amp;CHAR(10)&amp;VLOOKUP(INDIRECT("Sheet4!"&amp;"F"&amp;MATCH($C$2,Sheet4!$A:$A,0)+7),$I$7:$N$17,5,FALSE)),"-"))))</f>
        <v>-</v>
      </c>
      <c r="F27" s="8" t="str" cm="1">
        <f t="array" aca="1" ref="F27" ca="1">IF(ISNUMBER(FIND("ctrl",INDIRECT("Sheet4!"&amp;"G"&amp;MATCH($C$2,Sheet4!$A:$A,0)+7))),
INDIRECT("Sheet4!"&amp;"G"&amp;MATCH($C$2,Sheet4!$A:$A,0)+7),IF(INDIRECT("Sheet4!"&amp;"G"&amp;MATCH($C$2,Sheet4!$A:$A,0)+7)="Água","Água",
IF(INDIRECT("Sheet4!"&amp;"G"&amp;MATCH($C$2,Sheet4!$A:$A,0)+7)="-","-",
IF(_xlfn.NUMBERVALUE(MID(INDIRECT("Sheet4!"&amp;"G"&amp;MATCH($C$2,Sheet4!$A:$A,0)+7),9,2))&lt;=$C$4,
_xlfn.IFNA(VLOOKUP(INDIRECT("Sheet4!"&amp;"G"&amp;MATCH($C$2,Sheet4!$A:$A,0)+7),$C$7:$H$17,1,FALSE)&amp;CHAR(10)&amp;VLOOKUP(INDIRECT("Sheet4!"&amp;"G"&amp;MATCH($C$2,Sheet4!$A:$A,0)+7),$C$7:$H$17,5,FALSE),
VLOOKUP(INDIRECT("Sheet4!"&amp;"G"&amp;MATCH($C$2,Sheet4!$A:$A,0)+7),$I$7:$N$17,1,FALSE)&amp;CHAR(10)&amp;VLOOKUP(INDIRECT("Sheet4!"&amp;"G"&amp;MATCH($C$2,Sheet4!$A:$A,0)+7),$I$7:$N$17,5,FALSE)),"-"))))</f>
        <v>-</v>
      </c>
      <c r="G27" s="8" t="str" cm="1">
        <f t="array" aca="1" ref="G27" ca="1">IF(ISNUMBER(FIND("ctrl",INDIRECT("Sheet4!"&amp;"H"&amp;MATCH($C$2,Sheet4!$A:$A,0)+7))),
INDIRECT("Sheet4!"&amp;"H"&amp;MATCH($C$2,Sheet4!$A:$A,0)+7),IF(INDIRECT("Sheet4!"&amp;"H"&amp;MATCH($C$2,Sheet4!$A:$A,0)+7)="Água","Água",
IF(INDIRECT("Sheet4!"&amp;"H"&amp;MATCH($C$2,Sheet4!$A:$A,0)+7)="-","-",
IF(_xlfn.NUMBERVALUE(MID(INDIRECT("Sheet4!"&amp;"H"&amp;MATCH($C$2,Sheet4!$A:$A,0)+7),9,2))&lt;=$C$4,
_xlfn.IFNA(VLOOKUP(INDIRECT("Sheet4!"&amp;"H"&amp;MATCH($C$2,Sheet4!$A:$A,0)+7),$C$7:$H$17,1,FALSE)&amp;CHAR(10)&amp;VLOOKUP(INDIRECT("Sheet4!"&amp;"H"&amp;MATCH($C$2,Sheet4!$A:$A,0)+7),$C$7:$H$17,5,FALSE),
VLOOKUP(INDIRECT("Sheet4!"&amp;"H"&amp;MATCH($C$2,Sheet4!$A:$A,0)+7),$I$7:$N$17,1,FALSE)&amp;CHAR(10)&amp;VLOOKUP(INDIRECT("Sheet4!"&amp;"H"&amp;MATCH($C$2,Sheet4!$A:$A,0)+7),$I$7:$N$17,5,FALSE)),"-"))))</f>
        <v>-</v>
      </c>
      <c r="H27" s="8" t="str" cm="1">
        <f t="array" aca="1" ref="H27" ca="1">IF(ISNUMBER(FIND("ctrl",INDIRECT("Sheet4!"&amp;"I"&amp;MATCH($C$2,Sheet4!$A:$A,0)+7))),
INDIRECT("Sheet4!"&amp;"I"&amp;MATCH($C$2,Sheet4!$A:$A,0)+7),IF(INDIRECT("Sheet4!"&amp;"I"&amp;MATCH($C$2,Sheet4!$A:$A,0)+7)="Água","Água",
IF(INDIRECT("Sheet4!"&amp;"I"&amp;MATCH($C$2,Sheet4!$A:$A,0)+7)="-","-",
IF(_xlfn.NUMBERVALUE(MID(INDIRECT("Sheet4!"&amp;"I"&amp;MATCH($C$2,Sheet4!$A:$A,0)+7),9,2))&lt;=$C$4,
_xlfn.IFNA(VLOOKUP(INDIRECT("Sheet4!"&amp;"I"&amp;MATCH($C$2,Sheet4!$A:$A,0)+7),$C$7:$H$17,1,FALSE)&amp;CHAR(10)&amp;VLOOKUP(INDIRECT("Sheet4!"&amp;"I"&amp;MATCH($C$2,Sheet4!$A:$A,0)+7),$C$7:$H$17,5,FALSE),
VLOOKUP(INDIRECT("Sheet4!"&amp;"I"&amp;MATCH($C$2,Sheet4!$A:$A,0)+7),$I$7:$N$17,1,FALSE)&amp;CHAR(10)&amp;VLOOKUP(INDIRECT("Sheet4!"&amp;"I"&amp;MATCH($C$2,Sheet4!$A:$A,0)+7),$I$7:$N$17,5,FALSE)),"-"))))</f>
        <v>-</v>
      </c>
      <c r="I27" s="8" t="str" cm="1">
        <f t="array" aca="1" ref="I27" ca="1">IF(ISNUMBER(FIND("ctrl",INDIRECT("Sheet4!"&amp;"J"&amp;MATCH($C$2,Sheet4!$A:$A,0)+7))),
INDIRECT("Sheet4!"&amp;"J"&amp;MATCH($C$2,Sheet4!$A:$A,0)+7),IF(INDIRECT("Sheet4!"&amp;"J"&amp;MATCH($C$2,Sheet4!$A:$A,0)+7)="Água","Água",
IF(INDIRECT("Sheet4!"&amp;"J"&amp;MATCH($C$2,Sheet4!$A:$A,0)+7)="-","-",
IF(_xlfn.NUMBERVALUE(MID(INDIRECT("Sheet4!"&amp;"J"&amp;MATCH($C$2,Sheet4!$A:$A,0)+7),9,2))&lt;=$C$4,
_xlfn.IFNA(VLOOKUP(INDIRECT("Sheet4!"&amp;"J"&amp;MATCH($C$2,Sheet4!$A:$A,0)+7),$C$7:$H$17,1,FALSE)&amp;CHAR(10)&amp;VLOOKUP(INDIRECT("Sheet4!"&amp;"J"&amp;MATCH($C$2,Sheet4!$A:$A,0)+7),$C$7:$H$17,5,FALSE),
VLOOKUP(INDIRECT("Sheet4!"&amp;"J"&amp;MATCH($C$2,Sheet4!$A:$A,0)+7),$I$7:$N$17,1,FALSE)&amp;CHAR(10)&amp;VLOOKUP(INDIRECT("Sheet4!"&amp;"J"&amp;MATCH($C$2,Sheet4!$A:$A,0)+7),$I$7:$N$17,5,FALSE)),"-"))))</f>
        <v>-</v>
      </c>
      <c r="J27" s="8" t="str" cm="1">
        <f t="array" aca="1" ref="J27" ca="1">IF(ISNUMBER(FIND("ctrl",INDIRECT("Sheet4!"&amp;"K"&amp;MATCH($C$2,Sheet4!$A:$A,0)+7))),
INDIRECT("Sheet4!"&amp;"K"&amp;MATCH($C$2,Sheet4!$A:$A,0)+7),IF(INDIRECT("Sheet4!"&amp;"K"&amp;MATCH($C$2,Sheet4!$A:$A,0)+7)="Água","Água",
IF(INDIRECT("Sheet4!"&amp;"K"&amp;MATCH($C$2,Sheet4!$A:$A,0)+7)="-","-",
IF(_xlfn.NUMBERVALUE(MID(INDIRECT("Sheet4!"&amp;"K"&amp;MATCH($C$2,Sheet4!$A:$A,0)+7),9,2))&lt;=$C$4,
_xlfn.IFNA(VLOOKUP(INDIRECT("Sheet4!"&amp;"K"&amp;MATCH($C$2,Sheet4!$A:$A,0)+7),$C$7:$H$17,1,FALSE)&amp;CHAR(10)&amp;VLOOKUP(INDIRECT("Sheet4!"&amp;"K"&amp;MATCH($C$2,Sheet4!$A:$A,0)+7),$C$7:$H$17,5,FALSE),
VLOOKUP(INDIRECT("Sheet4!"&amp;"K"&amp;MATCH($C$2,Sheet4!$A:$A,0)+7),$I$7:$N$17,1,FALSE)&amp;CHAR(10)&amp;VLOOKUP(INDIRECT("Sheet4!"&amp;"K"&amp;MATCH($C$2,Sheet4!$A:$A,0)+7),$I$7:$N$17,5,FALSE)),"-"))))</f>
        <v>-</v>
      </c>
      <c r="K27" s="8" t="str" cm="1">
        <f t="array" aca="1" ref="K27" ca="1">IF(ISNUMBER(FIND("ctrl",INDIRECT("Sheet4!"&amp;"L"&amp;MATCH($C$2,Sheet4!$A:$A,0)+7))),
INDIRECT("Sheet4!"&amp;"L"&amp;MATCH($C$2,Sheet4!$A:$A,0)+7),IF(INDIRECT("Sheet4!"&amp;"L"&amp;MATCH($C$2,Sheet4!$A:$A,0)+7)="Água","Água",
IF(INDIRECT("Sheet4!"&amp;"L"&amp;MATCH($C$2,Sheet4!$A:$A,0)+7)="-","-",
IF(_xlfn.NUMBERVALUE(MID(INDIRECT("Sheet4!"&amp;"L"&amp;MATCH($C$2,Sheet4!$A:$A,0)+7),9,2))&lt;=$C$4,
_xlfn.IFNA(VLOOKUP(INDIRECT("Sheet4!"&amp;"L"&amp;MATCH($C$2,Sheet4!$A:$A,0)+7),$C$7:$H$17,1,FALSE)&amp;CHAR(10)&amp;VLOOKUP(INDIRECT("Sheet4!"&amp;"L"&amp;MATCH($C$2,Sheet4!$A:$A,0)+7),$C$7:$H$17,5,FALSE),
VLOOKUP(INDIRECT("Sheet4!"&amp;"L"&amp;MATCH($C$2,Sheet4!$A:$A,0)+7),$I$7:$N$17,1,FALSE)&amp;CHAR(10)&amp;VLOOKUP(INDIRECT("Sheet4!"&amp;"L"&amp;MATCH($C$2,Sheet4!$A:$A,0)+7),$I$7:$N$17,5,FALSE)),"-"))))</f>
        <v>-</v>
      </c>
      <c r="L27" s="8" t="str" cm="1">
        <f t="array" aca="1" ref="L27" ca="1">IF(ISNUMBER(FIND("ctrl",INDIRECT("Sheet4!"&amp;"M"&amp;MATCH($C$2,Sheet4!$A:$A,0)+7))),
INDIRECT("Sheet4!"&amp;"M"&amp;MATCH($C$2,Sheet4!$A:$A,0)+7),IF(INDIRECT("Sheet4!"&amp;"M"&amp;MATCH($C$2,Sheet4!$A:$A,0)+7)="Água","Água",
IF(INDIRECT("Sheet4!"&amp;"M"&amp;MATCH($C$2,Sheet4!$A:$A,0)+7)="-","-",
IF(_xlfn.NUMBERVALUE(MID(INDIRECT("Sheet4!"&amp;"M"&amp;MATCH($C$2,Sheet4!$A:$A,0)+7),9,2))&lt;=$C$4,
_xlfn.IFNA(VLOOKUP(INDIRECT("Sheet4!"&amp;"M"&amp;MATCH($C$2,Sheet4!$A:$A,0)+7),$C$7:$H$17,1,FALSE)&amp;CHAR(10)&amp;VLOOKUP(INDIRECT("Sheet4!"&amp;"M"&amp;MATCH($C$2,Sheet4!$A:$A,0)+7),$C$7:$H$17,5,FALSE),
VLOOKUP(INDIRECT("Sheet4!"&amp;"M"&amp;MATCH($C$2,Sheet4!$A:$A,0)+7),$I$7:$N$17,1,FALSE)&amp;CHAR(10)&amp;VLOOKUP(INDIRECT("Sheet4!"&amp;"M"&amp;MATCH($C$2,Sheet4!$A:$A,0)+7),$I$7:$N$17,5,FALSE)),"-"))))</f>
        <v>-</v>
      </c>
      <c r="M27" s="8" t="str" cm="1">
        <f t="array" aca="1" ref="M27" ca="1">IF(ISNUMBER(FIND("ctrl",INDIRECT("Sheet4!"&amp;"N"&amp;MATCH($C$2,Sheet4!$A:$A,0)+7))),
INDIRECT("Sheet4!"&amp;"N"&amp;MATCH($C$2,Sheet4!$A:$A,0)+7),IF(INDIRECT("Sheet4!"&amp;"N"&amp;MATCH($C$2,Sheet4!$A:$A,0)+7)="Água","Água",
IF(INDIRECT("Sheet4!"&amp;"N"&amp;MATCH($C$2,Sheet4!$A:$A,0)+7)="-","-",
IF(_xlfn.NUMBERVALUE(MID(INDIRECT("Sheet4!"&amp;"N"&amp;MATCH($C$2,Sheet4!$A:$A,0)+7),9,2))&lt;=$C$4,
_xlfn.IFNA(VLOOKUP(INDIRECT("Sheet4!"&amp;"N"&amp;MATCH($C$2,Sheet4!$A:$A,0)+7),$C$7:$H$17,1,FALSE)&amp;CHAR(10)&amp;VLOOKUP(INDIRECT("Sheet4!"&amp;"N"&amp;MATCH($C$2,Sheet4!$A:$A,0)+7),$C$7:$H$17,5,FALSE),
VLOOKUP(INDIRECT("Sheet4!"&amp;"N"&amp;MATCH($C$2,Sheet4!$A:$A,0)+7),$I$7:$N$17,1,FALSE)&amp;CHAR(10)&amp;VLOOKUP(INDIRECT("Sheet4!"&amp;"N"&amp;MATCH($C$2,Sheet4!$A:$A,0)+7),$I$7:$N$17,5,FALSE)),"-"))))</f>
        <v>PIK3CA pos ctrl</v>
      </c>
      <c r="N27" s="8" t="str" cm="1">
        <f t="array" aca="1" ref="N27" ca="1">IF(ISNUMBER(FIND("ctrl",INDIRECT("Sheet4!"&amp;"O"&amp;MATCH($C$2,Sheet4!$A:$A,0)+7))),
INDIRECT("Sheet4!"&amp;"O"&amp;MATCH($C$2,Sheet4!$A:$A,0)+7),IF(INDIRECT("Sheet4!"&amp;"O"&amp;MATCH($C$2,Sheet4!$A:$A,0)+7)="Água","Água",
IF(INDIRECT("Sheet4!"&amp;"O"&amp;MATCH($C$2,Sheet4!$A:$A,0)+7)="-","-",
IF(_xlfn.NUMBERVALUE(MID(INDIRECT("Sheet4!"&amp;"O"&amp;MATCH($C$2,Sheet4!$A:$A,0)+7),9,2))&lt;=$C$4,
_xlfn.IFNA(VLOOKUP(INDIRECT("Sheet4!"&amp;"O"&amp;MATCH($C$2,Sheet4!$A:$A,0)+7),$C$7:$H$17,1,FALSE)&amp;CHAR(10)&amp;VLOOKUP(INDIRECT("Sheet4!"&amp;"O"&amp;MATCH($C$2,Sheet4!$A:$A,0)+7),$C$7:$H$17,5,FALSE),
VLOOKUP(INDIRECT("Sheet4!"&amp;"O"&amp;MATCH($C$2,Sheet4!$A:$A,0)+7),$I$7:$N$17,1,FALSE)&amp;CHAR(10)&amp;VLOOKUP(INDIRECT("Sheet4!"&amp;"O"&amp;MATCH($C$2,Sheet4!$A:$A,0)+7),$I$7:$N$17,5,FALSE)),"-"))))</f>
        <v>Água</v>
      </c>
    </row>
    <row r="28" spans="2:14" ht="15.75" thickBot="1" x14ac:dyDescent="0.3"/>
    <row r="29" spans="2:14" ht="16.5" thickBot="1" x14ac:dyDescent="0.3">
      <c r="C29" s="31" t="s">
        <v>62</v>
      </c>
      <c r="D29" s="33" t="s">
        <v>56</v>
      </c>
      <c r="E29" s="32"/>
      <c r="F29" s="22"/>
      <c r="G29" s="18"/>
      <c r="H29" s="19" t="s">
        <v>57</v>
      </c>
      <c r="I29" s="29" t="s">
        <v>103</v>
      </c>
    </row>
    <row r="30" spans="2:14" ht="16.5" thickBot="1" x14ac:dyDescent="0.3">
      <c r="C30" s="30" t="s">
        <v>61</v>
      </c>
      <c r="D30" s="21"/>
      <c r="E30" s="32"/>
      <c r="F30" s="22"/>
      <c r="G30" s="18"/>
      <c r="H30" s="19" t="s">
        <v>58</v>
      </c>
      <c r="I30" s="20"/>
    </row>
    <row r="31" spans="2:14" ht="16.5" thickBot="1" x14ac:dyDescent="0.3">
      <c r="C31" s="30" t="s">
        <v>60</v>
      </c>
      <c r="D31" s="21" t="s">
        <v>102</v>
      </c>
      <c r="E31" s="22"/>
      <c r="F31" s="22"/>
      <c r="G31" s="18"/>
      <c r="H31" s="19" t="s">
        <v>59</v>
      </c>
      <c r="I31" s="20"/>
    </row>
    <row r="33" spans="2:14" x14ac:dyDescent="0.25">
      <c r="B33" s="24" t="s">
        <v>63</v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2:14" x14ac:dyDescent="0.25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2:14" x14ac:dyDescent="0.25"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</sheetData>
  <sheetProtection selectLockedCells="1"/>
  <conditionalFormatting sqref="B1:N1 B2:D2 F2:H2 J2 I2:I3 K2:N3 I4:N4 B4:D5 I5:J5 M5:N5 B6:N6 B7:F17 H7:N17 B29:B31 B32:N1048576">
    <cfRule type="containsText" dxfId="159" priority="185" operator="containsText" text="Amostra 5">
      <formula>NOT(ISERROR(SEARCH("Amostra 5",B1)))</formula>
    </cfRule>
    <cfRule type="containsText" dxfId="158" priority="184" operator="containsText" text="Amostra 6">
      <formula>NOT(ISERROR(SEARCH("Amostra 6",B1)))</formula>
    </cfRule>
    <cfRule type="containsText" dxfId="157" priority="183" operator="containsText" text="Amostra 7">
      <formula>NOT(ISERROR(SEARCH("Amostra 7",B1)))</formula>
    </cfRule>
    <cfRule type="containsText" dxfId="156" priority="182" operator="containsText" text="Amostra 8">
      <formula>NOT(ISERROR(SEARCH("Amostra 8",B1)))</formula>
    </cfRule>
    <cfRule type="containsText" dxfId="155" priority="181" operator="containsText" text="Amostra 9">
      <formula>NOT(ISERROR(SEARCH("Amostra 9",B1)))</formula>
    </cfRule>
    <cfRule type="containsText" dxfId="154" priority="180" operator="containsText" text="Amostra 10">
      <formula>NOT(ISERROR(SEARCH("Amostra 10",B1)))</formula>
    </cfRule>
    <cfRule type="containsText" dxfId="153" priority="179" operator="containsText" text="Amostra 11">
      <formula>NOT(ISERROR(SEARCH("Amostra 11",B1)))</formula>
    </cfRule>
    <cfRule type="containsText" dxfId="152" priority="178" operator="containsText" text="Amostra 12">
      <formula>NOT(ISERROR(SEARCH("Amostra 12",B1)))</formula>
    </cfRule>
    <cfRule type="containsText" dxfId="151" priority="177" operator="containsText" text="Amostra 13">
      <formula>NOT(ISERROR(SEARCH("Amostra 13",B1)))</formula>
    </cfRule>
    <cfRule type="containsText" dxfId="150" priority="176" operator="containsText" text="Amostra 14">
      <formula>NOT(ISERROR(SEARCH("Amostra 14",B1)))</formula>
    </cfRule>
    <cfRule type="containsText" dxfId="149" priority="175" operator="containsText" text="Amostra 15">
      <formula>NOT(ISERROR(SEARCH("Amostra 15",B1)))</formula>
    </cfRule>
    <cfRule type="containsText" dxfId="148" priority="174" operator="containsText" text="Amostra 16">
      <formula>NOT(ISERROR(SEARCH("Amostra 16",B1)))</formula>
    </cfRule>
    <cfRule type="containsText" dxfId="147" priority="172" operator="containsText" text="Amostra 18">
      <formula>NOT(ISERROR(SEARCH("Amostra 18",B1)))</formula>
    </cfRule>
    <cfRule type="containsText" dxfId="146" priority="171" operator="containsText" text="Amostra 19">
      <formula>NOT(ISERROR(SEARCH("Amostra 19",B1)))</formula>
    </cfRule>
    <cfRule type="containsText" dxfId="145" priority="170" operator="containsText" text="Amostra 20">
      <formula>NOT(ISERROR(SEARCH("Amostra 20",B1)))</formula>
    </cfRule>
    <cfRule type="containsText" dxfId="144" priority="169" operator="containsText" text="Amostra 21">
      <formula>NOT(ISERROR(SEARCH("Amostra 21",B1)))</formula>
    </cfRule>
    <cfRule type="containsText" dxfId="143" priority="189" operator="containsText" text="Amostra 1">
      <formula>NOT(ISERROR(SEARCH("Amostra 1",B1)))</formula>
    </cfRule>
    <cfRule type="containsText" dxfId="142" priority="168" operator="containsText" text="Amostra 22">
      <formula>NOT(ISERROR(SEARCH("Amostra 22",B1)))</formula>
    </cfRule>
    <cfRule type="containsText" dxfId="141" priority="167" operator="containsText" text="pos">
      <formula>NOT(ISERROR(SEARCH("pos",B1)))</formula>
    </cfRule>
    <cfRule type="containsText" dxfId="140" priority="166" operator="containsText" text="WT">
      <formula>NOT(ISERROR(SEARCH("WT",B1)))</formula>
    </cfRule>
    <cfRule type="containsText" dxfId="139" priority="173" operator="containsText" text="Amostra 17">
      <formula>NOT(ISERROR(SEARCH("Amostra 17",B1)))</formula>
    </cfRule>
    <cfRule type="containsText" dxfId="138" priority="188" operator="containsText" text="Amostra 2">
      <formula>NOT(ISERROR(SEARCH("Amostra 2",B1)))</formula>
    </cfRule>
    <cfRule type="containsText" dxfId="137" priority="187" operator="containsText" text="Amostra 3">
      <formula>NOT(ISERROR(SEARCH("Amostra 3",B1)))</formula>
    </cfRule>
    <cfRule type="containsText" dxfId="136" priority="186" operator="containsText" text="Amostra 4">
      <formula>NOT(ISERROR(SEARCH("Amostra 4",B1)))</formula>
    </cfRule>
  </conditionalFormatting>
  <conditionalFormatting sqref="B18:N28">
    <cfRule type="containsText" dxfId="135" priority="1" operator="containsText" text="Água">
      <formula>NOT(ISERROR(SEARCH("Água",B18)))</formula>
    </cfRule>
    <cfRule type="containsText" dxfId="134" priority="2" operator="containsText" text="WT">
      <formula>NOT(ISERROR(SEARCH("WT",B18)))</formula>
    </cfRule>
    <cfRule type="containsText" dxfId="133" priority="3" operator="containsText" text="pos">
      <formula>NOT(ISERROR(SEARCH("pos",B18)))</formula>
    </cfRule>
    <cfRule type="containsText" dxfId="132" priority="4" operator="containsText" text="Amostra 22">
      <formula>NOT(ISERROR(SEARCH("Amostra 22",B18)))</formula>
    </cfRule>
    <cfRule type="containsText" dxfId="131" priority="5" operator="containsText" text="Amostra 21">
      <formula>NOT(ISERROR(SEARCH("Amostra 21",B18)))</formula>
    </cfRule>
    <cfRule type="containsText" dxfId="130" priority="6" operator="containsText" text="Amostra 20">
      <formula>NOT(ISERROR(SEARCH("Amostra 20",B18)))</formula>
    </cfRule>
    <cfRule type="containsText" dxfId="129" priority="7" operator="containsText" text="Amostra 19">
      <formula>NOT(ISERROR(SEARCH("Amostra 19",B18)))</formula>
    </cfRule>
    <cfRule type="containsText" dxfId="128" priority="8" operator="containsText" text="Amostra 18">
      <formula>NOT(ISERROR(SEARCH("Amostra 18",B18)))</formula>
    </cfRule>
    <cfRule type="containsText" dxfId="127" priority="9" operator="containsText" text="Amostra 17">
      <formula>NOT(ISERROR(SEARCH("Amostra 17",B18)))</formula>
    </cfRule>
    <cfRule type="containsText" dxfId="126" priority="10" operator="containsText" text="Amostra 16">
      <formula>NOT(ISERROR(SEARCH("Amostra 16",B18)))</formula>
    </cfRule>
    <cfRule type="containsText" dxfId="125" priority="11" operator="containsText" text="Amostra 15">
      <formula>NOT(ISERROR(SEARCH("Amostra 15",B18)))</formula>
    </cfRule>
    <cfRule type="containsText" dxfId="124" priority="12" operator="containsText" text="Amostra 14">
      <formula>NOT(ISERROR(SEARCH("Amostra 14",B18)))</formula>
    </cfRule>
    <cfRule type="containsText" dxfId="123" priority="13" operator="containsText" text="Amostra 13">
      <formula>NOT(ISERROR(SEARCH("Amostra 13",B18)))</formula>
    </cfRule>
    <cfRule type="containsText" dxfId="122" priority="14" operator="containsText" text="Amostra 12">
      <formula>NOT(ISERROR(SEARCH("Amostra 12",B18)))</formula>
    </cfRule>
    <cfRule type="containsText" dxfId="121" priority="15" operator="containsText" text="Amostra 11">
      <formula>NOT(ISERROR(SEARCH("Amostra 11",B18)))</formula>
    </cfRule>
    <cfRule type="containsText" dxfId="120" priority="16" operator="containsText" text="Amostra 10">
      <formula>NOT(ISERROR(SEARCH("Amostra 10",B18)))</formula>
    </cfRule>
    <cfRule type="containsText" dxfId="119" priority="18" operator="containsText" text="Amostra 8">
      <formula>NOT(ISERROR(SEARCH("Amostra 8",B18)))</formula>
    </cfRule>
    <cfRule type="containsText" dxfId="118" priority="19" operator="containsText" text="Amostra 7">
      <formula>NOT(ISERROR(SEARCH("Amostra 7",B18)))</formula>
    </cfRule>
    <cfRule type="containsText" dxfId="117" priority="20" operator="containsText" text="Amostra 6">
      <formula>NOT(ISERROR(SEARCH("Amostra 6",B18)))</formula>
    </cfRule>
    <cfRule type="containsText" dxfId="116" priority="21" operator="containsText" text="Amostra 5">
      <formula>NOT(ISERROR(SEARCH("Amostra 5",B18)))</formula>
    </cfRule>
    <cfRule type="containsText" dxfId="115" priority="22" operator="containsText" text="Amostra 4">
      <formula>NOT(ISERROR(SEARCH("Amostra 4",B18)))</formula>
    </cfRule>
    <cfRule type="containsText" dxfId="114" priority="23" operator="containsText" text="Amostra 3">
      <formula>NOT(ISERROR(SEARCH("Amostra 3",B18)))</formula>
    </cfRule>
    <cfRule type="containsText" dxfId="113" priority="24" operator="containsText" text="Amostra 2">
      <formula>NOT(ISERROR(SEARCH("Amostra 2",B18)))</formula>
    </cfRule>
    <cfRule type="containsText" dxfId="112" priority="25" operator="containsText" text="Amostra 1">
      <formula>NOT(ISERROR(SEARCH("Amostra 1",B18)))</formula>
    </cfRule>
    <cfRule type="containsText" dxfId="111" priority="17" operator="containsText" text="Amostra 9">
      <formula>NOT(ISERROR(SEARCH("Amostra 9",B18)))</formula>
    </cfRule>
  </conditionalFormatting>
  <conditionalFormatting sqref="D7:E17">
    <cfRule type="expression" dxfId="109" priority="160">
      <formula>ISNUMBER(FIND("Amostra",$C7))</formula>
    </cfRule>
  </conditionalFormatting>
  <conditionalFormatting sqref="D4:F4">
    <cfRule type="expression" dxfId="108" priority="52">
      <formula>ISNUMBER(FIND("ERRO",$D$4))</formula>
    </cfRule>
  </conditionalFormatting>
  <conditionalFormatting sqref="F7:F17">
    <cfRule type="expression" dxfId="107" priority="54">
      <formula>ISNUMBER(FIND("Amostra",$C7))</formula>
    </cfRule>
  </conditionalFormatting>
  <conditionalFormatting sqref="G7:H17">
    <cfRule type="expression" dxfId="106" priority="162">
      <formula>ISNUMBER(FIND("Amostra",$C7))</formula>
    </cfRule>
  </conditionalFormatting>
  <conditionalFormatting sqref="H7:N17 B7:F17 I4:N4 B4:D5 B1:N1 B2:D2 F2:H2 J2 I2:I3 K2:N3 I5:J5 M5:N5 B6:N6 B29:B31 B32:N1048576">
    <cfRule type="containsText" dxfId="105" priority="165" operator="containsText" text="Água">
      <formula>NOT(ISERROR(SEARCH("Água",B1)))</formula>
    </cfRule>
  </conditionalFormatting>
  <conditionalFormatting sqref="I29:N31">
    <cfRule type="containsText" dxfId="104" priority="27" operator="containsText" text="Água">
      <formula>NOT(ISERROR(SEARCH("Água",I29)))</formula>
    </cfRule>
    <cfRule type="containsText" dxfId="103" priority="28" operator="containsText" text="WT">
      <formula>NOT(ISERROR(SEARCH("WT",I29)))</formula>
    </cfRule>
    <cfRule type="containsText" dxfId="102" priority="29" operator="containsText" text="pos">
      <formula>NOT(ISERROR(SEARCH("pos",I29)))</formula>
    </cfRule>
    <cfRule type="containsText" dxfId="101" priority="30" operator="containsText" text="Amostra 22">
      <formula>NOT(ISERROR(SEARCH("Amostra 22",I29)))</formula>
    </cfRule>
    <cfRule type="containsText" dxfId="100" priority="31" operator="containsText" text="Amostra 21">
      <formula>NOT(ISERROR(SEARCH("Amostra 21",I29)))</formula>
    </cfRule>
    <cfRule type="containsText" dxfId="99" priority="32" operator="containsText" text="Amostra 20">
      <formula>NOT(ISERROR(SEARCH("Amostra 20",I29)))</formula>
    </cfRule>
    <cfRule type="containsText" dxfId="98" priority="33" operator="containsText" text="Amostra 19">
      <formula>NOT(ISERROR(SEARCH("Amostra 19",I29)))</formula>
    </cfRule>
    <cfRule type="containsText" dxfId="97" priority="34" operator="containsText" text="Amostra 18">
      <formula>NOT(ISERROR(SEARCH("Amostra 18",I29)))</formula>
    </cfRule>
    <cfRule type="containsText" dxfId="96" priority="35" operator="containsText" text="Amostra 17">
      <formula>NOT(ISERROR(SEARCH("Amostra 17",I29)))</formula>
    </cfRule>
    <cfRule type="containsText" dxfId="95" priority="36" operator="containsText" text="Amostra 16">
      <formula>NOT(ISERROR(SEARCH("Amostra 16",I29)))</formula>
    </cfRule>
    <cfRule type="containsText" dxfId="94" priority="37" operator="containsText" text="Amostra 15">
      <formula>NOT(ISERROR(SEARCH("Amostra 15",I29)))</formula>
    </cfRule>
    <cfRule type="containsText" dxfId="93" priority="38" operator="containsText" text="Amostra 14">
      <formula>NOT(ISERROR(SEARCH("Amostra 14",I29)))</formula>
    </cfRule>
    <cfRule type="containsText" dxfId="92" priority="39" operator="containsText" text="Amostra 13">
      <formula>NOT(ISERROR(SEARCH("Amostra 13",I29)))</formula>
    </cfRule>
    <cfRule type="containsText" dxfId="91" priority="40" operator="containsText" text="Amostra 12">
      <formula>NOT(ISERROR(SEARCH("Amostra 12",I29)))</formula>
    </cfRule>
    <cfRule type="containsText" dxfId="90" priority="41" operator="containsText" text="Amostra 11">
      <formula>NOT(ISERROR(SEARCH("Amostra 11",I29)))</formula>
    </cfRule>
    <cfRule type="containsText" dxfId="89" priority="42" operator="containsText" text="Amostra 10">
      <formula>NOT(ISERROR(SEARCH("Amostra 10",I29)))</formula>
    </cfRule>
    <cfRule type="containsText" dxfId="88" priority="43" operator="containsText" text="Amostra 9">
      <formula>NOT(ISERROR(SEARCH("Amostra 9",I29)))</formula>
    </cfRule>
    <cfRule type="containsText" dxfId="87" priority="44" operator="containsText" text="Amostra 8">
      <formula>NOT(ISERROR(SEARCH("Amostra 8",I29)))</formula>
    </cfRule>
    <cfRule type="containsText" dxfId="86" priority="47" operator="containsText" text="Amostra 5">
      <formula>NOT(ISERROR(SEARCH("Amostra 5",I29)))</formula>
    </cfRule>
    <cfRule type="containsText" dxfId="85" priority="48" operator="containsText" text="Amostra 4">
      <formula>NOT(ISERROR(SEARCH("Amostra 4",I29)))</formula>
    </cfRule>
    <cfRule type="containsText" dxfId="84" priority="49" operator="containsText" text="Amostra 3">
      <formula>NOT(ISERROR(SEARCH("Amostra 3",I29)))</formula>
    </cfRule>
    <cfRule type="containsText" dxfId="83" priority="50" operator="containsText" text="Amostra 2">
      <formula>NOT(ISERROR(SEARCH("Amostra 2",I29)))</formula>
    </cfRule>
    <cfRule type="containsText" dxfId="82" priority="51" operator="containsText" text="Amostra 1">
      <formula>NOT(ISERROR(SEARCH("Amostra 1",I29)))</formula>
    </cfRule>
    <cfRule type="containsText" dxfId="81" priority="46" operator="containsText" text="Amostra 6">
      <formula>NOT(ISERROR(SEARCH("Amostra 6",I29)))</formula>
    </cfRule>
    <cfRule type="containsText" dxfId="80" priority="45" operator="containsText" text="Amostra 7">
      <formula>NOT(ISERROR(SEARCH("Amostra 7",I29)))</formula>
    </cfRule>
  </conditionalFormatting>
  <conditionalFormatting sqref="J7:K17">
    <cfRule type="expression" dxfId="79" priority="159">
      <formula>ISNUMBER(FIND("Amostra",$I7))</formula>
    </cfRule>
  </conditionalFormatting>
  <conditionalFormatting sqref="K5:L5">
    <cfRule type="containsText" dxfId="78" priority="71" operator="containsText" text="Amostra 10">
      <formula>NOT(ISERROR(SEARCH("Amostra 10",K5)))</formula>
    </cfRule>
    <cfRule type="containsText" dxfId="77" priority="72" operator="containsText" text="Amostra 9">
      <formula>NOT(ISERROR(SEARCH("Amostra 9",K5)))</formula>
    </cfRule>
    <cfRule type="containsText" dxfId="76" priority="73" operator="containsText" text="Amostra 8">
      <formula>NOT(ISERROR(SEARCH("Amostra 8",K5)))</formula>
    </cfRule>
    <cfRule type="containsText" dxfId="75" priority="74" operator="containsText" text="Amostra 7">
      <formula>NOT(ISERROR(SEARCH("Amostra 7",K5)))</formula>
    </cfRule>
    <cfRule type="containsText" dxfId="74" priority="75" operator="containsText" text="Amostra 6">
      <formula>NOT(ISERROR(SEARCH("Amostra 6",K5)))</formula>
    </cfRule>
    <cfRule type="containsText" dxfId="73" priority="76" operator="containsText" text="Amostra 5">
      <formula>NOT(ISERROR(SEARCH("Amostra 5",K5)))</formula>
    </cfRule>
    <cfRule type="containsText" dxfId="72" priority="77" operator="containsText" text="Amostra 4">
      <formula>NOT(ISERROR(SEARCH("Amostra 4",K5)))</formula>
    </cfRule>
    <cfRule type="containsText" dxfId="71" priority="78" operator="containsText" text="Amostra 3">
      <formula>NOT(ISERROR(SEARCH("Amostra 3",K5)))</formula>
    </cfRule>
    <cfRule type="containsText" dxfId="70" priority="79" operator="containsText" text="Amostra 2">
      <formula>NOT(ISERROR(SEARCH("Amostra 2",K5)))</formula>
    </cfRule>
    <cfRule type="containsText" dxfId="69" priority="80" operator="containsText" text="Amostra 1">
      <formula>NOT(ISERROR(SEARCH("Amostra 1",K5)))</formula>
    </cfRule>
    <cfRule type="containsText" dxfId="68" priority="67" operator="containsText" text="Amostra 14">
      <formula>NOT(ISERROR(SEARCH("Amostra 14",K5)))</formula>
    </cfRule>
    <cfRule type="containsText" dxfId="67" priority="63" operator="containsText" text="Amostra 18">
      <formula>NOT(ISERROR(SEARCH("Amostra 18",K5)))</formula>
    </cfRule>
    <cfRule type="containsText" dxfId="66" priority="66" operator="containsText" text="Amostra 15">
      <formula>NOT(ISERROR(SEARCH("Amostra 15",K5)))</formula>
    </cfRule>
    <cfRule type="containsText" dxfId="65" priority="65" operator="containsText" text="Amostra 16">
      <formula>NOT(ISERROR(SEARCH("Amostra 16",K5)))</formula>
    </cfRule>
    <cfRule type="containsText" dxfId="64" priority="64" operator="containsText" text="Amostra 17">
      <formula>NOT(ISERROR(SEARCH("Amostra 17",K5)))</formula>
    </cfRule>
    <cfRule type="containsText" dxfId="63" priority="62" operator="containsText" text="Amostra 19">
      <formula>NOT(ISERROR(SEARCH("Amostra 19",K5)))</formula>
    </cfRule>
    <cfRule type="containsText" dxfId="62" priority="61" operator="containsText" text="Amostra 20">
      <formula>NOT(ISERROR(SEARCH("Amostra 20",K5)))</formula>
    </cfRule>
    <cfRule type="containsText" dxfId="61" priority="60" operator="containsText" text="Amostra 21">
      <formula>NOT(ISERROR(SEARCH("Amostra 21",K5)))</formula>
    </cfRule>
    <cfRule type="containsText" dxfId="60" priority="68" operator="containsText" text="Amostra 13">
      <formula>NOT(ISERROR(SEARCH("Amostra 13",K5)))</formula>
    </cfRule>
    <cfRule type="containsText" dxfId="59" priority="59" operator="containsText" text="Amostra 22">
      <formula>NOT(ISERROR(SEARCH("Amostra 22",K5)))</formula>
    </cfRule>
    <cfRule type="containsText" dxfId="58" priority="58" operator="containsText" text="pos">
      <formula>NOT(ISERROR(SEARCH("pos",K5)))</formula>
    </cfRule>
    <cfRule type="containsText" dxfId="57" priority="57" operator="containsText" text="WT">
      <formula>NOT(ISERROR(SEARCH("WT",K5)))</formula>
    </cfRule>
    <cfRule type="containsText" dxfId="56" priority="56" operator="containsText" text="Agua">
      <formula>NOT(ISERROR(SEARCH("Agua",K5)))</formula>
    </cfRule>
    <cfRule type="containsText" dxfId="54" priority="69" operator="containsText" text="Amostra 12">
      <formula>NOT(ISERROR(SEARCH("Amostra 12",K5)))</formula>
    </cfRule>
    <cfRule type="containsText" dxfId="53" priority="70" operator="containsText" text="Amostra 11">
      <formula>NOT(ISERROR(SEARCH("Amostra 11",K5)))</formula>
    </cfRule>
  </conditionalFormatting>
  <conditionalFormatting sqref="K4:M4">
    <cfRule type="containsText" dxfId="52" priority="117" operator="containsText" text="Amostra 16">
      <formula>NOT(ISERROR(SEARCH("Amostra 16",K4)))</formula>
    </cfRule>
    <cfRule type="containsText" dxfId="51" priority="116" operator="containsText" text="Amostra 17">
      <formula>NOT(ISERROR(SEARCH("Amostra 17",K4)))</formula>
    </cfRule>
    <cfRule type="containsText" dxfId="50" priority="115" operator="containsText" text="Amostra 18">
      <formula>NOT(ISERROR(SEARCH("Amostra 18",K4)))</formula>
    </cfRule>
    <cfRule type="containsText" dxfId="49" priority="120" operator="containsText" text="Amostra 13">
      <formula>NOT(ISERROR(SEARCH("Amostra 13",K4)))</formula>
    </cfRule>
    <cfRule type="containsText" dxfId="48" priority="121" operator="containsText" text="Amostra 12">
      <formula>NOT(ISERROR(SEARCH("Amostra 12",K4)))</formula>
    </cfRule>
    <cfRule type="containsText" dxfId="47" priority="122" operator="containsText" text="Amostra 11">
      <formula>NOT(ISERROR(SEARCH("Amostra 11",K4)))</formula>
    </cfRule>
    <cfRule type="containsText" dxfId="46" priority="114" operator="containsText" text="Amostra 19">
      <formula>NOT(ISERROR(SEARCH("Amostra 19",K4)))</formula>
    </cfRule>
    <cfRule type="containsText" dxfId="45" priority="123" operator="containsText" text="Amostra 10">
      <formula>NOT(ISERROR(SEARCH("Amostra 10",K4)))</formula>
    </cfRule>
    <cfRule type="containsText" dxfId="44" priority="124" operator="containsText" text="Amostra 9">
      <formula>NOT(ISERROR(SEARCH("Amostra 9",K4)))</formula>
    </cfRule>
    <cfRule type="containsText" dxfId="43" priority="125" operator="containsText" text="Amostra 8">
      <formula>NOT(ISERROR(SEARCH("Amostra 8",K4)))</formula>
    </cfRule>
    <cfRule type="containsText" dxfId="42" priority="126" operator="containsText" text="Amostra 7">
      <formula>NOT(ISERROR(SEARCH("Amostra 7",K4)))</formula>
    </cfRule>
    <cfRule type="containsText" dxfId="41" priority="127" operator="containsText" text="Amostra 6">
      <formula>NOT(ISERROR(SEARCH("Amostra 6",K4)))</formula>
    </cfRule>
    <cfRule type="containsText" dxfId="40" priority="128" operator="containsText" text="Amostra 5">
      <formula>NOT(ISERROR(SEARCH("Amostra 5",K4)))</formula>
    </cfRule>
    <cfRule type="containsText" dxfId="39" priority="119" operator="containsText" text="Amostra 14">
      <formula>NOT(ISERROR(SEARCH("Amostra 14",K4)))</formula>
    </cfRule>
    <cfRule type="containsText" dxfId="38" priority="130" operator="containsText" text="Amostra 3">
      <formula>NOT(ISERROR(SEARCH("Amostra 3",K4)))</formula>
    </cfRule>
    <cfRule type="containsText" dxfId="37" priority="131" operator="containsText" text="Amostra 2">
      <formula>NOT(ISERROR(SEARCH("Amostra 2",K4)))</formula>
    </cfRule>
    <cfRule type="containsText" dxfId="36" priority="109" operator="containsText" text="WT">
      <formula>NOT(ISERROR(SEARCH("WT",K4)))</formula>
    </cfRule>
    <cfRule type="containsText" dxfId="35" priority="113" operator="containsText" text="Amostra 20">
      <formula>NOT(ISERROR(SEARCH("Amostra 20",K4)))</formula>
    </cfRule>
    <cfRule type="containsText" dxfId="34" priority="112" operator="containsText" text="Amostra 21">
      <formula>NOT(ISERROR(SEARCH("Amostra 21",K4)))</formula>
    </cfRule>
    <cfRule type="containsText" dxfId="33" priority="111" operator="containsText" text="Amostra 22">
      <formula>NOT(ISERROR(SEARCH("Amostra 22",K4)))</formula>
    </cfRule>
    <cfRule type="containsText" dxfId="32" priority="110" operator="containsText" text="pos">
      <formula>NOT(ISERROR(SEARCH("pos",K4)))</formula>
    </cfRule>
    <cfRule type="containsText" dxfId="31" priority="108" operator="containsText" text="Agua">
      <formula>NOT(ISERROR(SEARCH("Agua",K4)))</formula>
    </cfRule>
    <cfRule type="containsText" dxfId="29" priority="132" operator="containsText" text="Amostra 1">
      <formula>NOT(ISERROR(SEARCH("Amostra 1",K4)))</formula>
    </cfRule>
    <cfRule type="containsText" dxfId="28" priority="118" operator="containsText" text="Amostra 15">
      <formula>NOT(ISERROR(SEARCH("Amostra 15",K4)))</formula>
    </cfRule>
    <cfRule type="containsText" dxfId="27" priority="129" operator="containsText" text="Amostra 4">
      <formula>NOT(ISERROR(SEARCH("Amostra 4",K4)))</formula>
    </cfRule>
  </conditionalFormatting>
  <conditionalFormatting sqref="L7:L17">
    <cfRule type="expression" dxfId="26" priority="53">
      <formula>ISNUMBER(FIND("Amostra",$I7))</formula>
    </cfRule>
  </conditionalFormatting>
  <conditionalFormatting sqref="M7:N17">
    <cfRule type="expression" dxfId="25" priority="161">
      <formula>ISNUMBER(FIND("Amostra",$I7))</formula>
    </cfRule>
  </conditionalFormatting>
  <dataValidations count="1">
    <dataValidation type="whole" allowBlank="1" showInputMessage="1" showErrorMessage="1" sqref="C4" xr:uid="{4A355F9E-D6F0-45B9-A309-E36855E9CD29}">
      <formula1>1</formula1>
      <formula2>22</formula2>
    </dataValidation>
  </dataValidations>
  <pageMargins left="0.25" right="0.25" top="0.75" bottom="0.75" header="0.3" footer="0.3"/>
  <pageSetup paperSize="9" scale="60" orientation="landscape" r:id="rId1"/>
  <headerFooter>
    <oddHeader xml:space="preserve">&amp;L&amp;G&amp;RFQX.AA.BB – Formulário diluição de amostras RT-PCR – Revisão 00           </oddHead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6" operator="containsText" id="{1AC01C34-ADCF-4B4D-A261-D6824571EFE6}">
            <xm:f>NOT(ISERROR(SEARCH("-",C20)))</xm:f>
            <xm:f>"-"</xm:f>
            <x14:dxf>
              <fill>
                <patternFill>
                  <bgColor rgb="FFFFC000"/>
                </patternFill>
              </fill>
            </x14:dxf>
          </x14:cfRule>
          <xm:sqref>C20:N27</xm:sqref>
        </x14:conditionalFormatting>
        <x14:conditionalFormatting xmlns:xm="http://schemas.microsoft.com/office/excel/2006/main">
          <x14:cfRule type="containsText" priority="55" operator="containsText" id="{CF79CD03-964E-46BD-BC09-E9E7193B7309}">
            <xm:f>NOT(ISERROR(SEARCH("-",K5)))</xm:f>
            <xm:f>"-"</xm:f>
            <x14:dxf>
              <fill>
                <patternFill>
                  <bgColor rgb="FFFFC000"/>
                </patternFill>
              </fill>
            </x14:dxf>
          </x14:cfRule>
          <xm:sqref>K5:L5</xm:sqref>
        </x14:conditionalFormatting>
        <x14:conditionalFormatting xmlns:xm="http://schemas.microsoft.com/office/excel/2006/main">
          <x14:cfRule type="containsText" priority="107" operator="containsText" id="{42BBD7A8-52A6-42CC-B5D8-5D7D426780B8}">
            <xm:f>NOT(ISERROR(SEARCH("-",K4)))</xm:f>
            <xm:f>"-"</xm:f>
            <x14:dxf>
              <fill>
                <patternFill>
                  <bgColor rgb="FFFFC000"/>
                </patternFill>
              </fill>
            </x14:dxf>
          </x14:cfRule>
          <xm:sqref>K4:M4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1F4087-714F-4F14-BB07-01AD202580AA}">
          <x14:formula1>
            <xm:f>'Calculos pré definidos'!$A$2:$A$10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B834-F4E5-4938-909D-92BD5B5142C6}">
  <sheetPr codeName="Planilha3"/>
  <dimension ref="A1:D16"/>
  <sheetViews>
    <sheetView workbookViewId="0">
      <selection activeCell="A33" sqref="A33"/>
    </sheetView>
  </sheetViews>
  <sheetFormatPr defaultRowHeight="15" x14ac:dyDescent="0.25"/>
  <cols>
    <col min="1" max="1" width="40.7109375" bestFit="1" customWidth="1"/>
    <col min="2" max="2" width="22.85546875" customWidth="1"/>
    <col min="3" max="3" width="13.85546875" style="4" customWidth="1"/>
    <col min="4" max="4" width="15.85546875" customWidth="1"/>
  </cols>
  <sheetData>
    <row r="1" spans="1:4" ht="15.75" thickBot="1" x14ac:dyDescent="0.3">
      <c r="A1" s="38" t="s">
        <v>81</v>
      </c>
      <c r="B1" s="39" t="s">
        <v>82</v>
      </c>
      <c r="C1" s="42" t="s">
        <v>83</v>
      </c>
      <c r="D1" s="45"/>
    </row>
    <row r="2" spans="1:4" ht="15.75" thickBot="1" x14ac:dyDescent="0.3">
      <c r="A2" s="21" t="s">
        <v>73</v>
      </c>
      <c r="B2" s="21" t="s">
        <v>68</v>
      </c>
      <c r="C2" s="41">
        <v>45230</v>
      </c>
      <c r="D2" s="46">
        <v>45120</v>
      </c>
    </row>
    <row r="3" spans="1:4" ht="15.75" thickBot="1" x14ac:dyDescent="0.3">
      <c r="A3" s="21" t="s">
        <v>74</v>
      </c>
      <c r="B3" s="21" t="s">
        <v>67</v>
      </c>
      <c r="C3" s="41">
        <v>44957</v>
      </c>
      <c r="D3" s="46">
        <v>45120</v>
      </c>
    </row>
    <row r="4" spans="1:4" ht="15.75" thickBot="1" x14ac:dyDescent="0.3">
      <c r="A4" s="21" t="s">
        <v>75</v>
      </c>
      <c r="B4" s="21" t="s">
        <v>69</v>
      </c>
      <c r="C4" s="41">
        <v>45322</v>
      </c>
      <c r="D4" s="46"/>
    </row>
    <row r="5" spans="1:4" ht="15.75" thickBot="1" x14ac:dyDescent="0.3">
      <c r="A5" s="21" t="s">
        <v>76</v>
      </c>
      <c r="B5" s="21" t="s">
        <v>70</v>
      </c>
      <c r="C5" s="41">
        <v>45350</v>
      </c>
      <c r="D5" s="46"/>
    </row>
    <row r="6" spans="1:4" ht="15.75" thickBot="1" x14ac:dyDescent="0.3">
      <c r="A6" s="21" t="s">
        <v>77</v>
      </c>
      <c r="B6" s="21" t="s">
        <v>71</v>
      </c>
      <c r="C6" s="41">
        <v>44957</v>
      </c>
      <c r="D6" s="46">
        <v>45073</v>
      </c>
    </row>
    <row r="7" spans="1:4" ht="15.75" thickBot="1" x14ac:dyDescent="0.3">
      <c r="A7" s="21" t="s">
        <v>78</v>
      </c>
      <c r="B7" s="21" t="s">
        <v>66</v>
      </c>
      <c r="C7" s="41">
        <v>44910</v>
      </c>
      <c r="D7" s="46"/>
    </row>
    <row r="8" spans="1:4" ht="15.75" thickBot="1" x14ac:dyDescent="0.3">
      <c r="A8" s="21" t="s">
        <v>79</v>
      </c>
      <c r="B8" s="21" t="s">
        <v>72</v>
      </c>
      <c r="C8" s="41">
        <v>44865</v>
      </c>
      <c r="D8" s="46"/>
    </row>
    <row r="9" spans="1:4" ht="15.75" thickBot="1" x14ac:dyDescent="0.3">
      <c r="A9" s="21" t="s">
        <v>80</v>
      </c>
      <c r="B9" s="21" t="s">
        <v>65</v>
      </c>
      <c r="C9" s="41">
        <v>44957</v>
      </c>
      <c r="D9" s="46">
        <v>45120</v>
      </c>
    </row>
    <row r="10" spans="1:4" ht="15.75" thickBot="1" x14ac:dyDescent="0.3">
      <c r="A10" s="21" t="s">
        <v>100</v>
      </c>
      <c r="B10" s="21" t="s">
        <v>101</v>
      </c>
      <c r="C10" s="41">
        <v>44985</v>
      </c>
      <c r="D10" s="46">
        <v>45143</v>
      </c>
    </row>
    <row r="14" spans="1:4" x14ac:dyDescent="0.25">
      <c r="A14" s="43" t="s">
        <v>104</v>
      </c>
      <c r="B14" s="43" t="s">
        <v>105</v>
      </c>
    </row>
    <row r="15" spans="1:4" x14ac:dyDescent="0.25">
      <c r="A15" s="44" t="s">
        <v>74</v>
      </c>
      <c r="B15" s="43">
        <v>1</v>
      </c>
    </row>
    <row r="16" spans="1:4" x14ac:dyDescent="0.25">
      <c r="A16" s="44" t="s">
        <v>80</v>
      </c>
      <c r="B16" s="43">
        <v>1</v>
      </c>
    </row>
  </sheetData>
  <conditionalFormatting sqref="D2:D10">
    <cfRule type="containsText" dxfId="24" priority="1" operator="containsText" text="Água">
      <formula>NOT(ISERROR(SEARCH("Água",D2)))</formula>
    </cfRule>
    <cfRule type="containsText" dxfId="23" priority="2" operator="containsText" text="WT">
      <formula>NOT(ISERROR(SEARCH("WT",D2)))</formula>
    </cfRule>
    <cfRule type="containsText" dxfId="22" priority="3" operator="containsText" text="pos">
      <formula>NOT(ISERROR(SEARCH("pos",D2)))</formula>
    </cfRule>
    <cfRule type="containsText" dxfId="21" priority="4" operator="containsText" text="Amostra 22">
      <formula>NOT(ISERROR(SEARCH("Amostra 22",D2)))</formula>
    </cfRule>
    <cfRule type="containsText" dxfId="20" priority="5" operator="containsText" text="Amostra 21">
      <formula>NOT(ISERROR(SEARCH("Amostra 21",D2)))</formula>
    </cfRule>
    <cfRule type="containsText" dxfId="19" priority="6" operator="containsText" text="Amostra 20">
      <formula>NOT(ISERROR(SEARCH("Amostra 20",D2)))</formula>
    </cfRule>
    <cfRule type="containsText" dxfId="18" priority="7" operator="containsText" text="Amostra 19">
      <formula>NOT(ISERROR(SEARCH("Amostra 19",D2)))</formula>
    </cfRule>
    <cfRule type="containsText" dxfId="17" priority="8" operator="containsText" text="Amostra 18">
      <formula>NOT(ISERROR(SEARCH("Amostra 18",D2)))</formula>
    </cfRule>
    <cfRule type="containsText" dxfId="16" priority="9" operator="containsText" text="Amostra 17">
      <formula>NOT(ISERROR(SEARCH("Amostra 17",D2)))</formula>
    </cfRule>
    <cfRule type="containsText" dxfId="15" priority="10" operator="containsText" text="Amostra 16">
      <formula>NOT(ISERROR(SEARCH("Amostra 16",D2)))</formula>
    </cfRule>
    <cfRule type="containsText" dxfId="14" priority="11" operator="containsText" text="Amostra 15">
      <formula>NOT(ISERROR(SEARCH("Amostra 15",D2)))</formula>
    </cfRule>
    <cfRule type="containsText" dxfId="13" priority="12" operator="containsText" text="Amostra 14">
      <formula>NOT(ISERROR(SEARCH("Amostra 14",D2)))</formula>
    </cfRule>
    <cfRule type="containsText" dxfId="12" priority="13" operator="containsText" text="Amostra 13">
      <formula>NOT(ISERROR(SEARCH("Amostra 13",D2)))</formula>
    </cfRule>
    <cfRule type="containsText" dxfId="11" priority="14" operator="containsText" text="Amostra 12">
      <formula>NOT(ISERROR(SEARCH("Amostra 12",D2)))</formula>
    </cfRule>
    <cfRule type="containsText" dxfId="10" priority="15" operator="containsText" text="Amostra 11">
      <formula>NOT(ISERROR(SEARCH("Amostra 11",D2)))</formula>
    </cfRule>
    <cfRule type="containsText" dxfId="9" priority="16" operator="containsText" text="Amostra 10">
      <formula>NOT(ISERROR(SEARCH("Amostra 10",D2)))</formula>
    </cfRule>
    <cfRule type="containsText" dxfId="8" priority="17" operator="containsText" text="Amostra 9">
      <formula>NOT(ISERROR(SEARCH("Amostra 9",D2)))</formula>
    </cfRule>
    <cfRule type="containsText" dxfId="7" priority="18" operator="containsText" text="Amostra 8">
      <formula>NOT(ISERROR(SEARCH("Amostra 8",D2)))</formula>
    </cfRule>
    <cfRule type="containsText" dxfId="6" priority="19" operator="containsText" text="Amostra 7">
      <formula>NOT(ISERROR(SEARCH("Amostra 7",D2)))</formula>
    </cfRule>
    <cfRule type="containsText" dxfId="5" priority="20" operator="containsText" text="Amostra 6">
      <formula>NOT(ISERROR(SEARCH("Amostra 6",D2)))</formula>
    </cfRule>
    <cfRule type="containsText" dxfId="4" priority="21" operator="containsText" text="Amostra 5">
      <formula>NOT(ISERROR(SEARCH("Amostra 5",D2)))</formula>
    </cfRule>
    <cfRule type="containsText" dxfId="3" priority="22" operator="containsText" text="Amostra 4">
      <formula>NOT(ISERROR(SEARCH("Amostra 4",D2)))</formula>
    </cfRule>
    <cfRule type="containsText" dxfId="2" priority="23" operator="containsText" text="Amostra 3">
      <formula>NOT(ISERROR(SEARCH("Amostra 3",D2)))</formula>
    </cfRule>
    <cfRule type="containsText" dxfId="1" priority="24" operator="containsText" text="Amostra 2">
      <formula>NOT(ISERROR(SEARCH("Amostra 2",D2)))</formula>
    </cfRule>
    <cfRule type="containsText" dxfId="0" priority="25" operator="containsText" text="Amostra 1">
      <formula>NOT(ISERROR(SEARCH("Amostra 1",D2)))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93A1-60A7-44C3-A857-232C8663DFB5}">
  <sheetPr codeName="Planilha35"/>
  <dimension ref="B1:N35"/>
  <sheetViews>
    <sheetView view="pageBreakPreview" zoomScaleNormal="40" zoomScaleSheetLayoutView="100" zoomScalePageLayoutView="70" workbookViewId="0">
      <selection activeCell="K14" sqref="A14:K15"/>
    </sheetView>
  </sheetViews>
  <sheetFormatPr defaultColWidth="9.140625" defaultRowHeight="15" x14ac:dyDescent="0.25"/>
  <cols>
    <col min="1" max="1" width="18.140625" style="2" customWidth="1"/>
    <col min="2" max="2" width="10.85546875" style="24" customWidth="1"/>
    <col min="3" max="3" width="15.7109375" style="2" customWidth="1"/>
    <col min="4" max="15" width="15.140625" style="2" customWidth="1"/>
    <col min="16" max="16" width="9.28515625" style="2" customWidth="1"/>
    <col min="17" max="16384" width="9.140625" style="2"/>
  </cols>
  <sheetData>
    <row r="1" spans="2:14" ht="36" customHeight="1" x14ac:dyDescent="0.25">
      <c r="B1" s="35" t="str">
        <f>"Tabela de diluição de amostras para RT-PCR para "&amp;C2</f>
        <v>Tabela de diluição de amostras para RT-PCR para RT021 KRAS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2:14" ht="15.75" x14ac:dyDescent="0.25">
      <c r="B2" s="34" t="s">
        <v>25</v>
      </c>
      <c r="C2" s="14" t="s">
        <v>8</v>
      </c>
      <c r="D2" s="37"/>
      <c r="F2" s="34" t="s">
        <v>55</v>
      </c>
      <c r="G2" s="14" t="s">
        <v>84</v>
      </c>
      <c r="H2" s="37"/>
      <c r="K2" s="6" t="s">
        <v>45</v>
      </c>
      <c r="L2" s="9">
        <v>25</v>
      </c>
      <c r="M2" s="2" t="s">
        <v>47</v>
      </c>
    </row>
    <row r="3" spans="2:14" x14ac:dyDescent="0.25">
      <c r="K3" s="6" t="s">
        <v>51</v>
      </c>
      <c r="L3" s="9">
        <v>440</v>
      </c>
      <c r="M3" s="2" t="s">
        <v>47</v>
      </c>
    </row>
    <row r="4" spans="2:14" x14ac:dyDescent="0.25">
      <c r="B4" s="10" t="s">
        <v>43</v>
      </c>
      <c r="C4" s="16">
        <v>4</v>
      </c>
      <c r="D4" s="2" t="str">
        <f>IF(C4&gt;VLOOKUP($C$2,'Calculos pré definidos'!A1:I10,9),"ERRO! Muitas amostras. Reduza a quantidade.","")</f>
        <v/>
      </c>
      <c r="K4" s="6" t="s">
        <v>46</v>
      </c>
      <c r="L4" s="9">
        <v>25</v>
      </c>
      <c r="M4" s="2" t="s">
        <v>48</v>
      </c>
    </row>
    <row r="5" spans="2:14" x14ac:dyDescent="0.25">
      <c r="K5" s="6" t="s">
        <v>49</v>
      </c>
      <c r="L5" s="9">
        <f>L3/L2*L4/L3</f>
        <v>1.0000000000000002</v>
      </c>
      <c r="M5" s="2" t="s">
        <v>50</v>
      </c>
    </row>
    <row r="6" spans="2:14" ht="30" x14ac:dyDescent="0.25">
      <c r="D6" s="7" t="str">
        <f>IF(C4&gt;=1,"Concentração Inicial (C1)","")</f>
        <v>Concentração Inicial (C1)</v>
      </c>
      <c r="E6" s="7" t="str">
        <f>IF(C4&gt;=1,"Volume inicial DNA/RNA (V1)","")</f>
        <v>Volume inicial DNA/RNA (V1)</v>
      </c>
      <c r="F6" s="7" t="str">
        <f>IF(C4&gt;=1,"H20 (V2-V1)","")</f>
        <v>H20 (V2-V1)</v>
      </c>
      <c r="G6" s="7" t="str">
        <f>IF(C4&gt;=1,"ID da Amostra","")</f>
        <v>ID da Amostra</v>
      </c>
      <c r="J6" s="7" t="str">
        <f>IF(C4&gt;=12,"Concentração Inicial (C1)","")</f>
        <v/>
      </c>
      <c r="K6" s="7" t="str">
        <f>IF(C4&gt;=12,"Volume inicial DNA/RNA (V1)","")</f>
        <v/>
      </c>
      <c r="L6" s="7" t="str">
        <f>IF(C4&gt;=12,"H20 (V2-V1)","")</f>
        <v/>
      </c>
      <c r="M6" s="7" t="str">
        <f>IF(C4&gt;=12,"ID da Amostra","")</f>
        <v/>
      </c>
    </row>
    <row r="7" spans="2:14" x14ac:dyDescent="0.25">
      <c r="B7" s="10" t="s">
        <v>44</v>
      </c>
      <c r="C7" s="2" t="str">
        <f t="shared" ref="C7:C17" si="0">IF(ROW(B4)-3&lt;=$C$4,"Amostra "&amp;ROW(B4)-3,"")</f>
        <v>Amostra 1</v>
      </c>
      <c r="D7" s="17">
        <v>27.7</v>
      </c>
      <c r="E7" s="17">
        <v>17</v>
      </c>
      <c r="F7" s="2">
        <f t="shared" ref="F7:F17" si="1">IF(ISBLANK(D7),"",IF((D7/$L$5*E7)&lt;$L$3,"Aumente o V1",(D7/$L$5*E7)-E7))</f>
        <v>453.89999999999986</v>
      </c>
      <c r="G7" s="17" t="s">
        <v>87</v>
      </c>
      <c r="I7" s="2" t="str">
        <f t="shared" ref="I7:I17" si="2">IF(ROW(B4)+8&lt;=$C$4,"Amostra "&amp;ROW(B4)+8,"")</f>
        <v/>
      </c>
      <c r="J7" s="17"/>
      <c r="K7" s="17"/>
      <c r="L7" s="2" t="str">
        <f t="shared" ref="L7:L17" si="3">IF(ISBLANK(J7),"",IF((J7/$L$5*K7)&lt;$L$3,"Aumente o V1",(J7/$L$5*K7)-K7))</f>
        <v/>
      </c>
      <c r="M7" s="17"/>
    </row>
    <row r="8" spans="2:14" x14ac:dyDescent="0.25">
      <c r="C8" s="2" t="str">
        <f t="shared" si="0"/>
        <v>Amostra 2</v>
      </c>
      <c r="D8" s="17">
        <v>136.9</v>
      </c>
      <c r="E8" s="17">
        <v>4</v>
      </c>
      <c r="F8" s="2">
        <f t="shared" si="1"/>
        <v>543.59999999999991</v>
      </c>
      <c r="G8" s="17" t="s">
        <v>88</v>
      </c>
      <c r="I8" s="2" t="str">
        <f t="shared" si="2"/>
        <v/>
      </c>
      <c r="J8" s="17"/>
      <c r="K8" s="17"/>
      <c r="L8" s="2" t="str">
        <f t="shared" si="3"/>
        <v/>
      </c>
      <c r="M8" s="17"/>
    </row>
    <row r="9" spans="2:14" x14ac:dyDescent="0.25">
      <c r="C9" s="2" t="str">
        <f t="shared" si="0"/>
        <v>Amostra 3</v>
      </c>
      <c r="D9" s="17">
        <v>69.7</v>
      </c>
      <c r="E9" s="17">
        <v>7</v>
      </c>
      <c r="F9" s="2">
        <f t="shared" si="1"/>
        <v>480.89999999999992</v>
      </c>
      <c r="G9" s="17" t="s">
        <v>89</v>
      </c>
      <c r="I9" s="2" t="str">
        <f t="shared" si="2"/>
        <v/>
      </c>
      <c r="J9" s="17"/>
      <c r="K9" s="17"/>
      <c r="L9" s="2" t="str">
        <f t="shared" si="3"/>
        <v/>
      </c>
      <c r="M9" s="17"/>
    </row>
    <row r="10" spans="2:14" x14ac:dyDescent="0.25">
      <c r="C10" s="2" t="str">
        <f t="shared" si="0"/>
        <v>Amostra 4</v>
      </c>
      <c r="D10" s="17">
        <v>503.6</v>
      </c>
      <c r="E10" s="17">
        <v>1</v>
      </c>
      <c r="F10" s="2">
        <f t="shared" si="1"/>
        <v>502.59999999999991</v>
      </c>
      <c r="G10" s="17" t="s">
        <v>91</v>
      </c>
      <c r="I10" s="2" t="str">
        <f t="shared" si="2"/>
        <v/>
      </c>
      <c r="J10" s="17"/>
      <c r="K10" s="17"/>
      <c r="L10" s="2" t="str">
        <f t="shared" si="3"/>
        <v/>
      </c>
      <c r="M10" s="17"/>
    </row>
    <row r="11" spans="2:14" x14ac:dyDescent="0.25">
      <c r="C11" s="2" t="str">
        <f t="shared" si="0"/>
        <v/>
      </c>
      <c r="D11" s="17"/>
      <c r="E11" s="17"/>
      <c r="F11" s="2" t="str">
        <f t="shared" si="1"/>
        <v/>
      </c>
      <c r="G11" s="17"/>
      <c r="I11" s="2" t="str">
        <f t="shared" si="2"/>
        <v/>
      </c>
      <c r="J11" s="17"/>
      <c r="K11" s="17"/>
      <c r="L11" s="2" t="str">
        <f t="shared" si="3"/>
        <v/>
      </c>
      <c r="M11" s="17"/>
    </row>
    <row r="12" spans="2:14" x14ac:dyDescent="0.25">
      <c r="C12" s="2" t="str">
        <f t="shared" si="0"/>
        <v/>
      </c>
      <c r="D12" s="17"/>
      <c r="E12" s="17"/>
      <c r="F12" s="2" t="str">
        <f t="shared" si="1"/>
        <v/>
      </c>
      <c r="G12" s="17"/>
      <c r="I12" s="2" t="str">
        <f t="shared" si="2"/>
        <v/>
      </c>
      <c r="J12" s="17"/>
      <c r="K12" s="17"/>
      <c r="L12" s="2" t="str">
        <f t="shared" si="3"/>
        <v/>
      </c>
      <c r="M12" s="17"/>
    </row>
    <row r="13" spans="2:14" x14ac:dyDescent="0.25">
      <c r="C13" s="2" t="str">
        <f t="shared" si="0"/>
        <v/>
      </c>
      <c r="D13" s="17"/>
      <c r="E13" s="17"/>
      <c r="F13" s="2" t="str">
        <f t="shared" si="1"/>
        <v/>
      </c>
      <c r="G13" s="17"/>
      <c r="I13" s="2" t="str">
        <f t="shared" si="2"/>
        <v/>
      </c>
      <c r="J13" s="17"/>
      <c r="K13" s="17"/>
      <c r="L13" s="2" t="str">
        <f t="shared" si="3"/>
        <v/>
      </c>
      <c r="M13" s="17"/>
    </row>
    <row r="14" spans="2:14" x14ac:dyDescent="0.25">
      <c r="C14" s="2" t="str">
        <f t="shared" si="0"/>
        <v/>
      </c>
      <c r="D14" s="17"/>
      <c r="E14" s="17"/>
      <c r="F14" s="2" t="str">
        <f t="shared" si="1"/>
        <v/>
      </c>
      <c r="G14" s="17"/>
      <c r="I14" s="2" t="str">
        <f t="shared" si="2"/>
        <v/>
      </c>
      <c r="J14" s="17"/>
      <c r="K14" s="17"/>
      <c r="L14" s="2" t="str">
        <f t="shared" si="3"/>
        <v/>
      </c>
      <c r="M14" s="17"/>
    </row>
    <row r="15" spans="2:14" x14ac:dyDescent="0.25">
      <c r="C15" s="2" t="str">
        <f t="shared" si="0"/>
        <v/>
      </c>
      <c r="D15" s="17"/>
      <c r="E15" s="17"/>
      <c r="F15" s="2" t="str">
        <f t="shared" si="1"/>
        <v/>
      </c>
      <c r="G15" s="17"/>
      <c r="I15" s="2" t="str">
        <f t="shared" si="2"/>
        <v/>
      </c>
      <c r="J15" s="17"/>
      <c r="K15" s="17"/>
      <c r="L15" s="2" t="str">
        <f t="shared" si="3"/>
        <v/>
      </c>
      <c r="M15" s="17"/>
    </row>
    <row r="16" spans="2:14" x14ac:dyDescent="0.25">
      <c r="C16" s="2" t="str">
        <f t="shared" si="0"/>
        <v/>
      </c>
      <c r="D16" s="17"/>
      <c r="E16" s="17"/>
      <c r="F16" s="2" t="str">
        <f t="shared" si="1"/>
        <v/>
      </c>
      <c r="G16" s="17"/>
      <c r="I16" s="2" t="str">
        <f t="shared" si="2"/>
        <v/>
      </c>
      <c r="J16" s="17"/>
      <c r="K16" s="17"/>
      <c r="L16" s="2" t="str">
        <f t="shared" si="3"/>
        <v/>
      </c>
      <c r="M16" s="17"/>
    </row>
    <row r="17" spans="2:14" x14ac:dyDescent="0.25">
      <c r="C17" s="2" t="str">
        <f t="shared" si="0"/>
        <v/>
      </c>
      <c r="D17" s="17"/>
      <c r="E17" s="17"/>
      <c r="F17" s="2" t="str">
        <f t="shared" si="1"/>
        <v/>
      </c>
      <c r="G17" s="17"/>
      <c r="I17" s="2" t="str">
        <f t="shared" si="2"/>
        <v/>
      </c>
      <c r="J17" s="17"/>
      <c r="K17" s="17"/>
      <c r="L17" s="2" t="str">
        <f t="shared" si="3"/>
        <v/>
      </c>
      <c r="M17" s="17"/>
    </row>
    <row r="19" spans="2:14" x14ac:dyDescent="0.25">
      <c r="C19" s="11">
        <v>1</v>
      </c>
      <c r="D19" s="11">
        <v>2</v>
      </c>
      <c r="E19" s="11">
        <v>3</v>
      </c>
      <c r="F19" s="11">
        <v>4</v>
      </c>
      <c r="G19" s="11">
        <v>5</v>
      </c>
      <c r="H19" s="11">
        <v>6</v>
      </c>
      <c r="I19" s="11">
        <v>7</v>
      </c>
      <c r="J19" s="11">
        <v>8</v>
      </c>
      <c r="K19" s="11">
        <v>9</v>
      </c>
      <c r="L19" s="11">
        <v>10</v>
      </c>
      <c r="M19" s="11">
        <v>11</v>
      </c>
      <c r="N19" s="11">
        <v>12</v>
      </c>
    </row>
    <row r="20" spans="2:14" ht="26.25" x14ac:dyDescent="0.25">
      <c r="B20" s="12" t="s">
        <v>26</v>
      </c>
      <c r="C20" s="8" t="str" cm="1">
        <f t="array" aca="1" ref="C20" ca="1">IF(ISNUMBER(FIND("ctrl",INDIRECT("Sheet4!"&amp;"D"&amp;MATCH($C$2,Sheet4!$A:$A,0)+0))),
INDIRECT("Sheet4!"&amp;"D"&amp;MATCH($C$2,Sheet4!$A:$A,0)+0),IF(INDIRECT("Sheet4!"&amp;"D"&amp;MATCH($C$2,Sheet4!$A:$A,0)+0)="Água","Água",
IF(INDIRECT("Sheet4!"&amp;"D"&amp;MATCH($C$2,Sheet4!$A:$A,0)+0)="-","-",
IF(_xlfn.NUMBERVALUE(MID(INDIRECT("Sheet4!"&amp;"D"&amp;MATCH($C$2,Sheet4!$A:$A,0)+0),9,2))&lt;=$C$4,
_xlfn.IFNA(VLOOKUP(INDIRECT("Sheet4!"&amp;"D"&amp;MATCH($C$2,Sheet4!$A:$A,0)+0),$C$7:$H$17,1,FALSE)&amp;CHAR(10)&amp;VLOOKUP(INDIRECT("Sheet4!"&amp;"D"&amp;MATCH($C$2,Sheet4!$A:$A,0)+0),$C$7:$H$17,5,FALSE),
VLOOKUP(INDIRECT("Sheet4!"&amp;"D"&amp;MATCH($C$2,Sheet4!$A:$A,0)+0),$I$7:$N$17,1,FALSE)&amp;CHAR(10)&amp;VLOOKUP(INDIRECT("Sheet4!"&amp;"D"&amp;MATCH($C$2,Sheet4!$A:$A,0)+0),$I$7:$N$17,5,FALSE)),"-"))))</f>
        <v>Amostra 1
108 E.N.</v>
      </c>
      <c r="D20" s="8" t="str" cm="1">
        <f t="array" aca="1" ref="D20" ca="1">IF(ISNUMBER(FIND("ctrl",INDIRECT("Sheet4!"&amp;"E"&amp;MATCH($C$2,Sheet4!$A:$A,0)+0))),
INDIRECT("Sheet4!"&amp;"E"&amp;MATCH($C$2,Sheet4!$A:$A,0)+0),IF(INDIRECT("Sheet4!"&amp;"E"&amp;MATCH($C$2,Sheet4!$A:$A,0)+0)="Água","Água",
IF(INDIRECT("Sheet4!"&amp;"E"&amp;MATCH($C$2,Sheet4!$A:$A,0)+0)="-","-",
IF(_xlfn.NUMBERVALUE(MID(INDIRECT("Sheet4!"&amp;"E"&amp;MATCH($C$2,Sheet4!$A:$A,0)+0),9,2))&lt;=$C$4,
_xlfn.IFNA(VLOOKUP(INDIRECT("Sheet4!"&amp;"E"&amp;MATCH($C$2,Sheet4!$A:$A,0)+0),$C$7:$H$17,1,FALSE)&amp;CHAR(10)&amp;VLOOKUP(INDIRECT("Sheet4!"&amp;"E"&amp;MATCH($C$2,Sheet4!$A:$A,0)+0),$C$7:$H$17,5,FALSE),
VLOOKUP(INDIRECT("Sheet4!"&amp;"E"&amp;MATCH($C$2,Sheet4!$A:$A,0)+0),$I$7:$N$17,1,FALSE)&amp;CHAR(10)&amp;VLOOKUP(INDIRECT("Sheet4!"&amp;"E"&amp;MATCH($C$2,Sheet4!$A:$A,0)+0),$I$7:$N$17,5,FALSE)),"-"))))</f>
        <v>Amostra 2
109 A.G.</v>
      </c>
      <c r="E20" s="8" t="str" cm="1">
        <f t="array" aca="1" ref="E20" ca="1">IF(ISNUMBER(FIND("ctrl",INDIRECT("Sheet4!"&amp;"F"&amp;MATCH($C$2,Sheet4!$A:$A,0)+0))),
INDIRECT("Sheet4!"&amp;"F"&amp;MATCH($C$2,Sheet4!$A:$A,0)+0),IF(INDIRECT("Sheet4!"&amp;"F"&amp;MATCH($C$2,Sheet4!$A:$A,0)+0)="Água","Água",
IF(INDIRECT("Sheet4!"&amp;"F"&amp;MATCH($C$2,Sheet4!$A:$A,0)+0)="-","-",
IF(_xlfn.NUMBERVALUE(MID(INDIRECT("Sheet4!"&amp;"F"&amp;MATCH($C$2,Sheet4!$A:$A,0)+0),9,2))&lt;=$C$4,
_xlfn.IFNA(VLOOKUP(INDIRECT("Sheet4!"&amp;"F"&amp;MATCH($C$2,Sheet4!$A:$A,0)+0),$C$7:$H$17,1,FALSE)&amp;CHAR(10)&amp;VLOOKUP(INDIRECT("Sheet4!"&amp;"F"&amp;MATCH($C$2,Sheet4!$A:$A,0)+0),$C$7:$H$17,5,FALSE),
VLOOKUP(INDIRECT("Sheet4!"&amp;"F"&amp;MATCH($C$2,Sheet4!$A:$A,0)+0),$I$7:$N$17,1,FALSE)&amp;CHAR(10)&amp;VLOOKUP(INDIRECT("Sheet4!"&amp;"F"&amp;MATCH($C$2,Sheet4!$A:$A,0)+0),$I$7:$N$17,5,FALSE)),"-"))))</f>
        <v>Amostra 3
110 G.B.</v>
      </c>
      <c r="F20" s="8" t="str" cm="1">
        <f t="array" aca="1" ref="F20" ca="1">IF(ISNUMBER(FIND("ctrl",INDIRECT("Sheet4!"&amp;"G"&amp;MATCH($C$2,Sheet4!$A:$A,0)+0))),
INDIRECT("Sheet4!"&amp;"G"&amp;MATCH($C$2,Sheet4!$A:$A,0)+0),IF(INDIRECT("Sheet4!"&amp;"G"&amp;MATCH($C$2,Sheet4!$A:$A,0)+0)="Água","Água",
IF(INDIRECT("Sheet4!"&amp;"G"&amp;MATCH($C$2,Sheet4!$A:$A,0)+0)="-","-",
IF(_xlfn.NUMBERVALUE(MID(INDIRECT("Sheet4!"&amp;"G"&amp;MATCH($C$2,Sheet4!$A:$A,0)+0),9,2))&lt;=$C$4,
_xlfn.IFNA(VLOOKUP(INDIRECT("Sheet4!"&amp;"G"&amp;MATCH($C$2,Sheet4!$A:$A,0)+0),$C$7:$H$17,1,FALSE)&amp;CHAR(10)&amp;VLOOKUP(INDIRECT("Sheet4!"&amp;"G"&amp;MATCH($C$2,Sheet4!$A:$A,0)+0),$C$7:$H$17,5,FALSE),
VLOOKUP(INDIRECT("Sheet4!"&amp;"G"&amp;MATCH($C$2,Sheet4!$A:$A,0)+0),$I$7:$N$17,1,FALSE)&amp;CHAR(10)&amp;VLOOKUP(INDIRECT("Sheet4!"&amp;"G"&amp;MATCH($C$2,Sheet4!$A:$A,0)+0),$I$7:$N$17,5,FALSE)),"-"))))</f>
        <v>Amostra 4
37S R.G.S.V</v>
      </c>
      <c r="G20" s="8" t="str" cm="1">
        <f t="array" aca="1" ref="G20" ca="1">IF(ISNUMBER(FIND("ctrl",INDIRECT("Sheet4!"&amp;"H"&amp;MATCH($C$2,Sheet4!$A:$A,0)+0))),
INDIRECT("Sheet4!"&amp;"H"&amp;MATCH($C$2,Sheet4!$A:$A,0)+0),IF(INDIRECT("Sheet4!"&amp;"H"&amp;MATCH($C$2,Sheet4!$A:$A,0)+0)="Água","Água",
IF(INDIRECT("Sheet4!"&amp;"H"&amp;MATCH($C$2,Sheet4!$A:$A,0)+0)="-","-",
IF(_xlfn.NUMBERVALUE(MID(INDIRECT("Sheet4!"&amp;"H"&amp;MATCH($C$2,Sheet4!$A:$A,0)+0),9,2))&lt;=$C$4,
_xlfn.IFNA(VLOOKUP(INDIRECT("Sheet4!"&amp;"H"&amp;MATCH($C$2,Sheet4!$A:$A,0)+0),$C$7:$H$17,1,FALSE)&amp;CHAR(10)&amp;VLOOKUP(INDIRECT("Sheet4!"&amp;"H"&amp;MATCH($C$2,Sheet4!$A:$A,0)+0),$C$7:$H$17,5,FALSE),
VLOOKUP(INDIRECT("Sheet4!"&amp;"H"&amp;MATCH($C$2,Sheet4!$A:$A,0)+0),$I$7:$N$17,1,FALSE)&amp;CHAR(10)&amp;VLOOKUP(INDIRECT("Sheet4!"&amp;"H"&amp;MATCH($C$2,Sheet4!$A:$A,0)+0),$I$7:$N$17,5,FALSE)),"-"))))</f>
        <v>-</v>
      </c>
      <c r="H20" s="8" t="str" cm="1">
        <f t="array" aca="1" ref="H20" ca="1">IF(ISNUMBER(FIND("ctrl",INDIRECT("Sheet4!"&amp;"I"&amp;MATCH($C$2,Sheet4!$A:$A,0)+0))),
INDIRECT("Sheet4!"&amp;"I"&amp;MATCH($C$2,Sheet4!$A:$A,0)+0),IF(INDIRECT("Sheet4!"&amp;"I"&amp;MATCH($C$2,Sheet4!$A:$A,0)+0)="Água","Água",
IF(INDIRECT("Sheet4!"&amp;"I"&amp;MATCH($C$2,Sheet4!$A:$A,0)+0)="-","-",
IF(_xlfn.NUMBERVALUE(MID(INDIRECT("Sheet4!"&amp;"I"&amp;MATCH($C$2,Sheet4!$A:$A,0)+0),9,2))&lt;=$C$4,
_xlfn.IFNA(VLOOKUP(INDIRECT("Sheet4!"&amp;"I"&amp;MATCH($C$2,Sheet4!$A:$A,0)+0),$C$7:$H$17,1,FALSE)&amp;CHAR(10)&amp;VLOOKUP(INDIRECT("Sheet4!"&amp;"I"&amp;MATCH($C$2,Sheet4!$A:$A,0)+0),$C$7:$H$17,5,FALSE),
VLOOKUP(INDIRECT("Sheet4!"&amp;"I"&amp;MATCH($C$2,Sheet4!$A:$A,0)+0),$I$7:$N$17,1,FALSE)&amp;CHAR(10)&amp;VLOOKUP(INDIRECT("Sheet4!"&amp;"I"&amp;MATCH($C$2,Sheet4!$A:$A,0)+0),$I$7:$N$17,5,FALSE)),"-"))))</f>
        <v>-</v>
      </c>
      <c r="I20" s="8" t="str" cm="1">
        <f t="array" aca="1" ref="I20" ca="1">IF(ISNUMBER(FIND("ctrl",INDIRECT("Sheet4!"&amp;"J"&amp;MATCH($C$2,Sheet4!$A:$A,0)+0))),
INDIRECT("Sheet4!"&amp;"J"&amp;MATCH($C$2,Sheet4!$A:$A,0)+0),IF(INDIRECT("Sheet4!"&amp;"J"&amp;MATCH($C$2,Sheet4!$A:$A,0)+0)="Água","Água",
IF(INDIRECT("Sheet4!"&amp;"J"&amp;MATCH($C$2,Sheet4!$A:$A,0)+0)="-","-",
IF(_xlfn.NUMBERVALUE(MID(INDIRECT("Sheet4!"&amp;"J"&amp;MATCH($C$2,Sheet4!$A:$A,0)+0),9,2))&lt;=$C$4,
_xlfn.IFNA(VLOOKUP(INDIRECT("Sheet4!"&amp;"J"&amp;MATCH($C$2,Sheet4!$A:$A,0)+0),$C$7:$H$17,1,FALSE)&amp;CHAR(10)&amp;VLOOKUP(INDIRECT("Sheet4!"&amp;"J"&amp;MATCH($C$2,Sheet4!$A:$A,0)+0),$C$7:$H$17,5,FALSE),
VLOOKUP(INDIRECT("Sheet4!"&amp;"J"&amp;MATCH($C$2,Sheet4!$A:$A,0)+0),$I$7:$N$17,1,FALSE)&amp;CHAR(10)&amp;VLOOKUP(INDIRECT("Sheet4!"&amp;"J"&amp;MATCH($C$2,Sheet4!$A:$A,0)+0),$I$7:$N$17,5,FALSE)),"-"))))</f>
        <v>-</v>
      </c>
      <c r="J20" s="8" t="str" cm="1">
        <f t="array" aca="1" ref="J20" ca="1">IF(ISNUMBER(FIND("ctrl",INDIRECT("Sheet4!"&amp;"K"&amp;MATCH($C$2,Sheet4!$A:$A,0)+0))),
INDIRECT("Sheet4!"&amp;"K"&amp;MATCH($C$2,Sheet4!$A:$A,0)+0),IF(INDIRECT("Sheet4!"&amp;"K"&amp;MATCH($C$2,Sheet4!$A:$A,0)+0)="Água","Água",
IF(INDIRECT("Sheet4!"&amp;"K"&amp;MATCH($C$2,Sheet4!$A:$A,0)+0)="-","-",
IF(_xlfn.NUMBERVALUE(MID(INDIRECT("Sheet4!"&amp;"K"&amp;MATCH($C$2,Sheet4!$A:$A,0)+0),9,2))&lt;=$C$4,
_xlfn.IFNA(VLOOKUP(INDIRECT("Sheet4!"&amp;"K"&amp;MATCH($C$2,Sheet4!$A:$A,0)+0),$C$7:$H$17,1,FALSE)&amp;CHAR(10)&amp;VLOOKUP(INDIRECT("Sheet4!"&amp;"K"&amp;MATCH($C$2,Sheet4!$A:$A,0)+0),$C$7:$H$17,5,FALSE),
VLOOKUP(INDIRECT("Sheet4!"&amp;"K"&amp;MATCH($C$2,Sheet4!$A:$A,0)+0),$I$7:$N$17,1,FALSE)&amp;CHAR(10)&amp;VLOOKUP(INDIRECT("Sheet4!"&amp;"K"&amp;MATCH($C$2,Sheet4!$A:$A,0)+0),$I$7:$N$17,5,FALSE)),"-"))))</f>
        <v>-</v>
      </c>
      <c r="K20" s="8" t="str" cm="1">
        <f t="array" aca="1" ref="K20" ca="1">IF(ISNUMBER(FIND("ctrl",INDIRECT("Sheet4!"&amp;"L"&amp;MATCH($C$2,Sheet4!$A:$A,0)+0))),
INDIRECT("Sheet4!"&amp;"L"&amp;MATCH($C$2,Sheet4!$A:$A,0)+0),IF(INDIRECT("Sheet4!"&amp;"L"&amp;MATCH($C$2,Sheet4!$A:$A,0)+0)="Água","Água",
IF(INDIRECT("Sheet4!"&amp;"L"&amp;MATCH($C$2,Sheet4!$A:$A,0)+0)="-","-",
IF(_xlfn.NUMBERVALUE(MID(INDIRECT("Sheet4!"&amp;"L"&amp;MATCH($C$2,Sheet4!$A:$A,0)+0),9,2))&lt;=$C$4,
_xlfn.IFNA(VLOOKUP(INDIRECT("Sheet4!"&amp;"L"&amp;MATCH($C$2,Sheet4!$A:$A,0)+0),$C$7:$H$17,1,FALSE)&amp;CHAR(10)&amp;VLOOKUP(INDIRECT("Sheet4!"&amp;"L"&amp;MATCH($C$2,Sheet4!$A:$A,0)+0),$C$7:$H$17,5,FALSE),
VLOOKUP(INDIRECT("Sheet4!"&amp;"L"&amp;MATCH($C$2,Sheet4!$A:$A,0)+0),$I$7:$N$17,1,FALSE)&amp;CHAR(10)&amp;VLOOKUP(INDIRECT("Sheet4!"&amp;"L"&amp;MATCH($C$2,Sheet4!$A:$A,0)+0),$I$7:$N$17,5,FALSE)),"-"))))</f>
        <v>-</v>
      </c>
      <c r="L20" s="8" t="str" cm="1">
        <f t="array" aca="1" ref="L20" ca="1">IF(ISNUMBER(FIND("ctrl",INDIRECT("Sheet4!"&amp;"M"&amp;MATCH($C$2,Sheet4!$A:$A,0)+0))),
INDIRECT("Sheet4!"&amp;"M"&amp;MATCH($C$2,Sheet4!$A:$A,0)+0),IF(INDIRECT("Sheet4!"&amp;"M"&amp;MATCH($C$2,Sheet4!$A:$A,0)+0)="Água","Água",
IF(INDIRECT("Sheet4!"&amp;"M"&amp;MATCH($C$2,Sheet4!$A:$A,0)+0)="-","-",
IF(_xlfn.NUMBERVALUE(MID(INDIRECT("Sheet4!"&amp;"M"&amp;MATCH($C$2,Sheet4!$A:$A,0)+0),9,2))&lt;=$C$4,
_xlfn.IFNA(VLOOKUP(INDIRECT("Sheet4!"&amp;"M"&amp;MATCH($C$2,Sheet4!$A:$A,0)+0),$C$7:$H$17,1,FALSE)&amp;CHAR(10)&amp;VLOOKUP(INDIRECT("Sheet4!"&amp;"M"&amp;MATCH($C$2,Sheet4!$A:$A,0)+0),$C$7:$H$17,5,FALSE),
VLOOKUP(INDIRECT("Sheet4!"&amp;"M"&amp;MATCH($C$2,Sheet4!$A:$A,0)+0),$I$7:$N$17,1,FALSE)&amp;CHAR(10)&amp;VLOOKUP(INDIRECT("Sheet4!"&amp;"M"&amp;MATCH($C$2,Sheet4!$A:$A,0)+0),$I$7:$N$17,5,FALSE)),"-"))))</f>
        <v>-</v>
      </c>
      <c r="M20" s="8" t="str" cm="1">
        <f t="array" aca="1" ref="M20" ca="1">IF(ISNUMBER(FIND("ctrl",INDIRECT("Sheet4!"&amp;"M"&amp;MATCH($C$2,Sheet4!$A:$A,0)+0))),
INDIRECT("Sheet4!"&amp;"M"&amp;MATCH($C$2,Sheet4!$A:$A,0)+0),IF(INDIRECT("Sheet4!"&amp;"M"&amp;MATCH($C$2,Sheet4!$A:$A,0)+0)="Água","Água",
IF(INDIRECT("Sheet4!"&amp;"M"&amp;MATCH($C$2,Sheet4!$A:$A,0)+0)="-","-",
IF(_xlfn.NUMBERVALUE(MID(INDIRECT("Sheet4!"&amp;"M"&amp;MATCH($C$2,Sheet4!$A:$A,0)+0),9,2))&lt;=$C$4,
_xlfn.IFNA(VLOOKUP(INDIRECT("Sheet4!"&amp;"M"&amp;MATCH($C$2,Sheet4!$A:$A,0)+0),$C$7:$H$17,1,FALSE)&amp;CHAR(10)&amp;VLOOKUP(INDIRECT("Sheet4!"&amp;"M"&amp;MATCH($C$2,Sheet4!$A:$A,0)+0),$C$7:$H$17,5,FALSE),
VLOOKUP(INDIRECT("Sheet4!"&amp;"M"&amp;MATCH($C$2,Sheet4!$A:$A,0)+0),$I$7:$N$17,1,FALSE)&amp;CHAR(10)&amp;VLOOKUP(INDIRECT("Sheet4!"&amp;"M"&amp;MATCH($C$2,Sheet4!$A:$A,0)+0),$I$7:$N$17,5,FALSE)),"-"))))</f>
        <v>-</v>
      </c>
      <c r="N20" s="8" t="str" cm="1">
        <f t="array" aca="1" ref="N20" ca="1">IF(ISNUMBER(FIND("ctrl",INDIRECT("Sheet4!"&amp;"O"&amp;MATCH($C$2,Sheet4!$A:$A,0)+0))),
INDIRECT("Sheet4!"&amp;"O"&amp;MATCH($C$2,Sheet4!$A:$A,0)+0),IF(INDIRECT("Sheet4!"&amp;"O"&amp;MATCH($C$2,Sheet4!$A:$A,0)+0)="Água","Água",
IF(INDIRECT("Sheet4!"&amp;"O"&amp;MATCH($C$2,Sheet4!$A:$A,0)+0)="-","-",
IF(_xlfn.NUMBERVALUE(MID(INDIRECT("Sheet4!"&amp;"O"&amp;MATCH($C$2,Sheet4!$A:$A,0)+0),9,2))&lt;=$C$4,
_xlfn.IFNA(VLOOKUP(INDIRECT("Sheet4!"&amp;"O"&amp;MATCH($C$2,Sheet4!$A:$A,0)+0),$C$7:$H$17,1,FALSE)&amp;CHAR(10)&amp;VLOOKUP(INDIRECT("Sheet4!"&amp;"O"&amp;MATCH($C$2,Sheet4!$A:$A,0)+0),$C$7:$H$17,5,FALSE),
VLOOKUP(INDIRECT("Sheet4!"&amp;"O"&amp;MATCH($C$2,Sheet4!$A:$A,0)+0),$I$7:$N$17,1,FALSE)&amp;CHAR(10)&amp;VLOOKUP(INDIRECT("Sheet4!"&amp;"O"&amp;MATCH($C$2,Sheet4!$A:$A,0)+0),$I$7:$N$17,5,FALSE)),"-"))))</f>
        <v>Água</v>
      </c>
    </row>
    <row r="21" spans="2:14" ht="15" customHeight="1" x14ac:dyDescent="0.25">
      <c r="B21" s="12" t="s">
        <v>27</v>
      </c>
      <c r="C21" s="8" t="str" cm="1">
        <f t="array" aca="1" ref="C21" ca="1">IF(ISNUMBER(FIND("ctrl",INDIRECT("Sheet4!"&amp;"D"&amp;MATCH($C$2,Sheet4!$A:$A,0)+1))),
INDIRECT("Sheet4!"&amp;"D"&amp;MATCH($C$2,Sheet4!$A:$A,0)+1),IF(INDIRECT("Sheet4!"&amp;"D"&amp;MATCH($C$2,Sheet4!$A:$A,0)+1)="Água","Água",
IF(INDIRECT("Sheet4!"&amp;"D"&amp;MATCH($C$2,Sheet4!$A:$A,0)+1)="-","-",
IF(_xlfn.NUMBERVALUE(MID(INDIRECT("Sheet4!"&amp;"D"&amp;MATCH($C$2,Sheet4!$A:$A,0)+1),9,2))&lt;=$C$4,
_xlfn.IFNA(VLOOKUP(INDIRECT("Sheet4!"&amp;"D"&amp;MATCH($C$2,Sheet4!$A:$A,0)+1),$C$7:$H$17,1,FALSE)&amp;CHAR(10)&amp;VLOOKUP(INDIRECT("Sheet4!"&amp;"D"&amp;MATCH($C$2,Sheet4!$A:$A,0)+1),$C$7:$H$17,5,FALSE),
VLOOKUP(INDIRECT("Sheet4!"&amp;"D"&amp;MATCH($C$2,Sheet4!$A:$A,0)+1),$I$7:$N$17,1,FALSE)&amp;CHAR(10)&amp;VLOOKUP(INDIRECT("Sheet4!"&amp;"D"&amp;MATCH($C$2,Sheet4!$A:$A,0)+1),$I$7:$N$17,5,FALSE)),"-"))))</f>
        <v>Amostra 1
108 E.N.</v>
      </c>
      <c r="D21" s="8" t="str" cm="1">
        <f t="array" aca="1" ref="D21" ca="1">IF(ISNUMBER(FIND("ctrl",INDIRECT("Sheet4!"&amp;"E"&amp;MATCH($C$2,Sheet4!$A:$A,0)+1))),
INDIRECT("Sheet4!"&amp;"E"&amp;MATCH($C$2,Sheet4!$A:$A,0)+1),IF(INDIRECT("Sheet4!"&amp;"E"&amp;MATCH($C$2,Sheet4!$A:$A,0)+1)="Água","Água",
IF(INDIRECT("Sheet4!"&amp;"E"&amp;MATCH($C$2,Sheet4!$A:$A,0)+1)="-","-",
IF(_xlfn.NUMBERVALUE(MID(INDIRECT("Sheet4!"&amp;"E"&amp;MATCH($C$2,Sheet4!$A:$A,0)+1),9,2))&lt;=$C$4,
_xlfn.IFNA(VLOOKUP(INDIRECT("Sheet4!"&amp;"E"&amp;MATCH($C$2,Sheet4!$A:$A,0)+1),$C$7:$H$17,1,FALSE)&amp;CHAR(10)&amp;VLOOKUP(INDIRECT("Sheet4!"&amp;"E"&amp;MATCH($C$2,Sheet4!$A:$A,0)+1),$C$7:$H$17,5,FALSE),
VLOOKUP(INDIRECT("Sheet4!"&amp;"E"&amp;MATCH($C$2,Sheet4!$A:$A,0)+1),$I$7:$N$17,1,FALSE)&amp;CHAR(10)&amp;VLOOKUP(INDIRECT("Sheet4!"&amp;"E"&amp;MATCH($C$2,Sheet4!$A:$A,0)+1),$I$7:$N$17,5,FALSE)),"-"))))</f>
        <v>Amostra 2
109 A.G.</v>
      </c>
      <c r="E21" s="8" t="str" cm="1">
        <f t="array" aca="1" ref="E21" ca="1">IF(ISNUMBER(FIND("ctrl",INDIRECT("Sheet4!"&amp;"F"&amp;MATCH($C$2,Sheet4!$A:$A,0)+1))),
INDIRECT("Sheet4!"&amp;"F"&amp;MATCH($C$2,Sheet4!$A:$A,0)+1),IF(INDIRECT("Sheet4!"&amp;"F"&amp;MATCH($C$2,Sheet4!$A:$A,0)+1)="Água","Água",
IF(INDIRECT("Sheet4!"&amp;"F"&amp;MATCH($C$2,Sheet4!$A:$A,0)+1)="-","-",
IF(_xlfn.NUMBERVALUE(MID(INDIRECT("Sheet4!"&amp;"F"&amp;MATCH($C$2,Sheet4!$A:$A,0)+1),9,2))&lt;=$C$4,
_xlfn.IFNA(VLOOKUP(INDIRECT("Sheet4!"&amp;"F"&amp;MATCH($C$2,Sheet4!$A:$A,0)+1),$C$7:$H$17,1,FALSE)&amp;CHAR(10)&amp;VLOOKUP(INDIRECT("Sheet4!"&amp;"F"&amp;MATCH($C$2,Sheet4!$A:$A,0)+1),$C$7:$H$17,5,FALSE),
VLOOKUP(INDIRECT("Sheet4!"&amp;"F"&amp;MATCH($C$2,Sheet4!$A:$A,0)+1),$I$7:$N$17,1,FALSE)&amp;CHAR(10)&amp;VLOOKUP(INDIRECT("Sheet4!"&amp;"F"&amp;MATCH($C$2,Sheet4!$A:$A,0)+1),$I$7:$N$17,5,FALSE)),"-"))))</f>
        <v>Amostra 3
110 G.B.</v>
      </c>
      <c r="F21" s="8" t="str" cm="1">
        <f t="array" aca="1" ref="F21" ca="1">IF(ISNUMBER(FIND("ctrl",INDIRECT("Sheet4!"&amp;"G"&amp;MATCH($C$2,Sheet4!$A:$A,0)+1))),
INDIRECT("Sheet4!"&amp;"G"&amp;MATCH($C$2,Sheet4!$A:$A,0)+1),IF(INDIRECT("Sheet4!"&amp;"G"&amp;MATCH($C$2,Sheet4!$A:$A,0)+1)="Água","Água",
IF(INDIRECT("Sheet4!"&amp;"G"&amp;MATCH($C$2,Sheet4!$A:$A,0)+1)="-","-",
IF(_xlfn.NUMBERVALUE(MID(INDIRECT("Sheet4!"&amp;"G"&amp;MATCH($C$2,Sheet4!$A:$A,0)+1),9,2))&lt;=$C$4,
_xlfn.IFNA(VLOOKUP(INDIRECT("Sheet4!"&amp;"G"&amp;MATCH($C$2,Sheet4!$A:$A,0)+1),$C$7:$H$17,1,FALSE)&amp;CHAR(10)&amp;VLOOKUP(INDIRECT("Sheet4!"&amp;"G"&amp;MATCH($C$2,Sheet4!$A:$A,0)+1),$C$7:$H$17,5,FALSE),
VLOOKUP(INDIRECT("Sheet4!"&amp;"G"&amp;MATCH($C$2,Sheet4!$A:$A,0)+1),$I$7:$N$17,1,FALSE)&amp;CHAR(10)&amp;VLOOKUP(INDIRECT("Sheet4!"&amp;"G"&amp;MATCH($C$2,Sheet4!$A:$A,0)+1),$I$7:$N$17,5,FALSE)),"-"))))</f>
        <v>Amostra 4
37S R.G.S.V</v>
      </c>
      <c r="G21" s="8" t="str" cm="1">
        <f t="array" aca="1" ref="G21" ca="1">IF(ISNUMBER(FIND("ctrl",INDIRECT("Sheet4!"&amp;"H"&amp;MATCH($C$2,Sheet4!$A:$A,0)+1))),
INDIRECT("Sheet4!"&amp;"H"&amp;MATCH($C$2,Sheet4!$A:$A,0)+1),IF(INDIRECT("Sheet4!"&amp;"H"&amp;MATCH($C$2,Sheet4!$A:$A,0)+1)="Água","Água",
IF(INDIRECT("Sheet4!"&amp;"H"&amp;MATCH($C$2,Sheet4!$A:$A,0)+1)="-","-",
IF(_xlfn.NUMBERVALUE(MID(INDIRECT("Sheet4!"&amp;"H"&amp;MATCH($C$2,Sheet4!$A:$A,0)+1),9,2))&lt;=$C$4,
_xlfn.IFNA(VLOOKUP(INDIRECT("Sheet4!"&amp;"H"&amp;MATCH($C$2,Sheet4!$A:$A,0)+1),$C$7:$H$17,1,FALSE)&amp;CHAR(10)&amp;VLOOKUP(INDIRECT("Sheet4!"&amp;"H"&amp;MATCH($C$2,Sheet4!$A:$A,0)+1),$C$7:$H$17,5,FALSE),
VLOOKUP(INDIRECT("Sheet4!"&amp;"H"&amp;MATCH($C$2,Sheet4!$A:$A,0)+1),$I$7:$N$17,1,FALSE)&amp;CHAR(10)&amp;VLOOKUP(INDIRECT("Sheet4!"&amp;"H"&amp;MATCH($C$2,Sheet4!$A:$A,0)+1),$I$7:$N$17,5,FALSE)),"-"))))</f>
        <v>-</v>
      </c>
      <c r="H21" s="8" t="str" cm="1">
        <f t="array" aca="1" ref="H21" ca="1">IF(ISNUMBER(FIND("ctrl",INDIRECT("Sheet4!"&amp;"I"&amp;MATCH($C$2,Sheet4!$A:$A,0)+1))),
INDIRECT("Sheet4!"&amp;"I"&amp;MATCH($C$2,Sheet4!$A:$A,0)+1),IF(INDIRECT("Sheet4!"&amp;"I"&amp;MATCH($C$2,Sheet4!$A:$A,0)+1)="Água","Água",
IF(INDIRECT("Sheet4!"&amp;"I"&amp;MATCH($C$2,Sheet4!$A:$A,0)+1)="-","-",
IF(_xlfn.NUMBERVALUE(MID(INDIRECT("Sheet4!"&amp;"I"&amp;MATCH($C$2,Sheet4!$A:$A,0)+1),9,2))&lt;=$C$4,
_xlfn.IFNA(VLOOKUP(INDIRECT("Sheet4!"&amp;"I"&amp;MATCH($C$2,Sheet4!$A:$A,0)+1),$C$7:$H$17,1,FALSE)&amp;CHAR(10)&amp;VLOOKUP(INDIRECT("Sheet4!"&amp;"I"&amp;MATCH($C$2,Sheet4!$A:$A,0)+1),$C$7:$H$17,5,FALSE),
VLOOKUP(INDIRECT("Sheet4!"&amp;"I"&amp;MATCH($C$2,Sheet4!$A:$A,0)+1),$I$7:$N$17,1,FALSE)&amp;CHAR(10)&amp;VLOOKUP(INDIRECT("Sheet4!"&amp;"I"&amp;MATCH($C$2,Sheet4!$A:$A,0)+1),$I$7:$N$17,5,FALSE)),"-"))))</f>
        <v>-</v>
      </c>
      <c r="I21" s="8" t="str" cm="1">
        <f t="array" aca="1" ref="I21" ca="1">IF(ISNUMBER(FIND("ctrl",INDIRECT("Sheet4!"&amp;"J"&amp;MATCH($C$2,Sheet4!$A:$A,0)+1))),
INDIRECT("Sheet4!"&amp;"J"&amp;MATCH($C$2,Sheet4!$A:$A,0)+1),IF(INDIRECT("Sheet4!"&amp;"J"&amp;MATCH($C$2,Sheet4!$A:$A,0)+1)="Água","Água",
IF(INDIRECT("Sheet4!"&amp;"J"&amp;MATCH($C$2,Sheet4!$A:$A,0)+1)="-","-",
IF(_xlfn.NUMBERVALUE(MID(INDIRECT("Sheet4!"&amp;"J"&amp;MATCH($C$2,Sheet4!$A:$A,0)+1),9,2))&lt;=$C$4,
_xlfn.IFNA(VLOOKUP(INDIRECT("Sheet4!"&amp;"J"&amp;MATCH($C$2,Sheet4!$A:$A,0)+1),$C$7:$H$17,1,FALSE)&amp;CHAR(10)&amp;VLOOKUP(INDIRECT("Sheet4!"&amp;"J"&amp;MATCH($C$2,Sheet4!$A:$A,0)+1),$C$7:$H$17,5,FALSE),
VLOOKUP(INDIRECT("Sheet4!"&amp;"J"&amp;MATCH($C$2,Sheet4!$A:$A,0)+1),$I$7:$N$17,1,FALSE)&amp;CHAR(10)&amp;VLOOKUP(INDIRECT("Sheet4!"&amp;"J"&amp;MATCH($C$2,Sheet4!$A:$A,0)+1),$I$7:$N$17,5,FALSE)),"-"))))</f>
        <v>-</v>
      </c>
      <c r="J21" s="8" t="str" cm="1">
        <f t="array" aca="1" ref="J21" ca="1">IF(ISNUMBER(FIND("ctrl",INDIRECT("Sheet4!"&amp;"K"&amp;MATCH($C$2,Sheet4!$A:$A,0)+1))),
INDIRECT("Sheet4!"&amp;"K"&amp;MATCH($C$2,Sheet4!$A:$A,0)+1),IF(INDIRECT("Sheet4!"&amp;"K"&amp;MATCH($C$2,Sheet4!$A:$A,0)+1)="Água","Água",
IF(INDIRECT("Sheet4!"&amp;"K"&amp;MATCH($C$2,Sheet4!$A:$A,0)+1)="-","-",
IF(_xlfn.NUMBERVALUE(MID(INDIRECT("Sheet4!"&amp;"K"&amp;MATCH($C$2,Sheet4!$A:$A,0)+1),9,2))&lt;=$C$4,
_xlfn.IFNA(VLOOKUP(INDIRECT("Sheet4!"&amp;"K"&amp;MATCH($C$2,Sheet4!$A:$A,0)+1),$C$7:$H$17,1,FALSE)&amp;CHAR(10)&amp;VLOOKUP(INDIRECT("Sheet4!"&amp;"K"&amp;MATCH($C$2,Sheet4!$A:$A,0)+1),$C$7:$H$17,5,FALSE),
VLOOKUP(INDIRECT("Sheet4!"&amp;"K"&amp;MATCH($C$2,Sheet4!$A:$A,0)+1),$I$7:$N$17,1,FALSE)&amp;CHAR(10)&amp;VLOOKUP(INDIRECT("Sheet4!"&amp;"K"&amp;MATCH($C$2,Sheet4!$A:$A,0)+1),$I$7:$N$17,5,FALSE)),"-"))))</f>
        <v>-</v>
      </c>
      <c r="K21" s="8" t="str" cm="1">
        <f t="array" aca="1" ref="K21" ca="1">IF(ISNUMBER(FIND("ctrl",INDIRECT("Sheet4!"&amp;"L"&amp;MATCH($C$2,Sheet4!$A:$A,0)+1))),
INDIRECT("Sheet4!"&amp;"L"&amp;MATCH($C$2,Sheet4!$A:$A,0)+1),IF(INDIRECT("Sheet4!"&amp;"L"&amp;MATCH($C$2,Sheet4!$A:$A,0)+1)="Água","Água",
IF(INDIRECT("Sheet4!"&amp;"L"&amp;MATCH($C$2,Sheet4!$A:$A,0)+1)="-","-",
IF(_xlfn.NUMBERVALUE(MID(INDIRECT("Sheet4!"&amp;"L"&amp;MATCH($C$2,Sheet4!$A:$A,0)+1),9,2))&lt;=$C$4,
_xlfn.IFNA(VLOOKUP(INDIRECT("Sheet4!"&amp;"L"&amp;MATCH($C$2,Sheet4!$A:$A,0)+1),$C$7:$H$17,1,FALSE)&amp;CHAR(10)&amp;VLOOKUP(INDIRECT("Sheet4!"&amp;"L"&amp;MATCH($C$2,Sheet4!$A:$A,0)+1),$C$7:$H$17,5,FALSE),
VLOOKUP(INDIRECT("Sheet4!"&amp;"L"&amp;MATCH($C$2,Sheet4!$A:$A,0)+1),$I$7:$N$17,1,FALSE)&amp;CHAR(10)&amp;VLOOKUP(INDIRECT("Sheet4!"&amp;"L"&amp;MATCH($C$2,Sheet4!$A:$A,0)+1),$I$7:$N$17,5,FALSE)),"-"))))</f>
        <v>-</v>
      </c>
      <c r="L21" s="8" t="str" cm="1">
        <f t="array" aca="1" ref="L21" ca="1">IF(ISNUMBER(FIND("ctrl",INDIRECT("Sheet4!"&amp;"M"&amp;MATCH($C$2,Sheet4!$A:$A,0)+1))),
INDIRECT("Sheet4!"&amp;"M"&amp;MATCH($C$2,Sheet4!$A:$A,0)+1),IF(INDIRECT("Sheet4!"&amp;"M"&amp;MATCH($C$2,Sheet4!$A:$A,0)+1)="Água","Água",
IF(INDIRECT("Sheet4!"&amp;"M"&amp;MATCH($C$2,Sheet4!$A:$A,0)+1)="-","-",
IF(_xlfn.NUMBERVALUE(MID(INDIRECT("Sheet4!"&amp;"M"&amp;MATCH($C$2,Sheet4!$A:$A,0)+1),9,2))&lt;=$C$4,
_xlfn.IFNA(VLOOKUP(INDIRECT("Sheet4!"&amp;"M"&amp;MATCH($C$2,Sheet4!$A:$A,0)+1),$C$7:$H$17,1,FALSE)&amp;CHAR(10)&amp;VLOOKUP(INDIRECT("Sheet4!"&amp;"M"&amp;MATCH($C$2,Sheet4!$A:$A,0)+1),$C$7:$H$17,5,FALSE),
VLOOKUP(INDIRECT("Sheet4!"&amp;"M"&amp;MATCH($C$2,Sheet4!$A:$A,0)+1),$I$7:$N$17,1,FALSE)&amp;CHAR(10)&amp;VLOOKUP(INDIRECT("Sheet4!"&amp;"M"&amp;MATCH($C$2,Sheet4!$A:$A,0)+1),$I$7:$N$17,5,FALSE)),"-"))))</f>
        <v>-</v>
      </c>
      <c r="M21" s="8" t="str" cm="1">
        <f t="array" aca="1" ref="M21" ca="1">IF(ISNUMBER(FIND("ctrl",INDIRECT("Sheet4!"&amp;"M"&amp;MATCH($C$2,Sheet4!$A:$A,0)+1))),
INDIRECT("Sheet4!"&amp;"M"&amp;MATCH($C$2,Sheet4!$A:$A,0)+1),IF(INDIRECT("Sheet4!"&amp;"M"&amp;MATCH($C$2,Sheet4!$A:$A,0)+1)="Água","Água",
IF(INDIRECT("Sheet4!"&amp;"M"&amp;MATCH($C$2,Sheet4!$A:$A,0)+1)="-","-",
IF(_xlfn.NUMBERVALUE(MID(INDIRECT("Sheet4!"&amp;"M"&amp;MATCH($C$2,Sheet4!$A:$A,0)+1),9,2))&lt;=$C$4,
_xlfn.IFNA(VLOOKUP(INDIRECT("Sheet4!"&amp;"M"&amp;MATCH($C$2,Sheet4!$A:$A,0)+1),$C$7:$H$17,1,FALSE)&amp;CHAR(10)&amp;VLOOKUP(INDIRECT("Sheet4!"&amp;"M"&amp;MATCH($C$2,Sheet4!$A:$A,0)+1),$C$7:$H$17,5,FALSE),
VLOOKUP(INDIRECT("Sheet4!"&amp;"M"&amp;MATCH($C$2,Sheet4!$A:$A,0)+1),$I$7:$N$17,1,FALSE)&amp;CHAR(10)&amp;VLOOKUP(INDIRECT("Sheet4!"&amp;"M"&amp;MATCH($C$2,Sheet4!$A:$A,0)+1),$I$7:$N$17,5,FALSE)),"-"))))</f>
        <v>-</v>
      </c>
      <c r="N21" s="8" t="str" cm="1">
        <f t="array" aca="1" ref="N21" ca="1">IF(ISNUMBER(FIND("ctrl",INDIRECT("Sheet4!"&amp;"O"&amp;MATCH($C$2,Sheet4!$A:$A,0)+1))),
INDIRECT("Sheet4!"&amp;"O"&amp;MATCH($C$2,Sheet4!$A:$A,0)+1),IF(INDIRECT("Sheet4!"&amp;"O"&amp;MATCH($C$2,Sheet4!$A:$A,0)+1)="Água","Água",
IF(INDIRECT("Sheet4!"&amp;"O"&amp;MATCH($C$2,Sheet4!$A:$A,0)+1)="-","-",
IF(_xlfn.NUMBERVALUE(MID(INDIRECT("Sheet4!"&amp;"O"&amp;MATCH($C$2,Sheet4!$A:$A,0)+1),9,2))&lt;=$C$4,
_xlfn.IFNA(VLOOKUP(INDIRECT("Sheet4!"&amp;"O"&amp;MATCH($C$2,Sheet4!$A:$A,0)+1),$C$7:$H$17,1,FALSE)&amp;CHAR(10)&amp;VLOOKUP(INDIRECT("Sheet4!"&amp;"O"&amp;MATCH($C$2,Sheet4!$A:$A,0)+1),$C$7:$H$17,5,FALSE),
VLOOKUP(INDIRECT("Sheet4!"&amp;"O"&amp;MATCH($C$2,Sheet4!$A:$A,0)+1),$I$7:$N$17,1,FALSE)&amp;CHAR(10)&amp;VLOOKUP(INDIRECT("Sheet4!"&amp;"O"&amp;MATCH($C$2,Sheet4!$A:$A,0)+1),$I$7:$N$17,5,FALSE)),"-"))))</f>
        <v>Água</v>
      </c>
    </row>
    <row r="22" spans="2:14" ht="15" customHeight="1" x14ac:dyDescent="0.25">
      <c r="B22" s="12" t="s">
        <v>28</v>
      </c>
      <c r="C22" s="8" t="str" cm="1">
        <f t="array" aca="1" ref="C22" ca="1">IF(ISNUMBER(FIND("ctrl",INDIRECT("Sheet4!"&amp;"D"&amp;MATCH($C$2,Sheet4!$A:$A,0)+2))),
INDIRECT("Sheet4!"&amp;"D"&amp;MATCH($C$2,Sheet4!$A:$A,0)+2),IF(INDIRECT("Sheet4!"&amp;"D"&amp;MATCH($C$2,Sheet4!$A:$A,0)+2)="Água","Água",
IF(INDIRECT("Sheet4!"&amp;"D"&amp;MATCH($C$2,Sheet4!$A:$A,0)+2)="-","-",
IF(_xlfn.NUMBERVALUE(MID(INDIRECT("Sheet4!"&amp;"D"&amp;MATCH($C$2,Sheet4!$A:$A,0)+2),9,2))&lt;=$C$4,
_xlfn.IFNA(VLOOKUP(INDIRECT("Sheet4!"&amp;"D"&amp;MATCH($C$2,Sheet4!$A:$A,0)+2),$C$7:$H$17,1,FALSE)&amp;CHAR(10)&amp;VLOOKUP(INDIRECT("Sheet4!"&amp;"D"&amp;MATCH($C$2,Sheet4!$A:$A,0)+2),$C$7:$H$17,5,FALSE),
VLOOKUP(INDIRECT("Sheet4!"&amp;"D"&amp;MATCH($C$2,Sheet4!$A:$A,0)+2),$I$7:$N$17,1,FALSE)&amp;CHAR(10)&amp;VLOOKUP(INDIRECT("Sheet4!"&amp;"D"&amp;MATCH($C$2,Sheet4!$A:$A,0)+2),$I$7:$N$17,5,FALSE)),"-"))))</f>
        <v>Amostra 1
108 E.N.</v>
      </c>
      <c r="D22" s="8" t="str" cm="1">
        <f t="array" aca="1" ref="D22" ca="1">IF(ISNUMBER(FIND("ctrl",INDIRECT("Sheet4!"&amp;"E"&amp;MATCH($C$2,Sheet4!$A:$A,0)+2))),
INDIRECT("Sheet4!"&amp;"E"&amp;MATCH($C$2,Sheet4!$A:$A,0)+2),IF(INDIRECT("Sheet4!"&amp;"E"&amp;MATCH($C$2,Sheet4!$A:$A,0)+2)="Água","Água",
IF(INDIRECT("Sheet4!"&amp;"E"&amp;MATCH($C$2,Sheet4!$A:$A,0)+2)="-","-",
IF(_xlfn.NUMBERVALUE(MID(INDIRECT("Sheet4!"&amp;"E"&amp;MATCH($C$2,Sheet4!$A:$A,0)+2),9,2))&lt;=$C$4,
_xlfn.IFNA(VLOOKUP(INDIRECT("Sheet4!"&amp;"E"&amp;MATCH($C$2,Sheet4!$A:$A,0)+2),$C$7:$H$17,1,FALSE)&amp;CHAR(10)&amp;VLOOKUP(INDIRECT("Sheet4!"&amp;"E"&amp;MATCH($C$2,Sheet4!$A:$A,0)+2),$C$7:$H$17,5,FALSE),
VLOOKUP(INDIRECT("Sheet4!"&amp;"E"&amp;MATCH($C$2,Sheet4!$A:$A,0)+2),$I$7:$N$17,1,FALSE)&amp;CHAR(10)&amp;VLOOKUP(INDIRECT("Sheet4!"&amp;"E"&amp;MATCH($C$2,Sheet4!$A:$A,0)+2),$I$7:$N$17,5,FALSE)),"-"))))</f>
        <v>Amostra 2
109 A.G.</v>
      </c>
      <c r="E22" s="8" t="str" cm="1">
        <f t="array" aca="1" ref="E22" ca="1">IF(ISNUMBER(FIND("ctrl",INDIRECT("Sheet4!"&amp;"F"&amp;MATCH($C$2,Sheet4!$A:$A,0)+2))),
INDIRECT("Sheet4!"&amp;"F"&amp;MATCH($C$2,Sheet4!$A:$A,0)+2),IF(INDIRECT("Sheet4!"&amp;"F"&amp;MATCH($C$2,Sheet4!$A:$A,0)+2)="Água","Água",
IF(INDIRECT("Sheet4!"&amp;"F"&amp;MATCH($C$2,Sheet4!$A:$A,0)+2)="-","-",
IF(_xlfn.NUMBERVALUE(MID(INDIRECT("Sheet4!"&amp;"F"&amp;MATCH($C$2,Sheet4!$A:$A,0)+2),9,2))&lt;=$C$4,
_xlfn.IFNA(VLOOKUP(INDIRECT("Sheet4!"&amp;"F"&amp;MATCH($C$2,Sheet4!$A:$A,0)+2),$C$7:$H$17,1,FALSE)&amp;CHAR(10)&amp;VLOOKUP(INDIRECT("Sheet4!"&amp;"F"&amp;MATCH($C$2,Sheet4!$A:$A,0)+2),$C$7:$H$17,5,FALSE),
VLOOKUP(INDIRECT("Sheet4!"&amp;"F"&amp;MATCH($C$2,Sheet4!$A:$A,0)+2),$I$7:$N$17,1,FALSE)&amp;CHAR(10)&amp;VLOOKUP(INDIRECT("Sheet4!"&amp;"F"&amp;MATCH($C$2,Sheet4!$A:$A,0)+2),$I$7:$N$17,5,FALSE)),"-"))))</f>
        <v>Amostra 3
110 G.B.</v>
      </c>
      <c r="F22" s="8" t="str" cm="1">
        <f t="array" aca="1" ref="F22" ca="1">IF(ISNUMBER(FIND("ctrl",INDIRECT("Sheet4!"&amp;"G"&amp;MATCH($C$2,Sheet4!$A:$A,0)+2))),
INDIRECT("Sheet4!"&amp;"G"&amp;MATCH($C$2,Sheet4!$A:$A,0)+2),IF(INDIRECT("Sheet4!"&amp;"G"&amp;MATCH($C$2,Sheet4!$A:$A,0)+2)="Água","Água",
IF(INDIRECT("Sheet4!"&amp;"G"&amp;MATCH($C$2,Sheet4!$A:$A,0)+2)="-","-",
IF(_xlfn.NUMBERVALUE(MID(INDIRECT("Sheet4!"&amp;"G"&amp;MATCH($C$2,Sheet4!$A:$A,0)+2),9,2))&lt;=$C$4,
_xlfn.IFNA(VLOOKUP(INDIRECT("Sheet4!"&amp;"G"&amp;MATCH($C$2,Sheet4!$A:$A,0)+2),$C$7:$H$17,1,FALSE)&amp;CHAR(10)&amp;VLOOKUP(INDIRECT("Sheet4!"&amp;"G"&amp;MATCH($C$2,Sheet4!$A:$A,0)+2),$C$7:$H$17,5,FALSE),
VLOOKUP(INDIRECT("Sheet4!"&amp;"G"&amp;MATCH($C$2,Sheet4!$A:$A,0)+2),$I$7:$N$17,1,FALSE)&amp;CHAR(10)&amp;VLOOKUP(INDIRECT("Sheet4!"&amp;"G"&amp;MATCH($C$2,Sheet4!$A:$A,0)+2),$I$7:$N$17,5,FALSE)),"-"))))</f>
        <v>Amostra 4
37S R.G.S.V</v>
      </c>
      <c r="G22" s="8" t="str" cm="1">
        <f t="array" aca="1" ref="G22" ca="1">IF(ISNUMBER(FIND("ctrl",INDIRECT("Sheet4!"&amp;"H"&amp;MATCH($C$2,Sheet4!$A:$A,0)+2))),
INDIRECT("Sheet4!"&amp;"H"&amp;MATCH($C$2,Sheet4!$A:$A,0)+2),IF(INDIRECT("Sheet4!"&amp;"H"&amp;MATCH($C$2,Sheet4!$A:$A,0)+2)="Água","Água",
IF(INDIRECT("Sheet4!"&amp;"H"&amp;MATCH($C$2,Sheet4!$A:$A,0)+2)="-","-",
IF(_xlfn.NUMBERVALUE(MID(INDIRECT("Sheet4!"&amp;"H"&amp;MATCH($C$2,Sheet4!$A:$A,0)+2),9,2))&lt;=$C$4,
_xlfn.IFNA(VLOOKUP(INDIRECT("Sheet4!"&amp;"H"&amp;MATCH($C$2,Sheet4!$A:$A,0)+2),$C$7:$H$17,1,FALSE)&amp;CHAR(10)&amp;VLOOKUP(INDIRECT("Sheet4!"&amp;"H"&amp;MATCH($C$2,Sheet4!$A:$A,0)+2),$C$7:$H$17,5,FALSE),
VLOOKUP(INDIRECT("Sheet4!"&amp;"H"&amp;MATCH($C$2,Sheet4!$A:$A,0)+2),$I$7:$N$17,1,FALSE)&amp;CHAR(10)&amp;VLOOKUP(INDIRECT("Sheet4!"&amp;"H"&amp;MATCH($C$2,Sheet4!$A:$A,0)+2),$I$7:$N$17,5,FALSE)),"-"))))</f>
        <v>-</v>
      </c>
      <c r="H22" s="8" t="str" cm="1">
        <f t="array" aca="1" ref="H22" ca="1">IF(ISNUMBER(FIND("ctrl",INDIRECT("Sheet4!"&amp;"I"&amp;MATCH($C$2,Sheet4!$A:$A,0)+2))),
INDIRECT("Sheet4!"&amp;"I"&amp;MATCH($C$2,Sheet4!$A:$A,0)+2),IF(INDIRECT("Sheet4!"&amp;"I"&amp;MATCH($C$2,Sheet4!$A:$A,0)+2)="Água","Água",
IF(INDIRECT("Sheet4!"&amp;"I"&amp;MATCH($C$2,Sheet4!$A:$A,0)+2)="-","-",
IF(_xlfn.NUMBERVALUE(MID(INDIRECT("Sheet4!"&amp;"I"&amp;MATCH($C$2,Sheet4!$A:$A,0)+2),9,2))&lt;=$C$4,
_xlfn.IFNA(VLOOKUP(INDIRECT("Sheet4!"&amp;"I"&amp;MATCH($C$2,Sheet4!$A:$A,0)+2),$C$7:$H$17,1,FALSE)&amp;CHAR(10)&amp;VLOOKUP(INDIRECT("Sheet4!"&amp;"I"&amp;MATCH($C$2,Sheet4!$A:$A,0)+2),$C$7:$H$17,5,FALSE),
VLOOKUP(INDIRECT("Sheet4!"&amp;"I"&amp;MATCH($C$2,Sheet4!$A:$A,0)+2),$I$7:$N$17,1,FALSE)&amp;CHAR(10)&amp;VLOOKUP(INDIRECT("Sheet4!"&amp;"I"&amp;MATCH($C$2,Sheet4!$A:$A,0)+2),$I$7:$N$17,5,FALSE)),"-"))))</f>
        <v>-</v>
      </c>
      <c r="I22" s="8" t="str" cm="1">
        <f t="array" aca="1" ref="I22" ca="1">IF(ISNUMBER(FIND("ctrl",INDIRECT("Sheet4!"&amp;"J"&amp;MATCH($C$2,Sheet4!$A:$A,0)+2))),
INDIRECT("Sheet4!"&amp;"J"&amp;MATCH($C$2,Sheet4!$A:$A,0)+2),IF(INDIRECT("Sheet4!"&amp;"J"&amp;MATCH($C$2,Sheet4!$A:$A,0)+2)="Água","Água",
IF(INDIRECT("Sheet4!"&amp;"J"&amp;MATCH($C$2,Sheet4!$A:$A,0)+2)="-","-",
IF(_xlfn.NUMBERVALUE(MID(INDIRECT("Sheet4!"&amp;"J"&amp;MATCH($C$2,Sheet4!$A:$A,0)+2),9,2))&lt;=$C$4,
_xlfn.IFNA(VLOOKUP(INDIRECT("Sheet4!"&amp;"J"&amp;MATCH($C$2,Sheet4!$A:$A,0)+2),$C$7:$H$17,1,FALSE)&amp;CHAR(10)&amp;VLOOKUP(INDIRECT("Sheet4!"&amp;"J"&amp;MATCH($C$2,Sheet4!$A:$A,0)+2),$C$7:$H$17,5,FALSE),
VLOOKUP(INDIRECT("Sheet4!"&amp;"J"&amp;MATCH($C$2,Sheet4!$A:$A,0)+2),$I$7:$N$17,1,FALSE)&amp;CHAR(10)&amp;VLOOKUP(INDIRECT("Sheet4!"&amp;"J"&amp;MATCH($C$2,Sheet4!$A:$A,0)+2),$I$7:$N$17,5,FALSE)),"-"))))</f>
        <v>-</v>
      </c>
      <c r="J22" s="8" t="str" cm="1">
        <f t="array" aca="1" ref="J22" ca="1">IF(ISNUMBER(FIND("ctrl",INDIRECT("Sheet4!"&amp;"K"&amp;MATCH($C$2,Sheet4!$A:$A,0)+2))),
INDIRECT("Sheet4!"&amp;"K"&amp;MATCH($C$2,Sheet4!$A:$A,0)+2),IF(INDIRECT("Sheet4!"&amp;"K"&amp;MATCH($C$2,Sheet4!$A:$A,0)+2)="Água","Água",
IF(INDIRECT("Sheet4!"&amp;"K"&amp;MATCH($C$2,Sheet4!$A:$A,0)+2)="-","-",
IF(_xlfn.NUMBERVALUE(MID(INDIRECT("Sheet4!"&amp;"K"&amp;MATCH($C$2,Sheet4!$A:$A,0)+2),9,2))&lt;=$C$4,
_xlfn.IFNA(VLOOKUP(INDIRECT("Sheet4!"&amp;"K"&amp;MATCH($C$2,Sheet4!$A:$A,0)+2),$C$7:$H$17,1,FALSE)&amp;CHAR(10)&amp;VLOOKUP(INDIRECT("Sheet4!"&amp;"K"&amp;MATCH($C$2,Sheet4!$A:$A,0)+2),$C$7:$H$17,5,FALSE),
VLOOKUP(INDIRECT("Sheet4!"&amp;"K"&amp;MATCH($C$2,Sheet4!$A:$A,0)+2),$I$7:$N$17,1,FALSE)&amp;CHAR(10)&amp;VLOOKUP(INDIRECT("Sheet4!"&amp;"K"&amp;MATCH($C$2,Sheet4!$A:$A,0)+2),$I$7:$N$17,5,FALSE)),"-"))))</f>
        <v>-</v>
      </c>
      <c r="K22" s="8" t="str" cm="1">
        <f t="array" aca="1" ref="K22" ca="1">IF(ISNUMBER(FIND("ctrl",INDIRECT("Sheet4!"&amp;"L"&amp;MATCH($C$2,Sheet4!$A:$A,0)+2))),
INDIRECT("Sheet4!"&amp;"L"&amp;MATCH($C$2,Sheet4!$A:$A,0)+2),IF(INDIRECT("Sheet4!"&amp;"L"&amp;MATCH($C$2,Sheet4!$A:$A,0)+2)="Água","Água",
IF(INDIRECT("Sheet4!"&amp;"L"&amp;MATCH($C$2,Sheet4!$A:$A,0)+2)="-","-",
IF(_xlfn.NUMBERVALUE(MID(INDIRECT("Sheet4!"&amp;"L"&amp;MATCH($C$2,Sheet4!$A:$A,0)+2),9,2))&lt;=$C$4,
_xlfn.IFNA(VLOOKUP(INDIRECT("Sheet4!"&amp;"L"&amp;MATCH($C$2,Sheet4!$A:$A,0)+2),$C$7:$H$17,1,FALSE)&amp;CHAR(10)&amp;VLOOKUP(INDIRECT("Sheet4!"&amp;"L"&amp;MATCH($C$2,Sheet4!$A:$A,0)+2),$C$7:$H$17,5,FALSE),
VLOOKUP(INDIRECT("Sheet4!"&amp;"L"&amp;MATCH($C$2,Sheet4!$A:$A,0)+2),$I$7:$N$17,1,FALSE)&amp;CHAR(10)&amp;VLOOKUP(INDIRECT("Sheet4!"&amp;"L"&amp;MATCH($C$2,Sheet4!$A:$A,0)+2),$I$7:$N$17,5,FALSE)),"-"))))</f>
        <v>-</v>
      </c>
      <c r="L22" s="8" t="str" cm="1">
        <f t="array" aca="1" ref="L22" ca="1">IF(ISNUMBER(FIND("ctrl",INDIRECT("Sheet4!"&amp;"M"&amp;MATCH($C$2,Sheet4!$A:$A,0)+2))),
INDIRECT("Sheet4!"&amp;"M"&amp;MATCH($C$2,Sheet4!$A:$A,0)+2),IF(INDIRECT("Sheet4!"&amp;"M"&amp;MATCH($C$2,Sheet4!$A:$A,0)+2)="Água","Água",
IF(INDIRECT("Sheet4!"&amp;"M"&amp;MATCH($C$2,Sheet4!$A:$A,0)+2)="-","-",
IF(_xlfn.NUMBERVALUE(MID(INDIRECT("Sheet4!"&amp;"M"&amp;MATCH($C$2,Sheet4!$A:$A,0)+2),9,2))&lt;=$C$4,
_xlfn.IFNA(VLOOKUP(INDIRECT("Sheet4!"&amp;"M"&amp;MATCH($C$2,Sheet4!$A:$A,0)+2),$C$7:$H$17,1,FALSE)&amp;CHAR(10)&amp;VLOOKUP(INDIRECT("Sheet4!"&amp;"M"&amp;MATCH($C$2,Sheet4!$A:$A,0)+2),$C$7:$H$17,5,FALSE),
VLOOKUP(INDIRECT("Sheet4!"&amp;"M"&amp;MATCH($C$2,Sheet4!$A:$A,0)+2),$I$7:$N$17,1,FALSE)&amp;CHAR(10)&amp;VLOOKUP(INDIRECT("Sheet4!"&amp;"M"&amp;MATCH($C$2,Sheet4!$A:$A,0)+2),$I$7:$N$17,5,FALSE)),"-"))))</f>
        <v>-</v>
      </c>
      <c r="M22" s="8" t="str" cm="1">
        <f t="array" aca="1" ref="M22" ca="1">IF(ISNUMBER(FIND("ctrl",INDIRECT("Sheet4!"&amp;"M"&amp;MATCH($C$2,Sheet4!$A:$A,0)+2))),
INDIRECT("Sheet4!"&amp;"M"&amp;MATCH($C$2,Sheet4!$A:$A,0)+2),IF(INDIRECT("Sheet4!"&amp;"M"&amp;MATCH($C$2,Sheet4!$A:$A,0)+2)="Água","Água",
IF(INDIRECT("Sheet4!"&amp;"M"&amp;MATCH($C$2,Sheet4!$A:$A,0)+2)="-","-",
IF(_xlfn.NUMBERVALUE(MID(INDIRECT("Sheet4!"&amp;"M"&amp;MATCH($C$2,Sheet4!$A:$A,0)+2),9,2))&lt;=$C$4,
_xlfn.IFNA(VLOOKUP(INDIRECT("Sheet4!"&amp;"M"&amp;MATCH($C$2,Sheet4!$A:$A,0)+2),$C$7:$H$17,1,FALSE)&amp;CHAR(10)&amp;VLOOKUP(INDIRECT("Sheet4!"&amp;"M"&amp;MATCH($C$2,Sheet4!$A:$A,0)+2),$C$7:$H$17,5,FALSE),
VLOOKUP(INDIRECT("Sheet4!"&amp;"M"&amp;MATCH($C$2,Sheet4!$A:$A,0)+2),$I$7:$N$17,1,FALSE)&amp;CHAR(10)&amp;VLOOKUP(INDIRECT("Sheet4!"&amp;"M"&amp;MATCH($C$2,Sheet4!$A:$A,0)+2),$I$7:$N$17,5,FALSE)),"-"))))</f>
        <v>-</v>
      </c>
      <c r="N22" s="8" t="str" cm="1">
        <f t="array" aca="1" ref="N22" ca="1">IF(ISNUMBER(FIND("ctrl",INDIRECT("Sheet4!"&amp;"O"&amp;MATCH($C$2,Sheet4!$A:$A,0)+2))),
INDIRECT("Sheet4!"&amp;"O"&amp;MATCH($C$2,Sheet4!$A:$A,0)+2),IF(INDIRECT("Sheet4!"&amp;"O"&amp;MATCH($C$2,Sheet4!$A:$A,0)+2)="Água","Água",
IF(INDIRECT("Sheet4!"&amp;"O"&amp;MATCH($C$2,Sheet4!$A:$A,0)+2)="-","-",
IF(_xlfn.NUMBERVALUE(MID(INDIRECT("Sheet4!"&amp;"O"&amp;MATCH($C$2,Sheet4!$A:$A,0)+2),9,2))&lt;=$C$4,
_xlfn.IFNA(VLOOKUP(INDIRECT("Sheet4!"&amp;"O"&amp;MATCH($C$2,Sheet4!$A:$A,0)+2),$C$7:$H$17,1,FALSE)&amp;CHAR(10)&amp;VLOOKUP(INDIRECT("Sheet4!"&amp;"O"&amp;MATCH($C$2,Sheet4!$A:$A,0)+2),$C$7:$H$17,5,FALSE),
VLOOKUP(INDIRECT("Sheet4!"&amp;"O"&amp;MATCH($C$2,Sheet4!$A:$A,0)+2),$I$7:$N$17,1,FALSE)&amp;CHAR(10)&amp;VLOOKUP(INDIRECT("Sheet4!"&amp;"O"&amp;MATCH($C$2,Sheet4!$A:$A,0)+2),$I$7:$N$17,5,FALSE)),"-"))))</f>
        <v>Água</v>
      </c>
    </row>
    <row r="23" spans="2:14" ht="15" customHeight="1" x14ac:dyDescent="0.25">
      <c r="B23" s="12" t="s">
        <v>29</v>
      </c>
      <c r="C23" s="8" t="str" cm="1">
        <f t="array" aca="1" ref="C23" ca="1">IF(ISNUMBER(FIND("ctrl",INDIRECT("Sheet4!"&amp;"D"&amp;MATCH($C$2,Sheet4!$A:$A,0)+3))),
INDIRECT("Sheet4!"&amp;"D"&amp;MATCH($C$2,Sheet4!$A:$A,0)+3),IF(INDIRECT("Sheet4!"&amp;"D"&amp;MATCH($C$2,Sheet4!$A:$A,0)+3)="Água","Água",
IF(INDIRECT("Sheet4!"&amp;"D"&amp;MATCH($C$2,Sheet4!$A:$A,0)+3)="-","-",
IF(_xlfn.NUMBERVALUE(MID(INDIRECT("Sheet4!"&amp;"D"&amp;MATCH($C$2,Sheet4!$A:$A,0)+3),9,2))&lt;=$C$4,
_xlfn.IFNA(VLOOKUP(INDIRECT("Sheet4!"&amp;"D"&amp;MATCH($C$2,Sheet4!$A:$A,0)+3),$C$7:$H$17,1,FALSE)&amp;CHAR(10)&amp;VLOOKUP(INDIRECT("Sheet4!"&amp;"D"&amp;MATCH($C$2,Sheet4!$A:$A,0)+3),$C$7:$H$17,5,FALSE),
VLOOKUP(INDIRECT("Sheet4!"&amp;"D"&amp;MATCH($C$2,Sheet4!$A:$A,0)+3),$I$7:$N$17,1,FALSE)&amp;CHAR(10)&amp;VLOOKUP(INDIRECT("Sheet4!"&amp;"D"&amp;MATCH($C$2,Sheet4!$A:$A,0)+3),$I$7:$N$17,5,FALSE)),"-"))))</f>
        <v>Amostra 1
108 E.N.</v>
      </c>
      <c r="D23" s="8" t="str" cm="1">
        <f t="array" aca="1" ref="D23" ca="1">IF(ISNUMBER(FIND("ctrl",INDIRECT("Sheet4!"&amp;"E"&amp;MATCH($C$2,Sheet4!$A:$A,0)+3))),
INDIRECT("Sheet4!"&amp;"E"&amp;MATCH($C$2,Sheet4!$A:$A,0)+3),IF(INDIRECT("Sheet4!"&amp;"E"&amp;MATCH($C$2,Sheet4!$A:$A,0)+3)="Água","Água",
IF(INDIRECT("Sheet4!"&amp;"E"&amp;MATCH($C$2,Sheet4!$A:$A,0)+3)="-","-",
IF(_xlfn.NUMBERVALUE(MID(INDIRECT("Sheet4!"&amp;"E"&amp;MATCH($C$2,Sheet4!$A:$A,0)+3),9,2))&lt;=$C$4,
_xlfn.IFNA(VLOOKUP(INDIRECT("Sheet4!"&amp;"E"&amp;MATCH($C$2,Sheet4!$A:$A,0)+3),$C$7:$H$17,1,FALSE)&amp;CHAR(10)&amp;VLOOKUP(INDIRECT("Sheet4!"&amp;"E"&amp;MATCH($C$2,Sheet4!$A:$A,0)+3),$C$7:$H$17,5,FALSE),
VLOOKUP(INDIRECT("Sheet4!"&amp;"E"&amp;MATCH($C$2,Sheet4!$A:$A,0)+3),$I$7:$N$17,1,FALSE)&amp;CHAR(10)&amp;VLOOKUP(INDIRECT("Sheet4!"&amp;"E"&amp;MATCH($C$2,Sheet4!$A:$A,0)+3),$I$7:$N$17,5,FALSE)),"-"))))</f>
        <v>Amostra 2
109 A.G.</v>
      </c>
      <c r="E23" s="8" t="str" cm="1">
        <f t="array" aca="1" ref="E23" ca="1">IF(ISNUMBER(FIND("ctrl",INDIRECT("Sheet4!"&amp;"F"&amp;MATCH($C$2,Sheet4!$A:$A,0)+3))),
INDIRECT("Sheet4!"&amp;"F"&amp;MATCH($C$2,Sheet4!$A:$A,0)+3),IF(INDIRECT("Sheet4!"&amp;"F"&amp;MATCH($C$2,Sheet4!$A:$A,0)+3)="Água","Água",
IF(INDIRECT("Sheet4!"&amp;"F"&amp;MATCH($C$2,Sheet4!$A:$A,0)+3)="-","-",
IF(_xlfn.NUMBERVALUE(MID(INDIRECT("Sheet4!"&amp;"F"&amp;MATCH($C$2,Sheet4!$A:$A,0)+3),9,2))&lt;=$C$4,
_xlfn.IFNA(VLOOKUP(INDIRECT("Sheet4!"&amp;"F"&amp;MATCH($C$2,Sheet4!$A:$A,0)+3),$C$7:$H$17,1,FALSE)&amp;CHAR(10)&amp;VLOOKUP(INDIRECT("Sheet4!"&amp;"F"&amp;MATCH($C$2,Sheet4!$A:$A,0)+3),$C$7:$H$17,5,FALSE),
VLOOKUP(INDIRECT("Sheet4!"&amp;"F"&amp;MATCH($C$2,Sheet4!$A:$A,0)+3),$I$7:$N$17,1,FALSE)&amp;CHAR(10)&amp;VLOOKUP(INDIRECT("Sheet4!"&amp;"F"&amp;MATCH($C$2,Sheet4!$A:$A,0)+3),$I$7:$N$17,5,FALSE)),"-"))))</f>
        <v>Amostra 3
110 G.B.</v>
      </c>
      <c r="F23" s="8" t="str" cm="1">
        <f t="array" aca="1" ref="F23" ca="1">IF(ISNUMBER(FIND("ctrl",INDIRECT("Sheet4!"&amp;"G"&amp;MATCH($C$2,Sheet4!$A:$A,0)+3))),
INDIRECT("Sheet4!"&amp;"G"&amp;MATCH($C$2,Sheet4!$A:$A,0)+3),IF(INDIRECT("Sheet4!"&amp;"G"&amp;MATCH($C$2,Sheet4!$A:$A,0)+3)="Água","Água",
IF(INDIRECT("Sheet4!"&amp;"G"&amp;MATCH($C$2,Sheet4!$A:$A,0)+3)="-","-",
IF(_xlfn.NUMBERVALUE(MID(INDIRECT("Sheet4!"&amp;"G"&amp;MATCH($C$2,Sheet4!$A:$A,0)+3),9,2))&lt;=$C$4,
_xlfn.IFNA(VLOOKUP(INDIRECT("Sheet4!"&amp;"G"&amp;MATCH($C$2,Sheet4!$A:$A,0)+3),$C$7:$H$17,1,FALSE)&amp;CHAR(10)&amp;VLOOKUP(INDIRECT("Sheet4!"&amp;"G"&amp;MATCH($C$2,Sheet4!$A:$A,0)+3),$C$7:$H$17,5,FALSE),
VLOOKUP(INDIRECT("Sheet4!"&amp;"G"&amp;MATCH($C$2,Sheet4!$A:$A,0)+3),$I$7:$N$17,1,FALSE)&amp;CHAR(10)&amp;VLOOKUP(INDIRECT("Sheet4!"&amp;"G"&amp;MATCH($C$2,Sheet4!$A:$A,0)+3),$I$7:$N$17,5,FALSE)),"-"))))</f>
        <v>Amostra 4
37S R.G.S.V</v>
      </c>
      <c r="G23" s="8" t="str" cm="1">
        <f t="array" aca="1" ref="G23" ca="1">IF(ISNUMBER(FIND("ctrl",INDIRECT("Sheet4!"&amp;"H"&amp;MATCH($C$2,Sheet4!$A:$A,0)+3))),
INDIRECT("Sheet4!"&amp;"H"&amp;MATCH($C$2,Sheet4!$A:$A,0)+3),IF(INDIRECT("Sheet4!"&amp;"H"&amp;MATCH($C$2,Sheet4!$A:$A,0)+3)="Água","Água",
IF(INDIRECT("Sheet4!"&amp;"H"&amp;MATCH($C$2,Sheet4!$A:$A,0)+3)="-","-",
IF(_xlfn.NUMBERVALUE(MID(INDIRECT("Sheet4!"&amp;"H"&amp;MATCH($C$2,Sheet4!$A:$A,0)+3),9,2))&lt;=$C$4,
_xlfn.IFNA(VLOOKUP(INDIRECT("Sheet4!"&amp;"H"&amp;MATCH($C$2,Sheet4!$A:$A,0)+3),$C$7:$H$17,1,FALSE)&amp;CHAR(10)&amp;VLOOKUP(INDIRECT("Sheet4!"&amp;"H"&amp;MATCH($C$2,Sheet4!$A:$A,0)+3),$C$7:$H$17,5,FALSE),
VLOOKUP(INDIRECT("Sheet4!"&amp;"H"&amp;MATCH($C$2,Sheet4!$A:$A,0)+3),$I$7:$N$17,1,FALSE)&amp;CHAR(10)&amp;VLOOKUP(INDIRECT("Sheet4!"&amp;"H"&amp;MATCH($C$2,Sheet4!$A:$A,0)+3),$I$7:$N$17,5,FALSE)),"-"))))</f>
        <v>-</v>
      </c>
      <c r="H23" s="8" t="str" cm="1">
        <f t="array" aca="1" ref="H23" ca="1">IF(ISNUMBER(FIND("ctrl",INDIRECT("Sheet4!"&amp;"I"&amp;MATCH($C$2,Sheet4!$A:$A,0)+3))),
INDIRECT("Sheet4!"&amp;"I"&amp;MATCH($C$2,Sheet4!$A:$A,0)+3),IF(INDIRECT("Sheet4!"&amp;"I"&amp;MATCH($C$2,Sheet4!$A:$A,0)+3)="Água","Água",
IF(INDIRECT("Sheet4!"&amp;"I"&amp;MATCH($C$2,Sheet4!$A:$A,0)+3)="-","-",
IF(_xlfn.NUMBERVALUE(MID(INDIRECT("Sheet4!"&amp;"I"&amp;MATCH($C$2,Sheet4!$A:$A,0)+3),9,2))&lt;=$C$4,
_xlfn.IFNA(VLOOKUP(INDIRECT("Sheet4!"&amp;"I"&amp;MATCH($C$2,Sheet4!$A:$A,0)+3),$C$7:$H$17,1,FALSE)&amp;CHAR(10)&amp;VLOOKUP(INDIRECT("Sheet4!"&amp;"I"&amp;MATCH($C$2,Sheet4!$A:$A,0)+3),$C$7:$H$17,5,FALSE),
VLOOKUP(INDIRECT("Sheet4!"&amp;"I"&amp;MATCH($C$2,Sheet4!$A:$A,0)+3),$I$7:$N$17,1,FALSE)&amp;CHAR(10)&amp;VLOOKUP(INDIRECT("Sheet4!"&amp;"I"&amp;MATCH($C$2,Sheet4!$A:$A,0)+3),$I$7:$N$17,5,FALSE)),"-"))))</f>
        <v>-</v>
      </c>
      <c r="I23" s="8" t="str" cm="1">
        <f t="array" aca="1" ref="I23" ca="1">IF(ISNUMBER(FIND("ctrl",INDIRECT("Sheet4!"&amp;"J"&amp;MATCH($C$2,Sheet4!$A:$A,0)+3))),
INDIRECT("Sheet4!"&amp;"J"&amp;MATCH($C$2,Sheet4!$A:$A,0)+3),IF(INDIRECT("Sheet4!"&amp;"J"&amp;MATCH($C$2,Sheet4!$A:$A,0)+3)="Água","Água",
IF(INDIRECT("Sheet4!"&amp;"J"&amp;MATCH($C$2,Sheet4!$A:$A,0)+3)="-","-",
IF(_xlfn.NUMBERVALUE(MID(INDIRECT("Sheet4!"&amp;"J"&amp;MATCH($C$2,Sheet4!$A:$A,0)+3),9,2))&lt;=$C$4,
_xlfn.IFNA(VLOOKUP(INDIRECT("Sheet4!"&amp;"J"&amp;MATCH($C$2,Sheet4!$A:$A,0)+3),$C$7:$H$17,1,FALSE)&amp;CHAR(10)&amp;VLOOKUP(INDIRECT("Sheet4!"&amp;"J"&amp;MATCH($C$2,Sheet4!$A:$A,0)+3),$C$7:$H$17,5,FALSE),
VLOOKUP(INDIRECT("Sheet4!"&amp;"J"&amp;MATCH($C$2,Sheet4!$A:$A,0)+3),$I$7:$N$17,1,FALSE)&amp;CHAR(10)&amp;VLOOKUP(INDIRECT("Sheet4!"&amp;"J"&amp;MATCH($C$2,Sheet4!$A:$A,0)+3),$I$7:$N$17,5,FALSE)),"-"))))</f>
        <v>-</v>
      </c>
      <c r="J23" s="8" t="str" cm="1">
        <f t="array" aca="1" ref="J23" ca="1">IF(ISNUMBER(FIND("ctrl",INDIRECT("Sheet4!"&amp;"K"&amp;MATCH($C$2,Sheet4!$A:$A,0)+3))),
INDIRECT("Sheet4!"&amp;"K"&amp;MATCH($C$2,Sheet4!$A:$A,0)+3),IF(INDIRECT("Sheet4!"&amp;"K"&amp;MATCH($C$2,Sheet4!$A:$A,0)+3)="Água","Água",
IF(INDIRECT("Sheet4!"&amp;"K"&amp;MATCH($C$2,Sheet4!$A:$A,0)+3)="-","-",
IF(_xlfn.NUMBERVALUE(MID(INDIRECT("Sheet4!"&amp;"K"&amp;MATCH($C$2,Sheet4!$A:$A,0)+3),9,2))&lt;=$C$4,
_xlfn.IFNA(VLOOKUP(INDIRECT("Sheet4!"&amp;"K"&amp;MATCH($C$2,Sheet4!$A:$A,0)+3),$C$7:$H$17,1,FALSE)&amp;CHAR(10)&amp;VLOOKUP(INDIRECT("Sheet4!"&amp;"K"&amp;MATCH($C$2,Sheet4!$A:$A,0)+3),$C$7:$H$17,5,FALSE),
VLOOKUP(INDIRECT("Sheet4!"&amp;"K"&amp;MATCH($C$2,Sheet4!$A:$A,0)+3),$I$7:$N$17,1,FALSE)&amp;CHAR(10)&amp;VLOOKUP(INDIRECT("Sheet4!"&amp;"K"&amp;MATCH($C$2,Sheet4!$A:$A,0)+3),$I$7:$N$17,5,FALSE)),"-"))))</f>
        <v>-</v>
      </c>
      <c r="K23" s="8" t="str" cm="1">
        <f t="array" aca="1" ref="K23" ca="1">IF(ISNUMBER(FIND("ctrl",INDIRECT("Sheet4!"&amp;"L"&amp;MATCH($C$2,Sheet4!$A:$A,0)+3))),
INDIRECT("Sheet4!"&amp;"L"&amp;MATCH($C$2,Sheet4!$A:$A,0)+3),IF(INDIRECT("Sheet4!"&amp;"L"&amp;MATCH($C$2,Sheet4!$A:$A,0)+3)="Água","Água",
IF(INDIRECT("Sheet4!"&amp;"L"&amp;MATCH($C$2,Sheet4!$A:$A,0)+3)="-","-",
IF(_xlfn.NUMBERVALUE(MID(INDIRECT("Sheet4!"&amp;"L"&amp;MATCH($C$2,Sheet4!$A:$A,0)+3),9,2))&lt;=$C$4,
_xlfn.IFNA(VLOOKUP(INDIRECT("Sheet4!"&amp;"L"&amp;MATCH($C$2,Sheet4!$A:$A,0)+3),$C$7:$H$17,1,FALSE)&amp;CHAR(10)&amp;VLOOKUP(INDIRECT("Sheet4!"&amp;"L"&amp;MATCH($C$2,Sheet4!$A:$A,0)+3),$C$7:$H$17,5,FALSE),
VLOOKUP(INDIRECT("Sheet4!"&amp;"L"&amp;MATCH($C$2,Sheet4!$A:$A,0)+3),$I$7:$N$17,1,FALSE)&amp;CHAR(10)&amp;VLOOKUP(INDIRECT("Sheet4!"&amp;"L"&amp;MATCH($C$2,Sheet4!$A:$A,0)+3),$I$7:$N$17,5,FALSE)),"-"))))</f>
        <v>-</v>
      </c>
      <c r="L23" s="8" t="str" cm="1">
        <f t="array" aca="1" ref="L23" ca="1">IF(ISNUMBER(FIND("ctrl",INDIRECT("Sheet4!"&amp;"M"&amp;MATCH($C$2,Sheet4!$A:$A,0)+3))),
INDIRECT("Sheet4!"&amp;"M"&amp;MATCH($C$2,Sheet4!$A:$A,0)+3),IF(INDIRECT("Sheet4!"&amp;"M"&amp;MATCH($C$2,Sheet4!$A:$A,0)+3)="Água","Água",
IF(INDIRECT("Sheet4!"&amp;"M"&amp;MATCH($C$2,Sheet4!$A:$A,0)+3)="-","-",
IF(_xlfn.NUMBERVALUE(MID(INDIRECT("Sheet4!"&amp;"M"&amp;MATCH($C$2,Sheet4!$A:$A,0)+3),9,2))&lt;=$C$4,
_xlfn.IFNA(VLOOKUP(INDIRECT("Sheet4!"&amp;"M"&amp;MATCH($C$2,Sheet4!$A:$A,0)+3),$C$7:$H$17,1,FALSE)&amp;CHAR(10)&amp;VLOOKUP(INDIRECT("Sheet4!"&amp;"M"&amp;MATCH($C$2,Sheet4!$A:$A,0)+3),$C$7:$H$17,5,FALSE),
VLOOKUP(INDIRECT("Sheet4!"&amp;"M"&amp;MATCH($C$2,Sheet4!$A:$A,0)+3),$I$7:$N$17,1,FALSE)&amp;CHAR(10)&amp;VLOOKUP(INDIRECT("Sheet4!"&amp;"M"&amp;MATCH($C$2,Sheet4!$A:$A,0)+3),$I$7:$N$17,5,FALSE)),"-"))))</f>
        <v>-</v>
      </c>
      <c r="M23" s="8" t="str" cm="1">
        <f t="array" aca="1" ref="M23" ca="1">IF(ISNUMBER(FIND("ctrl",INDIRECT("Sheet4!"&amp;"M"&amp;MATCH($C$2,Sheet4!$A:$A,0)+3))),
INDIRECT("Sheet4!"&amp;"M"&amp;MATCH($C$2,Sheet4!$A:$A,0)+3),IF(INDIRECT("Sheet4!"&amp;"M"&amp;MATCH($C$2,Sheet4!$A:$A,0)+3)="Água","Água",
IF(INDIRECT("Sheet4!"&amp;"M"&amp;MATCH($C$2,Sheet4!$A:$A,0)+3)="-","-",
IF(_xlfn.NUMBERVALUE(MID(INDIRECT("Sheet4!"&amp;"M"&amp;MATCH($C$2,Sheet4!$A:$A,0)+3),9,2))&lt;=$C$4,
_xlfn.IFNA(VLOOKUP(INDIRECT("Sheet4!"&amp;"M"&amp;MATCH($C$2,Sheet4!$A:$A,0)+3),$C$7:$H$17,1,FALSE)&amp;CHAR(10)&amp;VLOOKUP(INDIRECT("Sheet4!"&amp;"M"&amp;MATCH($C$2,Sheet4!$A:$A,0)+3),$C$7:$H$17,5,FALSE),
VLOOKUP(INDIRECT("Sheet4!"&amp;"M"&amp;MATCH($C$2,Sheet4!$A:$A,0)+3),$I$7:$N$17,1,FALSE)&amp;CHAR(10)&amp;VLOOKUP(INDIRECT("Sheet4!"&amp;"M"&amp;MATCH($C$2,Sheet4!$A:$A,0)+3),$I$7:$N$17,5,FALSE)),"-"))))</f>
        <v>-</v>
      </c>
      <c r="N23" s="8" t="str" cm="1">
        <f t="array" aca="1" ref="N23" ca="1">IF(ISNUMBER(FIND("ctrl",INDIRECT("Sheet4!"&amp;"O"&amp;MATCH($C$2,Sheet4!$A:$A,0)+3))),
INDIRECT("Sheet4!"&amp;"O"&amp;MATCH($C$2,Sheet4!$A:$A,0)+3),IF(INDIRECT("Sheet4!"&amp;"O"&amp;MATCH($C$2,Sheet4!$A:$A,0)+3)="Água","Água",
IF(INDIRECT("Sheet4!"&amp;"O"&amp;MATCH($C$2,Sheet4!$A:$A,0)+3)="-","-",
IF(_xlfn.NUMBERVALUE(MID(INDIRECT("Sheet4!"&amp;"O"&amp;MATCH($C$2,Sheet4!$A:$A,0)+3),9,2))&lt;=$C$4,
_xlfn.IFNA(VLOOKUP(INDIRECT("Sheet4!"&amp;"O"&amp;MATCH($C$2,Sheet4!$A:$A,0)+3),$C$7:$H$17,1,FALSE)&amp;CHAR(10)&amp;VLOOKUP(INDIRECT("Sheet4!"&amp;"O"&amp;MATCH($C$2,Sheet4!$A:$A,0)+3),$C$7:$H$17,5,FALSE),
VLOOKUP(INDIRECT("Sheet4!"&amp;"O"&amp;MATCH($C$2,Sheet4!$A:$A,0)+3),$I$7:$N$17,1,FALSE)&amp;CHAR(10)&amp;VLOOKUP(INDIRECT("Sheet4!"&amp;"O"&amp;MATCH($C$2,Sheet4!$A:$A,0)+3),$I$7:$N$17,5,FALSE)),"-"))))</f>
        <v>Água</v>
      </c>
    </row>
    <row r="24" spans="2:14" ht="26.25" x14ac:dyDescent="0.25">
      <c r="B24" s="12" t="s">
        <v>30</v>
      </c>
      <c r="C24" s="8" t="str" cm="1">
        <f t="array" aca="1" ref="C24" ca="1">IF(ISNUMBER(FIND("ctrl",INDIRECT("Sheet4!"&amp;"D"&amp;MATCH($C$2,Sheet4!$A:$A,0)+4))),
INDIRECT("Sheet4!"&amp;"D"&amp;MATCH($C$2,Sheet4!$A:$A,0)+4),IF(INDIRECT("Sheet4!"&amp;"D"&amp;MATCH($C$2,Sheet4!$A:$A,0)+4)="Água","Água",
IF(INDIRECT("Sheet4!"&amp;"D"&amp;MATCH($C$2,Sheet4!$A:$A,0)+4)="-","-",
IF(_xlfn.NUMBERVALUE(MID(INDIRECT("Sheet4!"&amp;"D"&amp;MATCH($C$2,Sheet4!$A:$A,0)+4),9,2))&lt;=$C$4,
_xlfn.IFNA(VLOOKUP(INDIRECT("Sheet4!"&amp;"D"&amp;MATCH($C$2,Sheet4!$A:$A,0)+4),$C$7:$H$17,1,FALSE)&amp;CHAR(10)&amp;VLOOKUP(INDIRECT("Sheet4!"&amp;"D"&amp;MATCH($C$2,Sheet4!$A:$A,0)+4),$C$7:$H$17,5,FALSE),
VLOOKUP(INDIRECT("Sheet4!"&amp;"D"&amp;MATCH($C$2,Sheet4!$A:$A,0)+4),$I$7:$N$17,1,FALSE)&amp;CHAR(10)&amp;VLOOKUP(INDIRECT("Sheet4!"&amp;"D"&amp;MATCH($C$2,Sheet4!$A:$A,0)+4),$I$7:$N$17,5,FALSE)),"-"))))</f>
        <v>Amostra 1
108 E.N.</v>
      </c>
      <c r="D24" s="8" t="str" cm="1">
        <f t="array" aca="1" ref="D24" ca="1">IF(ISNUMBER(FIND("ctrl",INDIRECT("Sheet4!"&amp;"E"&amp;MATCH($C$2,Sheet4!$A:$A,0)+4))),
INDIRECT("Sheet4!"&amp;"E"&amp;MATCH($C$2,Sheet4!$A:$A,0)+4),IF(INDIRECT("Sheet4!"&amp;"E"&amp;MATCH($C$2,Sheet4!$A:$A,0)+4)="Água","Água",
IF(INDIRECT("Sheet4!"&amp;"E"&amp;MATCH($C$2,Sheet4!$A:$A,0)+4)="-","-",
IF(_xlfn.NUMBERVALUE(MID(INDIRECT("Sheet4!"&amp;"E"&amp;MATCH($C$2,Sheet4!$A:$A,0)+4),9,2))&lt;=$C$4,
_xlfn.IFNA(VLOOKUP(INDIRECT("Sheet4!"&amp;"E"&amp;MATCH($C$2,Sheet4!$A:$A,0)+4),$C$7:$H$17,1,FALSE)&amp;CHAR(10)&amp;VLOOKUP(INDIRECT("Sheet4!"&amp;"E"&amp;MATCH($C$2,Sheet4!$A:$A,0)+4),$C$7:$H$17,5,FALSE),
VLOOKUP(INDIRECT("Sheet4!"&amp;"E"&amp;MATCH($C$2,Sheet4!$A:$A,0)+4),$I$7:$N$17,1,FALSE)&amp;CHAR(10)&amp;VLOOKUP(INDIRECT("Sheet4!"&amp;"E"&amp;MATCH($C$2,Sheet4!$A:$A,0)+4),$I$7:$N$17,5,FALSE)),"-"))))</f>
        <v>Amostra 2
109 A.G.</v>
      </c>
      <c r="E24" s="8" t="str" cm="1">
        <f t="array" aca="1" ref="E24" ca="1">IF(ISNUMBER(FIND("ctrl",INDIRECT("Sheet4!"&amp;"F"&amp;MATCH($C$2,Sheet4!$A:$A,0)+4))),
INDIRECT("Sheet4!"&amp;"F"&amp;MATCH($C$2,Sheet4!$A:$A,0)+4),IF(INDIRECT("Sheet4!"&amp;"F"&amp;MATCH($C$2,Sheet4!$A:$A,0)+4)="Água","Água",
IF(INDIRECT("Sheet4!"&amp;"F"&amp;MATCH($C$2,Sheet4!$A:$A,0)+4)="-","-",
IF(_xlfn.NUMBERVALUE(MID(INDIRECT("Sheet4!"&amp;"F"&amp;MATCH($C$2,Sheet4!$A:$A,0)+4),9,2))&lt;=$C$4,
_xlfn.IFNA(VLOOKUP(INDIRECT("Sheet4!"&amp;"F"&amp;MATCH($C$2,Sheet4!$A:$A,0)+4),$C$7:$H$17,1,FALSE)&amp;CHAR(10)&amp;VLOOKUP(INDIRECT("Sheet4!"&amp;"F"&amp;MATCH($C$2,Sheet4!$A:$A,0)+4),$C$7:$H$17,5,FALSE),
VLOOKUP(INDIRECT("Sheet4!"&amp;"F"&amp;MATCH($C$2,Sheet4!$A:$A,0)+4),$I$7:$N$17,1,FALSE)&amp;CHAR(10)&amp;VLOOKUP(INDIRECT("Sheet4!"&amp;"F"&amp;MATCH($C$2,Sheet4!$A:$A,0)+4),$I$7:$N$17,5,FALSE)),"-"))))</f>
        <v>Amostra 3
110 G.B.</v>
      </c>
      <c r="F24" s="8" t="str" cm="1">
        <f t="array" aca="1" ref="F24" ca="1">IF(ISNUMBER(FIND("ctrl",INDIRECT("Sheet4!"&amp;"G"&amp;MATCH($C$2,Sheet4!$A:$A,0)+4))),
INDIRECT("Sheet4!"&amp;"G"&amp;MATCH($C$2,Sheet4!$A:$A,0)+4),IF(INDIRECT("Sheet4!"&amp;"G"&amp;MATCH($C$2,Sheet4!$A:$A,0)+4)="Água","Água",
IF(INDIRECT("Sheet4!"&amp;"G"&amp;MATCH($C$2,Sheet4!$A:$A,0)+4)="-","-",
IF(_xlfn.NUMBERVALUE(MID(INDIRECT("Sheet4!"&amp;"G"&amp;MATCH($C$2,Sheet4!$A:$A,0)+4),9,2))&lt;=$C$4,
_xlfn.IFNA(VLOOKUP(INDIRECT("Sheet4!"&amp;"G"&amp;MATCH($C$2,Sheet4!$A:$A,0)+4),$C$7:$H$17,1,FALSE)&amp;CHAR(10)&amp;VLOOKUP(INDIRECT("Sheet4!"&amp;"G"&amp;MATCH($C$2,Sheet4!$A:$A,0)+4),$C$7:$H$17,5,FALSE),
VLOOKUP(INDIRECT("Sheet4!"&amp;"G"&amp;MATCH($C$2,Sheet4!$A:$A,0)+4),$I$7:$N$17,1,FALSE)&amp;CHAR(10)&amp;VLOOKUP(INDIRECT("Sheet4!"&amp;"G"&amp;MATCH($C$2,Sheet4!$A:$A,0)+4),$I$7:$N$17,5,FALSE)),"-"))))</f>
        <v>Amostra 4
37S R.G.S.V</v>
      </c>
      <c r="G24" s="8" t="str" cm="1">
        <f t="array" aca="1" ref="G24" ca="1">IF(ISNUMBER(FIND("ctrl",INDIRECT("Sheet4!"&amp;"H"&amp;MATCH($C$2,Sheet4!$A:$A,0)+4))),
INDIRECT("Sheet4!"&amp;"H"&amp;MATCH($C$2,Sheet4!$A:$A,0)+4),IF(INDIRECT("Sheet4!"&amp;"H"&amp;MATCH($C$2,Sheet4!$A:$A,0)+4)="Água","Água",
IF(INDIRECT("Sheet4!"&amp;"H"&amp;MATCH($C$2,Sheet4!$A:$A,0)+4)="-","-",
IF(_xlfn.NUMBERVALUE(MID(INDIRECT("Sheet4!"&amp;"H"&amp;MATCH($C$2,Sheet4!$A:$A,0)+4),9,2))&lt;=$C$4,
_xlfn.IFNA(VLOOKUP(INDIRECT("Sheet4!"&amp;"H"&amp;MATCH($C$2,Sheet4!$A:$A,0)+4),$C$7:$H$17,1,FALSE)&amp;CHAR(10)&amp;VLOOKUP(INDIRECT("Sheet4!"&amp;"H"&amp;MATCH($C$2,Sheet4!$A:$A,0)+4),$C$7:$H$17,5,FALSE),
VLOOKUP(INDIRECT("Sheet4!"&amp;"H"&amp;MATCH($C$2,Sheet4!$A:$A,0)+4),$I$7:$N$17,1,FALSE)&amp;CHAR(10)&amp;VLOOKUP(INDIRECT("Sheet4!"&amp;"H"&amp;MATCH($C$2,Sheet4!$A:$A,0)+4),$I$7:$N$17,5,FALSE)),"-"))))</f>
        <v>-</v>
      </c>
      <c r="H24" s="8" t="str" cm="1">
        <f t="array" aca="1" ref="H24" ca="1">IF(ISNUMBER(FIND("ctrl",INDIRECT("Sheet4!"&amp;"I"&amp;MATCH($C$2,Sheet4!$A:$A,0)+4))),
INDIRECT("Sheet4!"&amp;"I"&amp;MATCH($C$2,Sheet4!$A:$A,0)+4),IF(INDIRECT("Sheet4!"&amp;"I"&amp;MATCH($C$2,Sheet4!$A:$A,0)+4)="Água","Água",
IF(INDIRECT("Sheet4!"&amp;"I"&amp;MATCH($C$2,Sheet4!$A:$A,0)+4)="-","-",
IF(_xlfn.NUMBERVALUE(MID(INDIRECT("Sheet4!"&amp;"I"&amp;MATCH($C$2,Sheet4!$A:$A,0)+4),9,2))&lt;=$C$4,
_xlfn.IFNA(VLOOKUP(INDIRECT("Sheet4!"&amp;"I"&amp;MATCH($C$2,Sheet4!$A:$A,0)+4),$C$7:$H$17,1,FALSE)&amp;CHAR(10)&amp;VLOOKUP(INDIRECT("Sheet4!"&amp;"I"&amp;MATCH($C$2,Sheet4!$A:$A,0)+4),$C$7:$H$17,5,FALSE),
VLOOKUP(INDIRECT("Sheet4!"&amp;"I"&amp;MATCH($C$2,Sheet4!$A:$A,0)+4),$I$7:$N$17,1,FALSE)&amp;CHAR(10)&amp;VLOOKUP(INDIRECT("Sheet4!"&amp;"I"&amp;MATCH($C$2,Sheet4!$A:$A,0)+4),$I$7:$N$17,5,FALSE)),"-"))))</f>
        <v>-</v>
      </c>
      <c r="I24" s="8" t="str" cm="1">
        <f t="array" aca="1" ref="I24" ca="1">IF(ISNUMBER(FIND("ctrl",INDIRECT("Sheet4!"&amp;"J"&amp;MATCH($C$2,Sheet4!$A:$A,0)+4))),
INDIRECT("Sheet4!"&amp;"J"&amp;MATCH($C$2,Sheet4!$A:$A,0)+4),IF(INDIRECT("Sheet4!"&amp;"J"&amp;MATCH($C$2,Sheet4!$A:$A,0)+4)="Água","Água",
IF(INDIRECT("Sheet4!"&amp;"J"&amp;MATCH($C$2,Sheet4!$A:$A,0)+4)="-","-",
IF(_xlfn.NUMBERVALUE(MID(INDIRECT("Sheet4!"&amp;"J"&amp;MATCH($C$2,Sheet4!$A:$A,0)+4),9,2))&lt;=$C$4,
_xlfn.IFNA(VLOOKUP(INDIRECT("Sheet4!"&amp;"J"&amp;MATCH($C$2,Sheet4!$A:$A,0)+4),$C$7:$H$17,1,FALSE)&amp;CHAR(10)&amp;VLOOKUP(INDIRECT("Sheet4!"&amp;"J"&amp;MATCH($C$2,Sheet4!$A:$A,0)+4),$C$7:$H$17,5,FALSE),
VLOOKUP(INDIRECT("Sheet4!"&amp;"J"&amp;MATCH($C$2,Sheet4!$A:$A,0)+4),$I$7:$N$17,1,FALSE)&amp;CHAR(10)&amp;VLOOKUP(INDIRECT("Sheet4!"&amp;"J"&amp;MATCH($C$2,Sheet4!$A:$A,0)+4),$I$7:$N$17,5,FALSE)),"-"))))</f>
        <v>-</v>
      </c>
      <c r="J24" s="8" t="str" cm="1">
        <f t="array" aca="1" ref="J24" ca="1">IF(ISNUMBER(FIND("ctrl",INDIRECT("Sheet4!"&amp;"K"&amp;MATCH($C$2,Sheet4!$A:$A,0)+4))),
INDIRECT("Sheet4!"&amp;"K"&amp;MATCH($C$2,Sheet4!$A:$A,0)+4),IF(INDIRECT("Sheet4!"&amp;"K"&amp;MATCH($C$2,Sheet4!$A:$A,0)+4)="Água","Água",
IF(INDIRECT("Sheet4!"&amp;"K"&amp;MATCH($C$2,Sheet4!$A:$A,0)+4)="-","-",
IF(_xlfn.NUMBERVALUE(MID(INDIRECT("Sheet4!"&amp;"K"&amp;MATCH($C$2,Sheet4!$A:$A,0)+4),9,2))&lt;=$C$4,
_xlfn.IFNA(VLOOKUP(INDIRECT("Sheet4!"&amp;"K"&amp;MATCH($C$2,Sheet4!$A:$A,0)+4),$C$7:$H$17,1,FALSE)&amp;CHAR(10)&amp;VLOOKUP(INDIRECT("Sheet4!"&amp;"K"&amp;MATCH($C$2,Sheet4!$A:$A,0)+4),$C$7:$H$17,5,FALSE),
VLOOKUP(INDIRECT("Sheet4!"&amp;"K"&amp;MATCH($C$2,Sheet4!$A:$A,0)+4),$I$7:$N$17,1,FALSE)&amp;CHAR(10)&amp;VLOOKUP(INDIRECT("Sheet4!"&amp;"K"&amp;MATCH($C$2,Sheet4!$A:$A,0)+4),$I$7:$N$17,5,FALSE)),"-"))))</f>
        <v>-</v>
      </c>
      <c r="K24" s="8" t="str" cm="1">
        <f t="array" aca="1" ref="K24" ca="1">IF(ISNUMBER(FIND("ctrl",INDIRECT("Sheet4!"&amp;"L"&amp;MATCH($C$2,Sheet4!$A:$A,0)+4))),
INDIRECT("Sheet4!"&amp;"L"&amp;MATCH($C$2,Sheet4!$A:$A,0)+4),IF(INDIRECT("Sheet4!"&amp;"L"&amp;MATCH($C$2,Sheet4!$A:$A,0)+4)="Água","Água",
IF(INDIRECT("Sheet4!"&amp;"L"&amp;MATCH($C$2,Sheet4!$A:$A,0)+4)="-","-",
IF(_xlfn.NUMBERVALUE(MID(INDIRECT("Sheet4!"&amp;"L"&amp;MATCH($C$2,Sheet4!$A:$A,0)+4),9,2))&lt;=$C$4,
_xlfn.IFNA(VLOOKUP(INDIRECT("Sheet4!"&amp;"L"&amp;MATCH($C$2,Sheet4!$A:$A,0)+4),$C$7:$H$17,1,FALSE)&amp;CHAR(10)&amp;VLOOKUP(INDIRECT("Sheet4!"&amp;"L"&amp;MATCH($C$2,Sheet4!$A:$A,0)+4),$C$7:$H$17,5,FALSE),
VLOOKUP(INDIRECT("Sheet4!"&amp;"L"&amp;MATCH($C$2,Sheet4!$A:$A,0)+4),$I$7:$N$17,1,FALSE)&amp;CHAR(10)&amp;VLOOKUP(INDIRECT("Sheet4!"&amp;"L"&amp;MATCH($C$2,Sheet4!$A:$A,0)+4),$I$7:$N$17,5,FALSE)),"-"))))</f>
        <v>-</v>
      </c>
      <c r="L24" s="8" t="str" cm="1">
        <f t="array" aca="1" ref="L24" ca="1">IF(ISNUMBER(FIND("ctrl",INDIRECT("Sheet4!"&amp;"M"&amp;MATCH($C$2,Sheet4!$A:$A,0)+4))),
INDIRECT("Sheet4!"&amp;"M"&amp;MATCH($C$2,Sheet4!$A:$A,0)+4),IF(INDIRECT("Sheet4!"&amp;"M"&amp;MATCH($C$2,Sheet4!$A:$A,0)+4)="Água","Água",
IF(INDIRECT("Sheet4!"&amp;"M"&amp;MATCH($C$2,Sheet4!$A:$A,0)+4)="-","-",
IF(_xlfn.NUMBERVALUE(MID(INDIRECT("Sheet4!"&amp;"M"&amp;MATCH($C$2,Sheet4!$A:$A,0)+4),9,2))&lt;=$C$4,
_xlfn.IFNA(VLOOKUP(INDIRECT("Sheet4!"&amp;"M"&amp;MATCH($C$2,Sheet4!$A:$A,0)+4),$C$7:$H$17,1,FALSE)&amp;CHAR(10)&amp;VLOOKUP(INDIRECT("Sheet4!"&amp;"M"&amp;MATCH($C$2,Sheet4!$A:$A,0)+4),$C$7:$H$17,5,FALSE),
VLOOKUP(INDIRECT("Sheet4!"&amp;"M"&amp;MATCH($C$2,Sheet4!$A:$A,0)+4),$I$7:$N$17,1,FALSE)&amp;CHAR(10)&amp;VLOOKUP(INDIRECT("Sheet4!"&amp;"M"&amp;MATCH($C$2,Sheet4!$A:$A,0)+4),$I$7:$N$17,5,FALSE)),"-"))))</f>
        <v>-</v>
      </c>
      <c r="M24" s="8" t="str" cm="1">
        <f t="array" aca="1" ref="M24" ca="1">IF(ISNUMBER(FIND("ctrl",INDIRECT("Sheet4!"&amp;"M"&amp;MATCH($C$2,Sheet4!$A:$A,0)+4))),
INDIRECT("Sheet4!"&amp;"M"&amp;MATCH($C$2,Sheet4!$A:$A,0)+4),IF(INDIRECT("Sheet4!"&amp;"M"&amp;MATCH($C$2,Sheet4!$A:$A,0)+4)="Água","Água",
IF(INDIRECT("Sheet4!"&amp;"M"&amp;MATCH($C$2,Sheet4!$A:$A,0)+4)="-","-",
IF(_xlfn.NUMBERVALUE(MID(INDIRECT("Sheet4!"&amp;"M"&amp;MATCH($C$2,Sheet4!$A:$A,0)+4),9,2))&lt;=$C$4,
_xlfn.IFNA(VLOOKUP(INDIRECT("Sheet4!"&amp;"M"&amp;MATCH($C$2,Sheet4!$A:$A,0)+4),$C$7:$H$17,1,FALSE)&amp;CHAR(10)&amp;VLOOKUP(INDIRECT("Sheet4!"&amp;"M"&amp;MATCH($C$2,Sheet4!$A:$A,0)+4),$C$7:$H$17,5,FALSE),
VLOOKUP(INDIRECT("Sheet4!"&amp;"M"&amp;MATCH($C$2,Sheet4!$A:$A,0)+4),$I$7:$N$17,1,FALSE)&amp;CHAR(10)&amp;VLOOKUP(INDIRECT("Sheet4!"&amp;"M"&amp;MATCH($C$2,Sheet4!$A:$A,0)+4),$I$7:$N$17,5,FALSE)),"-"))))</f>
        <v>-</v>
      </c>
      <c r="N24" s="8" t="str" cm="1">
        <f t="array" aca="1" ref="N24" ca="1">IF(ISNUMBER(FIND("ctrl",INDIRECT("Sheet4!"&amp;"O"&amp;MATCH($C$2,Sheet4!$A:$A,0)+4))),
INDIRECT("Sheet4!"&amp;"O"&amp;MATCH($C$2,Sheet4!$A:$A,0)+4),IF(INDIRECT("Sheet4!"&amp;"O"&amp;MATCH($C$2,Sheet4!$A:$A,0)+4)="Água","Água",
IF(INDIRECT("Sheet4!"&amp;"O"&amp;MATCH($C$2,Sheet4!$A:$A,0)+4)="-","-",
IF(_xlfn.NUMBERVALUE(MID(INDIRECT("Sheet4!"&amp;"O"&amp;MATCH($C$2,Sheet4!$A:$A,0)+4),9,2))&lt;=$C$4,
_xlfn.IFNA(VLOOKUP(INDIRECT("Sheet4!"&amp;"O"&amp;MATCH($C$2,Sheet4!$A:$A,0)+4),$C$7:$H$17,1,FALSE)&amp;CHAR(10)&amp;VLOOKUP(INDIRECT("Sheet4!"&amp;"O"&amp;MATCH($C$2,Sheet4!$A:$A,0)+4),$C$7:$H$17,5,FALSE),
VLOOKUP(INDIRECT("Sheet4!"&amp;"O"&amp;MATCH($C$2,Sheet4!$A:$A,0)+4),$I$7:$N$17,1,FALSE)&amp;CHAR(10)&amp;VLOOKUP(INDIRECT("Sheet4!"&amp;"O"&amp;MATCH($C$2,Sheet4!$A:$A,0)+4),$I$7:$N$17,5,FALSE)),"-"))))</f>
        <v>Água</v>
      </c>
    </row>
    <row r="25" spans="2:14" ht="15" customHeight="1" x14ac:dyDescent="0.25">
      <c r="B25" s="12" t="s">
        <v>31</v>
      </c>
      <c r="C25" s="8" t="str" cm="1">
        <f t="array" aca="1" ref="C25" ca="1">IF(ISNUMBER(FIND("ctrl",INDIRECT("Sheet4!"&amp;"D"&amp;MATCH($C$2,Sheet4!$A:$A,0)+5))),
INDIRECT("Sheet4!"&amp;"D"&amp;MATCH($C$2,Sheet4!$A:$A,0)+5),IF(INDIRECT("Sheet4!"&amp;"D"&amp;MATCH($C$2,Sheet4!$A:$A,0)+5)="Água","Água",
IF(INDIRECT("Sheet4!"&amp;"D"&amp;MATCH($C$2,Sheet4!$A:$A,0)+5)="-","-",
IF(_xlfn.NUMBERVALUE(MID(INDIRECT("Sheet4!"&amp;"D"&amp;MATCH($C$2,Sheet4!$A:$A,0)+5),9,2))&lt;=$C$4,
_xlfn.IFNA(VLOOKUP(INDIRECT("Sheet4!"&amp;"D"&amp;MATCH($C$2,Sheet4!$A:$A,0)+5),$C$7:$H$17,1,FALSE)&amp;CHAR(10)&amp;VLOOKUP(INDIRECT("Sheet4!"&amp;"D"&amp;MATCH($C$2,Sheet4!$A:$A,0)+5),$C$7:$H$17,5,FALSE),
VLOOKUP(INDIRECT("Sheet4!"&amp;"D"&amp;MATCH($C$2,Sheet4!$A:$A,0)+5),$I$7:$N$17,1,FALSE)&amp;CHAR(10)&amp;VLOOKUP(INDIRECT("Sheet4!"&amp;"D"&amp;MATCH($C$2,Sheet4!$A:$A,0)+5),$I$7:$N$17,5,FALSE)),"-"))))</f>
        <v>Amostra 1
108 E.N.</v>
      </c>
      <c r="D25" s="8" t="str" cm="1">
        <f t="array" aca="1" ref="D25" ca="1">IF(ISNUMBER(FIND("ctrl",INDIRECT("Sheet4!"&amp;"E"&amp;MATCH($C$2,Sheet4!$A:$A,0)+5))),
INDIRECT("Sheet4!"&amp;"E"&amp;MATCH($C$2,Sheet4!$A:$A,0)+5),IF(INDIRECT("Sheet4!"&amp;"E"&amp;MATCH($C$2,Sheet4!$A:$A,0)+5)="Água","Água",
IF(INDIRECT("Sheet4!"&amp;"E"&amp;MATCH($C$2,Sheet4!$A:$A,0)+5)="-","-",
IF(_xlfn.NUMBERVALUE(MID(INDIRECT("Sheet4!"&amp;"E"&amp;MATCH($C$2,Sheet4!$A:$A,0)+5),9,2))&lt;=$C$4,
_xlfn.IFNA(VLOOKUP(INDIRECT("Sheet4!"&amp;"E"&amp;MATCH($C$2,Sheet4!$A:$A,0)+5),$C$7:$H$17,1,FALSE)&amp;CHAR(10)&amp;VLOOKUP(INDIRECT("Sheet4!"&amp;"E"&amp;MATCH($C$2,Sheet4!$A:$A,0)+5),$C$7:$H$17,5,FALSE),
VLOOKUP(INDIRECT("Sheet4!"&amp;"E"&amp;MATCH($C$2,Sheet4!$A:$A,0)+5),$I$7:$N$17,1,FALSE)&amp;CHAR(10)&amp;VLOOKUP(INDIRECT("Sheet4!"&amp;"E"&amp;MATCH($C$2,Sheet4!$A:$A,0)+5),$I$7:$N$17,5,FALSE)),"-"))))</f>
        <v>Amostra 2
109 A.G.</v>
      </c>
      <c r="E25" s="8" t="str" cm="1">
        <f t="array" aca="1" ref="E25" ca="1">IF(ISNUMBER(FIND("ctrl",INDIRECT("Sheet4!"&amp;"F"&amp;MATCH($C$2,Sheet4!$A:$A,0)+5))),
INDIRECT("Sheet4!"&amp;"F"&amp;MATCH($C$2,Sheet4!$A:$A,0)+5),IF(INDIRECT("Sheet4!"&amp;"F"&amp;MATCH($C$2,Sheet4!$A:$A,0)+5)="Água","Água",
IF(INDIRECT("Sheet4!"&amp;"F"&amp;MATCH($C$2,Sheet4!$A:$A,0)+5)="-","-",
IF(_xlfn.NUMBERVALUE(MID(INDIRECT("Sheet4!"&amp;"F"&amp;MATCH($C$2,Sheet4!$A:$A,0)+5),9,2))&lt;=$C$4,
_xlfn.IFNA(VLOOKUP(INDIRECT("Sheet4!"&amp;"F"&amp;MATCH($C$2,Sheet4!$A:$A,0)+5),$C$7:$H$17,1,FALSE)&amp;CHAR(10)&amp;VLOOKUP(INDIRECT("Sheet4!"&amp;"F"&amp;MATCH($C$2,Sheet4!$A:$A,0)+5),$C$7:$H$17,5,FALSE),
VLOOKUP(INDIRECT("Sheet4!"&amp;"F"&amp;MATCH($C$2,Sheet4!$A:$A,0)+5),$I$7:$N$17,1,FALSE)&amp;CHAR(10)&amp;VLOOKUP(INDIRECT("Sheet4!"&amp;"F"&amp;MATCH($C$2,Sheet4!$A:$A,0)+5),$I$7:$N$17,5,FALSE)),"-"))))</f>
        <v>Amostra 3
110 G.B.</v>
      </c>
      <c r="F25" s="8" t="str" cm="1">
        <f t="array" aca="1" ref="F25" ca="1">IF(ISNUMBER(FIND("ctrl",INDIRECT("Sheet4!"&amp;"G"&amp;MATCH($C$2,Sheet4!$A:$A,0)+5))),
INDIRECT("Sheet4!"&amp;"G"&amp;MATCH($C$2,Sheet4!$A:$A,0)+5),IF(INDIRECT("Sheet4!"&amp;"G"&amp;MATCH($C$2,Sheet4!$A:$A,0)+5)="Água","Água",
IF(INDIRECT("Sheet4!"&amp;"G"&amp;MATCH($C$2,Sheet4!$A:$A,0)+5)="-","-",
IF(_xlfn.NUMBERVALUE(MID(INDIRECT("Sheet4!"&amp;"G"&amp;MATCH($C$2,Sheet4!$A:$A,0)+5),9,2))&lt;=$C$4,
_xlfn.IFNA(VLOOKUP(INDIRECT("Sheet4!"&amp;"G"&amp;MATCH($C$2,Sheet4!$A:$A,0)+5),$C$7:$H$17,1,FALSE)&amp;CHAR(10)&amp;VLOOKUP(INDIRECT("Sheet4!"&amp;"G"&amp;MATCH($C$2,Sheet4!$A:$A,0)+5),$C$7:$H$17,5,FALSE),
VLOOKUP(INDIRECT("Sheet4!"&amp;"G"&amp;MATCH($C$2,Sheet4!$A:$A,0)+5),$I$7:$N$17,1,FALSE)&amp;CHAR(10)&amp;VLOOKUP(INDIRECT("Sheet4!"&amp;"G"&amp;MATCH($C$2,Sheet4!$A:$A,0)+5),$I$7:$N$17,5,FALSE)),"-"))))</f>
        <v>Amostra 4
37S R.G.S.V</v>
      </c>
      <c r="G25" s="8" t="str" cm="1">
        <f t="array" aca="1" ref="G25" ca="1">IF(ISNUMBER(FIND("ctrl",INDIRECT("Sheet4!"&amp;"H"&amp;MATCH($C$2,Sheet4!$A:$A,0)+5))),
INDIRECT("Sheet4!"&amp;"H"&amp;MATCH($C$2,Sheet4!$A:$A,0)+5),IF(INDIRECT("Sheet4!"&amp;"H"&amp;MATCH($C$2,Sheet4!$A:$A,0)+5)="Água","Água",
IF(INDIRECT("Sheet4!"&amp;"H"&amp;MATCH($C$2,Sheet4!$A:$A,0)+5)="-","-",
IF(_xlfn.NUMBERVALUE(MID(INDIRECT("Sheet4!"&amp;"H"&amp;MATCH($C$2,Sheet4!$A:$A,0)+5),9,2))&lt;=$C$4,
_xlfn.IFNA(VLOOKUP(INDIRECT("Sheet4!"&amp;"H"&amp;MATCH($C$2,Sheet4!$A:$A,0)+5),$C$7:$H$17,1,FALSE)&amp;CHAR(10)&amp;VLOOKUP(INDIRECT("Sheet4!"&amp;"H"&amp;MATCH($C$2,Sheet4!$A:$A,0)+5),$C$7:$H$17,5,FALSE),
VLOOKUP(INDIRECT("Sheet4!"&amp;"H"&amp;MATCH($C$2,Sheet4!$A:$A,0)+5),$I$7:$N$17,1,FALSE)&amp;CHAR(10)&amp;VLOOKUP(INDIRECT("Sheet4!"&amp;"H"&amp;MATCH($C$2,Sheet4!$A:$A,0)+5),$I$7:$N$17,5,FALSE)),"-"))))</f>
        <v>-</v>
      </c>
      <c r="H25" s="8" t="str" cm="1">
        <f t="array" aca="1" ref="H25" ca="1">IF(ISNUMBER(FIND("ctrl",INDIRECT("Sheet4!"&amp;"I"&amp;MATCH($C$2,Sheet4!$A:$A,0)+5))),
INDIRECT("Sheet4!"&amp;"I"&amp;MATCH($C$2,Sheet4!$A:$A,0)+5),IF(INDIRECT("Sheet4!"&amp;"I"&amp;MATCH($C$2,Sheet4!$A:$A,0)+5)="Água","Água",
IF(INDIRECT("Sheet4!"&amp;"I"&amp;MATCH($C$2,Sheet4!$A:$A,0)+5)="-","-",
IF(_xlfn.NUMBERVALUE(MID(INDIRECT("Sheet4!"&amp;"I"&amp;MATCH($C$2,Sheet4!$A:$A,0)+5),9,2))&lt;=$C$4,
_xlfn.IFNA(VLOOKUP(INDIRECT("Sheet4!"&amp;"I"&amp;MATCH($C$2,Sheet4!$A:$A,0)+5),$C$7:$H$17,1,FALSE)&amp;CHAR(10)&amp;VLOOKUP(INDIRECT("Sheet4!"&amp;"I"&amp;MATCH($C$2,Sheet4!$A:$A,0)+5),$C$7:$H$17,5,FALSE),
VLOOKUP(INDIRECT("Sheet4!"&amp;"I"&amp;MATCH($C$2,Sheet4!$A:$A,0)+5),$I$7:$N$17,1,FALSE)&amp;CHAR(10)&amp;VLOOKUP(INDIRECT("Sheet4!"&amp;"I"&amp;MATCH($C$2,Sheet4!$A:$A,0)+5),$I$7:$N$17,5,FALSE)),"-"))))</f>
        <v>-</v>
      </c>
      <c r="I25" s="8" t="str" cm="1">
        <f t="array" aca="1" ref="I25" ca="1">IF(ISNUMBER(FIND("ctrl",INDIRECT("Sheet4!"&amp;"J"&amp;MATCH($C$2,Sheet4!$A:$A,0)+5))),
INDIRECT("Sheet4!"&amp;"J"&amp;MATCH($C$2,Sheet4!$A:$A,0)+5),IF(INDIRECT("Sheet4!"&amp;"J"&amp;MATCH($C$2,Sheet4!$A:$A,0)+5)="Água","Água",
IF(INDIRECT("Sheet4!"&amp;"J"&amp;MATCH($C$2,Sheet4!$A:$A,0)+5)="-","-",
IF(_xlfn.NUMBERVALUE(MID(INDIRECT("Sheet4!"&amp;"J"&amp;MATCH($C$2,Sheet4!$A:$A,0)+5),9,2))&lt;=$C$4,
_xlfn.IFNA(VLOOKUP(INDIRECT("Sheet4!"&amp;"J"&amp;MATCH($C$2,Sheet4!$A:$A,0)+5),$C$7:$H$17,1,FALSE)&amp;CHAR(10)&amp;VLOOKUP(INDIRECT("Sheet4!"&amp;"J"&amp;MATCH($C$2,Sheet4!$A:$A,0)+5),$C$7:$H$17,5,FALSE),
VLOOKUP(INDIRECT("Sheet4!"&amp;"J"&amp;MATCH($C$2,Sheet4!$A:$A,0)+5),$I$7:$N$17,1,FALSE)&amp;CHAR(10)&amp;VLOOKUP(INDIRECT("Sheet4!"&amp;"J"&amp;MATCH($C$2,Sheet4!$A:$A,0)+5),$I$7:$N$17,5,FALSE)),"-"))))</f>
        <v>-</v>
      </c>
      <c r="J25" s="8" t="str" cm="1">
        <f t="array" aca="1" ref="J25" ca="1">IF(ISNUMBER(FIND("ctrl",INDIRECT("Sheet4!"&amp;"K"&amp;MATCH($C$2,Sheet4!$A:$A,0)+5))),
INDIRECT("Sheet4!"&amp;"K"&amp;MATCH($C$2,Sheet4!$A:$A,0)+5),IF(INDIRECT("Sheet4!"&amp;"K"&amp;MATCH($C$2,Sheet4!$A:$A,0)+5)="Água","Água",
IF(INDIRECT("Sheet4!"&amp;"K"&amp;MATCH($C$2,Sheet4!$A:$A,0)+5)="-","-",
IF(_xlfn.NUMBERVALUE(MID(INDIRECT("Sheet4!"&amp;"K"&amp;MATCH($C$2,Sheet4!$A:$A,0)+5),9,2))&lt;=$C$4,
_xlfn.IFNA(VLOOKUP(INDIRECT("Sheet4!"&amp;"K"&amp;MATCH($C$2,Sheet4!$A:$A,0)+5),$C$7:$H$17,1,FALSE)&amp;CHAR(10)&amp;VLOOKUP(INDIRECT("Sheet4!"&amp;"K"&amp;MATCH($C$2,Sheet4!$A:$A,0)+5),$C$7:$H$17,5,FALSE),
VLOOKUP(INDIRECT("Sheet4!"&amp;"K"&amp;MATCH($C$2,Sheet4!$A:$A,0)+5),$I$7:$N$17,1,FALSE)&amp;CHAR(10)&amp;VLOOKUP(INDIRECT("Sheet4!"&amp;"K"&amp;MATCH($C$2,Sheet4!$A:$A,0)+5),$I$7:$N$17,5,FALSE)),"-"))))</f>
        <v>-</v>
      </c>
      <c r="K25" s="8" t="str" cm="1">
        <f t="array" aca="1" ref="K25" ca="1">IF(ISNUMBER(FIND("ctrl",INDIRECT("Sheet4!"&amp;"L"&amp;MATCH($C$2,Sheet4!$A:$A,0)+5))),
INDIRECT("Sheet4!"&amp;"L"&amp;MATCH($C$2,Sheet4!$A:$A,0)+5),IF(INDIRECT("Sheet4!"&amp;"L"&amp;MATCH($C$2,Sheet4!$A:$A,0)+5)="Água","Água",
IF(INDIRECT("Sheet4!"&amp;"L"&amp;MATCH($C$2,Sheet4!$A:$A,0)+5)="-","-",
IF(_xlfn.NUMBERVALUE(MID(INDIRECT("Sheet4!"&amp;"L"&amp;MATCH($C$2,Sheet4!$A:$A,0)+5),9,2))&lt;=$C$4,
_xlfn.IFNA(VLOOKUP(INDIRECT("Sheet4!"&amp;"L"&amp;MATCH($C$2,Sheet4!$A:$A,0)+5),$C$7:$H$17,1,FALSE)&amp;CHAR(10)&amp;VLOOKUP(INDIRECT("Sheet4!"&amp;"L"&amp;MATCH($C$2,Sheet4!$A:$A,0)+5),$C$7:$H$17,5,FALSE),
VLOOKUP(INDIRECT("Sheet4!"&amp;"L"&amp;MATCH($C$2,Sheet4!$A:$A,0)+5),$I$7:$N$17,1,FALSE)&amp;CHAR(10)&amp;VLOOKUP(INDIRECT("Sheet4!"&amp;"L"&amp;MATCH($C$2,Sheet4!$A:$A,0)+5),$I$7:$N$17,5,FALSE)),"-"))))</f>
        <v>-</v>
      </c>
      <c r="L25" s="8" t="str" cm="1">
        <f t="array" aca="1" ref="L25" ca="1">IF(ISNUMBER(FIND("ctrl",INDIRECT("Sheet4!"&amp;"M"&amp;MATCH($C$2,Sheet4!$A:$A,0)+5))),
INDIRECT("Sheet4!"&amp;"M"&amp;MATCH($C$2,Sheet4!$A:$A,0)+5),IF(INDIRECT("Sheet4!"&amp;"M"&amp;MATCH($C$2,Sheet4!$A:$A,0)+5)="Água","Água",
IF(INDIRECT("Sheet4!"&amp;"M"&amp;MATCH($C$2,Sheet4!$A:$A,0)+5)="-","-",
IF(_xlfn.NUMBERVALUE(MID(INDIRECT("Sheet4!"&amp;"M"&amp;MATCH($C$2,Sheet4!$A:$A,0)+5),9,2))&lt;=$C$4,
_xlfn.IFNA(VLOOKUP(INDIRECT("Sheet4!"&amp;"M"&amp;MATCH($C$2,Sheet4!$A:$A,0)+5),$C$7:$H$17,1,FALSE)&amp;CHAR(10)&amp;VLOOKUP(INDIRECT("Sheet4!"&amp;"M"&amp;MATCH($C$2,Sheet4!$A:$A,0)+5),$C$7:$H$17,5,FALSE),
VLOOKUP(INDIRECT("Sheet4!"&amp;"M"&amp;MATCH($C$2,Sheet4!$A:$A,0)+5),$I$7:$N$17,1,FALSE)&amp;CHAR(10)&amp;VLOOKUP(INDIRECT("Sheet4!"&amp;"M"&amp;MATCH($C$2,Sheet4!$A:$A,0)+5),$I$7:$N$17,5,FALSE)),"-"))))</f>
        <v>-</v>
      </c>
      <c r="M25" s="8" t="str" cm="1">
        <f t="array" aca="1" ref="M25" ca="1">IF(ISNUMBER(FIND("ctrl",INDIRECT("Sheet4!"&amp;"M"&amp;MATCH($C$2,Sheet4!$A:$A,0)+5))),
INDIRECT("Sheet4!"&amp;"M"&amp;MATCH($C$2,Sheet4!$A:$A,0)+5),IF(INDIRECT("Sheet4!"&amp;"M"&amp;MATCH($C$2,Sheet4!$A:$A,0)+5)="Água","Água",
IF(INDIRECT("Sheet4!"&amp;"M"&amp;MATCH($C$2,Sheet4!$A:$A,0)+5)="-","-",
IF(_xlfn.NUMBERVALUE(MID(INDIRECT("Sheet4!"&amp;"M"&amp;MATCH($C$2,Sheet4!$A:$A,0)+5),9,2))&lt;=$C$4,
_xlfn.IFNA(VLOOKUP(INDIRECT("Sheet4!"&amp;"M"&amp;MATCH($C$2,Sheet4!$A:$A,0)+5),$C$7:$H$17,1,FALSE)&amp;CHAR(10)&amp;VLOOKUP(INDIRECT("Sheet4!"&amp;"M"&amp;MATCH($C$2,Sheet4!$A:$A,0)+5),$C$7:$H$17,5,FALSE),
VLOOKUP(INDIRECT("Sheet4!"&amp;"M"&amp;MATCH($C$2,Sheet4!$A:$A,0)+5),$I$7:$N$17,1,FALSE)&amp;CHAR(10)&amp;VLOOKUP(INDIRECT("Sheet4!"&amp;"M"&amp;MATCH($C$2,Sheet4!$A:$A,0)+5),$I$7:$N$17,5,FALSE)),"-"))))</f>
        <v>-</v>
      </c>
      <c r="N25" s="8" t="str" cm="1">
        <f t="array" aca="1" ref="N25" ca="1">IF(ISNUMBER(FIND("ctrl",INDIRECT("Sheet4!"&amp;"O"&amp;MATCH($C$2,Sheet4!$A:$A,0)+5))),
INDIRECT("Sheet4!"&amp;"O"&amp;MATCH($C$2,Sheet4!$A:$A,0)+5),IF(INDIRECT("Sheet4!"&amp;"O"&amp;MATCH($C$2,Sheet4!$A:$A,0)+5)="Água","Água",
IF(INDIRECT("Sheet4!"&amp;"O"&amp;MATCH($C$2,Sheet4!$A:$A,0)+5)="-","-",
IF(_xlfn.NUMBERVALUE(MID(INDIRECT("Sheet4!"&amp;"O"&amp;MATCH($C$2,Sheet4!$A:$A,0)+5),9,2))&lt;=$C$4,
_xlfn.IFNA(VLOOKUP(INDIRECT("Sheet4!"&amp;"O"&amp;MATCH($C$2,Sheet4!$A:$A,0)+5),$C$7:$H$17,1,FALSE)&amp;CHAR(10)&amp;VLOOKUP(INDIRECT("Sheet4!"&amp;"O"&amp;MATCH($C$2,Sheet4!$A:$A,0)+5),$C$7:$H$17,5,FALSE),
VLOOKUP(INDIRECT("Sheet4!"&amp;"O"&amp;MATCH($C$2,Sheet4!$A:$A,0)+5),$I$7:$N$17,1,FALSE)&amp;CHAR(10)&amp;VLOOKUP(INDIRECT("Sheet4!"&amp;"O"&amp;MATCH($C$2,Sheet4!$A:$A,0)+5),$I$7:$N$17,5,FALSE)),"-"))))</f>
        <v>Água</v>
      </c>
    </row>
    <row r="26" spans="2:14" ht="15" customHeight="1" x14ac:dyDescent="0.25">
      <c r="B26" s="12" t="s">
        <v>32</v>
      </c>
      <c r="C26" s="8" t="str" cm="1">
        <f t="array" aca="1" ref="C26" ca="1">IF(ISNUMBER(FIND("ctrl",INDIRECT("Sheet4!"&amp;"D"&amp;MATCH($C$2,Sheet4!$A:$A,0)+6))),
INDIRECT("Sheet4!"&amp;"D"&amp;MATCH($C$2,Sheet4!$A:$A,0)+6),IF(INDIRECT("Sheet4!"&amp;"D"&amp;MATCH($C$2,Sheet4!$A:$A,0)+6)="Água","Água",
IF(INDIRECT("Sheet4!"&amp;"D"&amp;MATCH($C$2,Sheet4!$A:$A,0)+6)="-","-",
IF(_xlfn.NUMBERVALUE(MID(INDIRECT("Sheet4!"&amp;"D"&amp;MATCH($C$2,Sheet4!$A:$A,0)+6),9,2))&lt;=$C$4,
_xlfn.IFNA(VLOOKUP(INDIRECT("Sheet4!"&amp;"D"&amp;MATCH($C$2,Sheet4!$A:$A,0)+6),$C$7:$H$17,1,FALSE)&amp;CHAR(10)&amp;VLOOKUP(INDIRECT("Sheet4!"&amp;"D"&amp;MATCH($C$2,Sheet4!$A:$A,0)+6),$C$7:$H$17,5,FALSE),
VLOOKUP(INDIRECT("Sheet4!"&amp;"D"&amp;MATCH($C$2,Sheet4!$A:$A,0)+6),$I$7:$N$17,1,FALSE)&amp;CHAR(10)&amp;VLOOKUP(INDIRECT("Sheet4!"&amp;"D"&amp;MATCH($C$2,Sheet4!$A:$A,0)+6),$I$7:$N$17,5,FALSE)),"-"))))</f>
        <v>Amostra 1
108 E.N.</v>
      </c>
      <c r="D26" s="8" t="str" cm="1">
        <f t="array" aca="1" ref="D26" ca="1">IF(ISNUMBER(FIND("ctrl",INDIRECT("Sheet4!"&amp;"E"&amp;MATCH($C$2,Sheet4!$A:$A,0)+6))),
INDIRECT("Sheet4!"&amp;"E"&amp;MATCH($C$2,Sheet4!$A:$A,0)+6),IF(INDIRECT("Sheet4!"&amp;"E"&amp;MATCH($C$2,Sheet4!$A:$A,0)+6)="Água","Água",
IF(INDIRECT("Sheet4!"&amp;"E"&amp;MATCH($C$2,Sheet4!$A:$A,0)+6)="-","-",
IF(_xlfn.NUMBERVALUE(MID(INDIRECT("Sheet4!"&amp;"E"&amp;MATCH($C$2,Sheet4!$A:$A,0)+6),9,2))&lt;=$C$4,
_xlfn.IFNA(VLOOKUP(INDIRECT("Sheet4!"&amp;"E"&amp;MATCH($C$2,Sheet4!$A:$A,0)+6),$C$7:$H$17,1,FALSE)&amp;CHAR(10)&amp;VLOOKUP(INDIRECT("Sheet4!"&amp;"E"&amp;MATCH($C$2,Sheet4!$A:$A,0)+6),$C$7:$H$17,5,FALSE),
VLOOKUP(INDIRECT("Sheet4!"&amp;"E"&amp;MATCH($C$2,Sheet4!$A:$A,0)+6),$I$7:$N$17,1,FALSE)&amp;CHAR(10)&amp;VLOOKUP(INDIRECT("Sheet4!"&amp;"E"&amp;MATCH($C$2,Sheet4!$A:$A,0)+6),$I$7:$N$17,5,FALSE)),"-"))))</f>
        <v>Amostra 2
109 A.G.</v>
      </c>
      <c r="E26" s="8" t="str" cm="1">
        <f t="array" aca="1" ref="E26" ca="1">IF(ISNUMBER(FIND("ctrl",INDIRECT("Sheet4!"&amp;"F"&amp;MATCH($C$2,Sheet4!$A:$A,0)+6))),
INDIRECT("Sheet4!"&amp;"F"&amp;MATCH($C$2,Sheet4!$A:$A,0)+6),IF(INDIRECT("Sheet4!"&amp;"F"&amp;MATCH($C$2,Sheet4!$A:$A,0)+6)="Água","Água",
IF(INDIRECT("Sheet4!"&amp;"F"&amp;MATCH($C$2,Sheet4!$A:$A,0)+6)="-","-",
IF(_xlfn.NUMBERVALUE(MID(INDIRECT("Sheet4!"&amp;"F"&amp;MATCH($C$2,Sheet4!$A:$A,0)+6),9,2))&lt;=$C$4,
_xlfn.IFNA(VLOOKUP(INDIRECT("Sheet4!"&amp;"F"&amp;MATCH($C$2,Sheet4!$A:$A,0)+6),$C$7:$H$17,1,FALSE)&amp;CHAR(10)&amp;VLOOKUP(INDIRECT("Sheet4!"&amp;"F"&amp;MATCH($C$2,Sheet4!$A:$A,0)+6),$C$7:$H$17,5,FALSE),
VLOOKUP(INDIRECT("Sheet4!"&amp;"F"&amp;MATCH($C$2,Sheet4!$A:$A,0)+6),$I$7:$N$17,1,FALSE)&amp;CHAR(10)&amp;VLOOKUP(INDIRECT("Sheet4!"&amp;"F"&amp;MATCH($C$2,Sheet4!$A:$A,0)+6),$I$7:$N$17,5,FALSE)),"-"))))</f>
        <v>Amostra 3
110 G.B.</v>
      </c>
      <c r="F26" s="8" t="str" cm="1">
        <f t="array" aca="1" ref="F26" ca="1">IF(ISNUMBER(FIND("ctrl",INDIRECT("Sheet4!"&amp;"G"&amp;MATCH($C$2,Sheet4!$A:$A,0)+6))),
INDIRECT("Sheet4!"&amp;"G"&amp;MATCH($C$2,Sheet4!$A:$A,0)+6),IF(INDIRECT("Sheet4!"&amp;"G"&amp;MATCH($C$2,Sheet4!$A:$A,0)+6)="Água","Água",
IF(INDIRECT("Sheet4!"&amp;"G"&amp;MATCH($C$2,Sheet4!$A:$A,0)+6)="-","-",
IF(_xlfn.NUMBERVALUE(MID(INDIRECT("Sheet4!"&amp;"G"&amp;MATCH($C$2,Sheet4!$A:$A,0)+6),9,2))&lt;=$C$4,
_xlfn.IFNA(VLOOKUP(INDIRECT("Sheet4!"&amp;"G"&amp;MATCH($C$2,Sheet4!$A:$A,0)+6),$C$7:$H$17,1,FALSE)&amp;CHAR(10)&amp;VLOOKUP(INDIRECT("Sheet4!"&amp;"G"&amp;MATCH($C$2,Sheet4!$A:$A,0)+6),$C$7:$H$17,5,FALSE),
VLOOKUP(INDIRECT("Sheet4!"&amp;"G"&amp;MATCH($C$2,Sheet4!$A:$A,0)+6),$I$7:$N$17,1,FALSE)&amp;CHAR(10)&amp;VLOOKUP(INDIRECT("Sheet4!"&amp;"G"&amp;MATCH($C$2,Sheet4!$A:$A,0)+6),$I$7:$N$17,5,FALSE)),"-"))))</f>
        <v>Amostra 4
37S R.G.S.V</v>
      </c>
      <c r="G26" s="8" t="str" cm="1">
        <f t="array" aca="1" ref="G26" ca="1">IF(ISNUMBER(FIND("ctrl",INDIRECT("Sheet4!"&amp;"H"&amp;MATCH($C$2,Sheet4!$A:$A,0)+6))),
INDIRECT("Sheet4!"&amp;"H"&amp;MATCH($C$2,Sheet4!$A:$A,0)+6),IF(INDIRECT("Sheet4!"&amp;"H"&amp;MATCH($C$2,Sheet4!$A:$A,0)+6)="Água","Água",
IF(INDIRECT("Sheet4!"&amp;"H"&amp;MATCH($C$2,Sheet4!$A:$A,0)+6)="-","-",
IF(_xlfn.NUMBERVALUE(MID(INDIRECT("Sheet4!"&amp;"H"&amp;MATCH($C$2,Sheet4!$A:$A,0)+6),9,2))&lt;=$C$4,
_xlfn.IFNA(VLOOKUP(INDIRECT("Sheet4!"&amp;"H"&amp;MATCH($C$2,Sheet4!$A:$A,0)+6),$C$7:$H$17,1,FALSE)&amp;CHAR(10)&amp;VLOOKUP(INDIRECT("Sheet4!"&amp;"H"&amp;MATCH($C$2,Sheet4!$A:$A,0)+6),$C$7:$H$17,5,FALSE),
VLOOKUP(INDIRECT("Sheet4!"&amp;"H"&amp;MATCH($C$2,Sheet4!$A:$A,0)+6),$I$7:$N$17,1,FALSE)&amp;CHAR(10)&amp;VLOOKUP(INDIRECT("Sheet4!"&amp;"H"&amp;MATCH($C$2,Sheet4!$A:$A,0)+6),$I$7:$N$17,5,FALSE)),"-"))))</f>
        <v>-</v>
      </c>
      <c r="H26" s="8" t="str" cm="1">
        <f t="array" aca="1" ref="H26" ca="1">IF(ISNUMBER(FIND("ctrl",INDIRECT("Sheet4!"&amp;"I"&amp;MATCH($C$2,Sheet4!$A:$A,0)+6))),
INDIRECT("Sheet4!"&amp;"I"&amp;MATCH($C$2,Sheet4!$A:$A,0)+6),IF(INDIRECT("Sheet4!"&amp;"I"&amp;MATCH($C$2,Sheet4!$A:$A,0)+6)="Água","Água",
IF(INDIRECT("Sheet4!"&amp;"I"&amp;MATCH($C$2,Sheet4!$A:$A,0)+6)="-","-",
IF(_xlfn.NUMBERVALUE(MID(INDIRECT("Sheet4!"&amp;"I"&amp;MATCH($C$2,Sheet4!$A:$A,0)+6),9,2))&lt;=$C$4,
_xlfn.IFNA(VLOOKUP(INDIRECT("Sheet4!"&amp;"I"&amp;MATCH($C$2,Sheet4!$A:$A,0)+6),$C$7:$H$17,1,FALSE)&amp;CHAR(10)&amp;VLOOKUP(INDIRECT("Sheet4!"&amp;"I"&amp;MATCH($C$2,Sheet4!$A:$A,0)+6),$C$7:$H$17,5,FALSE),
VLOOKUP(INDIRECT("Sheet4!"&amp;"I"&amp;MATCH($C$2,Sheet4!$A:$A,0)+6),$I$7:$N$17,1,FALSE)&amp;CHAR(10)&amp;VLOOKUP(INDIRECT("Sheet4!"&amp;"I"&amp;MATCH($C$2,Sheet4!$A:$A,0)+6),$I$7:$N$17,5,FALSE)),"-"))))</f>
        <v>-</v>
      </c>
      <c r="I26" s="8" t="str" cm="1">
        <f t="array" aca="1" ref="I26" ca="1">IF(ISNUMBER(FIND("ctrl",INDIRECT("Sheet4!"&amp;"J"&amp;MATCH($C$2,Sheet4!$A:$A,0)+6))),
INDIRECT("Sheet4!"&amp;"J"&amp;MATCH($C$2,Sheet4!$A:$A,0)+6),IF(INDIRECT("Sheet4!"&amp;"J"&amp;MATCH($C$2,Sheet4!$A:$A,0)+6)="Água","Água",
IF(INDIRECT("Sheet4!"&amp;"J"&amp;MATCH($C$2,Sheet4!$A:$A,0)+6)="-","-",
IF(_xlfn.NUMBERVALUE(MID(INDIRECT("Sheet4!"&amp;"J"&amp;MATCH($C$2,Sheet4!$A:$A,0)+6),9,2))&lt;=$C$4,
_xlfn.IFNA(VLOOKUP(INDIRECT("Sheet4!"&amp;"J"&amp;MATCH($C$2,Sheet4!$A:$A,0)+6),$C$7:$H$17,1,FALSE)&amp;CHAR(10)&amp;VLOOKUP(INDIRECT("Sheet4!"&amp;"J"&amp;MATCH($C$2,Sheet4!$A:$A,0)+6),$C$7:$H$17,5,FALSE),
VLOOKUP(INDIRECT("Sheet4!"&amp;"J"&amp;MATCH($C$2,Sheet4!$A:$A,0)+6),$I$7:$N$17,1,FALSE)&amp;CHAR(10)&amp;VLOOKUP(INDIRECT("Sheet4!"&amp;"J"&amp;MATCH($C$2,Sheet4!$A:$A,0)+6),$I$7:$N$17,5,FALSE)),"-"))))</f>
        <v>-</v>
      </c>
      <c r="J26" s="8" t="str" cm="1">
        <f t="array" aca="1" ref="J26" ca="1">IF(ISNUMBER(FIND("ctrl",INDIRECT("Sheet4!"&amp;"K"&amp;MATCH($C$2,Sheet4!$A:$A,0)+6))),
INDIRECT("Sheet4!"&amp;"K"&amp;MATCH($C$2,Sheet4!$A:$A,0)+6),IF(INDIRECT("Sheet4!"&amp;"K"&amp;MATCH($C$2,Sheet4!$A:$A,0)+6)="Água","Água",
IF(INDIRECT("Sheet4!"&amp;"K"&amp;MATCH($C$2,Sheet4!$A:$A,0)+6)="-","-",
IF(_xlfn.NUMBERVALUE(MID(INDIRECT("Sheet4!"&amp;"K"&amp;MATCH($C$2,Sheet4!$A:$A,0)+6),9,2))&lt;=$C$4,
_xlfn.IFNA(VLOOKUP(INDIRECT("Sheet4!"&amp;"K"&amp;MATCH($C$2,Sheet4!$A:$A,0)+6),$C$7:$H$17,1,FALSE)&amp;CHAR(10)&amp;VLOOKUP(INDIRECT("Sheet4!"&amp;"K"&amp;MATCH($C$2,Sheet4!$A:$A,0)+6),$C$7:$H$17,5,FALSE),
VLOOKUP(INDIRECT("Sheet4!"&amp;"K"&amp;MATCH($C$2,Sheet4!$A:$A,0)+6),$I$7:$N$17,1,FALSE)&amp;CHAR(10)&amp;VLOOKUP(INDIRECT("Sheet4!"&amp;"K"&amp;MATCH($C$2,Sheet4!$A:$A,0)+6),$I$7:$N$17,5,FALSE)),"-"))))</f>
        <v>-</v>
      </c>
      <c r="K26" s="8" t="str" cm="1">
        <f t="array" aca="1" ref="K26" ca="1">IF(ISNUMBER(FIND("ctrl",INDIRECT("Sheet4!"&amp;"L"&amp;MATCH($C$2,Sheet4!$A:$A,0)+6))),
INDIRECT("Sheet4!"&amp;"L"&amp;MATCH($C$2,Sheet4!$A:$A,0)+6),IF(INDIRECT("Sheet4!"&amp;"L"&amp;MATCH($C$2,Sheet4!$A:$A,0)+6)="Água","Água",
IF(INDIRECT("Sheet4!"&amp;"L"&amp;MATCH($C$2,Sheet4!$A:$A,0)+6)="-","-",
IF(_xlfn.NUMBERVALUE(MID(INDIRECT("Sheet4!"&amp;"L"&amp;MATCH($C$2,Sheet4!$A:$A,0)+6),9,2))&lt;=$C$4,
_xlfn.IFNA(VLOOKUP(INDIRECT("Sheet4!"&amp;"L"&amp;MATCH($C$2,Sheet4!$A:$A,0)+6),$C$7:$H$17,1,FALSE)&amp;CHAR(10)&amp;VLOOKUP(INDIRECT("Sheet4!"&amp;"L"&amp;MATCH($C$2,Sheet4!$A:$A,0)+6),$C$7:$H$17,5,FALSE),
VLOOKUP(INDIRECT("Sheet4!"&amp;"L"&amp;MATCH($C$2,Sheet4!$A:$A,0)+6),$I$7:$N$17,1,FALSE)&amp;CHAR(10)&amp;VLOOKUP(INDIRECT("Sheet4!"&amp;"L"&amp;MATCH($C$2,Sheet4!$A:$A,0)+6),$I$7:$N$17,5,FALSE)),"-"))))</f>
        <v>-</v>
      </c>
      <c r="L26" s="8" t="str" cm="1">
        <f t="array" aca="1" ref="L26" ca="1">IF(ISNUMBER(FIND("ctrl",INDIRECT("Sheet4!"&amp;"M"&amp;MATCH($C$2,Sheet4!$A:$A,0)+6))),
INDIRECT("Sheet4!"&amp;"M"&amp;MATCH($C$2,Sheet4!$A:$A,0)+6),IF(INDIRECT("Sheet4!"&amp;"M"&amp;MATCH($C$2,Sheet4!$A:$A,0)+6)="Água","Água",
IF(INDIRECT("Sheet4!"&amp;"M"&amp;MATCH($C$2,Sheet4!$A:$A,0)+6)="-","-",
IF(_xlfn.NUMBERVALUE(MID(INDIRECT("Sheet4!"&amp;"M"&amp;MATCH($C$2,Sheet4!$A:$A,0)+6),9,2))&lt;=$C$4,
_xlfn.IFNA(VLOOKUP(INDIRECT("Sheet4!"&amp;"M"&amp;MATCH($C$2,Sheet4!$A:$A,0)+6),$C$7:$H$17,1,FALSE)&amp;CHAR(10)&amp;VLOOKUP(INDIRECT("Sheet4!"&amp;"M"&amp;MATCH($C$2,Sheet4!$A:$A,0)+6),$C$7:$H$17,5,FALSE),
VLOOKUP(INDIRECT("Sheet4!"&amp;"M"&amp;MATCH($C$2,Sheet4!$A:$A,0)+6),$I$7:$N$17,1,FALSE)&amp;CHAR(10)&amp;VLOOKUP(INDIRECT("Sheet4!"&amp;"M"&amp;MATCH($C$2,Sheet4!$A:$A,0)+6),$I$7:$N$17,5,FALSE)),"-"))))</f>
        <v>-</v>
      </c>
      <c r="M26" s="8" t="str" cm="1">
        <f t="array" aca="1" ref="M26" ca="1">IF(ISNUMBER(FIND("ctrl",INDIRECT("Sheet4!"&amp;"M"&amp;MATCH($C$2,Sheet4!$A:$A,0)+6))),
INDIRECT("Sheet4!"&amp;"M"&amp;MATCH($C$2,Sheet4!$A:$A,0)+6),IF(INDIRECT("Sheet4!"&amp;"M"&amp;MATCH($C$2,Sheet4!$A:$A,0)+6)="Água","Água",
IF(INDIRECT("Sheet4!"&amp;"M"&amp;MATCH($C$2,Sheet4!$A:$A,0)+6)="-","-",
IF(_xlfn.NUMBERVALUE(MID(INDIRECT("Sheet4!"&amp;"M"&amp;MATCH($C$2,Sheet4!$A:$A,0)+6),9,2))&lt;=$C$4,
_xlfn.IFNA(VLOOKUP(INDIRECT("Sheet4!"&amp;"M"&amp;MATCH($C$2,Sheet4!$A:$A,0)+6),$C$7:$H$17,1,FALSE)&amp;CHAR(10)&amp;VLOOKUP(INDIRECT("Sheet4!"&amp;"M"&amp;MATCH($C$2,Sheet4!$A:$A,0)+6),$C$7:$H$17,5,FALSE),
VLOOKUP(INDIRECT("Sheet4!"&amp;"M"&amp;MATCH($C$2,Sheet4!$A:$A,0)+6),$I$7:$N$17,1,FALSE)&amp;CHAR(10)&amp;VLOOKUP(INDIRECT("Sheet4!"&amp;"M"&amp;MATCH($C$2,Sheet4!$A:$A,0)+6),$I$7:$N$17,5,FALSE)),"-"))))</f>
        <v>-</v>
      </c>
      <c r="N26" s="8" t="str" cm="1">
        <f t="array" aca="1" ref="N26" ca="1">IF(ISNUMBER(FIND("ctrl",INDIRECT("Sheet4!"&amp;"O"&amp;MATCH($C$2,Sheet4!$A:$A,0)+6))),
INDIRECT("Sheet4!"&amp;"O"&amp;MATCH($C$2,Sheet4!$A:$A,0)+6),IF(INDIRECT("Sheet4!"&amp;"O"&amp;MATCH($C$2,Sheet4!$A:$A,0)+6)="Água","Água",
IF(INDIRECT("Sheet4!"&amp;"O"&amp;MATCH($C$2,Sheet4!$A:$A,0)+6)="-","-",
IF(_xlfn.NUMBERVALUE(MID(INDIRECT("Sheet4!"&amp;"O"&amp;MATCH($C$2,Sheet4!$A:$A,0)+6),9,2))&lt;=$C$4,
_xlfn.IFNA(VLOOKUP(INDIRECT("Sheet4!"&amp;"O"&amp;MATCH($C$2,Sheet4!$A:$A,0)+6),$C$7:$H$17,1,FALSE)&amp;CHAR(10)&amp;VLOOKUP(INDIRECT("Sheet4!"&amp;"O"&amp;MATCH($C$2,Sheet4!$A:$A,0)+6),$C$7:$H$17,5,FALSE),
VLOOKUP(INDIRECT("Sheet4!"&amp;"O"&amp;MATCH($C$2,Sheet4!$A:$A,0)+6),$I$7:$N$17,1,FALSE)&amp;CHAR(10)&amp;VLOOKUP(INDIRECT("Sheet4!"&amp;"O"&amp;MATCH($C$2,Sheet4!$A:$A,0)+6),$I$7:$N$17,5,FALSE)),"-"))))</f>
        <v>Água</v>
      </c>
    </row>
    <row r="27" spans="2:14" ht="15" customHeight="1" x14ac:dyDescent="0.25">
      <c r="B27" s="12" t="s">
        <v>33</v>
      </c>
      <c r="C27" s="8" t="str" cm="1">
        <f t="array" aca="1" ref="C27" ca="1">IF(ISNUMBER(FIND("ctrl",INDIRECT("Sheet4!"&amp;"D"&amp;MATCH($C$2,Sheet4!$A:$A,0)+7))),
INDIRECT("Sheet4!"&amp;"D"&amp;MATCH($C$2,Sheet4!$A:$A,0)+7),IF(INDIRECT("Sheet4!"&amp;"D"&amp;MATCH($C$2,Sheet4!$A:$A,0)+7)="Água","Água",
IF(INDIRECT("Sheet4!"&amp;"D"&amp;MATCH($C$2,Sheet4!$A:$A,0)+7)="-","-",
IF(_xlfn.NUMBERVALUE(MID(INDIRECT("Sheet4!"&amp;"D"&amp;MATCH($C$2,Sheet4!$A:$A,0)+7),9,2))&lt;=$C$4,
_xlfn.IFNA(VLOOKUP(INDIRECT("Sheet4!"&amp;"D"&amp;MATCH($C$2,Sheet4!$A:$A,0)+7),$C$7:$H$17,1,FALSE)&amp;CHAR(10)&amp;VLOOKUP(INDIRECT("Sheet4!"&amp;"D"&amp;MATCH($C$2,Sheet4!$A:$A,0)+7),$C$7:$H$17,5,FALSE),
VLOOKUP(INDIRECT("Sheet4!"&amp;"D"&amp;MATCH($C$2,Sheet4!$A:$A,0)+7),$I$7:$N$17,1,FALSE)&amp;CHAR(10)&amp;VLOOKUP(INDIRECT("Sheet4!"&amp;"D"&amp;MATCH($C$2,Sheet4!$A:$A,0)+7),$I$7:$N$17,5,FALSE)),"-"))))</f>
        <v>Amostra 1
108 E.N.</v>
      </c>
      <c r="D27" s="8" t="str" cm="1">
        <f t="array" aca="1" ref="D27" ca="1">IF(ISNUMBER(FIND("ctrl",INDIRECT("Sheet4!"&amp;"E"&amp;MATCH($C$2,Sheet4!$A:$A,0)+7))),
INDIRECT("Sheet4!"&amp;"E"&amp;MATCH($C$2,Sheet4!$A:$A,0)+7),IF(INDIRECT("Sheet4!"&amp;"E"&amp;MATCH($C$2,Sheet4!$A:$A,0)+7)="Água","Água",
IF(INDIRECT("Sheet4!"&amp;"E"&amp;MATCH($C$2,Sheet4!$A:$A,0)+7)="-","-",
IF(_xlfn.NUMBERVALUE(MID(INDIRECT("Sheet4!"&amp;"E"&amp;MATCH($C$2,Sheet4!$A:$A,0)+7),9,2))&lt;=$C$4,
_xlfn.IFNA(VLOOKUP(INDIRECT("Sheet4!"&amp;"E"&amp;MATCH($C$2,Sheet4!$A:$A,0)+7),$C$7:$H$17,1,FALSE)&amp;CHAR(10)&amp;VLOOKUP(INDIRECT("Sheet4!"&amp;"E"&amp;MATCH($C$2,Sheet4!$A:$A,0)+7),$C$7:$H$17,5,FALSE),
VLOOKUP(INDIRECT("Sheet4!"&amp;"E"&amp;MATCH($C$2,Sheet4!$A:$A,0)+7),$I$7:$N$17,1,FALSE)&amp;CHAR(10)&amp;VLOOKUP(INDIRECT("Sheet4!"&amp;"E"&amp;MATCH($C$2,Sheet4!$A:$A,0)+7),$I$7:$N$17,5,FALSE)),"-"))))</f>
        <v>Amostra 2
109 A.G.</v>
      </c>
      <c r="E27" s="8" t="str" cm="1">
        <f t="array" aca="1" ref="E27" ca="1">IF(ISNUMBER(FIND("ctrl",INDIRECT("Sheet4!"&amp;"F"&amp;MATCH($C$2,Sheet4!$A:$A,0)+7))),
INDIRECT("Sheet4!"&amp;"F"&amp;MATCH($C$2,Sheet4!$A:$A,0)+7),IF(INDIRECT("Sheet4!"&amp;"F"&amp;MATCH($C$2,Sheet4!$A:$A,0)+7)="Água","Água",
IF(INDIRECT("Sheet4!"&amp;"F"&amp;MATCH($C$2,Sheet4!$A:$A,0)+7)="-","-",
IF(_xlfn.NUMBERVALUE(MID(INDIRECT("Sheet4!"&amp;"F"&amp;MATCH($C$2,Sheet4!$A:$A,0)+7),9,2))&lt;=$C$4,
_xlfn.IFNA(VLOOKUP(INDIRECT("Sheet4!"&amp;"F"&amp;MATCH($C$2,Sheet4!$A:$A,0)+7),$C$7:$H$17,1,FALSE)&amp;CHAR(10)&amp;VLOOKUP(INDIRECT("Sheet4!"&amp;"F"&amp;MATCH($C$2,Sheet4!$A:$A,0)+7),$C$7:$H$17,5,FALSE),
VLOOKUP(INDIRECT("Sheet4!"&amp;"F"&amp;MATCH($C$2,Sheet4!$A:$A,0)+7),$I$7:$N$17,1,FALSE)&amp;CHAR(10)&amp;VLOOKUP(INDIRECT("Sheet4!"&amp;"F"&amp;MATCH($C$2,Sheet4!$A:$A,0)+7),$I$7:$N$17,5,FALSE)),"-"))))</f>
        <v>Amostra 3
110 G.B.</v>
      </c>
      <c r="F27" s="8" t="str" cm="1">
        <f t="array" aca="1" ref="F27" ca="1">IF(ISNUMBER(FIND("ctrl",INDIRECT("Sheet4!"&amp;"G"&amp;MATCH($C$2,Sheet4!$A:$A,0)+7))),
INDIRECT("Sheet4!"&amp;"G"&amp;MATCH($C$2,Sheet4!$A:$A,0)+7),IF(INDIRECT("Sheet4!"&amp;"G"&amp;MATCH($C$2,Sheet4!$A:$A,0)+7)="Água","Água",
IF(INDIRECT("Sheet4!"&amp;"G"&amp;MATCH($C$2,Sheet4!$A:$A,0)+7)="-","-",
IF(_xlfn.NUMBERVALUE(MID(INDIRECT("Sheet4!"&amp;"G"&amp;MATCH($C$2,Sheet4!$A:$A,0)+7),9,2))&lt;=$C$4,
_xlfn.IFNA(VLOOKUP(INDIRECT("Sheet4!"&amp;"G"&amp;MATCH($C$2,Sheet4!$A:$A,0)+7),$C$7:$H$17,1,FALSE)&amp;CHAR(10)&amp;VLOOKUP(INDIRECT("Sheet4!"&amp;"G"&amp;MATCH($C$2,Sheet4!$A:$A,0)+7),$C$7:$H$17,5,FALSE),
VLOOKUP(INDIRECT("Sheet4!"&amp;"G"&amp;MATCH($C$2,Sheet4!$A:$A,0)+7),$I$7:$N$17,1,FALSE)&amp;CHAR(10)&amp;VLOOKUP(INDIRECT("Sheet4!"&amp;"G"&amp;MATCH($C$2,Sheet4!$A:$A,0)+7),$I$7:$N$17,5,FALSE)),"-"))))</f>
        <v>Amostra 4
37S R.G.S.V</v>
      </c>
      <c r="G27" s="8" t="str" cm="1">
        <f t="array" aca="1" ref="G27" ca="1">IF(ISNUMBER(FIND("ctrl",INDIRECT("Sheet4!"&amp;"H"&amp;MATCH($C$2,Sheet4!$A:$A,0)+7))),
INDIRECT("Sheet4!"&amp;"H"&amp;MATCH($C$2,Sheet4!$A:$A,0)+7),IF(INDIRECT("Sheet4!"&amp;"H"&amp;MATCH($C$2,Sheet4!$A:$A,0)+7)="Água","Água",
IF(INDIRECT("Sheet4!"&amp;"H"&amp;MATCH($C$2,Sheet4!$A:$A,0)+7)="-","-",
IF(_xlfn.NUMBERVALUE(MID(INDIRECT("Sheet4!"&amp;"H"&amp;MATCH($C$2,Sheet4!$A:$A,0)+7),9,2))&lt;=$C$4,
_xlfn.IFNA(VLOOKUP(INDIRECT("Sheet4!"&amp;"H"&amp;MATCH($C$2,Sheet4!$A:$A,0)+7),$C$7:$H$17,1,FALSE)&amp;CHAR(10)&amp;VLOOKUP(INDIRECT("Sheet4!"&amp;"H"&amp;MATCH($C$2,Sheet4!$A:$A,0)+7),$C$7:$H$17,5,FALSE),
VLOOKUP(INDIRECT("Sheet4!"&amp;"H"&amp;MATCH($C$2,Sheet4!$A:$A,0)+7),$I$7:$N$17,1,FALSE)&amp;CHAR(10)&amp;VLOOKUP(INDIRECT("Sheet4!"&amp;"H"&amp;MATCH($C$2,Sheet4!$A:$A,0)+7),$I$7:$N$17,5,FALSE)),"-"))))</f>
        <v>-</v>
      </c>
      <c r="H27" s="8" t="str" cm="1">
        <f t="array" aca="1" ref="H27" ca="1">IF(ISNUMBER(FIND("ctrl",INDIRECT("Sheet4!"&amp;"I"&amp;MATCH($C$2,Sheet4!$A:$A,0)+7))),
INDIRECT("Sheet4!"&amp;"I"&amp;MATCH($C$2,Sheet4!$A:$A,0)+7),IF(INDIRECT("Sheet4!"&amp;"I"&amp;MATCH($C$2,Sheet4!$A:$A,0)+7)="Água","Água",
IF(INDIRECT("Sheet4!"&amp;"I"&amp;MATCH($C$2,Sheet4!$A:$A,0)+7)="-","-",
IF(_xlfn.NUMBERVALUE(MID(INDIRECT("Sheet4!"&amp;"I"&amp;MATCH($C$2,Sheet4!$A:$A,0)+7),9,2))&lt;=$C$4,
_xlfn.IFNA(VLOOKUP(INDIRECT("Sheet4!"&amp;"I"&amp;MATCH($C$2,Sheet4!$A:$A,0)+7),$C$7:$H$17,1,FALSE)&amp;CHAR(10)&amp;VLOOKUP(INDIRECT("Sheet4!"&amp;"I"&amp;MATCH($C$2,Sheet4!$A:$A,0)+7),$C$7:$H$17,5,FALSE),
VLOOKUP(INDIRECT("Sheet4!"&amp;"I"&amp;MATCH($C$2,Sheet4!$A:$A,0)+7),$I$7:$N$17,1,FALSE)&amp;CHAR(10)&amp;VLOOKUP(INDIRECT("Sheet4!"&amp;"I"&amp;MATCH($C$2,Sheet4!$A:$A,0)+7),$I$7:$N$17,5,FALSE)),"-"))))</f>
        <v>-</v>
      </c>
      <c r="I27" s="8" t="str" cm="1">
        <f t="array" aca="1" ref="I27" ca="1">IF(ISNUMBER(FIND("ctrl",INDIRECT("Sheet4!"&amp;"J"&amp;MATCH($C$2,Sheet4!$A:$A,0)+7))),
INDIRECT("Sheet4!"&amp;"J"&amp;MATCH($C$2,Sheet4!$A:$A,0)+7),IF(INDIRECT("Sheet4!"&amp;"J"&amp;MATCH($C$2,Sheet4!$A:$A,0)+7)="Água","Água",
IF(INDIRECT("Sheet4!"&amp;"J"&amp;MATCH($C$2,Sheet4!$A:$A,0)+7)="-","-",
IF(_xlfn.NUMBERVALUE(MID(INDIRECT("Sheet4!"&amp;"J"&amp;MATCH($C$2,Sheet4!$A:$A,0)+7),9,2))&lt;=$C$4,
_xlfn.IFNA(VLOOKUP(INDIRECT("Sheet4!"&amp;"J"&amp;MATCH($C$2,Sheet4!$A:$A,0)+7),$C$7:$H$17,1,FALSE)&amp;CHAR(10)&amp;VLOOKUP(INDIRECT("Sheet4!"&amp;"J"&amp;MATCH($C$2,Sheet4!$A:$A,0)+7),$C$7:$H$17,5,FALSE),
VLOOKUP(INDIRECT("Sheet4!"&amp;"J"&amp;MATCH($C$2,Sheet4!$A:$A,0)+7),$I$7:$N$17,1,FALSE)&amp;CHAR(10)&amp;VLOOKUP(INDIRECT("Sheet4!"&amp;"J"&amp;MATCH($C$2,Sheet4!$A:$A,0)+7),$I$7:$N$17,5,FALSE)),"-"))))</f>
        <v>-</v>
      </c>
      <c r="J27" s="8" t="str" cm="1">
        <f t="array" aca="1" ref="J27" ca="1">IF(ISNUMBER(FIND("ctrl",INDIRECT("Sheet4!"&amp;"K"&amp;MATCH($C$2,Sheet4!$A:$A,0)+7))),
INDIRECT("Sheet4!"&amp;"K"&amp;MATCH($C$2,Sheet4!$A:$A,0)+7),IF(INDIRECT("Sheet4!"&amp;"K"&amp;MATCH($C$2,Sheet4!$A:$A,0)+7)="Água","Água",
IF(INDIRECT("Sheet4!"&amp;"K"&amp;MATCH($C$2,Sheet4!$A:$A,0)+7)="-","-",
IF(_xlfn.NUMBERVALUE(MID(INDIRECT("Sheet4!"&amp;"K"&amp;MATCH($C$2,Sheet4!$A:$A,0)+7),9,2))&lt;=$C$4,
_xlfn.IFNA(VLOOKUP(INDIRECT("Sheet4!"&amp;"K"&amp;MATCH($C$2,Sheet4!$A:$A,0)+7),$C$7:$H$17,1,FALSE)&amp;CHAR(10)&amp;VLOOKUP(INDIRECT("Sheet4!"&amp;"K"&amp;MATCH($C$2,Sheet4!$A:$A,0)+7),$C$7:$H$17,5,FALSE),
VLOOKUP(INDIRECT("Sheet4!"&amp;"K"&amp;MATCH($C$2,Sheet4!$A:$A,0)+7),$I$7:$N$17,1,FALSE)&amp;CHAR(10)&amp;VLOOKUP(INDIRECT("Sheet4!"&amp;"K"&amp;MATCH($C$2,Sheet4!$A:$A,0)+7),$I$7:$N$17,5,FALSE)),"-"))))</f>
        <v>-</v>
      </c>
      <c r="K27" s="8" t="str" cm="1">
        <f t="array" aca="1" ref="K27" ca="1">IF(ISNUMBER(FIND("ctrl",INDIRECT("Sheet4!"&amp;"L"&amp;MATCH($C$2,Sheet4!$A:$A,0)+7))),
INDIRECT("Sheet4!"&amp;"L"&amp;MATCH($C$2,Sheet4!$A:$A,0)+7),IF(INDIRECT("Sheet4!"&amp;"L"&amp;MATCH($C$2,Sheet4!$A:$A,0)+7)="Água","Água",
IF(INDIRECT("Sheet4!"&amp;"L"&amp;MATCH($C$2,Sheet4!$A:$A,0)+7)="-","-",
IF(_xlfn.NUMBERVALUE(MID(INDIRECT("Sheet4!"&amp;"L"&amp;MATCH($C$2,Sheet4!$A:$A,0)+7),9,2))&lt;=$C$4,
_xlfn.IFNA(VLOOKUP(INDIRECT("Sheet4!"&amp;"L"&amp;MATCH($C$2,Sheet4!$A:$A,0)+7),$C$7:$H$17,1,FALSE)&amp;CHAR(10)&amp;VLOOKUP(INDIRECT("Sheet4!"&amp;"L"&amp;MATCH($C$2,Sheet4!$A:$A,0)+7),$C$7:$H$17,5,FALSE),
VLOOKUP(INDIRECT("Sheet4!"&amp;"L"&amp;MATCH($C$2,Sheet4!$A:$A,0)+7),$I$7:$N$17,1,FALSE)&amp;CHAR(10)&amp;VLOOKUP(INDIRECT("Sheet4!"&amp;"L"&amp;MATCH($C$2,Sheet4!$A:$A,0)+7),$I$7:$N$17,5,FALSE)),"-"))))</f>
        <v>-</v>
      </c>
      <c r="L27" s="8" t="str" cm="1">
        <f t="array" aca="1" ref="L27" ca="1">IF(ISNUMBER(FIND("ctrl",INDIRECT("Sheet4!"&amp;"M"&amp;MATCH($C$2,Sheet4!$A:$A,0)+7))),
INDIRECT("Sheet4!"&amp;"M"&amp;MATCH($C$2,Sheet4!$A:$A,0)+7),IF(INDIRECT("Sheet4!"&amp;"M"&amp;MATCH($C$2,Sheet4!$A:$A,0)+7)="Água","Água",
IF(INDIRECT("Sheet4!"&amp;"M"&amp;MATCH($C$2,Sheet4!$A:$A,0)+7)="-","-",
IF(_xlfn.NUMBERVALUE(MID(INDIRECT("Sheet4!"&amp;"M"&amp;MATCH($C$2,Sheet4!$A:$A,0)+7),9,2))&lt;=$C$4,
_xlfn.IFNA(VLOOKUP(INDIRECT("Sheet4!"&amp;"M"&amp;MATCH($C$2,Sheet4!$A:$A,0)+7),$C$7:$H$17,1,FALSE)&amp;CHAR(10)&amp;VLOOKUP(INDIRECT("Sheet4!"&amp;"M"&amp;MATCH($C$2,Sheet4!$A:$A,0)+7),$C$7:$H$17,5,FALSE),
VLOOKUP(INDIRECT("Sheet4!"&amp;"M"&amp;MATCH($C$2,Sheet4!$A:$A,0)+7),$I$7:$N$17,1,FALSE)&amp;CHAR(10)&amp;VLOOKUP(INDIRECT("Sheet4!"&amp;"M"&amp;MATCH($C$2,Sheet4!$A:$A,0)+7),$I$7:$N$17,5,FALSE)),"-"))))</f>
        <v>-</v>
      </c>
      <c r="M27" s="8" t="str" cm="1">
        <f t="array" aca="1" ref="M27" ca="1">IF(ISNUMBER(FIND("ctrl",INDIRECT("Sheet4!"&amp;"M"&amp;MATCH($C$2,Sheet4!$A:$A,0)+7))),
INDIRECT("Sheet4!"&amp;"M"&amp;MATCH($C$2,Sheet4!$A:$A,0)+7),IF(INDIRECT("Sheet4!"&amp;"M"&amp;MATCH($C$2,Sheet4!$A:$A,0)+7)="Água","Água",
IF(INDIRECT("Sheet4!"&amp;"M"&amp;MATCH($C$2,Sheet4!$A:$A,0)+7)="-","-",
IF(_xlfn.NUMBERVALUE(MID(INDIRECT("Sheet4!"&amp;"M"&amp;MATCH($C$2,Sheet4!$A:$A,0)+7),9,2))&lt;=$C$4,
_xlfn.IFNA(VLOOKUP(INDIRECT("Sheet4!"&amp;"M"&amp;MATCH($C$2,Sheet4!$A:$A,0)+7),$C$7:$H$17,1,FALSE)&amp;CHAR(10)&amp;VLOOKUP(INDIRECT("Sheet4!"&amp;"M"&amp;MATCH($C$2,Sheet4!$A:$A,0)+7),$C$7:$H$17,5,FALSE),
VLOOKUP(INDIRECT("Sheet4!"&amp;"M"&amp;MATCH($C$2,Sheet4!$A:$A,0)+7),$I$7:$N$17,1,FALSE)&amp;CHAR(10)&amp;VLOOKUP(INDIRECT("Sheet4!"&amp;"M"&amp;MATCH($C$2,Sheet4!$A:$A,0)+7),$I$7:$N$17,5,FALSE)),"-"))))</f>
        <v>-</v>
      </c>
      <c r="N27" s="8" t="str" cm="1">
        <f t="array" aca="1" ref="N27" ca="1">IF(ISNUMBER(FIND("ctrl",INDIRECT("Sheet4!"&amp;"O"&amp;MATCH($C$2,Sheet4!$A:$A,0)+7))),
INDIRECT("Sheet4!"&amp;"O"&amp;MATCH($C$2,Sheet4!$A:$A,0)+7),IF(INDIRECT("Sheet4!"&amp;"O"&amp;MATCH($C$2,Sheet4!$A:$A,0)+7)="Água","Água",
IF(INDIRECT("Sheet4!"&amp;"O"&amp;MATCH($C$2,Sheet4!$A:$A,0)+7)="-","-",
IF(_xlfn.NUMBERVALUE(MID(INDIRECT("Sheet4!"&amp;"O"&amp;MATCH($C$2,Sheet4!$A:$A,0)+7),9,2))&lt;=$C$4,
_xlfn.IFNA(VLOOKUP(INDIRECT("Sheet4!"&amp;"O"&amp;MATCH($C$2,Sheet4!$A:$A,0)+7),$C$7:$H$17,1,FALSE)&amp;CHAR(10)&amp;VLOOKUP(INDIRECT("Sheet4!"&amp;"O"&amp;MATCH($C$2,Sheet4!$A:$A,0)+7),$C$7:$H$17,5,FALSE),
VLOOKUP(INDIRECT("Sheet4!"&amp;"O"&amp;MATCH($C$2,Sheet4!$A:$A,0)+7),$I$7:$N$17,1,FALSE)&amp;CHAR(10)&amp;VLOOKUP(INDIRECT("Sheet4!"&amp;"O"&amp;MATCH($C$2,Sheet4!$A:$A,0)+7),$I$7:$N$17,5,FALSE)),"-"))))</f>
        <v>Água</v>
      </c>
    </row>
    <row r="28" spans="2:14" ht="15.75" thickBot="1" x14ac:dyDescent="0.3"/>
    <row r="29" spans="2:14" ht="16.5" thickBot="1" x14ac:dyDescent="0.3">
      <c r="C29" s="31" t="s">
        <v>62</v>
      </c>
      <c r="D29" s="33" t="s">
        <v>56</v>
      </c>
      <c r="E29" s="32"/>
      <c r="F29" s="22"/>
      <c r="G29" s="18"/>
      <c r="H29" s="19" t="s">
        <v>57</v>
      </c>
      <c r="I29" s="29" t="s">
        <v>103</v>
      </c>
    </row>
    <row r="30" spans="2:14" ht="16.5" thickBot="1" x14ac:dyDescent="0.3">
      <c r="C30" s="30" t="s">
        <v>61</v>
      </c>
      <c r="D30" s="21" t="s">
        <v>68</v>
      </c>
      <c r="E30" s="32"/>
      <c r="F30" s="22"/>
      <c r="G30" s="18"/>
      <c r="H30" s="19" t="s">
        <v>58</v>
      </c>
      <c r="I30" s="20">
        <v>45230</v>
      </c>
    </row>
    <row r="31" spans="2:14" ht="16.5" thickBot="1" x14ac:dyDescent="0.3">
      <c r="C31" s="30" t="s">
        <v>60</v>
      </c>
      <c r="D31" s="21" t="s">
        <v>64</v>
      </c>
      <c r="E31" s="22"/>
      <c r="F31" s="22"/>
      <c r="G31" s="23"/>
      <c r="H31" s="19" t="s">
        <v>59</v>
      </c>
      <c r="I31" s="20">
        <v>44777</v>
      </c>
    </row>
    <row r="33" spans="2:14" x14ac:dyDescent="0.25">
      <c r="B33" s="24" t="s">
        <v>63</v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2:14" x14ac:dyDescent="0.25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2:14" x14ac:dyDescent="0.25"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</sheetData>
  <conditionalFormatting sqref="B1:N1 I4:N4 B6:N6 B18:N19 J2 I2:I3 K2:N3 I5:J5 M5:N5 B2:D2 B4:D5 B7:F17 H7:N17 B29:B31 I30:N31 B32:N1048576 F2:H2 J29:N29 B28:N28 B20:L27 N20:N27">
    <cfRule type="containsText" dxfId="1364" priority="190" operator="containsText" text="Água">
      <formula>NOT(ISERROR(SEARCH("Água",B1)))</formula>
    </cfRule>
    <cfRule type="containsText" dxfId="1363" priority="191" operator="containsText" text="WT">
      <formula>NOT(ISERROR(SEARCH("WT",B1)))</formula>
    </cfRule>
    <cfRule type="containsText" dxfId="1362" priority="192" operator="containsText" text="pos">
      <formula>NOT(ISERROR(SEARCH("pos",B1)))</formula>
    </cfRule>
    <cfRule type="containsText" dxfId="1361" priority="193" operator="containsText" text="Amostra 22">
      <formula>NOT(ISERROR(SEARCH("Amostra 22",B1)))</formula>
    </cfRule>
    <cfRule type="containsText" dxfId="1360" priority="194" operator="containsText" text="Amostra 21">
      <formula>NOT(ISERROR(SEARCH("Amostra 21",B1)))</formula>
    </cfRule>
    <cfRule type="containsText" dxfId="1359" priority="195" operator="containsText" text="Amostra 20">
      <formula>NOT(ISERROR(SEARCH("Amostra 20",B1)))</formula>
    </cfRule>
    <cfRule type="containsText" dxfId="1358" priority="196" operator="containsText" text="Amostra 19">
      <formula>NOT(ISERROR(SEARCH("Amostra 19",B1)))</formula>
    </cfRule>
    <cfRule type="containsText" dxfId="1357" priority="197" operator="containsText" text="Amostra 18">
      <formula>NOT(ISERROR(SEARCH("Amostra 18",B1)))</formula>
    </cfRule>
    <cfRule type="containsText" dxfId="1356" priority="198" operator="containsText" text="Amostra 17">
      <formula>NOT(ISERROR(SEARCH("Amostra 17",B1)))</formula>
    </cfRule>
    <cfRule type="containsText" dxfId="1355" priority="199" operator="containsText" text="Amostra 16">
      <formula>NOT(ISERROR(SEARCH("Amostra 16",B1)))</formula>
    </cfRule>
    <cfRule type="containsText" dxfId="1354" priority="200" operator="containsText" text="Amostra 15">
      <formula>NOT(ISERROR(SEARCH("Amostra 15",B1)))</formula>
    </cfRule>
    <cfRule type="containsText" dxfId="1353" priority="201" operator="containsText" text="Amostra 14">
      <formula>NOT(ISERROR(SEARCH("Amostra 14",B1)))</formula>
    </cfRule>
    <cfRule type="containsText" dxfId="1352" priority="202" operator="containsText" text="Amostra 13">
      <formula>NOT(ISERROR(SEARCH("Amostra 13",B1)))</formula>
    </cfRule>
    <cfRule type="containsText" dxfId="1351" priority="203" operator="containsText" text="Amostra 12">
      <formula>NOT(ISERROR(SEARCH("Amostra 12",B1)))</formula>
    </cfRule>
    <cfRule type="containsText" dxfId="1350" priority="204" operator="containsText" text="Amostra 11">
      <formula>NOT(ISERROR(SEARCH("Amostra 11",B1)))</formula>
    </cfRule>
    <cfRule type="containsText" dxfId="1349" priority="205" operator="containsText" text="Amostra 10">
      <formula>NOT(ISERROR(SEARCH("Amostra 10",B1)))</formula>
    </cfRule>
    <cfRule type="containsText" dxfId="1348" priority="206" operator="containsText" text="Amostra 9">
      <formula>NOT(ISERROR(SEARCH("Amostra 9",B1)))</formula>
    </cfRule>
    <cfRule type="containsText" dxfId="1347" priority="207" operator="containsText" text="Amostra 8">
      <formula>NOT(ISERROR(SEARCH("Amostra 8",B1)))</formula>
    </cfRule>
    <cfRule type="containsText" dxfId="1346" priority="208" operator="containsText" text="Amostra 7">
      <formula>NOT(ISERROR(SEARCH("Amostra 7",B1)))</formula>
    </cfRule>
    <cfRule type="containsText" dxfId="1345" priority="209" operator="containsText" text="Amostra 6">
      <formula>NOT(ISERROR(SEARCH("Amostra 6",B1)))</formula>
    </cfRule>
    <cfRule type="containsText" dxfId="1344" priority="210" operator="containsText" text="Amostra 5">
      <formula>NOT(ISERROR(SEARCH("Amostra 5",B1)))</formula>
    </cfRule>
    <cfRule type="containsText" dxfId="1343" priority="211" operator="containsText" text="Amostra 4">
      <formula>NOT(ISERROR(SEARCH("Amostra 4",B1)))</formula>
    </cfRule>
    <cfRule type="containsText" dxfId="1342" priority="212" operator="containsText" text="Amostra 3">
      <formula>NOT(ISERROR(SEARCH("Amostra 3",B1)))</formula>
    </cfRule>
    <cfRule type="containsText" dxfId="1341" priority="213" operator="containsText" text="Amostra 2">
      <formula>NOT(ISERROR(SEARCH("Amostra 2",B1)))</formula>
    </cfRule>
    <cfRule type="containsText" dxfId="1340" priority="214" operator="containsText" text="Amostra 1">
      <formula>NOT(ISERROR(SEARCH("Amostra 1",B1)))</formula>
    </cfRule>
  </conditionalFormatting>
  <conditionalFormatting sqref="G7:H17">
    <cfRule type="expression" dxfId="1339" priority="187">
      <formula>ISNUMBER(FIND("Amostra",$C7))</formula>
    </cfRule>
  </conditionalFormatting>
  <conditionalFormatting sqref="J7:J17">
    <cfRule type="expression" dxfId="1338" priority="188">
      <formula>ISNUMBER(FIND("Amostra",$I7))</formula>
    </cfRule>
  </conditionalFormatting>
  <conditionalFormatting sqref="D7:D17">
    <cfRule type="expression" dxfId="1337" priority="189">
      <formula>ISNUMBER(FIND("Amostra",$C7))</formula>
    </cfRule>
  </conditionalFormatting>
  <conditionalFormatting sqref="M7:N17">
    <cfRule type="expression" dxfId="1336" priority="186">
      <formula>ISNUMBER(FIND("Amostra",$I7))</formula>
    </cfRule>
  </conditionalFormatting>
  <conditionalFormatting sqref="E7:E17">
    <cfRule type="expression" dxfId="1335" priority="185">
      <formula>ISNUMBER(FIND("Amostra",$C7))</formula>
    </cfRule>
  </conditionalFormatting>
  <conditionalFormatting sqref="K7:K17">
    <cfRule type="expression" dxfId="1334" priority="184">
      <formula>ISNUMBER(FIND("Amostra",$I7))</formula>
    </cfRule>
  </conditionalFormatting>
  <conditionalFormatting sqref="K4">
    <cfRule type="containsText" dxfId="1333" priority="159" operator="containsText" text="Agua">
      <formula>NOT(ISERROR(SEARCH("Agua",K4)))</formula>
    </cfRule>
    <cfRule type="containsText" dxfId="1332" priority="160" operator="containsText" text="WT">
      <formula>NOT(ISERROR(SEARCH("WT",K4)))</formula>
    </cfRule>
    <cfRule type="containsText" dxfId="1331" priority="161" operator="containsText" text="pos">
      <formula>NOT(ISERROR(SEARCH("pos",K4)))</formula>
    </cfRule>
    <cfRule type="containsText" dxfId="1330" priority="162" operator="containsText" text="Amostra 22">
      <formula>NOT(ISERROR(SEARCH("Amostra 22",K4)))</formula>
    </cfRule>
    <cfRule type="containsText" dxfId="1329" priority="163" operator="containsText" text="Amostra 21">
      <formula>NOT(ISERROR(SEARCH("Amostra 21",K4)))</formula>
    </cfRule>
    <cfRule type="containsText" dxfId="1328" priority="164" operator="containsText" text="Amostra 20">
      <formula>NOT(ISERROR(SEARCH("Amostra 20",K4)))</formula>
    </cfRule>
    <cfRule type="containsText" dxfId="1327" priority="165" operator="containsText" text="Amostra 19">
      <formula>NOT(ISERROR(SEARCH("Amostra 19",K4)))</formula>
    </cfRule>
    <cfRule type="containsText" dxfId="1326" priority="166" operator="containsText" text="Amostra 18">
      <formula>NOT(ISERROR(SEARCH("Amostra 18",K4)))</formula>
    </cfRule>
    <cfRule type="containsText" dxfId="1325" priority="167" operator="containsText" text="Amostra 17">
      <formula>NOT(ISERROR(SEARCH("Amostra 17",K4)))</formula>
    </cfRule>
    <cfRule type="containsText" dxfId="1324" priority="168" operator="containsText" text="Amostra 16">
      <formula>NOT(ISERROR(SEARCH("Amostra 16",K4)))</formula>
    </cfRule>
    <cfRule type="containsText" dxfId="1323" priority="169" operator="containsText" text="Amostra 15">
      <formula>NOT(ISERROR(SEARCH("Amostra 15",K4)))</formula>
    </cfRule>
    <cfRule type="containsText" dxfId="1322" priority="170" operator="containsText" text="Amostra 14">
      <formula>NOT(ISERROR(SEARCH("Amostra 14",K4)))</formula>
    </cfRule>
    <cfRule type="containsText" dxfId="1321" priority="171" operator="containsText" text="Amostra 13">
      <formula>NOT(ISERROR(SEARCH("Amostra 13",K4)))</formula>
    </cfRule>
    <cfRule type="containsText" dxfId="1320" priority="172" operator="containsText" text="Amostra 12">
      <formula>NOT(ISERROR(SEARCH("Amostra 12",K4)))</formula>
    </cfRule>
    <cfRule type="containsText" dxfId="1319" priority="173" operator="containsText" text="Amostra 11">
      <formula>NOT(ISERROR(SEARCH("Amostra 11",K4)))</formula>
    </cfRule>
    <cfRule type="containsText" dxfId="1318" priority="174" operator="containsText" text="Amostra 10">
      <formula>NOT(ISERROR(SEARCH("Amostra 10",K4)))</formula>
    </cfRule>
    <cfRule type="containsText" dxfId="1317" priority="175" operator="containsText" text="Amostra 9">
      <formula>NOT(ISERROR(SEARCH("Amostra 9",K4)))</formula>
    </cfRule>
    <cfRule type="containsText" dxfId="1316" priority="176" operator="containsText" text="Amostra 8">
      <formula>NOT(ISERROR(SEARCH("Amostra 8",K4)))</formula>
    </cfRule>
    <cfRule type="containsText" dxfId="1315" priority="177" operator="containsText" text="Amostra 7">
      <formula>NOT(ISERROR(SEARCH("Amostra 7",K4)))</formula>
    </cfRule>
    <cfRule type="containsText" dxfId="1314" priority="178" operator="containsText" text="Amostra 6">
      <formula>NOT(ISERROR(SEARCH("Amostra 6",K4)))</formula>
    </cfRule>
    <cfRule type="containsText" dxfId="1313" priority="179" operator="containsText" text="Amostra 5">
      <formula>NOT(ISERROR(SEARCH("Amostra 5",K4)))</formula>
    </cfRule>
    <cfRule type="containsText" dxfId="1312" priority="180" operator="containsText" text="Amostra 4">
      <formula>NOT(ISERROR(SEARCH("Amostra 4",K4)))</formula>
    </cfRule>
    <cfRule type="containsText" dxfId="1311" priority="181" operator="containsText" text="Amostra 3">
      <formula>NOT(ISERROR(SEARCH("Amostra 3",K4)))</formula>
    </cfRule>
    <cfRule type="containsText" dxfId="1310" priority="182" operator="containsText" text="Amostra 2">
      <formula>NOT(ISERROR(SEARCH("Amostra 2",K4)))</formula>
    </cfRule>
    <cfRule type="containsText" dxfId="1309" priority="183" operator="containsText" text="Amostra 1">
      <formula>NOT(ISERROR(SEARCH("Amostra 1",K4)))</formula>
    </cfRule>
  </conditionalFormatting>
  <conditionalFormatting sqref="L4:M4">
    <cfRule type="containsText" dxfId="1308" priority="133" operator="containsText" text="Agua">
      <formula>NOT(ISERROR(SEARCH("Agua",L4)))</formula>
    </cfRule>
    <cfRule type="containsText" dxfId="1307" priority="134" operator="containsText" text="WT">
      <formula>NOT(ISERROR(SEARCH("WT",L4)))</formula>
    </cfRule>
    <cfRule type="containsText" dxfId="1306" priority="135" operator="containsText" text="pos">
      <formula>NOT(ISERROR(SEARCH("pos",L4)))</formula>
    </cfRule>
    <cfRule type="containsText" dxfId="1305" priority="136" operator="containsText" text="Amostra 22">
      <formula>NOT(ISERROR(SEARCH("Amostra 22",L4)))</formula>
    </cfRule>
    <cfRule type="containsText" dxfId="1304" priority="137" operator="containsText" text="Amostra 21">
      <formula>NOT(ISERROR(SEARCH("Amostra 21",L4)))</formula>
    </cfRule>
    <cfRule type="containsText" dxfId="1303" priority="138" operator="containsText" text="Amostra 20">
      <formula>NOT(ISERROR(SEARCH("Amostra 20",L4)))</formula>
    </cfRule>
    <cfRule type="containsText" dxfId="1302" priority="139" operator="containsText" text="Amostra 19">
      <formula>NOT(ISERROR(SEARCH("Amostra 19",L4)))</formula>
    </cfRule>
    <cfRule type="containsText" dxfId="1301" priority="140" operator="containsText" text="Amostra 18">
      <formula>NOT(ISERROR(SEARCH("Amostra 18",L4)))</formula>
    </cfRule>
    <cfRule type="containsText" dxfId="1300" priority="141" operator="containsText" text="Amostra 17">
      <formula>NOT(ISERROR(SEARCH("Amostra 17",L4)))</formula>
    </cfRule>
    <cfRule type="containsText" dxfId="1299" priority="142" operator="containsText" text="Amostra 16">
      <formula>NOT(ISERROR(SEARCH("Amostra 16",L4)))</formula>
    </cfRule>
    <cfRule type="containsText" dxfId="1298" priority="143" operator="containsText" text="Amostra 15">
      <formula>NOT(ISERROR(SEARCH("Amostra 15",L4)))</formula>
    </cfRule>
    <cfRule type="containsText" dxfId="1297" priority="144" operator="containsText" text="Amostra 14">
      <formula>NOT(ISERROR(SEARCH("Amostra 14",L4)))</formula>
    </cfRule>
    <cfRule type="containsText" dxfId="1296" priority="145" operator="containsText" text="Amostra 13">
      <formula>NOT(ISERROR(SEARCH("Amostra 13",L4)))</formula>
    </cfRule>
    <cfRule type="containsText" dxfId="1295" priority="146" operator="containsText" text="Amostra 12">
      <formula>NOT(ISERROR(SEARCH("Amostra 12",L4)))</formula>
    </cfRule>
    <cfRule type="containsText" dxfId="1294" priority="147" operator="containsText" text="Amostra 11">
      <formula>NOT(ISERROR(SEARCH("Amostra 11",L4)))</formula>
    </cfRule>
    <cfRule type="containsText" dxfId="1293" priority="148" operator="containsText" text="Amostra 10">
      <formula>NOT(ISERROR(SEARCH("Amostra 10",L4)))</formula>
    </cfRule>
    <cfRule type="containsText" dxfId="1292" priority="149" operator="containsText" text="Amostra 9">
      <formula>NOT(ISERROR(SEARCH("Amostra 9",L4)))</formula>
    </cfRule>
    <cfRule type="containsText" dxfId="1291" priority="150" operator="containsText" text="Amostra 8">
      <formula>NOT(ISERROR(SEARCH("Amostra 8",L4)))</formula>
    </cfRule>
    <cfRule type="containsText" dxfId="1290" priority="151" operator="containsText" text="Amostra 7">
      <formula>NOT(ISERROR(SEARCH("Amostra 7",L4)))</formula>
    </cfRule>
    <cfRule type="containsText" dxfId="1289" priority="152" operator="containsText" text="Amostra 6">
      <formula>NOT(ISERROR(SEARCH("Amostra 6",L4)))</formula>
    </cfRule>
    <cfRule type="containsText" dxfId="1288" priority="153" operator="containsText" text="Amostra 5">
      <formula>NOT(ISERROR(SEARCH("Amostra 5",L4)))</formula>
    </cfRule>
    <cfRule type="containsText" dxfId="1287" priority="154" operator="containsText" text="Amostra 4">
      <formula>NOT(ISERROR(SEARCH("Amostra 4",L4)))</formula>
    </cfRule>
    <cfRule type="containsText" dxfId="1286" priority="155" operator="containsText" text="Amostra 3">
      <formula>NOT(ISERROR(SEARCH("Amostra 3",L4)))</formula>
    </cfRule>
    <cfRule type="containsText" dxfId="1285" priority="156" operator="containsText" text="Amostra 2">
      <formula>NOT(ISERROR(SEARCH("Amostra 2",L4)))</formula>
    </cfRule>
    <cfRule type="containsText" dxfId="1284" priority="157" operator="containsText" text="Amostra 1">
      <formula>NOT(ISERROR(SEARCH("Amostra 1",L4)))</formula>
    </cfRule>
  </conditionalFormatting>
  <conditionalFormatting sqref="K5">
    <cfRule type="containsText" dxfId="1283" priority="107" operator="containsText" text="Agua">
      <formula>NOT(ISERROR(SEARCH("Agua",K5)))</formula>
    </cfRule>
    <cfRule type="containsText" dxfId="1282" priority="108" operator="containsText" text="WT">
      <formula>NOT(ISERROR(SEARCH("WT",K5)))</formula>
    </cfRule>
    <cfRule type="containsText" dxfId="1281" priority="109" operator="containsText" text="pos">
      <formula>NOT(ISERROR(SEARCH("pos",K5)))</formula>
    </cfRule>
    <cfRule type="containsText" dxfId="1280" priority="110" operator="containsText" text="Amostra 22">
      <formula>NOT(ISERROR(SEARCH("Amostra 22",K5)))</formula>
    </cfRule>
    <cfRule type="containsText" dxfId="1279" priority="111" operator="containsText" text="Amostra 21">
      <formula>NOT(ISERROR(SEARCH("Amostra 21",K5)))</formula>
    </cfRule>
    <cfRule type="containsText" dxfId="1278" priority="112" operator="containsText" text="Amostra 20">
      <formula>NOT(ISERROR(SEARCH("Amostra 20",K5)))</formula>
    </cfRule>
    <cfRule type="containsText" dxfId="1277" priority="113" operator="containsText" text="Amostra 19">
      <formula>NOT(ISERROR(SEARCH("Amostra 19",K5)))</formula>
    </cfRule>
    <cfRule type="containsText" dxfId="1276" priority="114" operator="containsText" text="Amostra 18">
      <formula>NOT(ISERROR(SEARCH("Amostra 18",K5)))</formula>
    </cfRule>
    <cfRule type="containsText" dxfId="1275" priority="115" operator="containsText" text="Amostra 17">
      <formula>NOT(ISERROR(SEARCH("Amostra 17",K5)))</formula>
    </cfRule>
    <cfRule type="containsText" dxfId="1274" priority="116" operator="containsText" text="Amostra 16">
      <formula>NOT(ISERROR(SEARCH("Amostra 16",K5)))</formula>
    </cfRule>
    <cfRule type="containsText" dxfId="1273" priority="117" operator="containsText" text="Amostra 15">
      <formula>NOT(ISERROR(SEARCH("Amostra 15",K5)))</formula>
    </cfRule>
    <cfRule type="containsText" dxfId="1272" priority="118" operator="containsText" text="Amostra 14">
      <formula>NOT(ISERROR(SEARCH("Amostra 14",K5)))</formula>
    </cfRule>
    <cfRule type="containsText" dxfId="1271" priority="119" operator="containsText" text="Amostra 13">
      <formula>NOT(ISERROR(SEARCH("Amostra 13",K5)))</formula>
    </cfRule>
    <cfRule type="containsText" dxfId="1270" priority="120" operator="containsText" text="Amostra 12">
      <formula>NOT(ISERROR(SEARCH("Amostra 12",K5)))</formula>
    </cfRule>
    <cfRule type="containsText" dxfId="1269" priority="121" operator="containsText" text="Amostra 11">
      <formula>NOT(ISERROR(SEARCH("Amostra 11",K5)))</formula>
    </cfRule>
    <cfRule type="containsText" dxfId="1268" priority="122" operator="containsText" text="Amostra 10">
      <formula>NOT(ISERROR(SEARCH("Amostra 10",K5)))</formula>
    </cfRule>
    <cfRule type="containsText" dxfId="1267" priority="123" operator="containsText" text="Amostra 9">
      <formula>NOT(ISERROR(SEARCH("Amostra 9",K5)))</formula>
    </cfRule>
    <cfRule type="containsText" dxfId="1266" priority="124" operator="containsText" text="Amostra 8">
      <formula>NOT(ISERROR(SEARCH("Amostra 8",K5)))</formula>
    </cfRule>
    <cfRule type="containsText" dxfId="1265" priority="125" operator="containsText" text="Amostra 7">
      <formula>NOT(ISERROR(SEARCH("Amostra 7",K5)))</formula>
    </cfRule>
    <cfRule type="containsText" dxfId="1264" priority="126" operator="containsText" text="Amostra 6">
      <formula>NOT(ISERROR(SEARCH("Amostra 6",K5)))</formula>
    </cfRule>
    <cfRule type="containsText" dxfId="1263" priority="127" operator="containsText" text="Amostra 5">
      <formula>NOT(ISERROR(SEARCH("Amostra 5",K5)))</formula>
    </cfRule>
    <cfRule type="containsText" dxfId="1262" priority="128" operator="containsText" text="Amostra 4">
      <formula>NOT(ISERROR(SEARCH("Amostra 4",K5)))</formula>
    </cfRule>
    <cfRule type="containsText" dxfId="1261" priority="129" operator="containsText" text="Amostra 3">
      <formula>NOT(ISERROR(SEARCH("Amostra 3",K5)))</formula>
    </cfRule>
    <cfRule type="containsText" dxfId="1260" priority="130" operator="containsText" text="Amostra 2">
      <formula>NOT(ISERROR(SEARCH("Amostra 2",K5)))</formula>
    </cfRule>
    <cfRule type="containsText" dxfId="1259" priority="131" operator="containsText" text="Amostra 1">
      <formula>NOT(ISERROR(SEARCH("Amostra 1",K5)))</formula>
    </cfRule>
  </conditionalFormatting>
  <conditionalFormatting sqref="L5">
    <cfRule type="containsText" dxfId="1258" priority="81" operator="containsText" text="Agua">
      <formula>NOT(ISERROR(SEARCH("Agua",L5)))</formula>
    </cfRule>
    <cfRule type="containsText" dxfId="1257" priority="82" operator="containsText" text="WT">
      <formula>NOT(ISERROR(SEARCH("WT",L5)))</formula>
    </cfRule>
    <cfRule type="containsText" dxfId="1256" priority="83" operator="containsText" text="pos">
      <formula>NOT(ISERROR(SEARCH("pos",L5)))</formula>
    </cfRule>
    <cfRule type="containsText" dxfId="1255" priority="84" operator="containsText" text="Amostra 22">
      <formula>NOT(ISERROR(SEARCH("Amostra 22",L5)))</formula>
    </cfRule>
    <cfRule type="containsText" dxfId="1254" priority="85" operator="containsText" text="Amostra 21">
      <formula>NOT(ISERROR(SEARCH("Amostra 21",L5)))</formula>
    </cfRule>
    <cfRule type="containsText" dxfId="1253" priority="86" operator="containsText" text="Amostra 20">
      <formula>NOT(ISERROR(SEARCH("Amostra 20",L5)))</formula>
    </cfRule>
    <cfRule type="containsText" dxfId="1252" priority="87" operator="containsText" text="Amostra 19">
      <formula>NOT(ISERROR(SEARCH("Amostra 19",L5)))</formula>
    </cfRule>
    <cfRule type="containsText" dxfId="1251" priority="88" operator="containsText" text="Amostra 18">
      <formula>NOT(ISERROR(SEARCH("Amostra 18",L5)))</formula>
    </cfRule>
    <cfRule type="containsText" dxfId="1250" priority="89" operator="containsText" text="Amostra 17">
      <formula>NOT(ISERROR(SEARCH("Amostra 17",L5)))</formula>
    </cfRule>
    <cfRule type="containsText" dxfId="1249" priority="90" operator="containsText" text="Amostra 16">
      <formula>NOT(ISERROR(SEARCH("Amostra 16",L5)))</formula>
    </cfRule>
    <cfRule type="containsText" dxfId="1248" priority="91" operator="containsText" text="Amostra 15">
      <formula>NOT(ISERROR(SEARCH("Amostra 15",L5)))</formula>
    </cfRule>
    <cfRule type="containsText" dxfId="1247" priority="92" operator="containsText" text="Amostra 14">
      <formula>NOT(ISERROR(SEARCH("Amostra 14",L5)))</formula>
    </cfRule>
    <cfRule type="containsText" dxfId="1246" priority="93" operator="containsText" text="Amostra 13">
      <formula>NOT(ISERROR(SEARCH("Amostra 13",L5)))</formula>
    </cfRule>
    <cfRule type="containsText" dxfId="1245" priority="94" operator="containsText" text="Amostra 12">
      <formula>NOT(ISERROR(SEARCH("Amostra 12",L5)))</formula>
    </cfRule>
    <cfRule type="containsText" dxfId="1244" priority="95" operator="containsText" text="Amostra 11">
      <formula>NOT(ISERROR(SEARCH("Amostra 11",L5)))</formula>
    </cfRule>
    <cfRule type="containsText" dxfId="1243" priority="96" operator="containsText" text="Amostra 10">
      <formula>NOT(ISERROR(SEARCH("Amostra 10",L5)))</formula>
    </cfRule>
    <cfRule type="containsText" dxfId="1242" priority="97" operator="containsText" text="Amostra 9">
      <formula>NOT(ISERROR(SEARCH("Amostra 9",L5)))</formula>
    </cfRule>
    <cfRule type="containsText" dxfId="1241" priority="98" operator="containsText" text="Amostra 8">
      <formula>NOT(ISERROR(SEARCH("Amostra 8",L5)))</formula>
    </cfRule>
    <cfRule type="containsText" dxfId="1240" priority="99" operator="containsText" text="Amostra 7">
      <formula>NOT(ISERROR(SEARCH("Amostra 7",L5)))</formula>
    </cfRule>
    <cfRule type="containsText" dxfId="1239" priority="100" operator="containsText" text="Amostra 6">
      <formula>NOT(ISERROR(SEARCH("Amostra 6",L5)))</formula>
    </cfRule>
    <cfRule type="containsText" dxfId="1238" priority="101" operator="containsText" text="Amostra 5">
      <formula>NOT(ISERROR(SEARCH("Amostra 5",L5)))</formula>
    </cfRule>
    <cfRule type="containsText" dxfId="1237" priority="102" operator="containsText" text="Amostra 4">
      <formula>NOT(ISERROR(SEARCH("Amostra 4",L5)))</formula>
    </cfRule>
    <cfRule type="containsText" dxfId="1236" priority="103" operator="containsText" text="Amostra 3">
      <formula>NOT(ISERROR(SEARCH("Amostra 3",L5)))</formula>
    </cfRule>
    <cfRule type="containsText" dxfId="1235" priority="104" operator="containsText" text="Amostra 2">
      <formula>NOT(ISERROR(SEARCH("Amostra 2",L5)))</formula>
    </cfRule>
    <cfRule type="containsText" dxfId="1234" priority="105" operator="containsText" text="Amostra 1">
      <formula>NOT(ISERROR(SEARCH("Amostra 1",L5)))</formula>
    </cfRule>
  </conditionalFormatting>
  <conditionalFormatting sqref="F7:F17">
    <cfRule type="expression" dxfId="1233" priority="79">
      <formula>ISNUMBER(FIND("Amostra",$C7))</formula>
    </cfRule>
  </conditionalFormatting>
  <conditionalFormatting sqref="L7:L17">
    <cfRule type="expression" dxfId="1232" priority="78">
      <formula>ISNUMBER(FIND("Amostra",$I7))</formula>
    </cfRule>
  </conditionalFormatting>
  <conditionalFormatting sqref="D4:F4">
    <cfRule type="expression" dxfId="1231" priority="77">
      <formula>ISNUMBER(FIND("ERRO",$D$4))</formula>
    </cfRule>
  </conditionalFormatting>
  <conditionalFormatting sqref="M20:M27">
    <cfRule type="containsText" dxfId="1230" priority="26" operator="containsText" text="Água">
      <formula>NOT(ISERROR(SEARCH("Água",M20)))</formula>
    </cfRule>
    <cfRule type="containsText" dxfId="1229" priority="27" operator="containsText" text="WT">
      <formula>NOT(ISERROR(SEARCH("WT",M20)))</formula>
    </cfRule>
    <cfRule type="containsText" dxfId="1228" priority="28" operator="containsText" text="pos">
      <formula>NOT(ISERROR(SEARCH("pos",M20)))</formula>
    </cfRule>
    <cfRule type="containsText" dxfId="1227" priority="29" operator="containsText" text="Amostra 22">
      <formula>NOT(ISERROR(SEARCH("Amostra 22",M20)))</formula>
    </cfRule>
    <cfRule type="containsText" dxfId="1226" priority="30" operator="containsText" text="Amostra 21">
      <formula>NOT(ISERROR(SEARCH("Amostra 21",M20)))</formula>
    </cfRule>
    <cfRule type="containsText" dxfId="1225" priority="31" operator="containsText" text="Amostra 20">
      <formula>NOT(ISERROR(SEARCH("Amostra 20",M20)))</formula>
    </cfRule>
    <cfRule type="containsText" dxfId="1224" priority="32" operator="containsText" text="Amostra 19">
      <formula>NOT(ISERROR(SEARCH("Amostra 19",M20)))</formula>
    </cfRule>
    <cfRule type="containsText" dxfId="1223" priority="33" operator="containsText" text="Amostra 18">
      <formula>NOT(ISERROR(SEARCH("Amostra 18",M20)))</formula>
    </cfRule>
    <cfRule type="containsText" dxfId="1222" priority="34" operator="containsText" text="Amostra 17">
      <formula>NOT(ISERROR(SEARCH("Amostra 17",M20)))</formula>
    </cfRule>
    <cfRule type="containsText" dxfId="1221" priority="35" operator="containsText" text="Amostra 16">
      <formula>NOT(ISERROR(SEARCH("Amostra 16",M20)))</formula>
    </cfRule>
    <cfRule type="containsText" dxfId="1220" priority="36" operator="containsText" text="Amostra 15">
      <formula>NOT(ISERROR(SEARCH("Amostra 15",M20)))</formula>
    </cfRule>
    <cfRule type="containsText" dxfId="1219" priority="37" operator="containsText" text="Amostra 14">
      <formula>NOT(ISERROR(SEARCH("Amostra 14",M20)))</formula>
    </cfRule>
    <cfRule type="containsText" dxfId="1218" priority="38" operator="containsText" text="Amostra 13">
      <formula>NOT(ISERROR(SEARCH("Amostra 13",M20)))</formula>
    </cfRule>
    <cfRule type="containsText" dxfId="1217" priority="39" operator="containsText" text="Amostra 12">
      <formula>NOT(ISERROR(SEARCH("Amostra 12",M20)))</formula>
    </cfRule>
    <cfRule type="containsText" dxfId="1216" priority="40" operator="containsText" text="Amostra 11">
      <formula>NOT(ISERROR(SEARCH("Amostra 11",M20)))</formula>
    </cfRule>
    <cfRule type="containsText" dxfId="1215" priority="41" operator="containsText" text="Amostra 10">
      <formula>NOT(ISERROR(SEARCH("Amostra 10",M20)))</formula>
    </cfRule>
    <cfRule type="containsText" dxfId="1214" priority="42" operator="containsText" text="Amostra 9">
      <formula>NOT(ISERROR(SEARCH("Amostra 9",M20)))</formula>
    </cfRule>
    <cfRule type="containsText" dxfId="1213" priority="43" operator="containsText" text="Amostra 8">
      <formula>NOT(ISERROR(SEARCH("Amostra 8",M20)))</formula>
    </cfRule>
    <cfRule type="containsText" dxfId="1212" priority="44" operator="containsText" text="Amostra 7">
      <formula>NOT(ISERROR(SEARCH("Amostra 7",M20)))</formula>
    </cfRule>
    <cfRule type="containsText" dxfId="1211" priority="45" operator="containsText" text="Amostra 6">
      <formula>NOT(ISERROR(SEARCH("Amostra 6",M20)))</formula>
    </cfRule>
    <cfRule type="containsText" dxfId="1210" priority="46" operator="containsText" text="Amostra 5">
      <formula>NOT(ISERROR(SEARCH("Amostra 5",M20)))</formula>
    </cfRule>
    <cfRule type="containsText" dxfId="1209" priority="47" operator="containsText" text="Amostra 4">
      <formula>NOT(ISERROR(SEARCH("Amostra 4",M20)))</formula>
    </cfRule>
    <cfRule type="containsText" dxfId="1208" priority="48" operator="containsText" text="Amostra 3">
      <formula>NOT(ISERROR(SEARCH("Amostra 3",M20)))</formula>
    </cfRule>
    <cfRule type="containsText" dxfId="1207" priority="49" operator="containsText" text="Amostra 2">
      <formula>NOT(ISERROR(SEARCH("Amostra 2",M20)))</formula>
    </cfRule>
    <cfRule type="containsText" dxfId="1206" priority="50" operator="containsText" text="Amostra 1">
      <formula>NOT(ISERROR(SEARCH("Amostra 1",M20)))</formula>
    </cfRule>
  </conditionalFormatting>
  <conditionalFormatting sqref="I29">
    <cfRule type="containsText" dxfId="1205" priority="1" operator="containsText" text="Água">
      <formula>NOT(ISERROR(SEARCH("Água",I29)))</formula>
    </cfRule>
    <cfRule type="containsText" dxfId="1204" priority="2" operator="containsText" text="WT">
      <formula>NOT(ISERROR(SEARCH("WT",I29)))</formula>
    </cfRule>
    <cfRule type="containsText" dxfId="1203" priority="3" operator="containsText" text="pos">
      <formula>NOT(ISERROR(SEARCH("pos",I29)))</formula>
    </cfRule>
    <cfRule type="containsText" dxfId="1202" priority="4" operator="containsText" text="Amostra 22">
      <formula>NOT(ISERROR(SEARCH("Amostra 22",I29)))</formula>
    </cfRule>
    <cfRule type="containsText" dxfId="1201" priority="5" operator="containsText" text="Amostra 21">
      <formula>NOT(ISERROR(SEARCH("Amostra 21",I29)))</formula>
    </cfRule>
    <cfRule type="containsText" dxfId="1200" priority="6" operator="containsText" text="Amostra 20">
      <formula>NOT(ISERROR(SEARCH("Amostra 20",I29)))</formula>
    </cfRule>
    <cfRule type="containsText" dxfId="1199" priority="7" operator="containsText" text="Amostra 19">
      <formula>NOT(ISERROR(SEARCH("Amostra 19",I29)))</formula>
    </cfRule>
    <cfRule type="containsText" dxfId="1198" priority="8" operator="containsText" text="Amostra 18">
      <formula>NOT(ISERROR(SEARCH("Amostra 18",I29)))</formula>
    </cfRule>
    <cfRule type="containsText" dxfId="1197" priority="9" operator="containsText" text="Amostra 17">
      <formula>NOT(ISERROR(SEARCH("Amostra 17",I29)))</formula>
    </cfRule>
    <cfRule type="containsText" dxfId="1196" priority="10" operator="containsText" text="Amostra 16">
      <formula>NOT(ISERROR(SEARCH("Amostra 16",I29)))</formula>
    </cfRule>
    <cfRule type="containsText" dxfId="1195" priority="11" operator="containsText" text="Amostra 15">
      <formula>NOT(ISERROR(SEARCH("Amostra 15",I29)))</formula>
    </cfRule>
    <cfRule type="containsText" dxfId="1194" priority="12" operator="containsText" text="Amostra 14">
      <formula>NOT(ISERROR(SEARCH("Amostra 14",I29)))</formula>
    </cfRule>
    <cfRule type="containsText" dxfId="1193" priority="13" operator="containsText" text="Amostra 13">
      <formula>NOT(ISERROR(SEARCH("Amostra 13",I29)))</formula>
    </cfRule>
    <cfRule type="containsText" dxfId="1192" priority="14" operator="containsText" text="Amostra 12">
      <formula>NOT(ISERROR(SEARCH("Amostra 12",I29)))</formula>
    </cfRule>
    <cfRule type="containsText" dxfId="1191" priority="15" operator="containsText" text="Amostra 11">
      <formula>NOT(ISERROR(SEARCH("Amostra 11",I29)))</formula>
    </cfRule>
    <cfRule type="containsText" dxfId="1190" priority="16" operator="containsText" text="Amostra 10">
      <formula>NOT(ISERROR(SEARCH("Amostra 10",I29)))</formula>
    </cfRule>
    <cfRule type="containsText" dxfId="1189" priority="17" operator="containsText" text="Amostra 9">
      <formula>NOT(ISERROR(SEARCH("Amostra 9",I29)))</formula>
    </cfRule>
    <cfRule type="containsText" dxfId="1188" priority="18" operator="containsText" text="Amostra 8">
      <formula>NOT(ISERROR(SEARCH("Amostra 8",I29)))</formula>
    </cfRule>
    <cfRule type="containsText" dxfId="1187" priority="19" operator="containsText" text="Amostra 7">
      <formula>NOT(ISERROR(SEARCH("Amostra 7",I29)))</formula>
    </cfRule>
    <cfRule type="containsText" dxfId="1186" priority="20" operator="containsText" text="Amostra 6">
      <formula>NOT(ISERROR(SEARCH("Amostra 6",I29)))</formula>
    </cfRule>
    <cfRule type="containsText" dxfId="1185" priority="21" operator="containsText" text="Amostra 5">
      <formula>NOT(ISERROR(SEARCH("Amostra 5",I29)))</formula>
    </cfRule>
    <cfRule type="containsText" dxfId="1184" priority="22" operator="containsText" text="Amostra 4">
      <formula>NOT(ISERROR(SEARCH("Amostra 4",I29)))</formula>
    </cfRule>
    <cfRule type="containsText" dxfId="1183" priority="23" operator="containsText" text="Amostra 3">
      <formula>NOT(ISERROR(SEARCH("Amostra 3",I29)))</formula>
    </cfRule>
    <cfRule type="containsText" dxfId="1182" priority="24" operator="containsText" text="Amostra 2">
      <formula>NOT(ISERROR(SEARCH("Amostra 2",I29)))</formula>
    </cfRule>
    <cfRule type="containsText" dxfId="1181" priority="25" operator="containsText" text="Amostra 1">
      <formula>NOT(ISERROR(SEARCH("Amostra 1",I29)))</formula>
    </cfRule>
  </conditionalFormatting>
  <dataValidations count="1">
    <dataValidation type="whole" allowBlank="1" showInputMessage="1" showErrorMessage="1" sqref="C4" xr:uid="{05808C2C-5C1F-4FA2-9E74-5F37552C9221}">
      <formula1>1</formula1>
      <formula2>22</formula2>
    </dataValidation>
  </dataValidations>
  <pageMargins left="0.25" right="0.25" top="0.75" bottom="0.75" header="0.3" footer="0.3"/>
  <pageSetup paperSize="9" scale="60" orientation="landscape" r:id="rId1"/>
  <headerFooter>
    <oddHeader xml:space="preserve">&amp;L&amp;G&amp;RFQX.AA.BB – Formulário diluição de amostras RT-PCR – Revisão 00           </oddHead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5" operator="containsText" id="{2856F4DD-B1DA-4F47-A2E6-79C88AD54EBD}">
            <xm:f>NOT(ISERROR(SEARCH("-",C20)))</xm:f>
            <xm:f>"-"</xm:f>
            <x14:dxf>
              <fill>
                <patternFill>
                  <bgColor rgb="FFFFC000"/>
                </patternFill>
              </fill>
            </x14:dxf>
          </x14:cfRule>
          <xm:sqref>C20:L27 N20:N27</xm:sqref>
        </x14:conditionalFormatting>
        <x14:conditionalFormatting xmlns:xm="http://schemas.microsoft.com/office/excel/2006/main">
          <x14:cfRule type="containsText" priority="158" operator="containsText" id="{EA8964AA-2C6C-4FFA-909F-32CF1D85C46B}">
            <xm:f>NOT(ISERROR(SEARCH("-",K4)))</xm:f>
            <xm:f>"-"</xm:f>
            <x14:dxf>
              <fill>
                <patternFill>
                  <bgColor rgb="FFFFC000"/>
                </patternFill>
              </fill>
            </x14:dxf>
          </x14:cfRule>
          <xm:sqref>K4</xm:sqref>
        </x14:conditionalFormatting>
        <x14:conditionalFormatting xmlns:xm="http://schemas.microsoft.com/office/excel/2006/main">
          <x14:cfRule type="containsText" priority="132" operator="containsText" id="{13864243-8755-4857-B2A2-41AFE39BF79B}">
            <xm:f>NOT(ISERROR(SEARCH("-",L4)))</xm:f>
            <xm:f>"-"</xm:f>
            <x14:dxf>
              <fill>
                <patternFill>
                  <bgColor rgb="FFFFC000"/>
                </patternFill>
              </fill>
            </x14:dxf>
          </x14:cfRule>
          <xm:sqref>L4:M4</xm:sqref>
        </x14:conditionalFormatting>
        <x14:conditionalFormatting xmlns:xm="http://schemas.microsoft.com/office/excel/2006/main">
          <x14:cfRule type="containsText" priority="106" operator="containsText" id="{FED4425C-15BE-40B2-9B65-77390A246558}">
            <xm:f>NOT(ISERROR(SEARCH("-",K5)))</xm:f>
            <xm:f>"-"</xm:f>
            <x14:dxf>
              <fill>
                <patternFill>
                  <bgColor rgb="FFFFC00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80" operator="containsText" id="{F782B9D9-3381-444C-9EA9-3CE628A51351}">
            <xm:f>NOT(ISERROR(SEARCH("-",L5)))</xm:f>
            <xm:f>"-"</xm:f>
            <x14:dxf>
              <fill>
                <patternFill>
                  <bgColor rgb="FFFFC000"/>
                </patternFill>
              </fill>
            </x14:dxf>
          </x14:cfRule>
          <xm:sqref>L5</xm:sqref>
        </x14:conditionalFormatting>
        <x14:conditionalFormatting xmlns:xm="http://schemas.microsoft.com/office/excel/2006/main">
          <x14:cfRule type="containsText" priority="51" operator="containsText" id="{64394F94-8146-4D7D-A67A-167FDB15C1B7}">
            <xm:f>NOT(ISERROR(SEARCH("-",M20)))</xm:f>
            <xm:f>"-"</xm:f>
            <x14:dxf>
              <fill>
                <patternFill>
                  <bgColor rgb="FFFFC000"/>
                </patternFill>
              </fill>
            </x14:dxf>
          </x14:cfRule>
          <xm:sqref>M20:M27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F54F3D-A83E-44F1-BC59-4CFF82030CF9}">
          <x14:formula1>
            <xm:f>'Calculos pré definidos'!$A$2:$A$10</xm:f>
          </x14:formula1>
          <xm:sqref>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3A84-316B-41FB-AECB-E117D9781A06}">
  <sheetPr codeName="Planilha36"/>
  <dimension ref="B1:N35"/>
  <sheetViews>
    <sheetView view="pageBreakPreview" zoomScaleNormal="40" zoomScaleSheetLayoutView="100" zoomScalePageLayoutView="70" workbookViewId="0">
      <selection activeCell="K7" sqref="K7"/>
    </sheetView>
  </sheetViews>
  <sheetFormatPr defaultColWidth="9.140625" defaultRowHeight="15" x14ac:dyDescent="0.25"/>
  <cols>
    <col min="1" max="1" width="18.140625" style="2" customWidth="1"/>
    <col min="2" max="2" width="10.85546875" style="24" customWidth="1"/>
    <col min="3" max="3" width="15.7109375" style="2" customWidth="1"/>
    <col min="4" max="15" width="15.140625" style="2" customWidth="1"/>
    <col min="16" max="16" width="9.28515625" style="2" customWidth="1"/>
    <col min="17" max="16384" width="9.140625" style="2"/>
  </cols>
  <sheetData>
    <row r="1" spans="2:14" ht="36" customHeight="1" x14ac:dyDescent="0.25">
      <c r="B1" s="35" t="str">
        <f>"Tabela de diluição de amostras para RT-PCR para "&amp;C2</f>
        <v>Tabela de diluição de amostras para RT-PCR para RT024 NRAS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2:14" ht="15.75" x14ac:dyDescent="0.25">
      <c r="B2" s="34" t="s">
        <v>25</v>
      </c>
      <c r="C2" s="14" t="s">
        <v>11</v>
      </c>
      <c r="D2" s="37"/>
      <c r="F2" s="34" t="s">
        <v>55</v>
      </c>
      <c r="G2" s="14" t="s">
        <v>85</v>
      </c>
      <c r="H2" s="37"/>
      <c r="K2" s="6" t="s">
        <v>45</v>
      </c>
      <c r="L2" s="9">
        <v>25</v>
      </c>
      <c r="M2" s="2" t="s">
        <v>47</v>
      </c>
    </row>
    <row r="3" spans="2:14" x14ac:dyDescent="0.25">
      <c r="K3" s="6" t="s">
        <v>51</v>
      </c>
      <c r="L3" s="9">
        <v>220</v>
      </c>
      <c r="M3" s="2" t="s">
        <v>47</v>
      </c>
    </row>
    <row r="4" spans="2:14" x14ac:dyDescent="0.25">
      <c r="B4" s="10" t="s">
        <v>43</v>
      </c>
      <c r="C4" s="16">
        <v>4</v>
      </c>
      <c r="D4" s="2" t="str">
        <f>IF(C4&gt;VLOOKUP($C$2,'Calculos pré definidos'!A1:I10,9),"ERRO! Muitas amostras. Reduza a quantidade.","")</f>
        <v/>
      </c>
      <c r="K4" s="6" t="s">
        <v>46</v>
      </c>
      <c r="L4" s="9">
        <v>25</v>
      </c>
      <c r="M4" s="2" t="s">
        <v>48</v>
      </c>
    </row>
    <row r="5" spans="2:14" x14ac:dyDescent="0.25">
      <c r="K5" s="6" t="s">
        <v>49</v>
      </c>
      <c r="L5" s="9">
        <f>L3/L2*L4/L3</f>
        <v>1.0000000000000002</v>
      </c>
      <c r="M5" s="2" t="s">
        <v>50</v>
      </c>
    </row>
    <row r="6" spans="2:14" ht="30" x14ac:dyDescent="0.25">
      <c r="D6" s="7" t="str">
        <f>IF(C4&gt;=1,"Concentração Inicial (C1)","")</f>
        <v>Concentração Inicial (C1)</v>
      </c>
      <c r="E6" s="7" t="str">
        <f>IF(C4&gt;=1,"Volume inicial DNA/RNA (V1)","")</f>
        <v>Volume inicial DNA/RNA (V1)</v>
      </c>
      <c r="F6" s="7" t="str">
        <f>IF(C4&gt;=1,"H20 (V2-V1)","")</f>
        <v>H20 (V2-V1)</v>
      </c>
      <c r="G6" s="7" t="str">
        <f>IF(C4&gt;=1,"ID da Amostra","")</f>
        <v>ID da Amostra</v>
      </c>
      <c r="J6" s="7" t="str">
        <f>IF(C4&gt;=12,"Concentração Inicial (C1)","")</f>
        <v/>
      </c>
      <c r="K6" s="7" t="str">
        <f>IF(C4&gt;=12,"Volume inicial DNA/RNA (V1)","")</f>
        <v/>
      </c>
      <c r="L6" s="7" t="str">
        <f>IF(C4&gt;=12,"H20 (V2-V1)","")</f>
        <v/>
      </c>
      <c r="M6" s="7" t="str">
        <f>IF(C4&gt;=12,"ID da Amostra","")</f>
        <v/>
      </c>
    </row>
    <row r="7" spans="2:14" x14ac:dyDescent="0.25">
      <c r="B7" s="10" t="s">
        <v>44</v>
      </c>
      <c r="C7" s="2" t="str">
        <f t="shared" ref="C7:C17" si="0">IF(ROW(B4)-3&lt;=$C$4,"Amostra "&amp;ROW(B4)-3,"")</f>
        <v>Amostra 1</v>
      </c>
      <c r="D7" s="17">
        <v>27.7</v>
      </c>
      <c r="E7" s="17">
        <v>17</v>
      </c>
      <c r="F7" s="2">
        <v>453.89999999999986</v>
      </c>
      <c r="G7" s="17" t="s">
        <v>87</v>
      </c>
      <c r="I7" s="2" t="str">
        <f t="shared" ref="I7:I17" si="1">IF(ROW(B4)+8&lt;=$C$4,"Amostra "&amp;ROW(B4)+8,"")</f>
        <v/>
      </c>
      <c r="J7" s="17"/>
      <c r="K7" s="17"/>
      <c r="L7" s="2" t="str">
        <f t="shared" ref="L7:L17" si="2">IF(ISBLANK(J7),"",IF((J7/$L$5*K7)&lt;$L$3,"Aumente o V1",(J7/$L$5*K7)-K7))</f>
        <v/>
      </c>
      <c r="M7" s="17"/>
    </row>
    <row r="8" spans="2:14" x14ac:dyDescent="0.25">
      <c r="C8" s="2" t="str">
        <f t="shared" si="0"/>
        <v>Amostra 2</v>
      </c>
      <c r="D8" s="17">
        <v>136.9</v>
      </c>
      <c r="E8" s="17">
        <v>4</v>
      </c>
      <c r="F8" s="2">
        <v>543.59999999999991</v>
      </c>
      <c r="G8" s="17" t="s">
        <v>88</v>
      </c>
      <c r="I8" s="2" t="str">
        <f t="shared" si="1"/>
        <v/>
      </c>
      <c r="J8" s="17"/>
      <c r="K8" s="17"/>
      <c r="L8" s="2" t="str">
        <f t="shared" si="2"/>
        <v/>
      </c>
      <c r="M8" s="17"/>
    </row>
    <row r="9" spans="2:14" x14ac:dyDescent="0.25">
      <c r="C9" s="2" t="str">
        <f t="shared" si="0"/>
        <v>Amostra 3</v>
      </c>
      <c r="D9" s="17">
        <v>69.7</v>
      </c>
      <c r="E9" s="17">
        <v>7</v>
      </c>
      <c r="F9" s="2">
        <v>480.89999999999992</v>
      </c>
      <c r="G9" s="17" t="s">
        <v>89</v>
      </c>
      <c r="I9" s="2" t="str">
        <f t="shared" si="1"/>
        <v/>
      </c>
      <c r="J9" s="17"/>
      <c r="K9" s="17"/>
      <c r="L9" s="2" t="str">
        <f t="shared" si="2"/>
        <v/>
      </c>
      <c r="M9" s="17"/>
    </row>
    <row r="10" spans="2:14" x14ac:dyDescent="0.25">
      <c r="C10" s="2" t="str">
        <f t="shared" si="0"/>
        <v>Amostra 4</v>
      </c>
      <c r="D10" s="17">
        <v>503.6</v>
      </c>
      <c r="E10" s="17">
        <v>1</v>
      </c>
      <c r="F10" s="2">
        <v>502.59999999999991</v>
      </c>
      <c r="G10" s="17" t="s">
        <v>91</v>
      </c>
      <c r="I10" s="2" t="str">
        <f t="shared" si="1"/>
        <v/>
      </c>
      <c r="J10" s="17"/>
      <c r="K10" s="17"/>
      <c r="L10" s="2" t="str">
        <f t="shared" si="2"/>
        <v/>
      </c>
      <c r="M10" s="17"/>
    </row>
    <row r="11" spans="2:14" x14ac:dyDescent="0.25">
      <c r="C11" s="2" t="str">
        <f t="shared" si="0"/>
        <v/>
      </c>
      <c r="D11" s="17"/>
      <c r="E11" s="17"/>
      <c r="F11" s="2" t="str">
        <f t="shared" ref="F11:F17" si="3">IF(ISBLANK(D11),"",IF((D11/$L$5*E11)&lt;$L$3,"Aumente o V1",(D11/$L$5*E11)-E11))</f>
        <v/>
      </c>
      <c r="G11" s="17"/>
      <c r="I11" s="2" t="str">
        <f t="shared" si="1"/>
        <v/>
      </c>
      <c r="J11" s="17"/>
      <c r="K11" s="17"/>
      <c r="L11" s="2" t="str">
        <f t="shared" si="2"/>
        <v/>
      </c>
      <c r="M11" s="17"/>
    </row>
    <row r="12" spans="2:14" x14ac:dyDescent="0.25">
      <c r="C12" s="2" t="str">
        <f t="shared" si="0"/>
        <v/>
      </c>
      <c r="D12" s="17"/>
      <c r="E12" s="17"/>
      <c r="F12" s="2" t="str">
        <f t="shared" si="3"/>
        <v/>
      </c>
      <c r="G12" s="17"/>
      <c r="I12" s="2" t="str">
        <f t="shared" si="1"/>
        <v/>
      </c>
      <c r="J12" s="17"/>
      <c r="K12" s="17"/>
      <c r="L12" s="2" t="str">
        <f t="shared" si="2"/>
        <v/>
      </c>
      <c r="M12" s="17"/>
    </row>
    <row r="13" spans="2:14" x14ac:dyDescent="0.25">
      <c r="C13" s="2" t="str">
        <f t="shared" si="0"/>
        <v/>
      </c>
      <c r="D13" s="17"/>
      <c r="E13" s="17"/>
      <c r="F13" s="2" t="str">
        <f t="shared" si="3"/>
        <v/>
      </c>
      <c r="G13" s="17"/>
      <c r="I13" s="2" t="str">
        <f t="shared" si="1"/>
        <v/>
      </c>
      <c r="J13" s="17"/>
      <c r="K13" s="17"/>
      <c r="L13" s="2" t="str">
        <f t="shared" si="2"/>
        <v/>
      </c>
      <c r="M13" s="17"/>
    </row>
    <row r="14" spans="2:14" x14ac:dyDescent="0.25">
      <c r="C14" s="2" t="str">
        <f t="shared" si="0"/>
        <v/>
      </c>
      <c r="D14" s="17"/>
      <c r="E14" s="17"/>
      <c r="F14" s="2" t="str">
        <f t="shared" si="3"/>
        <v/>
      </c>
      <c r="G14" s="17"/>
      <c r="I14" s="2" t="str">
        <f t="shared" si="1"/>
        <v/>
      </c>
      <c r="J14" s="17"/>
      <c r="K14" s="17"/>
      <c r="L14" s="2" t="str">
        <f t="shared" si="2"/>
        <v/>
      </c>
      <c r="M14" s="17"/>
    </row>
    <row r="15" spans="2:14" x14ac:dyDescent="0.25">
      <c r="C15" s="2" t="str">
        <f t="shared" si="0"/>
        <v/>
      </c>
      <c r="D15" s="17"/>
      <c r="E15" s="17"/>
      <c r="F15" s="2" t="str">
        <f t="shared" si="3"/>
        <v/>
      </c>
      <c r="G15" s="17"/>
      <c r="I15" s="2" t="str">
        <f t="shared" si="1"/>
        <v/>
      </c>
      <c r="J15" s="17"/>
      <c r="K15" s="17"/>
      <c r="L15" s="2" t="str">
        <f t="shared" si="2"/>
        <v/>
      </c>
      <c r="M15" s="17"/>
    </row>
    <row r="16" spans="2:14" x14ac:dyDescent="0.25">
      <c r="C16" s="2" t="str">
        <f t="shared" si="0"/>
        <v/>
      </c>
      <c r="D16" s="17"/>
      <c r="E16" s="17"/>
      <c r="F16" s="2" t="str">
        <f t="shared" si="3"/>
        <v/>
      </c>
      <c r="G16" s="17"/>
      <c r="I16" s="2" t="str">
        <f t="shared" si="1"/>
        <v/>
      </c>
      <c r="J16" s="17"/>
      <c r="K16" s="17"/>
      <c r="L16" s="2" t="str">
        <f t="shared" si="2"/>
        <v/>
      </c>
      <c r="M16" s="17"/>
    </row>
    <row r="17" spans="2:14" x14ac:dyDescent="0.25">
      <c r="C17" s="2" t="str">
        <f t="shared" si="0"/>
        <v/>
      </c>
      <c r="D17" s="17"/>
      <c r="E17" s="17"/>
      <c r="F17" s="2" t="str">
        <f t="shared" si="3"/>
        <v/>
      </c>
      <c r="G17" s="17"/>
      <c r="I17" s="2" t="str">
        <f t="shared" si="1"/>
        <v/>
      </c>
      <c r="J17" s="17"/>
      <c r="K17" s="17"/>
      <c r="L17" s="2" t="str">
        <f t="shared" si="2"/>
        <v/>
      </c>
      <c r="M17" s="17"/>
    </row>
    <row r="19" spans="2:14" x14ac:dyDescent="0.25">
      <c r="C19" s="11">
        <v>1</v>
      </c>
      <c r="D19" s="11">
        <v>2</v>
      </c>
      <c r="E19" s="11">
        <v>3</v>
      </c>
      <c r="F19" s="11">
        <v>4</v>
      </c>
      <c r="G19" s="11">
        <v>5</v>
      </c>
      <c r="H19" s="11">
        <v>6</v>
      </c>
      <c r="I19" s="11">
        <v>7</v>
      </c>
      <c r="J19" s="11">
        <v>8</v>
      </c>
      <c r="K19" s="11">
        <v>9</v>
      </c>
      <c r="L19" s="11">
        <v>10</v>
      </c>
      <c r="M19" s="11">
        <v>11</v>
      </c>
      <c r="N19" s="11">
        <v>12</v>
      </c>
    </row>
    <row r="20" spans="2:14" ht="26.25" x14ac:dyDescent="0.25">
      <c r="B20" s="12" t="s">
        <v>26</v>
      </c>
      <c r="C20" s="8" t="str" cm="1">
        <f t="array" aca="1" ref="C20" ca="1">IF(ISNUMBER(FIND("ctrl",INDIRECT("Sheet4!"&amp;"L"&amp;MATCH($C$2,Sheet4!$A:$A,0)+0))),
INDIRECT("Sheet4!"&amp;"L"&amp;MATCH($C$2,Sheet4!$A:$A,0)+0),IF(INDIRECT("Sheet4!"&amp;"L"&amp;MATCH($C$2,Sheet4!$A:$A,0)+0)="Água","Água",
IF(INDIRECT("Sheet4!"&amp;"L"&amp;MATCH($C$2,Sheet4!$A:$A,0)+0)="-","-",
IF(_xlfn.NUMBERVALUE(MID(INDIRECT("Sheet4!"&amp;"L"&amp;MATCH($C$2,Sheet4!$A:$A,0)+0),9,2))&lt;=$C$4,
_xlfn.IFNA(VLOOKUP(INDIRECT("Sheet4!"&amp;"L"&amp;MATCH($C$2,Sheet4!$A:$A,0)+0),$C$7:$H$17,1,FALSE)&amp;CHAR(10)&amp;VLOOKUP(INDIRECT("Sheet4!"&amp;"L"&amp;MATCH($C$2,Sheet4!$A:$A,0)+0),$C$7:$H$17,5,FALSE),
VLOOKUP(INDIRECT("Sheet4!"&amp;"L"&amp;MATCH($C$2,Sheet4!$A:$A,0)+0),$I$7:$N$17,1,FALSE)&amp;CHAR(10)&amp;VLOOKUP(INDIRECT("Sheet4!"&amp;"L"&amp;MATCH($C$2,Sheet4!$A:$A,0)+0),$I$7:$N$17,5,FALSE)),"-"))))</f>
        <v>-</v>
      </c>
      <c r="D20" s="8" t="str" cm="1">
        <f t="array" aca="1" ref="D20" ca="1">IF(ISNUMBER(FIND("ctrl",INDIRECT("Sheet4!"&amp;"L"&amp;MATCH($C$2,Sheet4!$A:$A,0)+0))),
INDIRECT("Sheet4!"&amp;"L"&amp;MATCH($C$2,Sheet4!$A:$A,0)+0),IF(INDIRECT("Sheet4!"&amp;"L"&amp;MATCH($C$2,Sheet4!$A:$A,0)+0)="Água","Água",
IF(INDIRECT("Sheet4!"&amp;"L"&amp;MATCH($C$2,Sheet4!$A:$A,0)+0)="-","-",
IF(_xlfn.NUMBERVALUE(MID(INDIRECT("Sheet4!"&amp;"L"&amp;MATCH($C$2,Sheet4!$A:$A,0)+0),9,2))&lt;=$C$4,
_xlfn.IFNA(VLOOKUP(INDIRECT("Sheet4!"&amp;"L"&amp;MATCH($C$2,Sheet4!$A:$A,0)+0),$C$7:$H$17,1,FALSE)&amp;CHAR(10)&amp;VLOOKUP(INDIRECT("Sheet4!"&amp;"L"&amp;MATCH($C$2,Sheet4!$A:$A,0)+0),$C$7:$H$17,5,FALSE),
VLOOKUP(INDIRECT("Sheet4!"&amp;"L"&amp;MATCH($C$2,Sheet4!$A:$A,0)+0),$I$7:$N$17,1,FALSE)&amp;CHAR(10)&amp;VLOOKUP(INDIRECT("Sheet4!"&amp;"L"&amp;MATCH($C$2,Sheet4!$A:$A,0)+0),$I$7:$N$17,5,FALSE)),"-"))))</f>
        <v>-</v>
      </c>
      <c r="E20" s="8" t="str" cm="1">
        <f t="array" aca="1" ref="E20" ca="1">IF(ISNUMBER(FIND("ctrl",INDIRECT("Sheet4!"&amp;"L"&amp;MATCH($C$2,Sheet4!$A:$A,0)+0))),
INDIRECT("Sheet4!"&amp;"L"&amp;MATCH($C$2,Sheet4!$A:$A,0)+0),IF(INDIRECT("Sheet4!"&amp;"L"&amp;MATCH($C$2,Sheet4!$A:$A,0)+0)="Água","Água",
IF(INDIRECT("Sheet4!"&amp;"L"&amp;MATCH($C$2,Sheet4!$A:$A,0)+0)="-","-",
IF(_xlfn.NUMBERVALUE(MID(INDIRECT("Sheet4!"&amp;"L"&amp;MATCH($C$2,Sheet4!$A:$A,0)+0),9,2))&lt;=$C$4,
_xlfn.IFNA(VLOOKUP(INDIRECT("Sheet4!"&amp;"L"&amp;MATCH($C$2,Sheet4!$A:$A,0)+0),$C$7:$H$17,1,FALSE)&amp;CHAR(10)&amp;VLOOKUP(INDIRECT("Sheet4!"&amp;"L"&amp;MATCH($C$2,Sheet4!$A:$A,0)+0),$C$7:$H$17,5,FALSE),
VLOOKUP(INDIRECT("Sheet4!"&amp;"L"&amp;MATCH($C$2,Sheet4!$A:$A,0)+0),$I$7:$N$17,1,FALSE)&amp;CHAR(10)&amp;VLOOKUP(INDIRECT("Sheet4!"&amp;"L"&amp;MATCH($C$2,Sheet4!$A:$A,0)+0),$I$7:$N$17,5,FALSE)),"-"))))</f>
        <v>-</v>
      </c>
      <c r="F20" s="8" t="str" cm="1">
        <f t="array" aca="1" ref="F20" ca="1">IF(ISNUMBER(FIND("ctrl",INDIRECT("Sheet4!"&amp;"L"&amp;MATCH($C$2,Sheet4!$A:$A,0)+0))),
INDIRECT("Sheet4!"&amp;"L"&amp;MATCH($C$2,Sheet4!$A:$A,0)+0),IF(INDIRECT("Sheet4!"&amp;"L"&amp;MATCH($C$2,Sheet4!$A:$A,0)+0)="Água","Água",
IF(INDIRECT("Sheet4!"&amp;"L"&amp;MATCH($C$2,Sheet4!$A:$A,0)+0)="-","-",
IF(_xlfn.NUMBERVALUE(MID(INDIRECT("Sheet4!"&amp;"L"&amp;MATCH($C$2,Sheet4!$A:$A,0)+0),9,2))&lt;=$C$4,
_xlfn.IFNA(VLOOKUP(INDIRECT("Sheet4!"&amp;"L"&amp;MATCH($C$2,Sheet4!$A:$A,0)+0),$C$7:$H$17,1,FALSE)&amp;CHAR(10)&amp;VLOOKUP(INDIRECT("Sheet4!"&amp;"L"&amp;MATCH($C$2,Sheet4!$A:$A,0)+0),$C$7:$H$17,5,FALSE),
VLOOKUP(INDIRECT("Sheet4!"&amp;"L"&amp;MATCH($C$2,Sheet4!$A:$A,0)+0),$I$7:$N$17,1,FALSE)&amp;CHAR(10)&amp;VLOOKUP(INDIRECT("Sheet4!"&amp;"L"&amp;MATCH($C$2,Sheet4!$A:$A,0)+0),$I$7:$N$17,5,FALSE)),"-"))))</f>
        <v>-</v>
      </c>
      <c r="G20" s="8" t="str" cm="1">
        <f t="array" aca="1" ref="G20" ca="1">IF(ISNUMBER(FIND("ctrl",INDIRECT("Sheet4!"&amp;"D"&amp;MATCH($C$2,Sheet4!$A:$A,0)+0))),
INDIRECT("Sheet4!"&amp;"D"&amp;MATCH($C$2,Sheet4!$A:$A,0)+0),IF(INDIRECT("Sheet4!"&amp;"D"&amp;MATCH($C$2,Sheet4!$A:$A,0)+0)="Água","Água",
IF(INDIRECT("Sheet4!"&amp;"D"&amp;MATCH($C$2,Sheet4!$A:$A,0)+0)="-","-",
IF(_xlfn.NUMBERVALUE(MID(INDIRECT("Sheet4!"&amp;"D"&amp;MATCH($C$2,Sheet4!$A:$A,0)+0),9,2))&lt;=$C$4,
_xlfn.IFNA(VLOOKUP(INDIRECT("Sheet4!"&amp;"D"&amp;MATCH($C$2,Sheet4!$A:$A,0)+0),$C$7:$H$17,1,FALSE)&amp;CHAR(10)&amp;VLOOKUP(INDIRECT("Sheet4!"&amp;"D"&amp;MATCH($C$2,Sheet4!$A:$A,0)+0),$C$7:$H$17,5,FALSE),
VLOOKUP(INDIRECT("Sheet4!"&amp;"D"&amp;MATCH($C$2,Sheet4!$A:$A,0)+0),$I$7:$N$17,1,FALSE)&amp;CHAR(10)&amp;VLOOKUP(INDIRECT("Sheet4!"&amp;"D"&amp;MATCH($C$2,Sheet4!$A:$A,0)+0),$I$7:$N$17,5,FALSE)),"-"))))</f>
        <v>Amostra 1
108 E.N.</v>
      </c>
      <c r="H20" s="8" t="str" cm="1">
        <f t="array" aca="1" ref="H20" ca="1">IF(ISNUMBER(FIND("ctrl",INDIRECT("Sheet4!"&amp;"E"&amp;MATCH($C$2,Sheet4!$A:$A,0)+0))),
INDIRECT("Sheet4!"&amp;"E"&amp;MATCH($C$2,Sheet4!$A:$A,0)+0),IF(INDIRECT("Sheet4!"&amp;"E"&amp;MATCH($C$2,Sheet4!$A:$A,0)+0)="Água","Água",
IF(INDIRECT("Sheet4!"&amp;"E"&amp;MATCH($C$2,Sheet4!$A:$A,0)+0)="-","-",
IF(_xlfn.NUMBERVALUE(MID(INDIRECT("Sheet4!"&amp;"E"&amp;MATCH($C$2,Sheet4!$A:$A,0)+0),9,2))&lt;=$C$4,
_xlfn.IFNA(VLOOKUP(INDIRECT("Sheet4!"&amp;"E"&amp;MATCH($C$2,Sheet4!$A:$A,0)+0),$C$7:$H$17,1,FALSE)&amp;CHAR(10)&amp;VLOOKUP(INDIRECT("Sheet4!"&amp;"E"&amp;MATCH($C$2,Sheet4!$A:$A,0)+0),$C$7:$H$17,5,FALSE),
VLOOKUP(INDIRECT("Sheet4!"&amp;"E"&amp;MATCH($C$2,Sheet4!$A:$A,0)+0),$I$7:$N$17,1,FALSE)&amp;CHAR(10)&amp;VLOOKUP(INDIRECT("Sheet4!"&amp;"E"&amp;MATCH($C$2,Sheet4!$A:$A,0)+0),$I$7:$N$17,5,FALSE)),"-"))))</f>
        <v>Amostra 2
109 A.G.</v>
      </c>
      <c r="I20" s="8" t="str" cm="1">
        <f t="array" aca="1" ref="I20" ca="1">IF(ISNUMBER(FIND("ctrl",INDIRECT("Sheet4!"&amp;"F"&amp;MATCH($C$2,Sheet4!$A:$A,0)+0))),
INDIRECT("Sheet4!"&amp;"F"&amp;MATCH($C$2,Sheet4!$A:$A,0)+0),IF(INDIRECT("Sheet4!"&amp;"F"&amp;MATCH($C$2,Sheet4!$A:$A,0)+0)="Água","Água",
IF(INDIRECT("Sheet4!"&amp;"F"&amp;MATCH($C$2,Sheet4!$A:$A,0)+0)="-","-",
IF(_xlfn.NUMBERVALUE(MID(INDIRECT("Sheet4!"&amp;"F"&amp;MATCH($C$2,Sheet4!$A:$A,0)+0),9,2))&lt;=$C$4,
_xlfn.IFNA(VLOOKUP(INDIRECT("Sheet4!"&amp;"F"&amp;MATCH($C$2,Sheet4!$A:$A,0)+0),$C$7:$H$17,1,FALSE)&amp;CHAR(10)&amp;VLOOKUP(INDIRECT("Sheet4!"&amp;"F"&amp;MATCH($C$2,Sheet4!$A:$A,0)+0),$C$7:$H$17,5,FALSE),
VLOOKUP(INDIRECT("Sheet4!"&amp;"F"&amp;MATCH($C$2,Sheet4!$A:$A,0)+0),$I$7:$N$17,1,FALSE)&amp;CHAR(10)&amp;VLOOKUP(INDIRECT("Sheet4!"&amp;"F"&amp;MATCH($C$2,Sheet4!$A:$A,0)+0),$I$7:$N$17,5,FALSE)),"-"))))</f>
        <v>Amostra 3
110 G.B.</v>
      </c>
      <c r="J20" s="8" t="str" cm="1">
        <f t="array" aca="1" ref="J20" ca="1">IF(ISNUMBER(FIND("ctrl",INDIRECT("Sheet4!"&amp;"G"&amp;MATCH($C$2,Sheet4!$A:$A,0)+0))),
INDIRECT("Sheet4!"&amp;"G"&amp;MATCH($C$2,Sheet4!$A:$A,0)+0),IF(INDIRECT("Sheet4!"&amp;"G"&amp;MATCH($C$2,Sheet4!$A:$A,0)+0)="Água","Água",
IF(INDIRECT("Sheet4!"&amp;"G"&amp;MATCH($C$2,Sheet4!$A:$A,0)+0)="-","-",
IF(_xlfn.NUMBERVALUE(MID(INDIRECT("Sheet4!"&amp;"G"&amp;MATCH($C$2,Sheet4!$A:$A,0)+0),9,2))&lt;=$C$4,
_xlfn.IFNA(VLOOKUP(INDIRECT("Sheet4!"&amp;"G"&amp;MATCH($C$2,Sheet4!$A:$A,0)+0),$C$7:$H$17,1,FALSE)&amp;CHAR(10)&amp;VLOOKUP(INDIRECT("Sheet4!"&amp;"G"&amp;MATCH($C$2,Sheet4!$A:$A,0)+0),$C$7:$H$17,5,FALSE),
VLOOKUP(INDIRECT("Sheet4!"&amp;"G"&amp;MATCH($C$2,Sheet4!$A:$A,0)+0),$I$7:$N$17,1,FALSE)&amp;CHAR(10)&amp;VLOOKUP(INDIRECT("Sheet4!"&amp;"G"&amp;MATCH($C$2,Sheet4!$A:$A,0)+0),$I$7:$N$17,5,FALSE)),"-"))))</f>
        <v>Amostra 4
37S R.G.S.V</v>
      </c>
      <c r="K20" s="8" t="str" cm="1">
        <f t="array" aca="1" ref="K20" ca="1">IF(ISNUMBER(FIND("ctrl",INDIRECT("Sheet4!"&amp;"L"&amp;MATCH($C$2,Sheet4!$A:$A,0)+0))),
INDIRECT("Sheet4!"&amp;"L"&amp;MATCH($C$2,Sheet4!$A:$A,0)+0),IF(INDIRECT("Sheet4!"&amp;"L"&amp;MATCH($C$2,Sheet4!$A:$A,0)+0)="Água","Água",
IF(INDIRECT("Sheet4!"&amp;"L"&amp;MATCH($C$2,Sheet4!$A:$A,0)+0)="-","-",
IF(_xlfn.NUMBERVALUE(MID(INDIRECT("Sheet4!"&amp;"L"&amp;MATCH($C$2,Sheet4!$A:$A,0)+0),9,2))&lt;=$C$4,
_xlfn.IFNA(VLOOKUP(INDIRECT("Sheet4!"&amp;"L"&amp;MATCH($C$2,Sheet4!$A:$A,0)+0),$C$7:$H$17,1,FALSE)&amp;CHAR(10)&amp;VLOOKUP(INDIRECT("Sheet4!"&amp;"L"&amp;MATCH($C$2,Sheet4!$A:$A,0)+0),$C$7:$H$17,5,FALSE),
VLOOKUP(INDIRECT("Sheet4!"&amp;"L"&amp;MATCH($C$2,Sheet4!$A:$A,0)+0),$I$7:$N$17,1,FALSE)&amp;CHAR(10)&amp;VLOOKUP(INDIRECT("Sheet4!"&amp;"L"&amp;MATCH($C$2,Sheet4!$A:$A,0)+0),$I$7:$N$17,5,FALSE)),"-"))))</f>
        <v>-</v>
      </c>
      <c r="L20" s="8" t="str" cm="1">
        <f t="array" aca="1" ref="L20" ca="1">IF(ISNUMBER(FIND("ctrl",INDIRECT("Sheet4!"&amp;"M"&amp;MATCH($C$2,Sheet4!$A:$A,0)+0))),
INDIRECT("Sheet4!"&amp;"M"&amp;MATCH($C$2,Sheet4!$A:$A,0)+0),IF(INDIRECT("Sheet4!"&amp;"M"&amp;MATCH($C$2,Sheet4!$A:$A,0)+0)="Água","Água",
IF(INDIRECT("Sheet4!"&amp;"M"&amp;MATCH($C$2,Sheet4!$A:$A,0)+0)="-","-",
IF(_xlfn.NUMBERVALUE(MID(INDIRECT("Sheet4!"&amp;"M"&amp;MATCH($C$2,Sheet4!$A:$A,0)+0),9,2))&lt;=$C$4,
_xlfn.IFNA(VLOOKUP(INDIRECT("Sheet4!"&amp;"M"&amp;MATCH($C$2,Sheet4!$A:$A,0)+0),$C$7:$H$17,1,FALSE)&amp;CHAR(10)&amp;VLOOKUP(INDIRECT("Sheet4!"&amp;"M"&amp;MATCH($C$2,Sheet4!$A:$A,0)+0),$C$7:$H$17,5,FALSE),
VLOOKUP(INDIRECT("Sheet4!"&amp;"M"&amp;MATCH($C$2,Sheet4!$A:$A,0)+0),$I$7:$N$17,1,FALSE)&amp;CHAR(10)&amp;VLOOKUP(INDIRECT("Sheet4!"&amp;"M"&amp;MATCH($C$2,Sheet4!$A:$A,0)+0),$I$7:$N$17,5,FALSE)),"-"))))</f>
        <v>-</v>
      </c>
      <c r="M20" s="8" t="str" cm="1">
        <f t="array" aca="1" ref="M20" ca="1">IF(ISNUMBER(FIND("ctrl",INDIRECT("Sheet4!"&amp;"M"&amp;MATCH($C$2,Sheet4!$A:$A,0)+0))),
INDIRECT("Sheet4!"&amp;"M"&amp;MATCH($C$2,Sheet4!$A:$A,0)+0),IF(INDIRECT("Sheet4!"&amp;"M"&amp;MATCH($C$2,Sheet4!$A:$A,0)+0)="Água","Água",
IF(INDIRECT("Sheet4!"&amp;"M"&amp;MATCH($C$2,Sheet4!$A:$A,0)+0)="-","-",
IF(_xlfn.NUMBERVALUE(MID(INDIRECT("Sheet4!"&amp;"M"&amp;MATCH($C$2,Sheet4!$A:$A,0)+0),9,2))&lt;=$C$4,
_xlfn.IFNA(VLOOKUP(INDIRECT("Sheet4!"&amp;"M"&amp;MATCH($C$2,Sheet4!$A:$A,0)+0),$C$7:$H$17,1,FALSE)&amp;CHAR(10)&amp;VLOOKUP(INDIRECT("Sheet4!"&amp;"M"&amp;MATCH($C$2,Sheet4!$A:$A,0)+0),$C$7:$H$17,5,FALSE),
VLOOKUP(INDIRECT("Sheet4!"&amp;"M"&amp;MATCH($C$2,Sheet4!$A:$A,0)+0),$I$7:$N$17,1,FALSE)&amp;CHAR(10)&amp;VLOOKUP(INDIRECT("Sheet4!"&amp;"M"&amp;MATCH($C$2,Sheet4!$A:$A,0)+0),$I$7:$N$17,5,FALSE)),"-"))))</f>
        <v>-</v>
      </c>
      <c r="N20" s="8" t="str" cm="1">
        <f t="array" aca="1" ref="N20" ca="1">IF(ISNUMBER(FIND("ctrl",INDIRECT("Sheet4!"&amp;"O"&amp;MATCH($C$2,Sheet4!$A:$A,0)+0))),
INDIRECT("Sheet4!"&amp;"O"&amp;MATCH($C$2,Sheet4!$A:$A,0)+0),IF(INDIRECT("Sheet4!"&amp;"O"&amp;MATCH($C$2,Sheet4!$A:$A,0)+0)="Água","Água",
IF(INDIRECT("Sheet4!"&amp;"O"&amp;MATCH($C$2,Sheet4!$A:$A,0)+0)="-","-",
IF(_xlfn.NUMBERVALUE(MID(INDIRECT("Sheet4!"&amp;"O"&amp;MATCH($C$2,Sheet4!$A:$A,0)+0),9,2))&lt;=$C$4,
_xlfn.IFNA(VLOOKUP(INDIRECT("Sheet4!"&amp;"O"&amp;MATCH($C$2,Sheet4!$A:$A,0)+0),$C$7:$H$17,1,FALSE)&amp;CHAR(10)&amp;VLOOKUP(INDIRECT("Sheet4!"&amp;"O"&amp;MATCH($C$2,Sheet4!$A:$A,0)+0),$C$7:$H$17,5,FALSE),
VLOOKUP(INDIRECT("Sheet4!"&amp;"O"&amp;MATCH($C$2,Sheet4!$A:$A,0)+0),$I$7:$N$17,1,FALSE)&amp;CHAR(10)&amp;VLOOKUP(INDIRECT("Sheet4!"&amp;"O"&amp;MATCH($C$2,Sheet4!$A:$A,0)+0),$I$7:$N$17,5,FALSE)),"-"))))</f>
        <v>Água</v>
      </c>
    </row>
    <row r="21" spans="2:14" ht="15" customHeight="1" x14ac:dyDescent="0.25">
      <c r="B21" s="12" t="s">
        <v>27</v>
      </c>
      <c r="C21" s="8" t="str" cm="1">
        <f t="array" aca="1" ref="C21" ca="1">IF(ISNUMBER(FIND("ctrl",INDIRECT("Sheet4!"&amp;"L"&amp;MATCH($C$2,Sheet4!$A:$A,0)+1))),
INDIRECT("Sheet4!"&amp;"L"&amp;MATCH($C$2,Sheet4!$A:$A,0)+1),IF(INDIRECT("Sheet4!"&amp;"L"&amp;MATCH($C$2,Sheet4!$A:$A,0)+1)="Água","Água",
IF(INDIRECT("Sheet4!"&amp;"L"&amp;MATCH($C$2,Sheet4!$A:$A,0)+1)="-","-",
IF(_xlfn.NUMBERVALUE(MID(INDIRECT("Sheet4!"&amp;"L"&amp;MATCH($C$2,Sheet4!$A:$A,0)+1),9,2))&lt;=$C$4,
_xlfn.IFNA(VLOOKUP(INDIRECT("Sheet4!"&amp;"L"&amp;MATCH($C$2,Sheet4!$A:$A,0)+1),$C$7:$H$17,1,FALSE)&amp;CHAR(10)&amp;VLOOKUP(INDIRECT("Sheet4!"&amp;"L"&amp;MATCH($C$2,Sheet4!$A:$A,0)+1),$C$7:$H$17,5,FALSE),
VLOOKUP(INDIRECT("Sheet4!"&amp;"L"&amp;MATCH($C$2,Sheet4!$A:$A,0)+1),$I$7:$N$17,1,FALSE)&amp;CHAR(10)&amp;VLOOKUP(INDIRECT("Sheet4!"&amp;"L"&amp;MATCH($C$2,Sheet4!$A:$A,0)+1),$I$7:$N$17,5,FALSE)),"-"))))</f>
        <v>-</v>
      </c>
      <c r="D21" s="8" t="str" cm="1">
        <f t="array" aca="1" ref="D21" ca="1">IF(ISNUMBER(FIND("ctrl",INDIRECT("Sheet4!"&amp;"L"&amp;MATCH($C$2,Sheet4!$A:$A,0)+1))),
INDIRECT("Sheet4!"&amp;"L"&amp;MATCH($C$2,Sheet4!$A:$A,0)+1),IF(INDIRECT("Sheet4!"&amp;"L"&amp;MATCH($C$2,Sheet4!$A:$A,0)+1)="Água","Água",
IF(INDIRECT("Sheet4!"&amp;"L"&amp;MATCH($C$2,Sheet4!$A:$A,0)+1)="-","-",
IF(_xlfn.NUMBERVALUE(MID(INDIRECT("Sheet4!"&amp;"L"&amp;MATCH($C$2,Sheet4!$A:$A,0)+1),9,2))&lt;=$C$4,
_xlfn.IFNA(VLOOKUP(INDIRECT("Sheet4!"&amp;"L"&amp;MATCH($C$2,Sheet4!$A:$A,0)+1),$C$7:$H$17,1,FALSE)&amp;CHAR(10)&amp;VLOOKUP(INDIRECT("Sheet4!"&amp;"L"&amp;MATCH($C$2,Sheet4!$A:$A,0)+1),$C$7:$H$17,5,FALSE),
VLOOKUP(INDIRECT("Sheet4!"&amp;"L"&amp;MATCH($C$2,Sheet4!$A:$A,0)+1),$I$7:$N$17,1,FALSE)&amp;CHAR(10)&amp;VLOOKUP(INDIRECT("Sheet4!"&amp;"L"&amp;MATCH($C$2,Sheet4!$A:$A,0)+1),$I$7:$N$17,5,FALSE)),"-"))))</f>
        <v>-</v>
      </c>
      <c r="E21" s="8" t="str" cm="1">
        <f t="array" aca="1" ref="E21" ca="1">IF(ISNUMBER(FIND("ctrl",INDIRECT("Sheet4!"&amp;"L"&amp;MATCH($C$2,Sheet4!$A:$A,0)+1))),
INDIRECT("Sheet4!"&amp;"L"&amp;MATCH($C$2,Sheet4!$A:$A,0)+1),IF(INDIRECT("Sheet4!"&amp;"L"&amp;MATCH($C$2,Sheet4!$A:$A,0)+1)="Água","Água",
IF(INDIRECT("Sheet4!"&amp;"L"&amp;MATCH($C$2,Sheet4!$A:$A,0)+1)="-","-",
IF(_xlfn.NUMBERVALUE(MID(INDIRECT("Sheet4!"&amp;"L"&amp;MATCH($C$2,Sheet4!$A:$A,0)+1),9,2))&lt;=$C$4,
_xlfn.IFNA(VLOOKUP(INDIRECT("Sheet4!"&amp;"L"&amp;MATCH($C$2,Sheet4!$A:$A,0)+1),$C$7:$H$17,1,FALSE)&amp;CHAR(10)&amp;VLOOKUP(INDIRECT("Sheet4!"&amp;"L"&amp;MATCH($C$2,Sheet4!$A:$A,0)+1),$C$7:$H$17,5,FALSE),
VLOOKUP(INDIRECT("Sheet4!"&amp;"L"&amp;MATCH($C$2,Sheet4!$A:$A,0)+1),$I$7:$N$17,1,FALSE)&amp;CHAR(10)&amp;VLOOKUP(INDIRECT("Sheet4!"&amp;"L"&amp;MATCH($C$2,Sheet4!$A:$A,0)+1),$I$7:$N$17,5,FALSE)),"-"))))</f>
        <v>-</v>
      </c>
      <c r="F21" s="8" t="str" cm="1">
        <f t="array" aca="1" ref="F21" ca="1">IF(ISNUMBER(FIND("ctrl",INDIRECT("Sheet4!"&amp;"L"&amp;MATCH($C$2,Sheet4!$A:$A,0)+1))),
INDIRECT("Sheet4!"&amp;"L"&amp;MATCH($C$2,Sheet4!$A:$A,0)+1),IF(INDIRECT("Sheet4!"&amp;"L"&amp;MATCH($C$2,Sheet4!$A:$A,0)+1)="Água","Água",
IF(INDIRECT("Sheet4!"&amp;"L"&amp;MATCH($C$2,Sheet4!$A:$A,0)+1)="-","-",
IF(_xlfn.NUMBERVALUE(MID(INDIRECT("Sheet4!"&amp;"L"&amp;MATCH($C$2,Sheet4!$A:$A,0)+1),9,2))&lt;=$C$4,
_xlfn.IFNA(VLOOKUP(INDIRECT("Sheet4!"&amp;"L"&amp;MATCH($C$2,Sheet4!$A:$A,0)+1),$C$7:$H$17,1,FALSE)&amp;CHAR(10)&amp;VLOOKUP(INDIRECT("Sheet4!"&amp;"L"&amp;MATCH($C$2,Sheet4!$A:$A,0)+1),$C$7:$H$17,5,FALSE),
VLOOKUP(INDIRECT("Sheet4!"&amp;"L"&amp;MATCH($C$2,Sheet4!$A:$A,0)+1),$I$7:$N$17,1,FALSE)&amp;CHAR(10)&amp;VLOOKUP(INDIRECT("Sheet4!"&amp;"L"&amp;MATCH($C$2,Sheet4!$A:$A,0)+1),$I$7:$N$17,5,FALSE)),"-"))))</f>
        <v>-</v>
      </c>
      <c r="G21" s="8" t="str" cm="1">
        <f t="array" aca="1" ref="G21" ca="1">IF(ISNUMBER(FIND("ctrl",INDIRECT("Sheet4!"&amp;"D"&amp;MATCH($C$2,Sheet4!$A:$A,0)+1))),
INDIRECT("Sheet4!"&amp;"D"&amp;MATCH($C$2,Sheet4!$A:$A,0)+1),IF(INDIRECT("Sheet4!"&amp;"D"&amp;MATCH($C$2,Sheet4!$A:$A,0)+1)="Água","Água",
IF(INDIRECT("Sheet4!"&amp;"D"&amp;MATCH($C$2,Sheet4!$A:$A,0)+1)="-","-",
IF(_xlfn.NUMBERVALUE(MID(INDIRECT("Sheet4!"&amp;"D"&amp;MATCH($C$2,Sheet4!$A:$A,0)+1),9,2))&lt;=$C$4,
_xlfn.IFNA(VLOOKUP(INDIRECT("Sheet4!"&amp;"D"&amp;MATCH($C$2,Sheet4!$A:$A,0)+1),$C$7:$H$17,1,FALSE)&amp;CHAR(10)&amp;VLOOKUP(INDIRECT("Sheet4!"&amp;"D"&amp;MATCH($C$2,Sheet4!$A:$A,0)+1),$C$7:$H$17,5,FALSE),
VLOOKUP(INDIRECT("Sheet4!"&amp;"D"&amp;MATCH($C$2,Sheet4!$A:$A,0)+1),$I$7:$N$17,1,FALSE)&amp;CHAR(10)&amp;VLOOKUP(INDIRECT("Sheet4!"&amp;"D"&amp;MATCH($C$2,Sheet4!$A:$A,0)+1),$I$7:$N$17,5,FALSE)),"-"))))</f>
        <v>Amostra 1
108 E.N.</v>
      </c>
      <c r="H21" s="8" t="str" cm="1">
        <f t="array" aca="1" ref="H21" ca="1">IF(ISNUMBER(FIND("ctrl",INDIRECT("Sheet4!"&amp;"E"&amp;MATCH($C$2,Sheet4!$A:$A,0)+1))),
INDIRECT("Sheet4!"&amp;"E"&amp;MATCH($C$2,Sheet4!$A:$A,0)+1),IF(INDIRECT("Sheet4!"&amp;"E"&amp;MATCH($C$2,Sheet4!$A:$A,0)+1)="Água","Água",
IF(INDIRECT("Sheet4!"&amp;"E"&amp;MATCH($C$2,Sheet4!$A:$A,0)+1)="-","-",
IF(_xlfn.NUMBERVALUE(MID(INDIRECT("Sheet4!"&amp;"E"&amp;MATCH($C$2,Sheet4!$A:$A,0)+1),9,2))&lt;=$C$4,
_xlfn.IFNA(VLOOKUP(INDIRECT("Sheet4!"&amp;"E"&amp;MATCH($C$2,Sheet4!$A:$A,0)+1),$C$7:$H$17,1,FALSE)&amp;CHAR(10)&amp;VLOOKUP(INDIRECT("Sheet4!"&amp;"E"&amp;MATCH($C$2,Sheet4!$A:$A,0)+1),$C$7:$H$17,5,FALSE),
VLOOKUP(INDIRECT("Sheet4!"&amp;"E"&amp;MATCH($C$2,Sheet4!$A:$A,0)+1),$I$7:$N$17,1,FALSE)&amp;CHAR(10)&amp;VLOOKUP(INDIRECT("Sheet4!"&amp;"E"&amp;MATCH($C$2,Sheet4!$A:$A,0)+1),$I$7:$N$17,5,FALSE)),"-"))))</f>
        <v>Amostra 2
109 A.G.</v>
      </c>
      <c r="I21" s="8" t="str" cm="1">
        <f t="array" aca="1" ref="I21" ca="1">IF(ISNUMBER(FIND("ctrl",INDIRECT("Sheet4!"&amp;"F"&amp;MATCH($C$2,Sheet4!$A:$A,0)+1))),
INDIRECT("Sheet4!"&amp;"F"&amp;MATCH($C$2,Sheet4!$A:$A,0)+1),IF(INDIRECT("Sheet4!"&amp;"F"&amp;MATCH($C$2,Sheet4!$A:$A,0)+1)="Água","Água",
IF(INDIRECT("Sheet4!"&amp;"F"&amp;MATCH($C$2,Sheet4!$A:$A,0)+1)="-","-",
IF(_xlfn.NUMBERVALUE(MID(INDIRECT("Sheet4!"&amp;"F"&amp;MATCH($C$2,Sheet4!$A:$A,0)+1),9,2))&lt;=$C$4,
_xlfn.IFNA(VLOOKUP(INDIRECT("Sheet4!"&amp;"F"&amp;MATCH($C$2,Sheet4!$A:$A,0)+1),$C$7:$H$17,1,FALSE)&amp;CHAR(10)&amp;VLOOKUP(INDIRECT("Sheet4!"&amp;"F"&amp;MATCH($C$2,Sheet4!$A:$A,0)+1),$C$7:$H$17,5,FALSE),
VLOOKUP(INDIRECT("Sheet4!"&amp;"F"&amp;MATCH($C$2,Sheet4!$A:$A,0)+1),$I$7:$N$17,1,FALSE)&amp;CHAR(10)&amp;VLOOKUP(INDIRECT("Sheet4!"&amp;"F"&amp;MATCH($C$2,Sheet4!$A:$A,0)+1),$I$7:$N$17,5,FALSE)),"-"))))</f>
        <v>Amostra 3
110 G.B.</v>
      </c>
      <c r="J21" s="8" t="str" cm="1">
        <f t="array" aca="1" ref="J21" ca="1">IF(ISNUMBER(FIND("ctrl",INDIRECT("Sheet4!"&amp;"G"&amp;MATCH($C$2,Sheet4!$A:$A,0)+1))),
INDIRECT("Sheet4!"&amp;"G"&amp;MATCH($C$2,Sheet4!$A:$A,0)+1),IF(INDIRECT("Sheet4!"&amp;"G"&amp;MATCH($C$2,Sheet4!$A:$A,0)+1)="Água","Água",
IF(INDIRECT("Sheet4!"&amp;"G"&amp;MATCH($C$2,Sheet4!$A:$A,0)+1)="-","-",
IF(_xlfn.NUMBERVALUE(MID(INDIRECT("Sheet4!"&amp;"G"&amp;MATCH($C$2,Sheet4!$A:$A,0)+1),9,2))&lt;=$C$4,
_xlfn.IFNA(VLOOKUP(INDIRECT("Sheet4!"&amp;"G"&amp;MATCH($C$2,Sheet4!$A:$A,0)+1),$C$7:$H$17,1,FALSE)&amp;CHAR(10)&amp;VLOOKUP(INDIRECT("Sheet4!"&amp;"G"&amp;MATCH($C$2,Sheet4!$A:$A,0)+1),$C$7:$H$17,5,FALSE),
VLOOKUP(INDIRECT("Sheet4!"&amp;"G"&amp;MATCH($C$2,Sheet4!$A:$A,0)+1),$I$7:$N$17,1,FALSE)&amp;CHAR(10)&amp;VLOOKUP(INDIRECT("Sheet4!"&amp;"G"&amp;MATCH($C$2,Sheet4!$A:$A,0)+1),$I$7:$N$17,5,FALSE)),"-"))))</f>
        <v>Amostra 4
37S R.G.S.V</v>
      </c>
      <c r="K21" s="8" t="str" cm="1">
        <f t="array" aca="1" ref="K21" ca="1">IF(ISNUMBER(FIND("ctrl",INDIRECT("Sheet4!"&amp;"L"&amp;MATCH($C$2,Sheet4!$A:$A,0)+1))),
INDIRECT("Sheet4!"&amp;"L"&amp;MATCH($C$2,Sheet4!$A:$A,0)+1),IF(INDIRECT("Sheet4!"&amp;"L"&amp;MATCH($C$2,Sheet4!$A:$A,0)+1)="Água","Água",
IF(INDIRECT("Sheet4!"&amp;"L"&amp;MATCH($C$2,Sheet4!$A:$A,0)+1)="-","-",
IF(_xlfn.NUMBERVALUE(MID(INDIRECT("Sheet4!"&amp;"L"&amp;MATCH($C$2,Sheet4!$A:$A,0)+1),9,2))&lt;=$C$4,
_xlfn.IFNA(VLOOKUP(INDIRECT("Sheet4!"&amp;"L"&amp;MATCH($C$2,Sheet4!$A:$A,0)+1),$C$7:$H$17,1,FALSE)&amp;CHAR(10)&amp;VLOOKUP(INDIRECT("Sheet4!"&amp;"L"&amp;MATCH($C$2,Sheet4!$A:$A,0)+1),$C$7:$H$17,5,FALSE),
VLOOKUP(INDIRECT("Sheet4!"&amp;"L"&amp;MATCH($C$2,Sheet4!$A:$A,0)+1),$I$7:$N$17,1,FALSE)&amp;CHAR(10)&amp;VLOOKUP(INDIRECT("Sheet4!"&amp;"L"&amp;MATCH($C$2,Sheet4!$A:$A,0)+1),$I$7:$N$17,5,FALSE)),"-"))))</f>
        <v>-</v>
      </c>
      <c r="L21" s="8" t="str" cm="1">
        <f t="array" aca="1" ref="L21" ca="1">IF(ISNUMBER(FIND("ctrl",INDIRECT("Sheet4!"&amp;"M"&amp;MATCH($C$2,Sheet4!$A:$A,0)+1))),
INDIRECT("Sheet4!"&amp;"M"&amp;MATCH($C$2,Sheet4!$A:$A,0)+1),IF(INDIRECT("Sheet4!"&amp;"M"&amp;MATCH($C$2,Sheet4!$A:$A,0)+1)="Água","Água",
IF(INDIRECT("Sheet4!"&amp;"M"&amp;MATCH($C$2,Sheet4!$A:$A,0)+1)="-","-",
IF(_xlfn.NUMBERVALUE(MID(INDIRECT("Sheet4!"&amp;"M"&amp;MATCH($C$2,Sheet4!$A:$A,0)+1),9,2))&lt;=$C$4,
_xlfn.IFNA(VLOOKUP(INDIRECT("Sheet4!"&amp;"M"&amp;MATCH($C$2,Sheet4!$A:$A,0)+1),$C$7:$H$17,1,FALSE)&amp;CHAR(10)&amp;VLOOKUP(INDIRECT("Sheet4!"&amp;"M"&amp;MATCH($C$2,Sheet4!$A:$A,0)+1),$C$7:$H$17,5,FALSE),
VLOOKUP(INDIRECT("Sheet4!"&amp;"M"&amp;MATCH($C$2,Sheet4!$A:$A,0)+1),$I$7:$N$17,1,FALSE)&amp;CHAR(10)&amp;VLOOKUP(INDIRECT("Sheet4!"&amp;"M"&amp;MATCH($C$2,Sheet4!$A:$A,0)+1),$I$7:$N$17,5,FALSE)),"-"))))</f>
        <v>-</v>
      </c>
      <c r="M21" s="8" t="str" cm="1">
        <f t="array" aca="1" ref="M21" ca="1">IF(ISNUMBER(FIND("ctrl",INDIRECT("Sheet4!"&amp;"M"&amp;MATCH($C$2,Sheet4!$A:$A,0)+1))),
INDIRECT("Sheet4!"&amp;"M"&amp;MATCH($C$2,Sheet4!$A:$A,0)+1),IF(INDIRECT("Sheet4!"&amp;"M"&amp;MATCH($C$2,Sheet4!$A:$A,0)+1)="Água","Água",
IF(INDIRECT("Sheet4!"&amp;"M"&amp;MATCH($C$2,Sheet4!$A:$A,0)+1)="-","-",
IF(_xlfn.NUMBERVALUE(MID(INDIRECT("Sheet4!"&amp;"M"&amp;MATCH($C$2,Sheet4!$A:$A,0)+1),9,2))&lt;=$C$4,
_xlfn.IFNA(VLOOKUP(INDIRECT("Sheet4!"&amp;"M"&amp;MATCH($C$2,Sheet4!$A:$A,0)+1),$C$7:$H$17,1,FALSE)&amp;CHAR(10)&amp;VLOOKUP(INDIRECT("Sheet4!"&amp;"M"&amp;MATCH($C$2,Sheet4!$A:$A,0)+1),$C$7:$H$17,5,FALSE),
VLOOKUP(INDIRECT("Sheet4!"&amp;"M"&amp;MATCH($C$2,Sheet4!$A:$A,0)+1),$I$7:$N$17,1,FALSE)&amp;CHAR(10)&amp;VLOOKUP(INDIRECT("Sheet4!"&amp;"M"&amp;MATCH($C$2,Sheet4!$A:$A,0)+1),$I$7:$N$17,5,FALSE)),"-"))))</f>
        <v>-</v>
      </c>
      <c r="N21" s="8" t="str" cm="1">
        <f t="array" aca="1" ref="N21" ca="1">IF(ISNUMBER(FIND("ctrl",INDIRECT("Sheet4!"&amp;"O"&amp;MATCH($C$2,Sheet4!$A:$A,0)+1))),
INDIRECT("Sheet4!"&amp;"O"&amp;MATCH($C$2,Sheet4!$A:$A,0)+1),IF(INDIRECT("Sheet4!"&amp;"O"&amp;MATCH($C$2,Sheet4!$A:$A,0)+1)="Água","Água",
IF(INDIRECT("Sheet4!"&amp;"O"&amp;MATCH($C$2,Sheet4!$A:$A,0)+1)="-","-",
IF(_xlfn.NUMBERVALUE(MID(INDIRECT("Sheet4!"&amp;"O"&amp;MATCH($C$2,Sheet4!$A:$A,0)+1),9,2))&lt;=$C$4,
_xlfn.IFNA(VLOOKUP(INDIRECT("Sheet4!"&amp;"O"&amp;MATCH($C$2,Sheet4!$A:$A,0)+1),$C$7:$H$17,1,FALSE)&amp;CHAR(10)&amp;VLOOKUP(INDIRECT("Sheet4!"&amp;"O"&amp;MATCH($C$2,Sheet4!$A:$A,0)+1),$C$7:$H$17,5,FALSE),
VLOOKUP(INDIRECT("Sheet4!"&amp;"O"&amp;MATCH($C$2,Sheet4!$A:$A,0)+1),$I$7:$N$17,1,FALSE)&amp;CHAR(10)&amp;VLOOKUP(INDIRECT("Sheet4!"&amp;"O"&amp;MATCH($C$2,Sheet4!$A:$A,0)+1),$I$7:$N$17,5,FALSE)),"-"))))</f>
        <v>Água</v>
      </c>
    </row>
    <row r="22" spans="2:14" ht="15" customHeight="1" x14ac:dyDescent="0.25">
      <c r="B22" s="12" t="s">
        <v>28</v>
      </c>
      <c r="C22" s="8" t="str" cm="1">
        <f t="array" aca="1" ref="C22" ca="1">IF(ISNUMBER(FIND("ctrl",INDIRECT("Sheet4!"&amp;"L"&amp;MATCH($C$2,Sheet4!$A:$A,0)+2))),
INDIRECT("Sheet4!"&amp;"L"&amp;MATCH($C$2,Sheet4!$A:$A,0)+2),IF(INDIRECT("Sheet4!"&amp;"L"&amp;MATCH($C$2,Sheet4!$A:$A,0)+2)="Água","Água",
IF(INDIRECT("Sheet4!"&amp;"L"&amp;MATCH($C$2,Sheet4!$A:$A,0)+2)="-","-",
IF(_xlfn.NUMBERVALUE(MID(INDIRECT("Sheet4!"&amp;"L"&amp;MATCH($C$2,Sheet4!$A:$A,0)+2),9,2))&lt;=$C$4,
_xlfn.IFNA(VLOOKUP(INDIRECT("Sheet4!"&amp;"L"&amp;MATCH($C$2,Sheet4!$A:$A,0)+2),$C$7:$H$17,1,FALSE)&amp;CHAR(10)&amp;VLOOKUP(INDIRECT("Sheet4!"&amp;"L"&amp;MATCH($C$2,Sheet4!$A:$A,0)+2),$C$7:$H$17,5,FALSE),
VLOOKUP(INDIRECT("Sheet4!"&amp;"L"&amp;MATCH($C$2,Sheet4!$A:$A,0)+2),$I$7:$N$17,1,FALSE)&amp;CHAR(10)&amp;VLOOKUP(INDIRECT("Sheet4!"&amp;"L"&amp;MATCH($C$2,Sheet4!$A:$A,0)+2),$I$7:$N$17,5,FALSE)),"-"))))</f>
        <v>-</v>
      </c>
      <c r="D22" s="8" t="str" cm="1">
        <f t="array" aca="1" ref="D22" ca="1">IF(ISNUMBER(FIND("ctrl",INDIRECT("Sheet4!"&amp;"L"&amp;MATCH($C$2,Sheet4!$A:$A,0)+2))),
INDIRECT("Sheet4!"&amp;"L"&amp;MATCH($C$2,Sheet4!$A:$A,0)+2),IF(INDIRECT("Sheet4!"&amp;"L"&amp;MATCH($C$2,Sheet4!$A:$A,0)+2)="Água","Água",
IF(INDIRECT("Sheet4!"&amp;"L"&amp;MATCH($C$2,Sheet4!$A:$A,0)+2)="-","-",
IF(_xlfn.NUMBERVALUE(MID(INDIRECT("Sheet4!"&amp;"L"&amp;MATCH($C$2,Sheet4!$A:$A,0)+2),9,2))&lt;=$C$4,
_xlfn.IFNA(VLOOKUP(INDIRECT("Sheet4!"&amp;"L"&amp;MATCH($C$2,Sheet4!$A:$A,0)+2),$C$7:$H$17,1,FALSE)&amp;CHAR(10)&amp;VLOOKUP(INDIRECT("Sheet4!"&amp;"L"&amp;MATCH($C$2,Sheet4!$A:$A,0)+2),$C$7:$H$17,5,FALSE),
VLOOKUP(INDIRECT("Sheet4!"&amp;"L"&amp;MATCH($C$2,Sheet4!$A:$A,0)+2),$I$7:$N$17,1,FALSE)&amp;CHAR(10)&amp;VLOOKUP(INDIRECT("Sheet4!"&amp;"L"&amp;MATCH($C$2,Sheet4!$A:$A,0)+2),$I$7:$N$17,5,FALSE)),"-"))))</f>
        <v>-</v>
      </c>
      <c r="E22" s="8" t="str" cm="1">
        <f t="array" aca="1" ref="E22" ca="1">IF(ISNUMBER(FIND("ctrl",INDIRECT("Sheet4!"&amp;"L"&amp;MATCH($C$2,Sheet4!$A:$A,0)+2))),
INDIRECT("Sheet4!"&amp;"L"&amp;MATCH($C$2,Sheet4!$A:$A,0)+2),IF(INDIRECT("Sheet4!"&amp;"L"&amp;MATCH($C$2,Sheet4!$A:$A,0)+2)="Água","Água",
IF(INDIRECT("Sheet4!"&amp;"L"&amp;MATCH($C$2,Sheet4!$A:$A,0)+2)="-","-",
IF(_xlfn.NUMBERVALUE(MID(INDIRECT("Sheet4!"&amp;"L"&amp;MATCH($C$2,Sheet4!$A:$A,0)+2),9,2))&lt;=$C$4,
_xlfn.IFNA(VLOOKUP(INDIRECT("Sheet4!"&amp;"L"&amp;MATCH($C$2,Sheet4!$A:$A,0)+2),$C$7:$H$17,1,FALSE)&amp;CHAR(10)&amp;VLOOKUP(INDIRECT("Sheet4!"&amp;"L"&amp;MATCH($C$2,Sheet4!$A:$A,0)+2),$C$7:$H$17,5,FALSE),
VLOOKUP(INDIRECT("Sheet4!"&amp;"L"&amp;MATCH($C$2,Sheet4!$A:$A,0)+2),$I$7:$N$17,1,FALSE)&amp;CHAR(10)&amp;VLOOKUP(INDIRECT("Sheet4!"&amp;"L"&amp;MATCH($C$2,Sheet4!$A:$A,0)+2),$I$7:$N$17,5,FALSE)),"-"))))</f>
        <v>-</v>
      </c>
      <c r="F22" s="8" t="str" cm="1">
        <f t="array" aca="1" ref="F22" ca="1">IF(ISNUMBER(FIND("ctrl",INDIRECT("Sheet4!"&amp;"L"&amp;MATCH($C$2,Sheet4!$A:$A,0)+2))),
INDIRECT("Sheet4!"&amp;"L"&amp;MATCH($C$2,Sheet4!$A:$A,0)+2),IF(INDIRECT("Sheet4!"&amp;"L"&amp;MATCH($C$2,Sheet4!$A:$A,0)+2)="Água","Água",
IF(INDIRECT("Sheet4!"&amp;"L"&amp;MATCH($C$2,Sheet4!$A:$A,0)+2)="-","-",
IF(_xlfn.NUMBERVALUE(MID(INDIRECT("Sheet4!"&amp;"L"&amp;MATCH($C$2,Sheet4!$A:$A,0)+2),9,2))&lt;=$C$4,
_xlfn.IFNA(VLOOKUP(INDIRECT("Sheet4!"&amp;"L"&amp;MATCH($C$2,Sheet4!$A:$A,0)+2),$C$7:$H$17,1,FALSE)&amp;CHAR(10)&amp;VLOOKUP(INDIRECT("Sheet4!"&amp;"L"&amp;MATCH($C$2,Sheet4!$A:$A,0)+2),$C$7:$H$17,5,FALSE),
VLOOKUP(INDIRECT("Sheet4!"&amp;"L"&amp;MATCH($C$2,Sheet4!$A:$A,0)+2),$I$7:$N$17,1,FALSE)&amp;CHAR(10)&amp;VLOOKUP(INDIRECT("Sheet4!"&amp;"L"&amp;MATCH($C$2,Sheet4!$A:$A,0)+2),$I$7:$N$17,5,FALSE)),"-"))))</f>
        <v>-</v>
      </c>
      <c r="G22" s="8" t="str" cm="1">
        <f t="array" aca="1" ref="G22" ca="1">IF(ISNUMBER(FIND("ctrl",INDIRECT("Sheet4!"&amp;"D"&amp;MATCH($C$2,Sheet4!$A:$A,0)+2))),
INDIRECT("Sheet4!"&amp;"D"&amp;MATCH($C$2,Sheet4!$A:$A,0)+2),IF(INDIRECT("Sheet4!"&amp;"D"&amp;MATCH($C$2,Sheet4!$A:$A,0)+2)="Água","Água",
IF(INDIRECT("Sheet4!"&amp;"D"&amp;MATCH($C$2,Sheet4!$A:$A,0)+2)="-","-",
IF(_xlfn.NUMBERVALUE(MID(INDIRECT("Sheet4!"&amp;"D"&amp;MATCH($C$2,Sheet4!$A:$A,0)+2),9,2))&lt;=$C$4,
_xlfn.IFNA(VLOOKUP(INDIRECT("Sheet4!"&amp;"D"&amp;MATCH($C$2,Sheet4!$A:$A,0)+2),$C$7:$H$17,1,FALSE)&amp;CHAR(10)&amp;VLOOKUP(INDIRECT("Sheet4!"&amp;"D"&amp;MATCH($C$2,Sheet4!$A:$A,0)+2),$C$7:$H$17,5,FALSE),
VLOOKUP(INDIRECT("Sheet4!"&amp;"D"&amp;MATCH($C$2,Sheet4!$A:$A,0)+2),$I$7:$N$17,1,FALSE)&amp;CHAR(10)&amp;VLOOKUP(INDIRECT("Sheet4!"&amp;"D"&amp;MATCH($C$2,Sheet4!$A:$A,0)+2),$I$7:$N$17,5,FALSE)),"-"))))</f>
        <v>Amostra 1
108 E.N.</v>
      </c>
      <c r="H22" s="8" t="str" cm="1">
        <f t="array" aca="1" ref="H22" ca="1">IF(ISNUMBER(FIND("ctrl",INDIRECT("Sheet4!"&amp;"E"&amp;MATCH($C$2,Sheet4!$A:$A,0)+2))),
INDIRECT("Sheet4!"&amp;"E"&amp;MATCH($C$2,Sheet4!$A:$A,0)+2),IF(INDIRECT("Sheet4!"&amp;"E"&amp;MATCH($C$2,Sheet4!$A:$A,0)+2)="Água","Água",
IF(INDIRECT("Sheet4!"&amp;"E"&amp;MATCH($C$2,Sheet4!$A:$A,0)+2)="-","-",
IF(_xlfn.NUMBERVALUE(MID(INDIRECT("Sheet4!"&amp;"E"&amp;MATCH($C$2,Sheet4!$A:$A,0)+2),9,2))&lt;=$C$4,
_xlfn.IFNA(VLOOKUP(INDIRECT("Sheet4!"&amp;"E"&amp;MATCH($C$2,Sheet4!$A:$A,0)+2),$C$7:$H$17,1,FALSE)&amp;CHAR(10)&amp;VLOOKUP(INDIRECT("Sheet4!"&amp;"E"&amp;MATCH($C$2,Sheet4!$A:$A,0)+2),$C$7:$H$17,5,FALSE),
VLOOKUP(INDIRECT("Sheet4!"&amp;"E"&amp;MATCH($C$2,Sheet4!$A:$A,0)+2),$I$7:$N$17,1,FALSE)&amp;CHAR(10)&amp;VLOOKUP(INDIRECT("Sheet4!"&amp;"E"&amp;MATCH($C$2,Sheet4!$A:$A,0)+2),$I$7:$N$17,5,FALSE)),"-"))))</f>
        <v>Amostra 2
109 A.G.</v>
      </c>
      <c r="I22" s="8" t="str" cm="1">
        <f t="array" aca="1" ref="I22" ca="1">IF(ISNUMBER(FIND("ctrl",INDIRECT("Sheet4!"&amp;"F"&amp;MATCH($C$2,Sheet4!$A:$A,0)+2))),
INDIRECT("Sheet4!"&amp;"F"&amp;MATCH($C$2,Sheet4!$A:$A,0)+2),IF(INDIRECT("Sheet4!"&amp;"F"&amp;MATCH($C$2,Sheet4!$A:$A,0)+2)="Água","Água",
IF(INDIRECT("Sheet4!"&amp;"F"&amp;MATCH($C$2,Sheet4!$A:$A,0)+2)="-","-",
IF(_xlfn.NUMBERVALUE(MID(INDIRECT("Sheet4!"&amp;"F"&amp;MATCH($C$2,Sheet4!$A:$A,0)+2),9,2))&lt;=$C$4,
_xlfn.IFNA(VLOOKUP(INDIRECT("Sheet4!"&amp;"F"&amp;MATCH($C$2,Sheet4!$A:$A,0)+2),$C$7:$H$17,1,FALSE)&amp;CHAR(10)&amp;VLOOKUP(INDIRECT("Sheet4!"&amp;"F"&amp;MATCH($C$2,Sheet4!$A:$A,0)+2),$C$7:$H$17,5,FALSE),
VLOOKUP(INDIRECT("Sheet4!"&amp;"F"&amp;MATCH($C$2,Sheet4!$A:$A,0)+2),$I$7:$N$17,1,FALSE)&amp;CHAR(10)&amp;VLOOKUP(INDIRECT("Sheet4!"&amp;"F"&amp;MATCH($C$2,Sheet4!$A:$A,0)+2),$I$7:$N$17,5,FALSE)),"-"))))</f>
        <v>Amostra 3
110 G.B.</v>
      </c>
      <c r="J22" s="8" t="str" cm="1">
        <f t="array" aca="1" ref="J22" ca="1">IF(ISNUMBER(FIND("ctrl",INDIRECT("Sheet4!"&amp;"G"&amp;MATCH($C$2,Sheet4!$A:$A,0)+2))),
INDIRECT("Sheet4!"&amp;"G"&amp;MATCH($C$2,Sheet4!$A:$A,0)+2),IF(INDIRECT("Sheet4!"&amp;"G"&amp;MATCH($C$2,Sheet4!$A:$A,0)+2)="Água","Água",
IF(INDIRECT("Sheet4!"&amp;"G"&amp;MATCH($C$2,Sheet4!$A:$A,0)+2)="-","-",
IF(_xlfn.NUMBERVALUE(MID(INDIRECT("Sheet4!"&amp;"G"&amp;MATCH($C$2,Sheet4!$A:$A,0)+2),9,2))&lt;=$C$4,
_xlfn.IFNA(VLOOKUP(INDIRECT("Sheet4!"&amp;"G"&amp;MATCH($C$2,Sheet4!$A:$A,0)+2),$C$7:$H$17,1,FALSE)&amp;CHAR(10)&amp;VLOOKUP(INDIRECT("Sheet4!"&amp;"G"&amp;MATCH($C$2,Sheet4!$A:$A,0)+2),$C$7:$H$17,5,FALSE),
VLOOKUP(INDIRECT("Sheet4!"&amp;"G"&amp;MATCH($C$2,Sheet4!$A:$A,0)+2),$I$7:$N$17,1,FALSE)&amp;CHAR(10)&amp;VLOOKUP(INDIRECT("Sheet4!"&amp;"G"&amp;MATCH($C$2,Sheet4!$A:$A,0)+2),$I$7:$N$17,5,FALSE)),"-"))))</f>
        <v>Amostra 4
37S R.G.S.V</v>
      </c>
      <c r="K22" s="8" t="str" cm="1">
        <f t="array" aca="1" ref="K22" ca="1">IF(ISNUMBER(FIND("ctrl",INDIRECT("Sheet4!"&amp;"L"&amp;MATCH($C$2,Sheet4!$A:$A,0)+2))),
INDIRECT("Sheet4!"&amp;"L"&amp;MATCH($C$2,Sheet4!$A:$A,0)+2),IF(INDIRECT("Sheet4!"&amp;"L"&amp;MATCH($C$2,Sheet4!$A:$A,0)+2)="Água","Água",
IF(INDIRECT("Sheet4!"&amp;"L"&amp;MATCH($C$2,Sheet4!$A:$A,0)+2)="-","-",
IF(_xlfn.NUMBERVALUE(MID(INDIRECT("Sheet4!"&amp;"L"&amp;MATCH($C$2,Sheet4!$A:$A,0)+2),9,2))&lt;=$C$4,
_xlfn.IFNA(VLOOKUP(INDIRECT("Sheet4!"&amp;"L"&amp;MATCH($C$2,Sheet4!$A:$A,0)+2),$C$7:$H$17,1,FALSE)&amp;CHAR(10)&amp;VLOOKUP(INDIRECT("Sheet4!"&amp;"L"&amp;MATCH($C$2,Sheet4!$A:$A,0)+2),$C$7:$H$17,5,FALSE),
VLOOKUP(INDIRECT("Sheet4!"&amp;"L"&amp;MATCH($C$2,Sheet4!$A:$A,0)+2),$I$7:$N$17,1,FALSE)&amp;CHAR(10)&amp;VLOOKUP(INDIRECT("Sheet4!"&amp;"L"&amp;MATCH($C$2,Sheet4!$A:$A,0)+2),$I$7:$N$17,5,FALSE)),"-"))))</f>
        <v>-</v>
      </c>
      <c r="L22" s="8" t="str" cm="1">
        <f t="array" aca="1" ref="L22" ca="1">IF(ISNUMBER(FIND("ctrl",INDIRECT("Sheet4!"&amp;"M"&amp;MATCH($C$2,Sheet4!$A:$A,0)+2))),
INDIRECT("Sheet4!"&amp;"M"&amp;MATCH($C$2,Sheet4!$A:$A,0)+2),IF(INDIRECT("Sheet4!"&amp;"M"&amp;MATCH($C$2,Sheet4!$A:$A,0)+2)="Água","Água",
IF(INDIRECT("Sheet4!"&amp;"M"&amp;MATCH($C$2,Sheet4!$A:$A,0)+2)="-","-",
IF(_xlfn.NUMBERVALUE(MID(INDIRECT("Sheet4!"&amp;"M"&amp;MATCH($C$2,Sheet4!$A:$A,0)+2),9,2))&lt;=$C$4,
_xlfn.IFNA(VLOOKUP(INDIRECT("Sheet4!"&amp;"M"&amp;MATCH($C$2,Sheet4!$A:$A,0)+2),$C$7:$H$17,1,FALSE)&amp;CHAR(10)&amp;VLOOKUP(INDIRECT("Sheet4!"&amp;"M"&amp;MATCH($C$2,Sheet4!$A:$A,0)+2),$C$7:$H$17,5,FALSE),
VLOOKUP(INDIRECT("Sheet4!"&amp;"M"&amp;MATCH($C$2,Sheet4!$A:$A,0)+2),$I$7:$N$17,1,FALSE)&amp;CHAR(10)&amp;VLOOKUP(INDIRECT("Sheet4!"&amp;"M"&amp;MATCH($C$2,Sheet4!$A:$A,0)+2),$I$7:$N$17,5,FALSE)),"-"))))</f>
        <v>-</v>
      </c>
      <c r="M22" s="8" t="str" cm="1">
        <f t="array" aca="1" ref="M22" ca="1">IF(ISNUMBER(FIND("ctrl",INDIRECT("Sheet4!"&amp;"M"&amp;MATCH($C$2,Sheet4!$A:$A,0)+2))),
INDIRECT("Sheet4!"&amp;"M"&amp;MATCH($C$2,Sheet4!$A:$A,0)+2),IF(INDIRECT("Sheet4!"&amp;"M"&amp;MATCH($C$2,Sheet4!$A:$A,0)+2)="Água","Água",
IF(INDIRECT("Sheet4!"&amp;"M"&amp;MATCH($C$2,Sheet4!$A:$A,0)+2)="-","-",
IF(_xlfn.NUMBERVALUE(MID(INDIRECT("Sheet4!"&amp;"M"&amp;MATCH($C$2,Sheet4!$A:$A,0)+2),9,2))&lt;=$C$4,
_xlfn.IFNA(VLOOKUP(INDIRECT("Sheet4!"&amp;"M"&amp;MATCH($C$2,Sheet4!$A:$A,0)+2),$C$7:$H$17,1,FALSE)&amp;CHAR(10)&amp;VLOOKUP(INDIRECT("Sheet4!"&amp;"M"&amp;MATCH($C$2,Sheet4!$A:$A,0)+2),$C$7:$H$17,5,FALSE),
VLOOKUP(INDIRECT("Sheet4!"&amp;"M"&amp;MATCH($C$2,Sheet4!$A:$A,0)+2),$I$7:$N$17,1,FALSE)&amp;CHAR(10)&amp;VLOOKUP(INDIRECT("Sheet4!"&amp;"M"&amp;MATCH($C$2,Sheet4!$A:$A,0)+2),$I$7:$N$17,5,FALSE)),"-"))))</f>
        <v>-</v>
      </c>
      <c r="N22" s="8" t="str" cm="1">
        <f t="array" aca="1" ref="N22" ca="1">IF(ISNUMBER(FIND("ctrl",INDIRECT("Sheet4!"&amp;"O"&amp;MATCH($C$2,Sheet4!$A:$A,0)+2))),
INDIRECT("Sheet4!"&amp;"O"&amp;MATCH($C$2,Sheet4!$A:$A,0)+2),IF(INDIRECT("Sheet4!"&amp;"O"&amp;MATCH($C$2,Sheet4!$A:$A,0)+2)="Água","Água",
IF(INDIRECT("Sheet4!"&amp;"O"&amp;MATCH($C$2,Sheet4!$A:$A,0)+2)="-","-",
IF(_xlfn.NUMBERVALUE(MID(INDIRECT("Sheet4!"&amp;"O"&amp;MATCH($C$2,Sheet4!$A:$A,0)+2),9,2))&lt;=$C$4,
_xlfn.IFNA(VLOOKUP(INDIRECT("Sheet4!"&amp;"O"&amp;MATCH($C$2,Sheet4!$A:$A,0)+2),$C$7:$H$17,1,FALSE)&amp;CHAR(10)&amp;VLOOKUP(INDIRECT("Sheet4!"&amp;"O"&amp;MATCH($C$2,Sheet4!$A:$A,0)+2),$C$7:$H$17,5,FALSE),
VLOOKUP(INDIRECT("Sheet4!"&amp;"O"&amp;MATCH($C$2,Sheet4!$A:$A,0)+2),$I$7:$N$17,1,FALSE)&amp;CHAR(10)&amp;VLOOKUP(INDIRECT("Sheet4!"&amp;"O"&amp;MATCH($C$2,Sheet4!$A:$A,0)+2),$I$7:$N$17,5,FALSE)),"-"))))</f>
        <v>Água</v>
      </c>
    </row>
    <row r="23" spans="2:14" ht="15" customHeight="1" x14ac:dyDescent="0.25">
      <c r="B23" s="12" t="s">
        <v>29</v>
      </c>
      <c r="C23" s="8" t="str" cm="1">
        <f t="array" aca="1" ref="C23" ca="1">IF(ISNUMBER(FIND("ctrl",INDIRECT("Sheet4!"&amp;"L"&amp;MATCH($C$2,Sheet4!$A:$A,0)+3))),
INDIRECT("Sheet4!"&amp;"L"&amp;MATCH($C$2,Sheet4!$A:$A,0)+3),IF(INDIRECT("Sheet4!"&amp;"L"&amp;MATCH($C$2,Sheet4!$A:$A,0)+3)="Água","Água",
IF(INDIRECT("Sheet4!"&amp;"L"&amp;MATCH($C$2,Sheet4!$A:$A,0)+3)="-","-",
IF(_xlfn.NUMBERVALUE(MID(INDIRECT("Sheet4!"&amp;"L"&amp;MATCH($C$2,Sheet4!$A:$A,0)+3),9,2))&lt;=$C$4,
_xlfn.IFNA(VLOOKUP(INDIRECT("Sheet4!"&amp;"L"&amp;MATCH($C$2,Sheet4!$A:$A,0)+3),$C$7:$H$17,1,FALSE)&amp;CHAR(10)&amp;VLOOKUP(INDIRECT("Sheet4!"&amp;"L"&amp;MATCH($C$2,Sheet4!$A:$A,0)+3),$C$7:$H$17,5,FALSE),
VLOOKUP(INDIRECT("Sheet4!"&amp;"L"&amp;MATCH($C$2,Sheet4!$A:$A,0)+3),$I$7:$N$17,1,FALSE)&amp;CHAR(10)&amp;VLOOKUP(INDIRECT("Sheet4!"&amp;"L"&amp;MATCH($C$2,Sheet4!$A:$A,0)+3),$I$7:$N$17,5,FALSE)),"-"))))</f>
        <v>-</v>
      </c>
      <c r="D23" s="8" t="str" cm="1">
        <f t="array" aca="1" ref="D23" ca="1">IF(ISNUMBER(FIND("ctrl",INDIRECT("Sheet4!"&amp;"L"&amp;MATCH($C$2,Sheet4!$A:$A,0)+3))),
INDIRECT("Sheet4!"&amp;"L"&amp;MATCH($C$2,Sheet4!$A:$A,0)+3),IF(INDIRECT("Sheet4!"&amp;"L"&amp;MATCH($C$2,Sheet4!$A:$A,0)+3)="Água","Água",
IF(INDIRECT("Sheet4!"&amp;"L"&amp;MATCH($C$2,Sheet4!$A:$A,0)+3)="-","-",
IF(_xlfn.NUMBERVALUE(MID(INDIRECT("Sheet4!"&amp;"L"&amp;MATCH($C$2,Sheet4!$A:$A,0)+3),9,2))&lt;=$C$4,
_xlfn.IFNA(VLOOKUP(INDIRECT("Sheet4!"&amp;"L"&amp;MATCH($C$2,Sheet4!$A:$A,0)+3),$C$7:$H$17,1,FALSE)&amp;CHAR(10)&amp;VLOOKUP(INDIRECT("Sheet4!"&amp;"L"&amp;MATCH($C$2,Sheet4!$A:$A,0)+3),$C$7:$H$17,5,FALSE),
VLOOKUP(INDIRECT("Sheet4!"&amp;"L"&amp;MATCH($C$2,Sheet4!$A:$A,0)+3),$I$7:$N$17,1,FALSE)&amp;CHAR(10)&amp;VLOOKUP(INDIRECT("Sheet4!"&amp;"L"&amp;MATCH($C$2,Sheet4!$A:$A,0)+3),$I$7:$N$17,5,FALSE)),"-"))))</f>
        <v>-</v>
      </c>
      <c r="E23" s="8" t="str" cm="1">
        <f t="array" aca="1" ref="E23" ca="1">IF(ISNUMBER(FIND("ctrl",INDIRECT("Sheet4!"&amp;"L"&amp;MATCH($C$2,Sheet4!$A:$A,0)+3))),
INDIRECT("Sheet4!"&amp;"L"&amp;MATCH($C$2,Sheet4!$A:$A,0)+3),IF(INDIRECT("Sheet4!"&amp;"L"&amp;MATCH($C$2,Sheet4!$A:$A,0)+3)="Água","Água",
IF(INDIRECT("Sheet4!"&amp;"L"&amp;MATCH($C$2,Sheet4!$A:$A,0)+3)="-","-",
IF(_xlfn.NUMBERVALUE(MID(INDIRECT("Sheet4!"&amp;"L"&amp;MATCH($C$2,Sheet4!$A:$A,0)+3),9,2))&lt;=$C$4,
_xlfn.IFNA(VLOOKUP(INDIRECT("Sheet4!"&amp;"L"&amp;MATCH($C$2,Sheet4!$A:$A,0)+3),$C$7:$H$17,1,FALSE)&amp;CHAR(10)&amp;VLOOKUP(INDIRECT("Sheet4!"&amp;"L"&amp;MATCH($C$2,Sheet4!$A:$A,0)+3),$C$7:$H$17,5,FALSE),
VLOOKUP(INDIRECT("Sheet4!"&amp;"L"&amp;MATCH($C$2,Sheet4!$A:$A,0)+3),$I$7:$N$17,1,FALSE)&amp;CHAR(10)&amp;VLOOKUP(INDIRECT("Sheet4!"&amp;"L"&amp;MATCH($C$2,Sheet4!$A:$A,0)+3),$I$7:$N$17,5,FALSE)),"-"))))</f>
        <v>-</v>
      </c>
      <c r="F23" s="8" t="str" cm="1">
        <f t="array" aca="1" ref="F23" ca="1">IF(ISNUMBER(FIND("ctrl",INDIRECT("Sheet4!"&amp;"L"&amp;MATCH($C$2,Sheet4!$A:$A,0)+3))),
INDIRECT("Sheet4!"&amp;"L"&amp;MATCH($C$2,Sheet4!$A:$A,0)+3),IF(INDIRECT("Sheet4!"&amp;"L"&amp;MATCH($C$2,Sheet4!$A:$A,0)+3)="Água","Água",
IF(INDIRECT("Sheet4!"&amp;"L"&amp;MATCH($C$2,Sheet4!$A:$A,0)+3)="-","-",
IF(_xlfn.NUMBERVALUE(MID(INDIRECT("Sheet4!"&amp;"L"&amp;MATCH($C$2,Sheet4!$A:$A,0)+3),9,2))&lt;=$C$4,
_xlfn.IFNA(VLOOKUP(INDIRECT("Sheet4!"&amp;"L"&amp;MATCH($C$2,Sheet4!$A:$A,0)+3),$C$7:$H$17,1,FALSE)&amp;CHAR(10)&amp;VLOOKUP(INDIRECT("Sheet4!"&amp;"L"&amp;MATCH($C$2,Sheet4!$A:$A,0)+3),$C$7:$H$17,5,FALSE),
VLOOKUP(INDIRECT("Sheet4!"&amp;"L"&amp;MATCH($C$2,Sheet4!$A:$A,0)+3),$I$7:$N$17,1,FALSE)&amp;CHAR(10)&amp;VLOOKUP(INDIRECT("Sheet4!"&amp;"L"&amp;MATCH($C$2,Sheet4!$A:$A,0)+3),$I$7:$N$17,5,FALSE)),"-"))))</f>
        <v>-</v>
      </c>
      <c r="G23" s="8" t="str" cm="1">
        <f t="array" aca="1" ref="G23" ca="1">IF(ISNUMBER(FIND("ctrl",INDIRECT("Sheet4!"&amp;"D"&amp;MATCH($C$2,Sheet4!$A:$A,0)+3))),
INDIRECT("Sheet4!"&amp;"D"&amp;MATCH($C$2,Sheet4!$A:$A,0)+3),IF(INDIRECT("Sheet4!"&amp;"D"&amp;MATCH($C$2,Sheet4!$A:$A,0)+3)="Água","Água",
IF(INDIRECT("Sheet4!"&amp;"D"&amp;MATCH($C$2,Sheet4!$A:$A,0)+3)="-","-",
IF(_xlfn.NUMBERVALUE(MID(INDIRECT("Sheet4!"&amp;"D"&amp;MATCH($C$2,Sheet4!$A:$A,0)+3),9,2))&lt;=$C$4,
_xlfn.IFNA(VLOOKUP(INDIRECT("Sheet4!"&amp;"D"&amp;MATCH($C$2,Sheet4!$A:$A,0)+3),$C$7:$H$17,1,FALSE)&amp;CHAR(10)&amp;VLOOKUP(INDIRECT("Sheet4!"&amp;"D"&amp;MATCH($C$2,Sheet4!$A:$A,0)+3),$C$7:$H$17,5,FALSE),
VLOOKUP(INDIRECT("Sheet4!"&amp;"D"&amp;MATCH($C$2,Sheet4!$A:$A,0)+3),$I$7:$N$17,1,FALSE)&amp;CHAR(10)&amp;VLOOKUP(INDIRECT("Sheet4!"&amp;"D"&amp;MATCH($C$2,Sheet4!$A:$A,0)+3),$I$7:$N$17,5,FALSE)),"-"))))</f>
        <v>Amostra 1
108 E.N.</v>
      </c>
      <c r="H23" s="8" t="str" cm="1">
        <f t="array" aca="1" ref="H23" ca="1">IF(ISNUMBER(FIND("ctrl",INDIRECT("Sheet4!"&amp;"E"&amp;MATCH($C$2,Sheet4!$A:$A,0)+3))),
INDIRECT("Sheet4!"&amp;"E"&amp;MATCH($C$2,Sheet4!$A:$A,0)+3),IF(INDIRECT("Sheet4!"&amp;"E"&amp;MATCH($C$2,Sheet4!$A:$A,0)+3)="Água","Água",
IF(INDIRECT("Sheet4!"&amp;"E"&amp;MATCH($C$2,Sheet4!$A:$A,0)+3)="-","-",
IF(_xlfn.NUMBERVALUE(MID(INDIRECT("Sheet4!"&amp;"E"&amp;MATCH($C$2,Sheet4!$A:$A,0)+3),9,2))&lt;=$C$4,
_xlfn.IFNA(VLOOKUP(INDIRECT("Sheet4!"&amp;"E"&amp;MATCH($C$2,Sheet4!$A:$A,0)+3),$C$7:$H$17,1,FALSE)&amp;CHAR(10)&amp;VLOOKUP(INDIRECT("Sheet4!"&amp;"E"&amp;MATCH($C$2,Sheet4!$A:$A,0)+3),$C$7:$H$17,5,FALSE),
VLOOKUP(INDIRECT("Sheet4!"&amp;"E"&amp;MATCH($C$2,Sheet4!$A:$A,0)+3),$I$7:$N$17,1,FALSE)&amp;CHAR(10)&amp;VLOOKUP(INDIRECT("Sheet4!"&amp;"E"&amp;MATCH($C$2,Sheet4!$A:$A,0)+3),$I$7:$N$17,5,FALSE)),"-"))))</f>
        <v>Amostra 2
109 A.G.</v>
      </c>
      <c r="I23" s="8" t="str" cm="1">
        <f t="array" aca="1" ref="I23" ca="1">IF(ISNUMBER(FIND("ctrl",INDIRECT("Sheet4!"&amp;"F"&amp;MATCH($C$2,Sheet4!$A:$A,0)+3))),
INDIRECT("Sheet4!"&amp;"F"&amp;MATCH($C$2,Sheet4!$A:$A,0)+3),IF(INDIRECT("Sheet4!"&amp;"F"&amp;MATCH($C$2,Sheet4!$A:$A,0)+3)="Água","Água",
IF(INDIRECT("Sheet4!"&amp;"F"&amp;MATCH($C$2,Sheet4!$A:$A,0)+3)="-","-",
IF(_xlfn.NUMBERVALUE(MID(INDIRECT("Sheet4!"&amp;"F"&amp;MATCH($C$2,Sheet4!$A:$A,0)+3),9,2))&lt;=$C$4,
_xlfn.IFNA(VLOOKUP(INDIRECT("Sheet4!"&amp;"F"&amp;MATCH($C$2,Sheet4!$A:$A,0)+3),$C$7:$H$17,1,FALSE)&amp;CHAR(10)&amp;VLOOKUP(INDIRECT("Sheet4!"&amp;"F"&amp;MATCH($C$2,Sheet4!$A:$A,0)+3),$C$7:$H$17,5,FALSE),
VLOOKUP(INDIRECT("Sheet4!"&amp;"F"&amp;MATCH($C$2,Sheet4!$A:$A,0)+3),$I$7:$N$17,1,FALSE)&amp;CHAR(10)&amp;VLOOKUP(INDIRECT("Sheet4!"&amp;"F"&amp;MATCH($C$2,Sheet4!$A:$A,0)+3),$I$7:$N$17,5,FALSE)),"-"))))</f>
        <v>Amostra 3
110 G.B.</v>
      </c>
      <c r="J23" s="8" t="str" cm="1">
        <f t="array" aca="1" ref="J23" ca="1">IF(ISNUMBER(FIND("ctrl",INDIRECT("Sheet4!"&amp;"G"&amp;MATCH($C$2,Sheet4!$A:$A,0)+3))),
INDIRECT("Sheet4!"&amp;"G"&amp;MATCH($C$2,Sheet4!$A:$A,0)+3),IF(INDIRECT("Sheet4!"&amp;"G"&amp;MATCH($C$2,Sheet4!$A:$A,0)+3)="Água","Água",
IF(INDIRECT("Sheet4!"&amp;"G"&amp;MATCH($C$2,Sheet4!$A:$A,0)+3)="-","-",
IF(_xlfn.NUMBERVALUE(MID(INDIRECT("Sheet4!"&amp;"G"&amp;MATCH($C$2,Sheet4!$A:$A,0)+3),9,2))&lt;=$C$4,
_xlfn.IFNA(VLOOKUP(INDIRECT("Sheet4!"&amp;"G"&amp;MATCH($C$2,Sheet4!$A:$A,0)+3),$C$7:$H$17,1,FALSE)&amp;CHAR(10)&amp;VLOOKUP(INDIRECT("Sheet4!"&amp;"G"&amp;MATCH($C$2,Sheet4!$A:$A,0)+3),$C$7:$H$17,5,FALSE),
VLOOKUP(INDIRECT("Sheet4!"&amp;"G"&amp;MATCH($C$2,Sheet4!$A:$A,0)+3),$I$7:$N$17,1,FALSE)&amp;CHAR(10)&amp;VLOOKUP(INDIRECT("Sheet4!"&amp;"G"&amp;MATCH($C$2,Sheet4!$A:$A,0)+3),$I$7:$N$17,5,FALSE)),"-"))))</f>
        <v>Amostra 4
37S R.G.S.V</v>
      </c>
      <c r="K23" s="8" t="str" cm="1">
        <f t="array" aca="1" ref="K23" ca="1">IF(ISNUMBER(FIND("ctrl",INDIRECT("Sheet4!"&amp;"L"&amp;MATCH($C$2,Sheet4!$A:$A,0)+3))),
INDIRECT("Sheet4!"&amp;"L"&amp;MATCH($C$2,Sheet4!$A:$A,0)+3),IF(INDIRECT("Sheet4!"&amp;"L"&amp;MATCH($C$2,Sheet4!$A:$A,0)+3)="Água","Água",
IF(INDIRECT("Sheet4!"&amp;"L"&amp;MATCH($C$2,Sheet4!$A:$A,0)+3)="-","-",
IF(_xlfn.NUMBERVALUE(MID(INDIRECT("Sheet4!"&amp;"L"&amp;MATCH($C$2,Sheet4!$A:$A,0)+3),9,2))&lt;=$C$4,
_xlfn.IFNA(VLOOKUP(INDIRECT("Sheet4!"&amp;"L"&amp;MATCH($C$2,Sheet4!$A:$A,0)+3),$C$7:$H$17,1,FALSE)&amp;CHAR(10)&amp;VLOOKUP(INDIRECT("Sheet4!"&amp;"L"&amp;MATCH($C$2,Sheet4!$A:$A,0)+3),$C$7:$H$17,5,FALSE),
VLOOKUP(INDIRECT("Sheet4!"&amp;"L"&amp;MATCH($C$2,Sheet4!$A:$A,0)+3),$I$7:$N$17,1,FALSE)&amp;CHAR(10)&amp;VLOOKUP(INDIRECT("Sheet4!"&amp;"L"&amp;MATCH($C$2,Sheet4!$A:$A,0)+3),$I$7:$N$17,5,FALSE)),"-"))))</f>
        <v>-</v>
      </c>
      <c r="L23" s="8" t="str" cm="1">
        <f t="array" aca="1" ref="L23" ca="1">IF(ISNUMBER(FIND("ctrl",INDIRECT("Sheet4!"&amp;"M"&amp;MATCH($C$2,Sheet4!$A:$A,0)+3))),
INDIRECT("Sheet4!"&amp;"M"&amp;MATCH($C$2,Sheet4!$A:$A,0)+3),IF(INDIRECT("Sheet4!"&amp;"M"&amp;MATCH($C$2,Sheet4!$A:$A,0)+3)="Água","Água",
IF(INDIRECT("Sheet4!"&amp;"M"&amp;MATCH($C$2,Sheet4!$A:$A,0)+3)="-","-",
IF(_xlfn.NUMBERVALUE(MID(INDIRECT("Sheet4!"&amp;"M"&amp;MATCH($C$2,Sheet4!$A:$A,0)+3),9,2))&lt;=$C$4,
_xlfn.IFNA(VLOOKUP(INDIRECT("Sheet4!"&amp;"M"&amp;MATCH($C$2,Sheet4!$A:$A,0)+3),$C$7:$H$17,1,FALSE)&amp;CHAR(10)&amp;VLOOKUP(INDIRECT("Sheet4!"&amp;"M"&amp;MATCH($C$2,Sheet4!$A:$A,0)+3),$C$7:$H$17,5,FALSE),
VLOOKUP(INDIRECT("Sheet4!"&amp;"M"&amp;MATCH($C$2,Sheet4!$A:$A,0)+3),$I$7:$N$17,1,FALSE)&amp;CHAR(10)&amp;VLOOKUP(INDIRECT("Sheet4!"&amp;"M"&amp;MATCH($C$2,Sheet4!$A:$A,0)+3),$I$7:$N$17,5,FALSE)),"-"))))</f>
        <v>-</v>
      </c>
      <c r="M23" s="8" t="str" cm="1">
        <f t="array" aca="1" ref="M23" ca="1">IF(ISNUMBER(FIND("ctrl",INDIRECT("Sheet4!"&amp;"M"&amp;MATCH($C$2,Sheet4!$A:$A,0)+3))),
INDIRECT("Sheet4!"&amp;"M"&amp;MATCH($C$2,Sheet4!$A:$A,0)+3),IF(INDIRECT("Sheet4!"&amp;"M"&amp;MATCH($C$2,Sheet4!$A:$A,0)+3)="Água","Água",
IF(INDIRECT("Sheet4!"&amp;"M"&amp;MATCH($C$2,Sheet4!$A:$A,0)+3)="-","-",
IF(_xlfn.NUMBERVALUE(MID(INDIRECT("Sheet4!"&amp;"M"&amp;MATCH($C$2,Sheet4!$A:$A,0)+3),9,2))&lt;=$C$4,
_xlfn.IFNA(VLOOKUP(INDIRECT("Sheet4!"&amp;"M"&amp;MATCH($C$2,Sheet4!$A:$A,0)+3),$C$7:$H$17,1,FALSE)&amp;CHAR(10)&amp;VLOOKUP(INDIRECT("Sheet4!"&amp;"M"&amp;MATCH($C$2,Sheet4!$A:$A,0)+3),$C$7:$H$17,5,FALSE),
VLOOKUP(INDIRECT("Sheet4!"&amp;"M"&amp;MATCH($C$2,Sheet4!$A:$A,0)+3),$I$7:$N$17,1,FALSE)&amp;CHAR(10)&amp;VLOOKUP(INDIRECT("Sheet4!"&amp;"M"&amp;MATCH($C$2,Sheet4!$A:$A,0)+3),$I$7:$N$17,5,FALSE)),"-"))))</f>
        <v>-</v>
      </c>
      <c r="N23" s="8" t="str" cm="1">
        <f t="array" aca="1" ref="N23" ca="1">IF(ISNUMBER(FIND("ctrl",INDIRECT("Sheet4!"&amp;"O"&amp;MATCH($C$2,Sheet4!$A:$A,0)+3))),
INDIRECT("Sheet4!"&amp;"O"&amp;MATCH($C$2,Sheet4!$A:$A,0)+3),IF(INDIRECT("Sheet4!"&amp;"O"&amp;MATCH($C$2,Sheet4!$A:$A,0)+3)="Água","Água",
IF(INDIRECT("Sheet4!"&amp;"O"&amp;MATCH($C$2,Sheet4!$A:$A,0)+3)="-","-",
IF(_xlfn.NUMBERVALUE(MID(INDIRECT("Sheet4!"&amp;"O"&amp;MATCH($C$2,Sheet4!$A:$A,0)+3),9,2))&lt;=$C$4,
_xlfn.IFNA(VLOOKUP(INDIRECT("Sheet4!"&amp;"O"&amp;MATCH($C$2,Sheet4!$A:$A,0)+3),$C$7:$H$17,1,FALSE)&amp;CHAR(10)&amp;VLOOKUP(INDIRECT("Sheet4!"&amp;"O"&amp;MATCH($C$2,Sheet4!$A:$A,0)+3),$C$7:$H$17,5,FALSE),
VLOOKUP(INDIRECT("Sheet4!"&amp;"O"&amp;MATCH($C$2,Sheet4!$A:$A,0)+3),$I$7:$N$17,1,FALSE)&amp;CHAR(10)&amp;VLOOKUP(INDIRECT("Sheet4!"&amp;"O"&amp;MATCH($C$2,Sheet4!$A:$A,0)+3),$I$7:$N$17,5,FALSE)),"-"))))</f>
        <v>Água</v>
      </c>
    </row>
    <row r="24" spans="2:14" ht="26.25" x14ac:dyDescent="0.25">
      <c r="B24" s="12" t="s">
        <v>30</v>
      </c>
      <c r="C24" s="8" t="str" cm="1">
        <f t="array" aca="1" ref="C24" ca="1">IF(ISNUMBER(FIND("ctrl",INDIRECT("Sheet4!"&amp;"L"&amp;MATCH($C$2,Sheet4!$A:$A,0)+4))),
INDIRECT("Sheet4!"&amp;"L"&amp;MATCH($C$2,Sheet4!$A:$A,0)+4),IF(INDIRECT("Sheet4!"&amp;"L"&amp;MATCH($C$2,Sheet4!$A:$A,0)+4)="Água","Água",
IF(INDIRECT("Sheet4!"&amp;"L"&amp;MATCH($C$2,Sheet4!$A:$A,0)+4)="-","-",
IF(_xlfn.NUMBERVALUE(MID(INDIRECT("Sheet4!"&amp;"L"&amp;MATCH($C$2,Sheet4!$A:$A,0)+4),9,2))&lt;=$C$4,
_xlfn.IFNA(VLOOKUP(INDIRECT("Sheet4!"&amp;"L"&amp;MATCH($C$2,Sheet4!$A:$A,0)+4),$C$7:$H$17,1,FALSE)&amp;CHAR(10)&amp;VLOOKUP(INDIRECT("Sheet4!"&amp;"L"&amp;MATCH($C$2,Sheet4!$A:$A,0)+4),$C$7:$H$17,5,FALSE),
VLOOKUP(INDIRECT("Sheet4!"&amp;"L"&amp;MATCH($C$2,Sheet4!$A:$A,0)+4),$I$7:$N$17,1,FALSE)&amp;CHAR(10)&amp;VLOOKUP(INDIRECT("Sheet4!"&amp;"L"&amp;MATCH($C$2,Sheet4!$A:$A,0)+4),$I$7:$N$17,5,FALSE)),"-"))))</f>
        <v>-</v>
      </c>
      <c r="D24" s="8" t="str" cm="1">
        <f t="array" aca="1" ref="D24" ca="1">IF(ISNUMBER(FIND("ctrl",INDIRECT("Sheet4!"&amp;"L"&amp;MATCH($C$2,Sheet4!$A:$A,0)+4))),
INDIRECT("Sheet4!"&amp;"L"&amp;MATCH($C$2,Sheet4!$A:$A,0)+4),IF(INDIRECT("Sheet4!"&amp;"L"&amp;MATCH($C$2,Sheet4!$A:$A,0)+4)="Água","Água",
IF(INDIRECT("Sheet4!"&amp;"L"&amp;MATCH($C$2,Sheet4!$A:$A,0)+4)="-","-",
IF(_xlfn.NUMBERVALUE(MID(INDIRECT("Sheet4!"&amp;"L"&amp;MATCH($C$2,Sheet4!$A:$A,0)+4),9,2))&lt;=$C$4,
_xlfn.IFNA(VLOOKUP(INDIRECT("Sheet4!"&amp;"L"&amp;MATCH($C$2,Sheet4!$A:$A,0)+4),$C$7:$H$17,1,FALSE)&amp;CHAR(10)&amp;VLOOKUP(INDIRECT("Sheet4!"&amp;"L"&amp;MATCH($C$2,Sheet4!$A:$A,0)+4),$C$7:$H$17,5,FALSE),
VLOOKUP(INDIRECT("Sheet4!"&amp;"L"&amp;MATCH($C$2,Sheet4!$A:$A,0)+4),$I$7:$N$17,1,FALSE)&amp;CHAR(10)&amp;VLOOKUP(INDIRECT("Sheet4!"&amp;"L"&amp;MATCH($C$2,Sheet4!$A:$A,0)+4),$I$7:$N$17,5,FALSE)),"-"))))</f>
        <v>-</v>
      </c>
      <c r="E24" s="8" t="str" cm="1">
        <f t="array" aca="1" ref="E24" ca="1">IF(ISNUMBER(FIND("ctrl",INDIRECT("Sheet4!"&amp;"L"&amp;MATCH($C$2,Sheet4!$A:$A,0)+4))),
INDIRECT("Sheet4!"&amp;"L"&amp;MATCH($C$2,Sheet4!$A:$A,0)+4),IF(INDIRECT("Sheet4!"&amp;"L"&amp;MATCH($C$2,Sheet4!$A:$A,0)+4)="Água","Água",
IF(INDIRECT("Sheet4!"&amp;"L"&amp;MATCH($C$2,Sheet4!$A:$A,0)+4)="-","-",
IF(_xlfn.NUMBERVALUE(MID(INDIRECT("Sheet4!"&amp;"L"&amp;MATCH($C$2,Sheet4!$A:$A,0)+4),9,2))&lt;=$C$4,
_xlfn.IFNA(VLOOKUP(INDIRECT("Sheet4!"&amp;"L"&amp;MATCH($C$2,Sheet4!$A:$A,0)+4),$C$7:$H$17,1,FALSE)&amp;CHAR(10)&amp;VLOOKUP(INDIRECT("Sheet4!"&amp;"L"&amp;MATCH($C$2,Sheet4!$A:$A,0)+4),$C$7:$H$17,5,FALSE),
VLOOKUP(INDIRECT("Sheet4!"&amp;"L"&amp;MATCH($C$2,Sheet4!$A:$A,0)+4),$I$7:$N$17,1,FALSE)&amp;CHAR(10)&amp;VLOOKUP(INDIRECT("Sheet4!"&amp;"L"&amp;MATCH($C$2,Sheet4!$A:$A,0)+4),$I$7:$N$17,5,FALSE)),"-"))))</f>
        <v>-</v>
      </c>
      <c r="F24" s="8" t="str" cm="1">
        <f t="array" aca="1" ref="F24" ca="1">IF(ISNUMBER(FIND("ctrl",INDIRECT("Sheet4!"&amp;"L"&amp;MATCH($C$2,Sheet4!$A:$A,0)+4))),
INDIRECT("Sheet4!"&amp;"L"&amp;MATCH($C$2,Sheet4!$A:$A,0)+4),IF(INDIRECT("Sheet4!"&amp;"L"&amp;MATCH($C$2,Sheet4!$A:$A,0)+4)="Água","Água",
IF(INDIRECT("Sheet4!"&amp;"L"&amp;MATCH($C$2,Sheet4!$A:$A,0)+4)="-","-",
IF(_xlfn.NUMBERVALUE(MID(INDIRECT("Sheet4!"&amp;"L"&amp;MATCH($C$2,Sheet4!$A:$A,0)+4),9,2))&lt;=$C$4,
_xlfn.IFNA(VLOOKUP(INDIRECT("Sheet4!"&amp;"L"&amp;MATCH($C$2,Sheet4!$A:$A,0)+4),$C$7:$H$17,1,FALSE)&amp;CHAR(10)&amp;VLOOKUP(INDIRECT("Sheet4!"&amp;"L"&amp;MATCH($C$2,Sheet4!$A:$A,0)+4),$C$7:$H$17,5,FALSE),
VLOOKUP(INDIRECT("Sheet4!"&amp;"L"&amp;MATCH($C$2,Sheet4!$A:$A,0)+4),$I$7:$N$17,1,FALSE)&amp;CHAR(10)&amp;VLOOKUP(INDIRECT("Sheet4!"&amp;"L"&amp;MATCH($C$2,Sheet4!$A:$A,0)+4),$I$7:$N$17,5,FALSE)),"-"))))</f>
        <v>-</v>
      </c>
      <c r="G24" s="8" t="str" cm="1">
        <f t="array" aca="1" ref="G24" ca="1">IF(ISNUMBER(FIND("ctrl",INDIRECT("Sheet4!"&amp;"D"&amp;MATCH($C$2,Sheet4!$A:$A,0)+4))),
INDIRECT("Sheet4!"&amp;"D"&amp;MATCH($C$2,Sheet4!$A:$A,0)+4),IF(INDIRECT("Sheet4!"&amp;"D"&amp;MATCH($C$2,Sheet4!$A:$A,0)+4)="Água","Água",
IF(INDIRECT("Sheet4!"&amp;"D"&amp;MATCH($C$2,Sheet4!$A:$A,0)+4)="-","-",
IF(_xlfn.NUMBERVALUE(MID(INDIRECT("Sheet4!"&amp;"D"&amp;MATCH($C$2,Sheet4!$A:$A,0)+4),9,2))&lt;=$C$4,
_xlfn.IFNA(VLOOKUP(INDIRECT("Sheet4!"&amp;"D"&amp;MATCH($C$2,Sheet4!$A:$A,0)+4),$C$7:$H$17,1,FALSE)&amp;CHAR(10)&amp;VLOOKUP(INDIRECT("Sheet4!"&amp;"D"&amp;MATCH($C$2,Sheet4!$A:$A,0)+4),$C$7:$H$17,5,FALSE),
VLOOKUP(INDIRECT("Sheet4!"&amp;"D"&amp;MATCH($C$2,Sheet4!$A:$A,0)+4),$I$7:$N$17,1,FALSE)&amp;CHAR(10)&amp;VLOOKUP(INDIRECT("Sheet4!"&amp;"D"&amp;MATCH($C$2,Sheet4!$A:$A,0)+4),$I$7:$N$17,5,FALSE)),"-"))))</f>
        <v>Amostra 1
108 E.N.</v>
      </c>
      <c r="H24" s="8" t="str" cm="1">
        <f t="array" aca="1" ref="H24" ca="1">IF(ISNUMBER(FIND("ctrl",INDIRECT("Sheet4!"&amp;"E"&amp;MATCH($C$2,Sheet4!$A:$A,0)+4))),
INDIRECT("Sheet4!"&amp;"E"&amp;MATCH($C$2,Sheet4!$A:$A,0)+4),IF(INDIRECT("Sheet4!"&amp;"E"&amp;MATCH($C$2,Sheet4!$A:$A,0)+4)="Água","Água",
IF(INDIRECT("Sheet4!"&amp;"E"&amp;MATCH($C$2,Sheet4!$A:$A,0)+4)="-","-",
IF(_xlfn.NUMBERVALUE(MID(INDIRECT("Sheet4!"&amp;"E"&amp;MATCH($C$2,Sheet4!$A:$A,0)+4),9,2))&lt;=$C$4,
_xlfn.IFNA(VLOOKUP(INDIRECT("Sheet4!"&amp;"E"&amp;MATCH($C$2,Sheet4!$A:$A,0)+4),$C$7:$H$17,1,FALSE)&amp;CHAR(10)&amp;VLOOKUP(INDIRECT("Sheet4!"&amp;"E"&amp;MATCH($C$2,Sheet4!$A:$A,0)+4),$C$7:$H$17,5,FALSE),
VLOOKUP(INDIRECT("Sheet4!"&amp;"E"&amp;MATCH($C$2,Sheet4!$A:$A,0)+4),$I$7:$N$17,1,FALSE)&amp;CHAR(10)&amp;VLOOKUP(INDIRECT("Sheet4!"&amp;"E"&amp;MATCH($C$2,Sheet4!$A:$A,0)+4),$I$7:$N$17,5,FALSE)),"-"))))</f>
        <v>Amostra 2
109 A.G.</v>
      </c>
      <c r="I24" s="8" t="str" cm="1">
        <f t="array" aca="1" ref="I24" ca="1">IF(ISNUMBER(FIND("ctrl",INDIRECT("Sheet4!"&amp;"F"&amp;MATCH($C$2,Sheet4!$A:$A,0)+4))),
INDIRECT("Sheet4!"&amp;"F"&amp;MATCH($C$2,Sheet4!$A:$A,0)+4),IF(INDIRECT("Sheet4!"&amp;"F"&amp;MATCH($C$2,Sheet4!$A:$A,0)+4)="Água","Água",
IF(INDIRECT("Sheet4!"&amp;"F"&amp;MATCH($C$2,Sheet4!$A:$A,0)+4)="-","-",
IF(_xlfn.NUMBERVALUE(MID(INDIRECT("Sheet4!"&amp;"F"&amp;MATCH($C$2,Sheet4!$A:$A,0)+4),9,2))&lt;=$C$4,
_xlfn.IFNA(VLOOKUP(INDIRECT("Sheet4!"&amp;"F"&amp;MATCH($C$2,Sheet4!$A:$A,0)+4),$C$7:$H$17,1,FALSE)&amp;CHAR(10)&amp;VLOOKUP(INDIRECT("Sheet4!"&amp;"F"&amp;MATCH($C$2,Sheet4!$A:$A,0)+4),$C$7:$H$17,5,FALSE),
VLOOKUP(INDIRECT("Sheet4!"&amp;"F"&amp;MATCH($C$2,Sheet4!$A:$A,0)+4),$I$7:$N$17,1,FALSE)&amp;CHAR(10)&amp;VLOOKUP(INDIRECT("Sheet4!"&amp;"F"&amp;MATCH($C$2,Sheet4!$A:$A,0)+4),$I$7:$N$17,5,FALSE)),"-"))))</f>
        <v>Amostra 3
110 G.B.</v>
      </c>
      <c r="J24" s="8" t="str" cm="1">
        <f t="array" aca="1" ref="J24" ca="1">IF(ISNUMBER(FIND("ctrl",INDIRECT("Sheet4!"&amp;"G"&amp;MATCH($C$2,Sheet4!$A:$A,0)+4))),
INDIRECT("Sheet4!"&amp;"G"&amp;MATCH($C$2,Sheet4!$A:$A,0)+4),IF(INDIRECT("Sheet4!"&amp;"G"&amp;MATCH($C$2,Sheet4!$A:$A,0)+4)="Água","Água",
IF(INDIRECT("Sheet4!"&amp;"G"&amp;MATCH($C$2,Sheet4!$A:$A,0)+4)="-","-",
IF(_xlfn.NUMBERVALUE(MID(INDIRECT("Sheet4!"&amp;"G"&amp;MATCH($C$2,Sheet4!$A:$A,0)+4),9,2))&lt;=$C$4,
_xlfn.IFNA(VLOOKUP(INDIRECT("Sheet4!"&amp;"G"&amp;MATCH($C$2,Sheet4!$A:$A,0)+4),$C$7:$H$17,1,FALSE)&amp;CHAR(10)&amp;VLOOKUP(INDIRECT("Sheet4!"&amp;"G"&amp;MATCH($C$2,Sheet4!$A:$A,0)+4),$C$7:$H$17,5,FALSE),
VLOOKUP(INDIRECT("Sheet4!"&amp;"G"&amp;MATCH($C$2,Sheet4!$A:$A,0)+4),$I$7:$N$17,1,FALSE)&amp;CHAR(10)&amp;VLOOKUP(INDIRECT("Sheet4!"&amp;"G"&amp;MATCH($C$2,Sheet4!$A:$A,0)+4),$I$7:$N$17,5,FALSE)),"-"))))</f>
        <v>Amostra 4
37S R.G.S.V</v>
      </c>
      <c r="K24" s="8" t="str" cm="1">
        <f t="array" aca="1" ref="K24" ca="1">IF(ISNUMBER(FIND("ctrl",INDIRECT("Sheet4!"&amp;"L"&amp;MATCH($C$2,Sheet4!$A:$A,0)+4))),
INDIRECT("Sheet4!"&amp;"L"&amp;MATCH($C$2,Sheet4!$A:$A,0)+4),IF(INDIRECT("Sheet4!"&amp;"L"&amp;MATCH($C$2,Sheet4!$A:$A,0)+4)="Água","Água",
IF(INDIRECT("Sheet4!"&amp;"L"&amp;MATCH($C$2,Sheet4!$A:$A,0)+4)="-","-",
IF(_xlfn.NUMBERVALUE(MID(INDIRECT("Sheet4!"&amp;"L"&amp;MATCH($C$2,Sheet4!$A:$A,0)+4),9,2))&lt;=$C$4,
_xlfn.IFNA(VLOOKUP(INDIRECT("Sheet4!"&amp;"L"&amp;MATCH($C$2,Sheet4!$A:$A,0)+4),$C$7:$H$17,1,FALSE)&amp;CHAR(10)&amp;VLOOKUP(INDIRECT("Sheet4!"&amp;"L"&amp;MATCH($C$2,Sheet4!$A:$A,0)+4),$C$7:$H$17,5,FALSE),
VLOOKUP(INDIRECT("Sheet4!"&amp;"L"&amp;MATCH($C$2,Sheet4!$A:$A,0)+4),$I$7:$N$17,1,FALSE)&amp;CHAR(10)&amp;VLOOKUP(INDIRECT("Sheet4!"&amp;"L"&amp;MATCH($C$2,Sheet4!$A:$A,0)+4),$I$7:$N$17,5,FALSE)),"-"))))</f>
        <v>-</v>
      </c>
      <c r="L24" s="8" t="str" cm="1">
        <f t="array" aca="1" ref="L24" ca="1">IF(ISNUMBER(FIND("ctrl",INDIRECT("Sheet4!"&amp;"M"&amp;MATCH($C$2,Sheet4!$A:$A,0)+4))),
INDIRECT("Sheet4!"&amp;"M"&amp;MATCH($C$2,Sheet4!$A:$A,0)+4),IF(INDIRECT("Sheet4!"&amp;"M"&amp;MATCH($C$2,Sheet4!$A:$A,0)+4)="Água","Água",
IF(INDIRECT("Sheet4!"&amp;"M"&amp;MATCH($C$2,Sheet4!$A:$A,0)+4)="-","-",
IF(_xlfn.NUMBERVALUE(MID(INDIRECT("Sheet4!"&amp;"M"&amp;MATCH($C$2,Sheet4!$A:$A,0)+4),9,2))&lt;=$C$4,
_xlfn.IFNA(VLOOKUP(INDIRECT("Sheet4!"&amp;"M"&amp;MATCH($C$2,Sheet4!$A:$A,0)+4),$C$7:$H$17,1,FALSE)&amp;CHAR(10)&amp;VLOOKUP(INDIRECT("Sheet4!"&amp;"M"&amp;MATCH($C$2,Sheet4!$A:$A,0)+4),$C$7:$H$17,5,FALSE),
VLOOKUP(INDIRECT("Sheet4!"&amp;"M"&amp;MATCH($C$2,Sheet4!$A:$A,0)+4),$I$7:$N$17,1,FALSE)&amp;CHAR(10)&amp;VLOOKUP(INDIRECT("Sheet4!"&amp;"M"&amp;MATCH($C$2,Sheet4!$A:$A,0)+4),$I$7:$N$17,5,FALSE)),"-"))))</f>
        <v>-</v>
      </c>
      <c r="M24" s="8" t="str" cm="1">
        <f t="array" aca="1" ref="M24" ca="1">IF(ISNUMBER(FIND("ctrl",INDIRECT("Sheet4!"&amp;"M"&amp;MATCH($C$2,Sheet4!$A:$A,0)+4))),
INDIRECT("Sheet4!"&amp;"M"&amp;MATCH($C$2,Sheet4!$A:$A,0)+4),IF(INDIRECT("Sheet4!"&amp;"M"&amp;MATCH($C$2,Sheet4!$A:$A,0)+4)="Água","Água",
IF(INDIRECT("Sheet4!"&amp;"M"&amp;MATCH($C$2,Sheet4!$A:$A,0)+4)="-","-",
IF(_xlfn.NUMBERVALUE(MID(INDIRECT("Sheet4!"&amp;"M"&amp;MATCH($C$2,Sheet4!$A:$A,0)+4),9,2))&lt;=$C$4,
_xlfn.IFNA(VLOOKUP(INDIRECT("Sheet4!"&amp;"M"&amp;MATCH($C$2,Sheet4!$A:$A,0)+4),$C$7:$H$17,1,FALSE)&amp;CHAR(10)&amp;VLOOKUP(INDIRECT("Sheet4!"&amp;"M"&amp;MATCH($C$2,Sheet4!$A:$A,0)+4),$C$7:$H$17,5,FALSE),
VLOOKUP(INDIRECT("Sheet4!"&amp;"M"&amp;MATCH($C$2,Sheet4!$A:$A,0)+4),$I$7:$N$17,1,FALSE)&amp;CHAR(10)&amp;VLOOKUP(INDIRECT("Sheet4!"&amp;"M"&amp;MATCH($C$2,Sheet4!$A:$A,0)+4),$I$7:$N$17,5,FALSE)),"-"))))</f>
        <v>-</v>
      </c>
      <c r="N24" s="8" t="str" cm="1">
        <f t="array" aca="1" ref="N24" ca="1">IF(ISNUMBER(FIND("ctrl",INDIRECT("Sheet4!"&amp;"O"&amp;MATCH($C$2,Sheet4!$A:$A,0)+4))),
INDIRECT("Sheet4!"&amp;"O"&amp;MATCH($C$2,Sheet4!$A:$A,0)+4),IF(INDIRECT("Sheet4!"&amp;"O"&amp;MATCH($C$2,Sheet4!$A:$A,0)+4)="Água","Água",
IF(INDIRECT("Sheet4!"&amp;"O"&amp;MATCH($C$2,Sheet4!$A:$A,0)+4)="-","-",
IF(_xlfn.NUMBERVALUE(MID(INDIRECT("Sheet4!"&amp;"O"&amp;MATCH($C$2,Sheet4!$A:$A,0)+4),9,2))&lt;=$C$4,
_xlfn.IFNA(VLOOKUP(INDIRECT("Sheet4!"&amp;"O"&amp;MATCH($C$2,Sheet4!$A:$A,0)+4),$C$7:$H$17,1,FALSE)&amp;CHAR(10)&amp;VLOOKUP(INDIRECT("Sheet4!"&amp;"O"&amp;MATCH($C$2,Sheet4!$A:$A,0)+4),$C$7:$H$17,5,FALSE),
VLOOKUP(INDIRECT("Sheet4!"&amp;"O"&amp;MATCH($C$2,Sheet4!$A:$A,0)+4),$I$7:$N$17,1,FALSE)&amp;CHAR(10)&amp;VLOOKUP(INDIRECT("Sheet4!"&amp;"O"&amp;MATCH($C$2,Sheet4!$A:$A,0)+4),$I$7:$N$17,5,FALSE)),"-"))))</f>
        <v>Água</v>
      </c>
    </row>
    <row r="25" spans="2:14" ht="15" customHeight="1" x14ac:dyDescent="0.25">
      <c r="B25" s="12" t="s">
        <v>31</v>
      </c>
      <c r="C25" s="8" t="str" cm="1">
        <f t="array" aca="1" ref="C25" ca="1">IF(ISNUMBER(FIND("ctrl",INDIRECT("Sheet4!"&amp;"L"&amp;MATCH($C$2,Sheet4!$A:$A,0)+5))),
INDIRECT("Sheet4!"&amp;"L"&amp;MATCH($C$2,Sheet4!$A:$A,0)+5),IF(INDIRECT("Sheet4!"&amp;"L"&amp;MATCH($C$2,Sheet4!$A:$A,0)+5)="Água","Água",
IF(INDIRECT("Sheet4!"&amp;"L"&amp;MATCH($C$2,Sheet4!$A:$A,0)+5)="-","-",
IF(_xlfn.NUMBERVALUE(MID(INDIRECT("Sheet4!"&amp;"L"&amp;MATCH($C$2,Sheet4!$A:$A,0)+5),9,2))&lt;=$C$4,
_xlfn.IFNA(VLOOKUP(INDIRECT("Sheet4!"&amp;"L"&amp;MATCH($C$2,Sheet4!$A:$A,0)+5),$C$7:$H$17,1,FALSE)&amp;CHAR(10)&amp;VLOOKUP(INDIRECT("Sheet4!"&amp;"L"&amp;MATCH($C$2,Sheet4!$A:$A,0)+5),$C$7:$H$17,5,FALSE),
VLOOKUP(INDIRECT("Sheet4!"&amp;"L"&amp;MATCH($C$2,Sheet4!$A:$A,0)+5),$I$7:$N$17,1,FALSE)&amp;CHAR(10)&amp;VLOOKUP(INDIRECT("Sheet4!"&amp;"L"&amp;MATCH($C$2,Sheet4!$A:$A,0)+5),$I$7:$N$17,5,FALSE)),"-"))))</f>
        <v>-</v>
      </c>
      <c r="D25" s="8" t="str" cm="1">
        <f t="array" aca="1" ref="D25" ca="1">IF(ISNUMBER(FIND("ctrl",INDIRECT("Sheet4!"&amp;"L"&amp;MATCH($C$2,Sheet4!$A:$A,0)+5))),
INDIRECT("Sheet4!"&amp;"L"&amp;MATCH($C$2,Sheet4!$A:$A,0)+5),IF(INDIRECT("Sheet4!"&amp;"L"&amp;MATCH($C$2,Sheet4!$A:$A,0)+5)="Água","Água",
IF(INDIRECT("Sheet4!"&amp;"L"&amp;MATCH($C$2,Sheet4!$A:$A,0)+5)="-","-",
IF(_xlfn.NUMBERVALUE(MID(INDIRECT("Sheet4!"&amp;"L"&amp;MATCH($C$2,Sheet4!$A:$A,0)+5),9,2))&lt;=$C$4,
_xlfn.IFNA(VLOOKUP(INDIRECT("Sheet4!"&amp;"L"&amp;MATCH($C$2,Sheet4!$A:$A,0)+5),$C$7:$H$17,1,FALSE)&amp;CHAR(10)&amp;VLOOKUP(INDIRECT("Sheet4!"&amp;"L"&amp;MATCH($C$2,Sheet4!$A:$A,0)+5),$C$7:$H$17,5,FALSE),
VLOOKUP(INDIRECT("Sheet4!"&amp;"L"&amp;MATCH($C$2,Sheet4!$A:$A,0)+5),$I$7:$N$17,1,FALSE)&amp;CHAR(10)&amp;VLOOKUP(INDIRECT("Sheet4!"&amp;"L"&amp;MATCH($C$2,Sheet4!$A:$A,0)+5),$I$7:$N$17,5,FALSE)),"-"))))</f>
        <v>-</v>
      </c>
      <c r="E25" s="8" t="str" cm="1">
        <f t="array" aca="1" ref="E25" ca="1">IF(ISNUMBER(FIND("ctrl",INDIRECT("Sheet4!"&amp;"L"&amp;MATCH($C$2,Sheet4!$A:$A,0)+5))),
INDIRECT("Sheet4!"&amp;"L"&amp;MATCH($C$2,Sheet4!$A:$A,0)+5),IF(INDIRECT("Sheet4!"&amp;"L"&amp;MATCH($C$2,Sheet4!$A:$A,0)+5)="Água","Água",
IF(INDIRECT("Sheet4!"&amp;"L"&amp;MATCH($C$2,Sheet4!$A:$A,0)+5)="-","-",
IF(_xlfn.NUMBERVALUE(MID(INDIRECT("Sheet4!"&amp;"L"&amp;MATCH($C$2,Sheet4!$A:$A,0)+5),9,2))&lt;=$C$4,
_xlfn.IFNA(VLOOKUP(INDIRECT("Sheet4!"&amp;"L"&amp;MATCH($C$2,Sheet4!$A:$A,0)+5),$C$7:$H$17,1,FALSE)&amp;CHAR(10)&amp;VLOOKUP(INDIRECT("Sheet4!"&amp;"L"&amp;MATCH($C$2,Sheet4!$A:$A,0)+5),$C$7:$H$17,5,FALSE),
VLOOKUP(INDIRECT("Sheet4!"&amp;"L"&amp;MATCH($C$2,Sheet4!$A:$A,0)+5),$I$7:$N$17,1,FALSE)&amp;CHAR(10)&amp;VLOOKUP(INDIRECT("Sheet4!"&amp;"L"&amp;MATCH($C$2,Sheet4!$A:$A,0)+5),$I$7:$N$17,5,FALSE)),"-"))))</f>
        <v>-</v>
      </c>
      <c r="F25" s="8" t="str" cm="1">
        <f t="array" aca="1" ref="F25" ca="1">IF(ISNUMBER(FIND("ctrl",INDIRECT("Sheet4!"&amp;"L"&amp;MATCH($C$2,Sheet4!$A:$A,0)+5))),
INDIRECT("Sheet4!"&amp;"L"&amp;MATCH($C$2,Sheet4!$A:$A,0)+5),IF(INDIRECT("Sheet4!"&amp;"L"&amp;MATCH($C$2,Sheet4!$A:$A,0)+5)="Água","Água",
IF(INDIRECT("Sheet4!"&amp;"L"&amp;MATCH($C$2,Sheet4!$A:$A,0)+5)="-","-",
IF(_xlfn.NUMBERVALUE(MID(INDIRECT("Sheet4!"&amp;"L"&amp;MATCH($C$2,Sheet4!$A:$A,0)+5),9,2))&lt;=$C$4,
_xlfn.IFNA(VLOOKUP(INDIRECT("Sheet4!"&amp;"L"&amp;MATCH($C$2,Sheet4!$A:$A,0)+5),$C$7:$H$17,1,FALSE)&amp;CHAR(10)&amp;VLOOKUP(INDIRECT("Sheet4!"&amp;"L"&amp;MATCH($C$2,Sheet4!$A:$A,0)+5),$C$7:$H$17,5,FALSE),
VLOOKUP(INDIRECT("Sheet4!"&amp;"L"&amp;MATCH($C$2,Sheet4!$A:$A,0)+5),$I$7:$N$17,1,FALSE)&amp;CHAR(10)&amp;VLOOKUP(INDIRECT("Sheet4!"&amp;"L"&amp;MATCH($C$2,Sheet4!$A:$A,0)+5),$I$7:$N$17,5,FALSE)),"-"))))</f>
        <v>-</v>
      </c>
      <c r="G25" s="8" t="str" cm="1">
        <f t="array" aca="1" ref="G25" ca="1">IF(ISNUMBER(FIND("ctrl",INDIRECT("Sheet4!"&amp;"D"&amp;MATCH($C$2,Sheet4!$A:$A,0)+5))),
INDIRECT("Sheet4!"&amp;"D"&amp;MATCH($C$2,Sheet4!$A:$A,0)+5),IF(INDIRECT("Sheet4!"&amp;"D"&amp;MATCH($C$2,Sheet4!$A:$A,0)+5)="Água","Água",
IF(INDIRECT("Sheet4!"&amp;"D"&amp;MATCH($C$2,Sheet4!$A:$A,0)+5)="-","-",
IF(_xlfn.NUMBERVALUE(MID(INDIRECT("Sheet4!"&amp;"D"&amp;MATCH($C$2,Sheet4!$A:$A,0)+5),9,2))&lt;=$C$4,
_xlfn.IFNA(VLOOKUP(INDIRECT("Sheet4!"&amp;"D"&amp;MATCH($C$2,Sheet4!$A:$A,0)+5),$C$7:$H$17,1,FALSE)&amp;CHAR(10)&amp;VLOOKUP(INDIRECT("Sheet4!"&amp;"D"&amp;MATCH($C$2,Sheet4!$A:$A,0)+5),$C$7:$H$17,5,FALSE),
VLOOKUP(INDIRECT("Sheet4!"&amp;"D"&amp;MATCH($C$2,Sheet4!$A:$A,0)+5),$I$7:$N$17,1,FALSE)&amp;CHAR(10)&amp;VLOOKUP(INDIRECT("Sheet4!"&amp;"D"&amp;MATCH($C$2,Sheet4!$A:$A,0)+5),$I$7:$N$17,5,FALSE)),"-"))))</f>
        <v>Amostra 1
108 E.N.</v>
      </c>
      <c r="H25" s="8" t="str" cm="1">
        <f t="array" aca="1" ref="H25" ca="1">IF(ISNUMBER(FIND("ctrl",INDIRECT("Sheet4!"&amp;"E"&amp;MATCH($C$2,Sheet4!$A:$A,0)+5))),
INDIRECT("Sheet4!"&amp;"E"&amp;MATCH($C$2,Sheet4!$A:$A,0)+5),IF(INDIRECT("Sheet4!"&amp;"E"&amp;MATCH($C$2,Sheet4!$A:$A,0)+5)="Água","Água",
IF(INDIRECT("Sheet4!"&amp;"E"&amp;MATCH($C$2,Sheet4!$A:$A,0)+5)="-","-",
IF(_xlfn.NUMBERVALUE(MID(INDIRECT("Sheet4!"&amp;"E"&amp;MATCH($C$2,Sheet4!$A:$A,0)+5),9,2))&lt;=$C$4,
_xlfn.IFNA(VLOOKUP(INDIRECT("Sheet4!"&amp;"E"&amp;MATCH($C$2,Sheet4!$A:$A,0)+5),$C$7:$H$17,1,FALSE)&amp;CHAR(10)&amp;VLOOKUP(INDIRECT("Sheet4!"&amp;"E"&amp;MATCH($C$2,Sheet4!$A:$A,0)+5),$C$7:$H$17,5,FALSE),
VLOOKUP(INDIRECT("Sheet4!"&amp;"E"&amp;MATCH($C$2,Sheet4!$A:$A,0)+5),$I$7:$N$17,1,FALSE)&amp;CHAR(10)&amp;VLOOKUP(INDIRECT("Sheet4!"&amp;"E"&amp;MATCH($C$2,Sheet4!$A:$A,0)+5),$I$7:$N$17,5,FALSE)),"-"))))</f>
        <v>Amostra 2
109 A.G.</v>
      </c>
      <c r="I25" s="8" t="str" cm="1">
        <f t="array" aca="1" ref="I25" ca="1">IF(ISNUMBER(FIND("ctrl",INDIRECT("Sheet4!"&amp;"F"&amp;MATCH($C$2,Sheet4!$A:$A,0)+5))),
INDIRECT("Sheet4!"&amp;"F"&amp;MATCH($C$2,Sheet4!$A:$A,0)+5),IF(INDIRECT("Sheet4!"&amp;"F"&amp;MATCH($C$2,Sheet4!$A:$A,0)+5)="Água","Água",
IF(INDIRECT("Sheet4!"&amp;"F"&amp;MATCH($C$2,Sheet4!$A:$A,0)+5)="-","-",
IF(_xlfn.NUMBERVALUE(MID(INDIRECT("Sheet4!"&amp;"F"&amp;MATCH($C$2,Sheet4!$A:$A,0)+5),9,2))&lt;=$C$4,
_xlfn.IFNA(VLOOKUP(INDIRECT("Sheet4!"&amp;"F"&amp;MATCH($C$2,Sheet4!$A:$A,0)+5),$C$7:$H$17,1,FALSE)&amp;CHAR(10)&amp;VLOOKUP(INDIRECT("Sheet4!"&amp;"F"&amp;MATCH($C$2,Sheet4!$A:$A,0)+5),$C$7:$H$17,5,FALSE),
VLOOKUP(INDIRECT("Sheet4!"&amp;"F"&amp;MATCH($C$2,Sheet4!$A:$A,0)+5),$I$7:$N$17,1,FALSE)&amp;CHAR(10)&amp;VLOOKUP(INDIRECT("Sheet4!"&amp;"F"&amp;MATCH($C$2,Sheet4!$A:$A,0)+5),$I$7:$N$17,5,FALSE)),"-"))))</f>
        <v>Amostra 3
110 G.B.</v>
      </c>
      <c r="J25" s="8" t="str" cm="1">
        <f t="array" aca="1" ref="J25" ca="1">IF(ISNUMBER(FIND("ctrl",INDIRECT("Sheet4!"&amp;"G"&amp;MATCH($C$2,Sheet4!$A:$A,0)+5))),
INDIRECT("Sheet4!"&amp;"G"&amp;MATCH($C$2,Sheet4!$A:$A,0)+5),IF(INDIRECT("Sheet4!"&amp;"G"&amp;MATCH($C$2,Sheet4!$A:$A,0)+5)="Água","Água",
IF(INDIRECT("Sheet4!"&amp;"G"&amp;MATCH($C$2,Sheet4!$A:$A,0)+5)="-","-",
IF(_xlfn.NUMBERVALUE(MID(INDIRECT("Sheet4!"&amp;"G"&amp;MATCH($C$2,Sheet4!$A:$A,0)+5),9,2))&lt;=$C$4,
_xlfn.IFNA(VLOOKUP(INDIRECT("Sheet4!"&amp;"G"&amp;MATCH($C$2,Sheet4!$A:$A,0)+5),$C$7:$H$17,1,FALSE)&amp;CHAR(10)&amp;VLOOKUP(INDIRECT("Sheet4!"&amp;"G"&amp;MATCH($C$2,Sheet4!$A:$A,0)+5),$C$7:$H$17,5,FALSE),
VLOOKUP(INDIRECT("Sheet4!"&amp;"G"&amp;MATCH($C$2,Sheet4!$A:$A,0)+5),$I$7:$N$17,1,FALSE)&amp;CHAR(10)&amp;VLOOKUP(INDIRECT("Sheet4!"&amp;"G"&amp;MATCH($C$2,Sheet4!$A:$A,0)+5),$I$7:$N$17,5,FALSE)),"-"))))</f>
        <v>Amostra 4
37S R.G.S.V</v>
      </c>
      <c r="K25" s="8" t="str" cm="1">
        <f t="array" aca="1" ref="K25" ca="1">IF(ISNUMBER(FIND("ctrl",INDIRECT("Sheet4!"&amp;"L"&amp;MATCH($C$2,Sheet4!$A:$A,0)+5))),
INDIRECT("Sheet4!"&amp;"L"&amp;MATCH($C$2,Sheet4!$A:$A,0)+5),IF(INDIRECT("Sheet4!"&amp;"L"&amp;MATCH($C$2,Sheet4!$A:$A,0)+5)="Água","Água",
IF(INDIRECT("Sheet4!"&amp;"L"&amp;MATCH($C$2,Sheet4!$A:$A,0)+5)="-","-",
IF(_xlfn.NUMBERVALUE(MID(INDIRECT("Sheet4!"&amp;"L"&amp;MATCH($C$2,Sheet4!$A:$A,0)+5),9,2))&lt;=$C$4,
_xlfn.IFNA(VLOOKUP(INDIRECT("Sheet4!"&amp;"L"&amp;MATCH($C$2,Sheet4!$A:$A,0)+5),$C$7:$H$17,1,FALSE)&amp;CHAR(10)&amp;VLOOKUP(INDIRECT("Sheet4!"&amp;"L"&amp;MATCH($C$2,Sheet4!$A:$A,0)+5),$C$7:$H$17,5,FALSE),
VLOOKUP(INDIRECT("Sheet4!"&amp;"L"&amp;MATCH($C$2,Sheet4!$A:$A,0)+5),$I$7:$N$17,1,FALSE)&amp;CHAR(10)&amp;VLOOKUP(INDIRECT("Sheet4!"&amp;"L"&amp;MATCH($C$2,Sheet4!$A:$A,0)+5),$I$7:$N$17,5,FALSE)),"-"))))</f>
        <v>-</v>
      </c>
      <c r="L25" s="8" t="str" cm="1">
        <f t="array" aca="1" ref="L25" ca="1">IF(ISNUMBER(FIND("ctrl",INDIRECT("Sheet4!"&amp;"M"&amp;MATCH($C$2,Sheet4!$A:$A,0)+5))),
INDIRECT("Sheet4!"&amp;"M"&amp;MATCH($C$2,Sheet4!$A:$A,0)+5),IF(INDIRECT("Sheet4!"&amp;"M"&amp;MATCH($C$2,Sheet4!$A:$A,0)+5)="Água","Água",
IF(INDIRECT("Sheet4!"&amp;"M"&amp;MATCH($C$2,Sheet4!$A:$A,0)+5)="-","-",
IF(_xlfn.NUMBERVALUE(MID(INDIRECT("Sheet4!"&amp;"M"&amp;MATCH($C$2,Sheet4!$A:$A,0)+5),9,2))&lt;=$C$4,
_xlfn.IFNA(VLOOKUP(INDIRECT("Sheet4!"&amp;"M"&amp;MATCH($C$2,Sheet4!$A:$A,0)+5),$C$7:$H$17,1,FALSE)&amp;CHAR(10)&amp;VLOOKUP(INDIRECT("Sheet4!"&amp;"M"&amp;MATCH($C$2,Sheet4!$A:$A,0)+5),$C$7:$H$17,5,FALSE),
VLOOKUP(INDIRECT("Sheet4!"&amp;"M"&amp;MATCH($C$2,Sheet4!$A:$A,0)+5),$I$7:$N$17,1,FALSE)&amp;CHAR(10)&amp;VLOOKUP(INDIRECT("Sheet4!"&amp;"M"&amp;MATCH($C$2,Sheet4!$A:$A,0)+5),$I$7:$N$17,5,FALSE)),"-"))))</f>
        <v>-</v>
      </c>
      <c r="M25" s="8" t="str" cm="1">
        <f t="array" aca="1" ref="M25" ca="1">IF(ISNUMBER(FIND("ctrl",INDIRECT("Sheet4!"&amp;"M"&amp;MATCH($C$2,Sheet4!$A:$A,0)+5))),
INDIRECT("Sheet4!"&amp;"M"&amp;MATCH($C$2,Sheet4!$A:$A,0)+5),IF(INDIRECT("Sheet4!"&amp;"M"&amp;MATCH($C$2,Sheet4!$A:$A,0)+5)="Água","Água",
IF(INDIRECT("Sheet4!"&amp;"M"&amp;MATCH($C$2,Sheet4!$A:$A,0)+5)="-","-",
IF(_xlfn.NUMBERVALUE(MID(INDIRECT("Sheet4!"&amp;"M"&amp;MATCH($C$2,Sheet4!$A:$A,0)+5),9,2))&lt;=$C$4,
_xlfn.IFNA(VLOOKUP(INDIRECT("Sheet4!"&amp;"M"&amp;MATCH($C$2,Sheet4!$A:$A,0)+5),$C$7:$H$17,1,FALSE)&amp;CHAR(10)&amp;VLOOKUP(INDIRECT("Sheet4!"&amp;"M"&amp;MATCH($C$2,Sheet4!$A:$A,0)+5),$C$7:$H$17,5,FALSE),
VLOOKUP(INDIRECT("Sheet4!"&amp;"M"&amp;MATCH($C$2,Sheet4!$A:$A,0)+5),$I$7:$N$17,1,FALSE)&amp;CHAR(10)&amp;VLOOKUP(INDIRECT("Sheet4!"&amp;"M"&amp;MATCH($C$2,Sheet4!$A:$A,0)+5),$I$7:$N$17,5,FALSE)),"-"))))</f>
        <v>-</v>
      </c>
      <c r="N25" s="8" t="str" cm="1">
        <f t="array" aca="1" ref="N25" ca="1">IF(ISNUMBER(FIND("ctrl",INDIRECT("Sheet4!"&amp;"O"&amp;MATCH($C$2,Sheet4!$A:$A,0)+5))),
INDIRECT("Sheet4!"&amp;"O"&amp;MATCH($C$2,Sheet4!$A:$A,0)+5),IF(INDIRECT("Sheet4!"&amp;"O"&amp;MATCH($C$2,Sheet4!$A:$A,0)+5)="Água","Água",
IF(INDIRECT("Sheet4!"&amp;"O"&amp;MATCH($C$2,Sheet4!$A:$A,0)+5)="-","-",
IF(_xlfn.NUMBERVALUE(MID(INDIRECT("Sheet4!"&amp;"O"&amp;MATCH($C$2,Sheet4!$A:$A,0)+5),9,2))&lt;=$C$4,
_xlfn.IFNA(VLOOKUP(INDIRECT("Sheet4!"&amp;"O"&amp;MATCH($C$2,Sheet4!$A:$A,0)+5),$C$7:$H$17,1,FALSE)&amp;CHAR(10)&amp;VLOOKUP(INDIRECT("Sheet4!"&amp;"O"&amp;MATCH($C$2,Sheet4!$A:$A,0)+5),$C$7:$H$17,5,FALSE),
VLOOKUP(INDIRECT("Sheet4!"&amp;"O"&amp;MATCH($C$2,Sheet4!$A:$A,0)+5),$I$7:$N$17,1,FALSE)&amp;CHAR(10)&amp;VLOOKUP(INDIRECT("Sheet4!"&amp;"O"&amp;MATCH($C$2,Sheet4!$A:$A,0)+5),$I$7:$N$17,5,FALSE)),"-"))))</f>
        <v>Água</v>
      </c>
    </row>
    <row r="26" spans="2:14" ht="15" customHeight="1" x14ac:dyDescent="0.25">
      <c r="B26" s="12" t="s">
        <v>32</v>
      </c>
      <c r="C26" s="8" t="str" cm="1">
        <f t="array" aca="1" ref="C26" ca="1">IF(ISNUMBER(FIND("ctrl",INDIRECT("Sheet4!"&amp;"L"&amp;MATCH($C$2,Sheet4!$A:$A,0)+6))),
INDIRECT("Sheet4!"&amp;"L"&amp;MATCH($C$2,Sheet4!$A:$A,0)+6),IF(INDIRECT("Sheet4!"&amp;"L"&amp;MATCH($C$2,Sheet4!$A:$A,0)+6)="Água","Água",
IF(INDIRECT("Sheet4!"&amp;"L"&amp;MATCH($C$2,Sheet4!$A:$A,0)+6)="-","-",
IF(_xlfn.NUMBERVALUE(MID(INDIRECT("Sheet4!"&amp;"L"&amp;MATCH($C$2,Sheet4!$A:$A,0)+6),9,2))&lt;=$C$4,
_xlfn.IFNA(VLOOKUP(INDIRECT("Sheet4!"&amp;"L"&amp;MATCH($C$2,Sheet4!$A:$A,0)+6),$C$7:$H$17,1,FALSE)&amp;CHAR(10)&amp;VLOOKUP(INDIRECT("Sheet4!"&amp;"L"&amp;MATCH($C$2,Sheet4!$A:$A,0)+6),$C$7:$H$17,5,FALSE),
VLOOKUP(INDIRECT("Sheet4!"&amp;"L"&amp;MATCH($C$2,Sheet4!$A:$A,0)+6),$I$7:$N$17,1,FALSE)&amp;CHAR(10)&amp;VLOOKUP(INDIRECT("Sheet4!"&amp;"L"&amp;MATCH($C$2,Sheet4!$A:$A,0)+6),$I$7:$N$17,5,FALSE)),"-"))))</f>
        <v>-</v>
      </c>
      <c r="D26" s="8" t="str" cm="1">
        <f t="array" aca="1" ref="D26" ca="1">IF(ISNUMBER(FIND("ctrl",INDIRECT("Sheet4!"&amp;"L"&amp;MATCH($C$2,Sheet4!$A:$A,0)+6))),
INDIRECT("Sheet4!"&amp;"L"&amp;MATCH($C$2,Sheet4!$A:$A,0)+6),IF(INDIRECT("Sheet4!"&amp;"L"&amp;MATCH($C$2,Sheet4!$A:$A,0)+6)="Água","Água",
IF(INDIRECT("Sheet4!"&amp;"L"&amp;MATCH($C$2,Sheet4!$A:$A,0)+6)="-","-",
IF(_xlfn.NUMBERVALUE(MID(INDIRECT("Sheet4!"&amp;"L"&amp;MATCH($C$2,Sheet4!$A:$A,0)+6),9,2))&lt;=$C$4,
_xlfn.IFNA(VLOOKUP(INDIRECT("Sheet4!"&amp;"L"&amp;MATCH($C$2,Sheet4!$A:$A,0)+6),$C$7:$H$17,1,FALSE)&amp;CHAR(10)&amp;VLOOKUP(INDIRECT("Sheet4!"&amp;"L"&amp;MATCH($C$2,Sheet4!$A:$A,0)+6),$C$7:$H$17,5,FALSE),
VLOOKUP(INDIRECT("Sheet4!"&amp;"L"&amp;MATCH($C$2,Sheet4!$A:$A,0)+6),$I$7:$N$17,1,FALSE)&amp;CHAR(10)&amp;VLOOKUP(INDIRECT("Sheet4!"&amp;"L"&amp;MATCH($C$2,Sheet4!$A:$A,0)+6),$I$7:$N$17,5,FALSE)),"-"))))</f>
        <v>-</v>
      </c>
      <c r="E26" s="8" t="str" cm="1">
        <f t="array" aca="1" ref="E26" ca="1">IF(ISNUMBER(FIND("ctrl",INDIRECT("Sheet4!"&amp;"L"&amp;MATCH($C$2,Sheet4!$A:$A,0)+6))),
INDIRECT("Sheet4!"&amp;"L"&amp;MATCH($C$2,Sheet4!$A:$A,0)+6),IF(INDIRECT("Sheet4!"&amp;"L"&amp;MATCH($C$2,Sheet4!$A:$A,0)+6)="Água","Água",
IF(INDIRECT("Sheet4!"&amp;"L"&amp;MATCH($C$2,Sheet4!$A:$A,0)+6)="-","-",
IF(_xlfn.NUMBERVALUE(MID(INDIRECT("Sheet4!"&amp;"L"&amp;MATCH($C$2,Sheet4!$A:$A,0)+6),9,2))&lt;=$C$4,
_xlfn.IFNA(VLOOKUP(INDIRECT("Sheet4!"&amp;"L"&amp;MATCH($C$2,Sheet4!$A:$A,0)+6),$C$7:$H$17,1,FALSE)&amp;CHAR(10)&amp;VLOOKUP(INDIRECT("Sheet4!"&amp;"L"&amp;MATCH($C$2,Sheet4!$A:$A,0)+6),$C$7:$H$17,5,FALSE),
VLOOKUP(INDIRECT("Sheet4!"&amp;"L"&amp;MATCH($C$2,Sheet4!$A:$A,0)+6),$I$7:$N$17,1,FALSE)&amp;CHAR(10)&amp;VLOOKUP(INDIRECT("Sheet4!"&amp;"L"&amp;MATCH($C$2,Sheet4!$A:$A,0)+6),$I$7:$N$17,5,FALSE)),"-"))))</f>
        <v>-</v>
      </c>
      <c r="F26" s="8" t="str" cm="1">
        <f t="array" aca="1" ref="F26" ca="1">IF(ISNUMBER(FIND("ctrl",INDIRECT("Sheet4!"&amp;"L"&amp;MATCH($C$2,Sheet4!$A:$A,0)+6))),
INDIRECT("Sheet4!"&amp;"L"&amp;MATCH($C$2,Sheet4!$A:$A,0)+6),IF(INDIRECT("Sheet4!"&amp;"L"&amp;MATCH($C$2,Sheet4!$A:$A,0)+6)="Água","Água",
IF(INDIRECT("Sheet4!"&amp;"L"&amp;MATCH($C$2,Sheet4!$A:$A,0)+6)="-","-",
IF(_xlfn.NUMBERVALUE(MID(INDIRECT("Sheet4!"&amp;"L"&amp;MATCH($C$2,Sheet4!$A:$A,0)+6),9,2))&lt;=$C$4,
_xlfn.IFNA(VLOOKUP(INDIRECT("Sheet4!"&amp;"L"&amp;MATCH($C$2,Sheet4!$A:$A,0)+6),$C$7:$H$17,1,FALSE)&amp;CHAR(10)&amp;VLOOKUP(INDIRECT("Sheet4!"&amp;"L"&amp;MATCH($C$2,Sheet4!$A:$A,0)+6),$C$7:$H$17,5,FALSE),
VLOOKUP(INDIRECT("Sheet4!"&amp;"L"&amp;MATCH($C$2,Sheet4!$A:$A,0)+6),$I$7:$N$17,1,FALSE)&amp;CHAR(10)&amp;VLOOKUP(INDIRECT("Sheet4!"&amp;"L"&amp;MATCH($C$2,Sheet4!$A:$A,0)+6),$I$7:$N$17,5,FALSE)),"-"))))</f>
        <v>-</v>
      </c>
      <c r="G26" s="8" t="str" cm="1">
        <f t="array" aca="1" ref="G26" ca="1">IF(ISNUMBER(FIND("ctrl",INDIRECT("Sheet4!"&amp;"D"&amp;MATCH($C$2,Sheet4!$A:$A,0)+6))),
INDIRECT("Sheet4!"&amp;"D"&amp;MATCH($C$2,Sheet4!$A:$A,0)+6),IF(INDIRECT("Sheet4!"&amp;"D"&amp;MATCH($C$2,Sheet4!$A:$A,0)+6)="Água","Água",
IF(INDIRECT("Sheet4!"&amp;"D"&amp;MATCH($C$2,Sheet4!$A:$A,0)+6)="-","-",
IF(_xlfn.NUMBERVALUE(MID(INDIRECT("Sheet4!"&amp;"D"&amp;MATCH($C$2,Sheet4!$A:$A,0)+6),9,2))&lt;=$C$4,
_xlfn.IFNA(VLOOKUP(INDIRECT("Sheet4!"&amp;"D"&amp;MATCH($C$2,Sheet4!$A:$A,0)+6),$C$7:$H$17,1,FALSE)&amp;CHAR(10)&amp;VLOOKUP(INDIRECT("Sheet4!"&amp;"D"&amp;MATCH($C$2,Sheet4!$A:$A,0)+6),$C$7:$H$17,5,FALSE),
VLOOKUP(INDIRECT("Sheet4!"&amp;"D"&amp;MATCH($C$2,Sheet4!$A:$A,0)+6),$I$7:$N$17,1,FALSE)&amp;CHAR(10)&amp;VLOOKUP(INDIRECT("Sheet4!"&amp;"D"&amp;MATCH($C$2,Sheet4!$A:$A,0)+6),$I$7:$N$17,5,FALSE)),"-"))))</f>
        <v>Amostra 1
108 E.N.</v>
      </c>
      <c r="H26" s="8" t="str" cm="1">
        <f t="array" aca="1" ref="H26" ca="1">IF(ISNUMBER(FIND("ctrl",INDIRECT("Sheet4!"&amp;"E"&amp;MATCH($C$2,Sheet4!$A:$A,0)+6))),
INDIRECT("Sheet4!"&amp;"E"&amp;MATCH($C$2,Sheet4!$A:$A,0)+6),IF(INDIRECT("Sheet4!"&amp;"E"&amp;MATCH($C$2,Sheet4!$A:$A,0)+6)="Água","Água",
IF(INDIRECT("Sheet4!"&amp;"E"&amp;MATCH($C$2,Sheet4!$A:$A,0)+6)="-","-",
IF(_xlfn.NUMBERVALUE(MID(INDIRECT("Sheet4!"&amp;"E"&amp;MATCH($C$2,Sheet4!$A:$A,0)+6),9,2))&lt;=$C$4,
_xlfn.IFNA(VLOOKUP(INDIRECT("Sheet4!"&amp;"E"&amp;MATCH($C$2,Sheet4!$A:$A,0)+6),$C$7:$H$17,1,FALSE)&amp;CHAR(10)&amp;VLOOKUP(INDIRECT("Sheet4!"&amp;"E"&amp;MATCH($C$2,Sheet4!$A:$A,0)+6),$C$7:$H$17,5,FALSE),
VLOOKUP(INDIRECT("Sheet4!"&amp;"E"&amp;MATCH($C$2,Sheet4!$A:$A,0)+6),$I$7:$N$17,1,FALSE)&amp;CHAR(10)&amp;VLOOKUP(INDIRECT("Sheet4!"&amp;"E"&amp;MATCH($C$2,Sheet4!$A:$A,0)+6),$I$7:$N$17,5,FALSE)),"-"))))</f>
        <v>Amostra 2
109 A.G.</v>
      </c>
      <c r="I26" s="8" t="str" cm="1">
        <f t="array" aca="1" ref="I26" ca="1">IF(ISNUMBER(FIND("ctrl",INDIRECT("Sheet4!"&amp;"F"&amp;MATCH($C$2,Sheet4!$A:$A,0)+6))),
INDIRECT("Sheet4!"&amp;"F"&amp;MATCH($C$2,Sheet4!$A:$A,0)+6),IF(INDIRECT("Sheet4!"&amp;"F"&amp;MATCH($C$2,Sheet4!$A:$A,0)+6)="Água","Água",
IF(INDIRECT("Sheet4!"&amp;"F"&amp;MATCH($C$2,Sheet4!$A:$A,0)+6)="-","-",
IF(_xlfn.NUMBERVALUE(MID(INDIRECT("Sheet4!"&amp;"F"&amp;MATCH($C$2,Sheet4!$A:$A,0)+6),9,2))&lt;=$C$4,
_xlfn.IFNA(VLOOKUP(INDIRECT("Sheet4!"&amp;"F"&amp;MATCH($C$2,Sheet4!$A:$A,0)+6),$C$7:$H$17,1,FALSE)&amp;CHAR(10)&amp;VLOOKUP(INDIRECT("Sheet4!"&amp;"F"&amp;MATCH($C$2,Sheet4!$A:$A,0)+6),$C$7:$H$17,5,FALSE),
VLOOKUP(INDIRECT("Sheet4!"&amp;"F"&amp;MATCH($C$2,Sheet4!$A:$A,0)+6),$I$7:$N$17,1,FALSE)&amp;CHAR(10)&amp;VLOOKUP(INDIRECT("Sheet4!"&amp;"F"&amp;MATCH($C$2,Sheet4!$A:$A,0)+6),$I$7:$N$17,5,FALSE)),"-"))))</f>
        <v>Amostra 3
110 G.B.</v>
      </c>
      <c r="J26" s="8" t="str" cm="1">
        <f t="array" aca="1" ref="J26" ca="1">IF(ISNUMBER(FIND("ctrl",INDIRECT("Sheet4!"&amp;"G"&amp;MATCH($C$2,Sheet4!$A:$A,0)+6))),
INDIRECT("Sheet4!"&amp;"G"&amp;MATCH($C$2,Sheet4!$A:$A,0)+6),IF(INDIRECT("Sheet4!"&amp;"G"&amp;MATCH($C$2,Sheet4!$A:$A,0)+6)="Água","Água",
IF(INDIRECT("Sheet4!"&amp;"G"&amp;MATCH($C$2,Sheet4!$A:$A,0)+6)="-","-",
IF(_xlfn.NUMBERVALUE(MID(INDIRECT("Sheet4!"&amp;"G"&amp;MATCH($C$2,Sheet4!$A:$A,0)+6),9,2))&lt;=$C$4,
_xlfn.IFNA(VLOOKUP(INDIRECT("Sheet4!"&amp;"G"&amp;MATCH($C$2,Sheet4!$A:$A,0)+6),$C$7:$H$17,1,FALSE)&amp;CHAR(10)&amp;VLOOKUP(INDIRECT("Sheet4!"&amp;"G"&amp;MATCH($C$2,Sheet4!$A:$A,0)+6),$C$7:$H$17,5,FALSE),
VLOOKUP(INDIRECT("Sheet4!"&amp;"G"&amp;MATCH($C$2,Sheet4!$A:$A,0)+6),$I$7:$N$17,1,FALSE)&amp;CHAR(10)&amp;VLOOKUP(INDIRECT("Sheet4!"&amp;"G"&amp;MATCH($C$2,Sheet4!$A:$A,0)+6),$I$7:$N$17,5,FALSE)),"-"))))</f>
        <v>Amostra 4
37S R.G.S.V</v>
      </c>
      <c r="K26" s="8" t="str" cm="1">
        <f t="array" aca="1" ref="K26" ca="1">IF(ISNUMBER(FIND("ctrl",INDIRECT("Sheet4!"&amp;"L"&amp;MATCH($C$2,Sheet4!$A:$A,0)+6))),
INDIRECT("Sheet4!"&amp;"L"&amp;MATCH($C$2,Sheet4!$A:$A,0)+6),IF(INDIRECT("Sheet4!"&amp;"L"&amp;MATCH($C$2,Sheet4!$A:$A,0)+6)="Água","Água",
IF(INDIRECT("Sheet4!"&amp;"L"&amp;MATCH($C$2,Sheet4!$A:$A,0)+6)="-","-",
IF(_xlfn.NUMBERVALUE(MID(INDIRECT("Sheet4!"&amp;"L"&amp;MATCH($C$2,Sheet4!$A:$A,0)+6),9,2))&lt;=$C$4,
_xlfn.IFNA(VLOOKUP(INDIRECT("Sheet4!"&amp;"L"&amp;MATCH($C$2,Sheet4!$A:$A,0)+6),$C$7:$H$17,1,FALSE)&amp;CHAR(10)&amp;VLOOKUP(INDIRECT("Sheet4!"&amp;"L"&amp;MATCH($C$2,Sheet4!$A:$A,0)+6),$C$7:$H$17,5,FALSE),
VLOOKUP(INDIRECT("Sheet4!"&amp;"L"&amp;MATCH($C$2,Sheet4!$A:$A,0)+6),$I$7:$N$17,1,FALSE)&amp;CHAR(10)&amp;VLOOKUP(INDIRECT("Sheet4!"&amp;"L"&amp;MATCH($C$2,Sheet4!$A:$A,0)+6),$I$7:$N$17,5,FALSE)),"-"))))</f>
        <v>-</v>
      </c>
      <c r="L26" s="8" t="str" cm="1">
        <f t="array" aca="1" ref="L26" ca="1">IF(ISNUMBER(FIND("ctrl",INDIRECT("Sheet4!"&amp;"M"&amp;MATCH($C$2,Sheet4!$A:$A,0)+6))),
INDIRECT("Sheet4!"&amp;"M"&amp;MATCH($C$2,Sheet4!$A:$A,0)+6),IF(INDIRECT("Sheet4!"&amp;"M"&amp;MATCH($C$2,Sheet4!$A:$A,0)+6)="Água","Água",
IF(INDIRECT("Sheet4!"&amp;"M"&amp;MATCH($C$2,Sheet4!$A:$A,0)+6)="-","-",
IF(_xlfn.NUMBERVALUE(MID(INDIRECT("Sheet4!"&amp;"M"&amp;MATCH($C$2,Sheet4!$A:$A,0)+6),9,2))&lt;=$C$4,
_xlfn.IFNA(VLOOKUP(INDIRECT("Sheet4!"&amp;"M"&amp;MATCH($C$2,Sheet4!$A:$A,0)+6),$C$7:$H$17,1,FALSE)&amp;CHAR(10)&amp;VLOOKUP(INDIRECT("Sheet4!"&amp;"M"&amp;MATCH($C$2,Sheet4!$A:$A,0)+6),$C$7:$H$17,5,FALSE),
VLOOKUP(INDIRECT("Sheet4!"&amp;"M"&amp;MATCH($C$2,Sheet4!$A:$A,0)+6),$I$7:$N$17,1,FALSE)&amp;CHAR(10)&amp;VLOOKUP(INDIRECT("Sheet4!"&amp;"M"&amp;MATCH($C$2,Sheet4!$A:$A,0)+6),$I$7:$N$17,5,FALSE)),"-"))))</f>
        <v>-</v>
      </c>
      <c r="M26" s="8" t="str" cm="1">
        <f t="array" aca="1" ref="M26" ca="1">IF(ISNUMBER(FIND("ctrl",INDIRECT("Sheet4!"&amp;"M"&amp;MATCH($C$2,Sheet4!$A:$A,0)+6))),
INDIRECT("Sheet4!"&amp;"M"&amp;MATCH($C$2,Sheet4!$A:$A,0)+6),IF(INDIRECT("Sheet4!"&amp;"M"&amp;MATCH($C$2,Sheet4!$A:$A,0)+6)="Água","Água",
IF(INDIRECT("Sheet4!"&amp;"M"&amp;MATCH($C$2,Sheet4!$A:$A,0)+6)="-","-",
IF(_xlfn.NUMBERVALUE(MID(INDIRECT("Sheet4!"&amp;"M"&amp;MATCH($C$2,Sheet4!$A:$A,0)+6),9,2))&lt;=$C$4,
_xlfn.IFNA(VLOOKUP(INDIRECT("Sheet4!"&amp;"M"&amp;MATCH($C$2,Sheet4!$A:$A,0)+6),$C$7:$H$17,1,FALSE)&amp;CHAR(10)&amp;VLOOKUP(INDIRECT("Sheet4!"&amp;"M"&amp;MATCH($C$2,Sheet4!$A:$A,0)+6),$C$7:$H$17,5,FALSE),
VLOOKUP(INDIRECT("Sheet4!"&amp;"M"&amp;MATCH($C$2,Sheet4!$A:$A,0)+6),$I$7:$N$17,1,FALSE)&amp;CHAR(10)&amp;VLOOKUP(INDIRECT("Sheet4!"&amp;"M"&amp;MATCH($C$2,Sheet4!$A:$A,0)+6),$I$7:$N$17,5,FALSE)),"-"))))</f>
        <v>-</v>
      </c>
      <c r="N26" s="8" t="str" cm="1">
        <f t="array" aca="1" ref="N26" ca="1">IF(ISNUMBER(FIND("ctrl",INDIRECT("Sheet4!"&amp;"O"&amp;MATCH($C$2,Sheet4!$A:$A,0)+6))),
INDIRECT("Sheet4!"&amp;"O"&amp;MATCH($C$2,Sheet4!$A:$A,0)+6),IF(INDIRECT("Sheet4!"&amp;"O"&amp;MATCH($C$2,Sheet4!$A:$A,0)+6)="Água","Água",
IF(INDIRECT("Sheet4!"&amp;"O"&amp;MATCH($C$2,Sheet4!$A:$A,0)+6)="-","-",
IF(_xlfn.NUMBERVALUE(MID(INDIRECT("Sheet4!"&amp;"O"&amp;MATCH($C$2,Sheet4!$A:$A,0)+6),9,2))&lt;=$C$4,
_xlfn.IFNA(VLOOKUP(INDIRECT("Sheet4!"&amp;"O"&amp;MATCH($C$2,Sheet4!$A:$A,0)+6),$C$7:$H$17,1,FALSE)&amp;CHAR(10)&amp;VLOOKUP(INDIRECT("Sheet4!"&amp;"O"&amp;MATCH($C$2,Sheet4!$A:$A,0)+6),$C$7:$H$17,5,FALSE),
VLOOKUP(INDIRECT("Sheet4!"&amp;"O"&amp;MATCH($C$2,Sheet4!$A:$A,0)+6),$I$7:$N$17,1,FALSE)&amp;CHAR(10)&amp;VLOOKUP(INDIRECT("Sheet4!"&amp;"O"&amp;MATCH($C$2,Sheet4!$A:$A,0)+6),$I$7:$N$17,5,FALSE)),"-"))))</f>
        <v>Água</v>
      </c>
    </row>
    <row r="27" spans="2:14" ht="15" customHeight="1" x14ac:dyDescent="0.25">
      <c r="B27" s="12" t="s">
        <v>33</v>
      </c>
      <c r="C27" s="8" t="str" cm="1">
        <f t="array" aca="1" ref="C27" ca="1">IF(ISNUMBER(FIND("ctrl",INDIRECT("Sheet4!"&amp;"L"&amp;MATCH($C$2,Sheet4!$A:$A,0)+7))),
INDIRECT("Sheet4!"&amp;"L"&amp;MATCH($C$2,Sheet4!$A:$A,0)+7),IF(INDIRECT("Sheet4!"&amp;"L"&amp;MATCH($C$2,Sheet4!$A:$A,0)+7)="Água","Água",
IF(INDIRECT("Sheet4!"&amp;"L"&amp;MATCH($C$2,Sheet4!$A:$A,0)+7)="-","-",
IF(_xlfn.NUMBERVALUE(MID(INDIRECT("Sheet4!"&amp;"L"&amp;MATCH($C$2,Sheet4!$A:$A,0)+7),9,2))&lt;=$C$4,
_xlfn.IFNA(VLOOKUP(INDIRECT("Sheet4!"&amp;"L"&amp;MATCH($C$2,Sheet4!$A:$A,0)+7),$C$7:$H$17,1,FALSE)&amp;CHAR(10)&amp;VLOOKUP(INDIRECT("Sheet4!"&amp;"L"&amp;MATCH($C$2,Sheet4!$A:$A,0)+7),$C$7:$H$17,5,FALSE),
VLOOKUP(INDIRECT("Sheet4!"&amp;"L"&amp;MATCH($C$2,Sheet4!$A:$A,0)+7),$I$7:$N$17,1,FALSE)&amp;CHAR(10)&amp;VLOOKUP(INDIRECT("Sheet4!"&amp;"L"&amp;MATCH($C$2,Sheet4!$A:$A,0)+7),$I$7:$N$17,5,FALSE)),"-"))))</f>
        <v>-</v>
      </c>
      <c r="D27" s="8" t="str" cm="1">
        <f t="array" aca="1" ref="D27" ca="1">IF(ISNUMBER(FIND("ctrl",INDIRECT("Sheet4!"&amp;"L"&amp;MATCH($C$2,Sheet4!$A:$A,0)+7))),
INDIRECT("Sheet4!"&amp;"L"&amp;MATCH($C$2,Sheet4!$A:$A,0)+7),IF(INDIRECT("Sheet4!"&amp;"L"&amp;MATCH($C$2,Sheet4!$A:$A,0)+7)="Água","Água",
IF(INDIRECT("Sheet4!"&amp;"L"&amp;MATCH($C$2,Sheet4!$A:$A,0)+7)="-","-",
IF(_xlfn.NUMBERVALUE(MID(INDIRECT("Sheet4!"&amp;"L"&amp;MATCH($C$2,Sheet4!$A:$A,0)+7),9,2))&lt;=$C$4,
_xlfn.IFNA(VLOOKUP(INDIRECT("Sheet4!"&amp;"L"&amp;MATCH($C$2,Sheet4!$A:$A,0)+7),$C$7:$H$17,1,FALSE)&amp;CHAR(10)&amp;VLOOKUP(INDIRECT("Sheet4!"&amp;"L"&amp;MATCH($C$2,Sheet4!$A:$A,0)+7),$C$7:$H$17,5,FALSE),
VLOOKUP(INDIRECT("Sheet4!"&amp;"L"&amp;MATCH($C$2,Sheet4!$A:$A,0)+7),$I$7:$N$17,1,FALSE)&amp;CHAR(10)&amp;VLOOKUP(INDIRECT("Sheet4!"&amp;"L"&amp;MATCH($C$2,Sheet4!$A:$A,0)+7),$I$7:$N$17,5,FALSE)),"-"))))</f>
        <v>-</v>
      </c>
      <c r="E27" s="8" t="str" cm="1">
        <f t="array" aca="1" ref="E27" ca="1">IF(ISNUMBER(FIND("ctrl",INDIRECT("Sheet4!"&amp;"L"&amp;MATCH($C$2,Sheet4!$A:$A,0)+7))),
INDIRECT("Sheet4!"&amp;"L"&amp;MATCH($C$2,Sheet4!$A:$A,0)+7),IF(INDIRECT("Sheet4!"&amp;"L"&amp;MATCH($C$2,Sheet4!$A:$A,0)+7)="Água","Água",
IF(INDIRECT("Sheet4!"&amp;"L"&amp;MATCH($C$2,Sheet4!$A:$A,0)+7)="-","-",
IF(_xlfn.NUMBERVALUE(MID(INDIRECT("Sheet4!"&amp;"L"&amp;MATCH($C$2,Sheet4!$A:$A,0)+7),9,2))&lt;=$C$4,
_xlfn.IFNA(VLOOKUP(INDIRECT("Sheet4!"&amp;"L"&amp;MATCH($C$2,Sheet4!$A:$A,0)+7),$C$7:$H$17,1,FALSE)&amp;CHAR(10)&amp;VLOOKUP(INDIRECT("Sheet4!"&amp;"L"&amp;MATCH($C$2,Sheet4!$A:$A,0)+7),$C$7:$H$17,5,FALSE),
VLOOKUP(INDIRECT("Sheet4!"&amp;"L"&amp;MATCH($C$2,Sheet4!$A:$A,0)+7),$I$7:$N$17,1,FALSE)&amp;CHAR(10)&amp;VLOOKUP(INDIRECT("Sheet4!"&amp;"L"&amp;MATCH($C$2,Sheet4!$A:$A,0)+7),$I$7:$N$17,5,FALSE)),"-"))))</f>
        <v>-</v>
      </c>
      <c r="F27" s="8" t="str" cm="1">
        <f t="array" aca="1" ref="F27" ca="1">IF(ISNUMBER(FIND("ctrl",INDIRECT("Sheet4!"&amp;"L"&amp;MATCH($C$2,Sheet4!$A:$A,0)+7))),
INDIRECT("Sheet4!"&amp;"L"&amp;MATCH($C$2,Sheet4!$A:$A,0)+7),IF(INDIRECT("Sheet4!"&amp;"L"&amp;MATCH($C$2,Sheet4!$A:$A,0)+7)="Água","Água",
IF(INDIRECT("Sheet4!"&amp;"L"&amp;MATCH($C$2,Sheet4!$A:$A,0)+7)="-","-",
IF(_xlfn.NUMBERVALUE(MID(INDIRECT("Sheet4!"&amp;"L"&amp;MATCH($C$2,Sheet4!$A:$A,0)+7),9,2))&lt;=$C$4,
_xlfn.IFNA(VLOOKUP(INDIRECT("Sheet4!"&amp;"L"&amp;MATCH($C$2,Sheet4!$A:$A,0)+7),$C$7:$H$17,1,FALSE)&amp;CHAR(10)&amp;VLOOKUP(INDIRECT("Sheet4!"&amp;"L"&amp;MATCH($C$2,Sheet4!$A:$A,0)+7),$C$7:$H$17,5,FALSE),
VLOOKUP(INDIRECT("Sheet4!"&amp;"L"&amp;MATCH($C$2,Sheet4!$A:$A,0)+7),$I$7:$N$17,1,FALSE)&amp;CHAR(10)&amp;VLOOKUP(INDIRECT("Sheet4!"&amp;"L"&amp;MATCH($C$2,Sheet4!$A:$A,0)+7),$I$7:$N$17,5,FALSE)),"-"))))</f>
        <v>-</v>
      </c>
      <c r="G27" s="8" t="str" cm="1">
        <f t="array" aca="1" ref="G27" ca="1">IF(ISNUMBER(FIND("ctrl",INDIRECT("Sheet4!"&amp;"D"&amp;MATCH($C$2,Sheet4!$A:$A,0)+7))),
INDIRECT("Sheet4!"&amp;"D"&amp;MATCH($C$2,Sheet4!$A:$A,0)+7),IF(INDIRECT("Sheet4!"&amp;"D"&amp;MATCH($C$2,Sheet4!$A:$A,0)+7)="Água","Água",
IF(INDIRECT("Sheet4!"&amp;"D"&amp;MATCH($C$2,Sheet4!$A:$A,0)+7)="-","-",
IF(_xlfn.NUMBERVALUE(MID(INDIRECT("Sheet4!"&amp;"D"&amp;MATCH($C$2,Sheet4!$A:$A,0)+7),9,2))&lt;=$C$4,
_xlfn.IFNA(VLOOKUP(INDIRECT("Sheet4!"&amp;"D"&amp;MATCH($C$2,Sheet4!$A:$A,0)+7),$C$7:$H$17,1,FALSE)&amp;CHAR(10)&amp;VLOOKUP(INDIRECT("Sheet4!"&amp;"D"&amp;MATCH($C$2,Sheet4!$A:$A,0)+7),$C$7:$H$17,5,FALSE),
VLOOKUP(INDIRECT("Sheet4!"&amp;"D"&amp;MATCH($C$2,Sheet4!$A:$A,0)+7),$I$7:$N$17,1,FALSE)&amp;CHAR(10)&amp;VLOOKUP(INDIRECT("Sheet4!"&amp;"D"&amp;MATCH($C$2,Sheet4!$A:$A,0)+7),$I$7:$N$17,5,FALSE)),"-"))))</f>
        <v>Amostra 1
108 E.N.</v>
      </c>
      <c r="H27" s="8" t="str" cm="1">
        <f t="array" aca="1" ref="H27" ca="1">IF(ISNUMBER(FIND("ctrl",INDIRECT("Sheet4!"&amp;"E"&amp;MATCH($C$2,Sheet4!$A:$A,0)+7))),
INDIRECT("Sheet4!"&amp;"E"&amp;MATCH($C$2,Sheet4!$A:$A,0)+7),IF(INDIRECT("Sheet4!"&amp;"E"&amp;MATCH($C$2,Sheet4!$A:$A,0)+7)="Água","Água",
IF(INDIRECT("Sheet4!"&amp;"E"&amp;MATCH($C$2,Sheet4!$A:$A,0)+7)="-","-",
IF(_xlfn.NUMBERVALUE(MID(INDIRECT("Sheet4!"&amp;"E"&amp;MATCH($C$2,Sheet4!$A:$A,0)+7),9,2))&lt;=$C$4,
_xlfn.IFNA(VLOOKUP(INDIRECT("Sheet4!"&amp;"E"&amp;MATCH($C$2,Sheet4!$A:$A,0)+7),$C$7:$H$17,1,FALSE)&amp;CHAR(10)&amp;VLOOKUP(INDIRECT("Sheet4!"&amp;"E"&amp;MATCH($C$2,Sheet4!$A:$A,0)+7),$C$7:$H$17,5,FALSE),
VLOOKUP(INDIRECT("Sheet4!"&amp;"E"&amp;MATCH($C$2,Sheet4!$A:$A,0)+7),$I$7:$N$17,1,FALSE)&amp;CHAR(10)&amp;VLOOKUP(INDIRECT("Sheet4!"&amp;"E"&amp;MATCH($C$2,Sheet4!$A:$A,0)+7),$I$7:$N$17,5,FALSE)),"-"))))</f>
        <v>Amostra 2
109 A.G.</v>
      </c>
      <c r="I27" s="8" t="str" cm="1">
        <f t="array" aca="1" ref="I27" ca="1">IF(ISNUMBER(FIND("ctrl",INDIRECT("Sheet4!"&amp;"F"&amp;MATCH($C$2,Sheet4!$A:$A,0)+7))),
INDIRECT("Sheet4!"&amp;"F"&amp;MATCH($C$2,Sheet4!$A:$A,0)+7),IF(INDIRECT("Sheet4!"&amp;"F"&amp;MATCH($C$2,Sheet4!$A:$A,0)+7)="Água","Água",
IF(INDIRECT("Sheet4!"&amp;"F"&amp;MATCH($C$2,Sheet4!$A:$A,0)+7)="-","-",
IF(_xlfn.NUMBERVALUE(MID(INDIRECT("Sheet4!"&amp;"F"&amp;MATCH($C$2,Sheet4!$A:$A,0)+7),9,2))&lt;=$C$4,
_xlfn.IFNA(VLOOKUP(INDIRECT("Sheet4!"&amp;"F"&amp;MATCH($C$2,Sheet4!$A:$A,0)+7),$C$7:$H$17,1,FALSE)&amp;CHAR(10)&amp;VLOOKUP(INDIRECT("Sheet4!"&amp;"F"&amp;MATCH($C$2,Sheet4!$A:$A,0)+7),$C$7:$H$17,5,FALSE),
VLOOKUP(INDIRECT("Sheet4!"&amp;"F"&amp;MATCH($C$2,Sheet4!$A:$A,0)+7),$I$7:$N$17,1,FALSE)&amp;CHAR(10)&amp;VLOOKUP(INDIRECT("Sheet4!"&amp;"F"&amp;MATCH($C$2,Sheet4!$A:$A,0)+7),$I$7:$N$17,5,FALSE)),"-"))))</f>
        <v>Amostra 3
110 G.B.</v>
      </c>
      <c r="J27" s="8" t="str" cm="1">
        <f t="array" aca="1" ref="J27" ca="1">IF(ISNUMBER(FIND("ctrl",INDIRECT("Sheet4!"&amp;"G"&amp;MATCH($C$2,Sheet4!$A:$A,0)+7))),
INDIRECT("Sheet4!"&amp;"G"&amp;MATCH($C$2,Sheet4!$A:$A,0)+7),IF(INDIRECT("Sheet4!"&amp;"G"&amp;MATCH($C$2,Sheet4!$A:$A,0)+7)="Água","Água",
IF(INDIRECT("Sheet4!"&amp;"G"&amp;MATCH($C$2,Sheet4!$A:$A,0)+7)="-","-",
IF(_xlfn.NUMBERVALUE(MID(INDIRECT("Sheet4!"&amp;"G"&amp;MATCH($C$2,Sheet4!$A:$A,0)+7),9,2))&lt;=$C$4,
_xlfn.IFNA(VLOOKUP(INDIRECT("Sheet4!"&amp;"G"&amp;MATCH($C$2,Sheet4!$A:$A,0)+7),$C$7:$H$17,1,FALSE)&amp;CHAR(10)&amp;VLOOKUP(INDIRECT("Sheet4!"&amp;"G"&amp;MATCH($C$2,Sheet4!$A:$A,0)+7),$C$7:$H$17,5,FALSE),
VLOOKUP(INDIRECT("Sheet4!"&amp;"G"&amp;MATCH($C$2,Sheet4!$A:$A,0)+7),$I$7:$N$17,1,FALSE)&amp;CHAR(10)&amp;VLOOKUP(INDIRECT("Sheet4!"&amp;"G"&amp;MATCH($C$2,Sheet4!$A:$A,0)+7),$I$7:$N$17,5,FALSE)),"-"))))</f>
        <v>Amostra 4
37S R.G.S.V</v>
      </c>
      <c r="K27" s="8" t="str" cm="1">
        <f t="array" aca="1" ref="K27" ca="1">IF(ISNUMBER(FIND("ctrl",INDIRECT("Sheet4!"&amp;"L"&amp;MATCH($C$2,Sheet4!$A:$A,0)+7))),
INDIRECT("Sheet4!"&amp;"L"&amp;MATCH($C$2,Sheet4!$A:$A,0)+7),IF(INDIRECT("Sheet4!"&amp;"L"&amp;MATCH($C$2,Sheet4!$A:$A,0)+7)="Água","Água",
IF(INDIRECT("Sheet4!"&amp;"L"&amp;MATCH($C$2,Sheet4!$A:$A,0)+7)="-","-",
IF(_xlfn.NUMBERVALUE(MID(INDIRECT("Sheet4!"&amp;"L"&amp;MATCH($C$2,Sheet4!$A:$A,0)+7),9,2))&lt;=$C$4,
_xlfn.IFNA(VLOOKUP(INDIRECT("Sheet4!"&amp;"L"&amp;MATCH($C$2,Sheet4!$A:$A,0)+7),$C$7:$H$17,1,FALSE)&amp;CHAR(10)&amp;VLOOKUP(INDIRECT("Sheet4!"&amp;"L"&amp;MATCH($C$2,Sheet4!$A:$A,0)+7),$C$7:$H$17,5,FALSE),
VLOOKUP(INDIRECT("Sheet4!"&amp;"L"&amp;MATCH($C$2,Sheet4!$A:$A,0)+7),$I$7:$N$17,1,FALSE)&amp;CHAR(10)&amp;VLOOKUP(INDIRECT("Sheet4!"&amp;"L"&amp;MATCH($C$2,Sheet4!$A:$A,0)+7),$I$7:$N$17,5,FALSE)),"-"))))</f>
        <v>-</v>
      </c>
      <c r="L27" s="8" t="str" cm="1">
        <f t="array" aca="1" ref="L27" ca="1">IF(ISNUMBER(FIND("ctrl",INDIRECT("Sheet4!"&amp;"M"&amp;MATCH($C$2,Sheet4!$A:$A,0)+7))),
INDIRECT("Sheet4!"&amp;"M"&amp;MATCH($C$2,Sheet4!$A:$A,0)+7),IF(INDIRECT("Sheet4!"&amp;"M"&amp;MATCH($C$2,Sheet4!$A:$A,0)+7)="Água","Água",
IF(INDIRECT("Sheet4!"&amp;"M"&amp;MATCH($C$2,Sheet4!$A:$A,0)+7)="-","-",
IF(_xlfn.NUMBERVALUE(MID(INDIRECT("Sheet4!"&amp;"M"&amp;MATCH($C$2,Sheet4!$A:$A,0)+7),9,2))&lt;=$C$4,
_xlfn.IFNA(VLOOKUP(INDIRECT("Sheet4!"&amp;"M"&amp;MATCH($C$2,Sheet4!$A:$A,0)+7),$C$7:$H$17,1,FALSE)&amp;CHAR(10)&amp;VLOOKUP(INDIRECT("Sheet4!"&amp;"M"&amp;MATCH($C$2,Sheet4!$A:$A,0)+7),$C$7:$H$17,5,FALSE),
VLOOKUP(INDIRECT("Sheet4!"&amp;"M"&amp;MATCH($C$2,Sheet4!$A:$A,0)+7),$I$7:$N$17,1,FALSE)&amp;CHAR(10)&amp;VLOOKUP(INDIRECT("Sheet4!"&amp;"M"&amp;MATCH($C$2,Sheet4!$A:$A,0)+7),$I$7:$N$17,5,FALSE)),"-"))))</f>
        <v>-</v>
      </c>
      <c r="M27" s="8" t="str" cm="1">
        <f t="array" aca="1" ref="M27" ca="1">IF(ISNUMBER(FIND("ctrl",INDIRECT("Sheet4!"&amp;"M"&amp;MATCH($C$2,Sheet4!$A:$A,0)+7))),
INDIRECT("Sheet4!"&amp;"M"&amp;MATCH($C$2,Sheet4!$A:$A,0)+7),IF(INDIRECT("Sheet4!"&amp;"M"&amp;MATCH($C$2,Sheet4!$A:$A,0)+7)="Água","Água",
IF(INDIRECT("Sheet4!"&amp;"M"&amp;MATCH($C$2,Sheet4!$A:$A,0)+7)="-","-",
IF(_xlfn.NUMBERVALUE(MID(INDIRECT("Sheet4!"&amp;"M"&amp;MATCH($C$2,Sheet4!$A:$A,0)+7),9,2))&lt;=$C$4,
_xlfn.IFNA(VLOOKUP(INDIRECT("Sheet4!"&amp;"M"&amp;MATCH($C$2,Sheet4!$A:$A,0)+7),$C$7:$H$17,1,FALSE)&amp;CHAR(10)&amp;VLOOKUP(INDIRECT("Sheet4!"&amp;"M"&amp;MATCH($C$2,Sheet4!$A:$A,0)+7),$C$7:$H$17,5,FALSE),
VLOOKUP(INDIRECT("Sheet4!"&amp;"M"&amp;MATCH($C$2,Sheet4!$A:$A,0)+7),$I$7:$N$17,1,FALSE)&amp;CHAR(10)&amp;VLOOKUP(INDIRECT("Sheet4!"&amp;"M"&amp;MATCH($C$2,Sheet4!$A:$A,0)+7),$I$7:$N$17,5,FALSE)),"-"))))</f>
        <v>-</v>
      </c>
      <c r="N27" s="8" t="str" cm="1">
        <f t="array" aca="1" ref="N27" ca="1">IF(ISNUMBER(FIND("ctrl",INDIRECT("Sheet4!"&amp;"O"&amp;MATCH($C$2,Sheet4!$A:$A,0)+7))),
INDIRECT("Sheet4!"&amp;"O"&amp;MATCH($C$2,Sheet4!$A:$A,0)+7),IF(INDIRECT("Sheet4!"&amp;"O"&amp;MATCH($C$2,Sheet4!$A:$A,0)+7)="Água","Água",
IF(INDIRECT("Sheet4!"&amp;"O"&amp;MATCH($C$2,Sheet4!$A:$A,0)+7)="-","-",
IF(_xlfn.NUMBERVALUE(MID(INDIRECT("Sheet4!"&amp;"O"&amp;MATCH($C$2,Sheet4!$A:$A,0)+7),9,2))&lt;=$C$4,
_xlfn.IFNA(VLOOKUP(INDIRECT("Sheet4!"&amp;"O"&amp;MATCH($C$2,Sheet4!$A:$A,0)+7),$C$7:$H$17,1,FALSE)&amp;CHAR(10)&amp;VLOOKUP(INDIRECT("Sheet4!"&amp;"O"&amp;MATCH($C$2,Sheet4!$A:$A,0)+7),$C$7:$H$17,5,FALSE),
VLOOKUP(INDIRECT("Sheet4!"&amp;"O"&amp;MATCH($C$2,Sheet4!$A:$A,0)+7),$I$7:$N$17,1,FALSE)&amp;CHAR(10)&amp;VLOOKUP(INDIRECT("Sheet4!"&amp;"O"&amp;MATCH($C$2,Sheet4!$A:$A,0)+7),$I$7:$N$17,5,FALSE)),"-"))))</f>
        <v>Água</v>
      </c>
    </row>
    <row r="28" spans="2:14" ht="15.75" thickBot="1" x14ac:dyDescent="0.3"/>
    <row r="29" spans="2:14" ht="16.5" thickBot="1" x14ac:dyDescent="0.3">
      <c r="C29" s="31" t="s">
        <v>62</v>
      </c>
      <c r="D29" s="33" t="s">
        <v>56</v>
      </c>
      <c r="E29" s="32"/>
      <c r="F29" s="22"/>
      <c r="G29" s="18"/>
      <c r="H29" s="19" t="s">
        <v>57</v>
      </c>
      <c r="I29" s="29" t="s">
        <v>103</v>
      </c>
    </row>
    <row r="30" spans="2:14" ht="16.5" thickBot="1" x14ac:dyDescent="0.3">
      <c r="C30" s="30" t="s">
        <v>61</v>
      </c>
      <c r="D30" s="21" t="s">
        <v>70</v>
      </c>
      <c r="E30" s="32"/>
      <c r="F30" s="22"/>
      <c r="G30" s="18"/>
      <c r="H30" s="19" t="s">
        <v>58</v>
      </c>
      <c r="I30" s="20">
        <v>44941</v>
      </c>
    </row>
    <row r="31" spans="2:14" ht="16.5" thickBot="1" x14ac:dyDescent="0.3">
      <c r="C31" s="30" t="s">
        <v>60</v>
      </c>
      <c r="D31" s="21" t="s">
        <v>64</v>
      </c>
      <c r="E31" s="22"/>
      <c r="F31" s="22"/>
      <c r="G31" s="23"/>
      <c r="H31" s="19" t="s">
        <v>59</v>
      </c>
      <c r="I31" s="20">
        <v>44777</v>
      </c>
    </row>
    <row r="33" spans="2:14" x14ac:dyDescent="0.25">
      <c r="B33" s="24" t="s">
        <v>63</v>
      </c>
      <c r="C33" s="25" t="s">
        <v>90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2:14" x14ac:dyDescent="0.25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2:14" x14ac:dyDescent="0.25"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</sheetData>
  <conditionalFormatting sqref="B1:N1 I4:K4 B6:N6 J2 I2:I3 K2:K3 I5:J5 B2:D2 B4:D5 B7:F17 H7:N17 B29:B31 I30:N30 B32:N1048576 F2:H2 J29:N29 J31:N31 M2:N5 B18:N28">
    <cfRule type="containsText" dxfId="1174" priority="265" operator="containsText" text="Água">
      <formula>NOT(ISERROR(SEARCH("Água",B1)))</formula>
    </cfRule>
    <cfRule type="containsText" dxfId="1173" priority="266" operator="containsText" text="WT">
      <formula>NOT(ISERROR(SEARCH("WT",B1)))</formula>
    </cfRule>
    <cfRule type="containsText" dxfId="1172" priority="267" operator="containsText" text="pos">
      <formula>NOT(ISERROR(SEARCH("pos",B1)))</formula>
    </cfRule>
    <cfRule type="containsText" dxfId="1171" priority="268" operator="containsText" text="Amostra 22">
      <formula>NOT(ISERROR(SEARCH("Amostra 22",B1)))</formula>
    </cfRule>
    <cfRule type="containsText" dxfId="1170" priority="269" operator="containsText" text="Amostra 21">
      <formula>NOT(ISERROR(SEARCH("Amostra 21",B1)))</formula>
    </cfRule>
    <cfRule type="containsText" dxfId="1169" priority="270" operator="containsText" text="Amostra 20">
      <formula>NOT(ISERROR(SEARCH("Amostra 20",B1)))</formula>
    </cfRule>
    <cfRule type="containsText" dxfId="1168" priority="271" operator="containsText" text="Amostra 19">
      <formula>NOT(ISERROR(SEARCH("Amostra 19",B1)))</formula>
    </cfRule>
    <cfRule type="containsText" dxfId="1167" priority="272" operator="containsText" text="Amostra 18">
      <formula>NOT(ISERROR(SEARCH("Amostra 18",B1)))</formula>
    </cfRule>
    <cfRule type="containsText" dxfId="1166" priority="273" operator="containsText" text="Amostra 17">
      <formula>NOT(ISERROR(SEARCH("Amostra 17",B1)))</formula>
    </cfRule>
    <cfRule type="containsText" dxfId="1165" priority="274" operator="containsText" text="Amostra 16">
      <formula>NOT(ISERROR(SEARCH("Amostra 16",B1)))</formula>
    </cfRule>
    <cfRule type="containsText" dxfId="1164" priority="275" operator="containsText" text="Amostra 15">
      <formula>NOT(ISERROR(SEARCH("Amostra 15",B1)))</formula>
    </cfRule>
    <cfRule type="containsText" dxfId="1163" priority="276" operator="containsText" text="Amostra 14">
      <formula>NOT(ISERROR(SEARCH("Amostra 14",B1)))</formula>
    </cfRule>
    <cfRule type="containsText" dxfId="1162" priority="277" operator="containsText" text="Amostra 13">
      <formula>NOT(ISERROR(SEARCH("Amostra 13",B1)))</formula>
    </cfRule>
    <cfRule type="containsText" dxfId="1161" priority="278" operator="containsText" text="Amostra 12">
      <formula>NOT(ISERROR(SEARCH("Amostra 12",B1)))</formula>
    </cfRule>
    <cfRule type="containsText" dxfId="1160" priority="279" operator="containsText" text="Amostra 11">
      <formula>NOT(ISERROR(SEARCH("Amostra 11",B1)))</formula>
    </cfRule>
    <cfRule type="containsText" dxfId="1159" priority="280" operator="containsText" text="Amostra 10">
      <formula>NOT(ISERROR(SEARCH("Amostra 10",B1)))</formula>
    </cfRule>
    <cfRule type="containsText" dxfId="1158" priority="281" operator="containsText" text="Amostra 9">
      <formula>NOT(ISERROR(SEARCH("Amostra 9",B1)))</formula>
    </cfRule>
    <cfRule type="containsText" dxfId="1157" priority="282" operator="containsText" text="Amostra 8">
      <formula>NOT(ISERROR(SEARCH("Amostra 8",B1)))</formula>
    </cfRule>
    <cfRule type="containsText" dxfId="1156" priority="283" operator="containsText" text="Amostra 7">
      <formula>NOT(ISERROR(SEARCH("Amostra 7",B1)))</formula>
    </cfRule>
    <cfRule type="containsText" dxfId="1155" priority="284" operator="containsText" text="Amostra 6">
      <formula>NOT(ISERROR(SEARCH("Amostra 6",B1)))</formula>
    </cfRule>
    <cfRule type="containsText" dxfId="1154" priority="285" operator="containsText" text="Amostra 5">
      <formula>NOT(ISERROR(SEARCH("Amostra 5",B1)))</formula>
    </cfRule>
    <cfRule type="containsText" dxfId="1153" priority="286" operator="containsText" text="Amostra 4">
      <formula>NOT(ISERROR(SEARCH("Amostra 4",B1)))</formula>
    </cfRule>
    <cfRule type="containsText" dxfId="1152" priority="287" operator="containsText" text="Amostra 3">
      <formula>NOT(ISERROR(SEARCH("Amostra 3",B1)))</formula>
    </cfRule>
    <cfRule type="containsText" dxfId="1151" priority="288" operator="containsText" text="Amostra 2">
      <formula>NOT(ISERROR(SEARCH("Amostra 2",B1)))</formula>
    </cfRule>
    <cfRule type="containsText" dxfId="1150" priority="289" operator="containsText" text="Amostra 1">
      <formula>NOT(ISERROR(SEARCH("Amostra 1",B1)))</formula>
    </cfRule>
  </conditionalFormatting>
  <conditionalFormatting sqref="G7:H17">
    <cfRule type="expression" dxfId="1149" priority="262">
      <formula>ISNUMBER(FIND("Amostra",$C7))</formula>
    </cfRule>
  </conditionalFormatting>
  <conditionalFormatting sqref="J7:J17">
    <cfRule type="expression" dxfId="1148" priority="263">
      <formula>ISNUMBER(FIND("Amostra",$I7))</formula>
    </cfRule>
  </conditionalFormatting>
  <conditionalFormatting sqref="D7:D17">
    <cfRule type="expression" dxfId="1147" priority="264">
      <formula>ISNUMBER(FIND("Amostra",$C7))</formula>
    </cfRule>
  </conditionalFormatting>
  <conditionalFormatting sqref="M7:N17">
    <cfRule type="expression" dxfId="1146" priority="261">
      <formula>ISNUMBER(FIND("Amostra",$I7))</formula>
    </cfRule>
  </conditionalFormatting>
  <conditionalFormatting sqref="E7:E17">
    <cfRule type="expression" dxfId="1145" priority="260">
      <formula>ISNUMBER(FIND("Amostra",$C7))</formula>
    </cfRule>
  </conditionalFormatting>
  <conditionalFormatting sqref="K7:K17">
    <cfRule type="expression" dxfId="1144" priority="259">
      <formula>ISNUMBER(FIND("Amostra",$I7))</formula>
    </cfRule>
  </conditionalFormatting>
  <conditionalFormatting sqref="K4">
    <cfRule type="containsText" dxfId="1143" priority="234" operator="containsText" text="Agua">
      <formula>NOT(ISERROR(SEARCH("Agua",K4)))</formula>
    </cfRule>
    <cfRule type="containsText" dxfId="1142" priority="235" operator="containsText" text="WT">
      <formula>NOT(ISERROR(SEARCH("WT",K4)))</formula>
    </cfRule>
    <cfRule type="containsText" dxfId="1141" priority="236" operator="containsText" text="pos">
      <formula>NOT(ISERROR(SEARCH("pos",K4)))</formula>
    </cfRule>
    <cfRule type="containsText" dxfId="1140" priority="237" operator="containsText" text="Amostra 22">
      <formula>NOT(ISERROR(SEARCH("Amostra 22",K4)))</formula>
    </cfRule>
    <cfRule type="containsText" dxfId="1139" priority="238" operator="containsText" text="Amostra 21">
      <formula>NOT(ISERROR(SEARCH("Amostra 21",K4)))</formula>
    </cfRule>
    <cfRule type="containsText" dxfId="1138" priority="239" operator="containsText" text="Amostra 20">
      <formula>NOT(ISERROR(SEARCH("Amostra 20",K4)))</formula>
    </cfRule>
    <cfRule type="containsText" dxfId="1137" priority="240" operator="containsText" text="Amostra 19">
      <formula>NOT(ISERROR(SEARCH("Amostra 19",K4)))</formula>
    </cfRule>
    <cfRule type="containsText" dxfId="1136" priority="241" operator="containsText" text="Amostra 18">
      <formula>NOT(ISERROR(SEARCH("Amostra 18",K4)))</formula>
    </cfRule>
    <cfRule type="containsText" dxfId="1135" priority="242" operator="containsText" text="Amostra 17">
      <formula>NOT(ISERROR(SEARCH("Amostra 17",K4)))</formula>
    </cfRule>
    <cfRule type="containsText" dxfId="1134" priority="243" operator="containsText" text="Amostra 16">
      <formula>NOT(ISERROR(SEARCH("Amostra 16",K4)))</formula>
    </cfRule>
    <cfRule type="containsText" dxfId="1133" priority="244" operator="containsText" text="Amostra 15">
      <formula>NOT(ISERROR(SEARCH("Amostra 15",K4)))</formula>
    </cfRule>
    <cfRule type="containsText" dxfId="1132" priority="245" operator="containsText" text="Amostra 14">
      <formula>NOT(ISERROR(SEARCH("Amostra 14",K4)))</formula>
    </cfRule>
    <cfRule type="containsText" dxfId="1131" priority="246" operator="containsText" text="Amostra 13">
      <formula>NOT(ISERROR(SEARCH("Amostra 13",K4)))</formula>
    </cfRule>
    <cfRule type="containsText" dxfId="1130" priority="247" operator="containsText" text="Amostra 12">
      <formula>NOT(ISERROR(SEARCH("Amostra 12",K4)))</formula>
    </cfRule>
    <cfRule type="containsText" dxfId="1129" priority="248" operator="containsText" text="Amostra 11">
      <formula>NOT(ISERROR(SEARCH("Amostra 11",K4)))</formula>
    </cfRule>
    <cfRule type="containsText" dxfId="1128" priority="249" operator="containsText" text="Amostra 10">
      <formula>NOT(ISERROR(SEARCH("Amostra 10",K4)))</formula>
    </cfRule>
    <cfRule type="containsText" dxfId="1127" priority="250" operator="containsText" text="Amostra 9">
      <formula>NOT(ISERROR(SEARCH("Amostra 9",K4)))</formula>
    </cfRule>
    <cfRule type="containsText" dxfId="1126" priority="251" operator="containsText" text="Amostra 8">
      <formula>NOT(ISERROR(SEARCH("Amostra 8",K4)))</formula>
    </cfRule>
    <cfRule type="containsText" dxfId="1125" priority="252" operator="containsText" text="Amostra 7">
      <formula>NOT(ISERROR(SEARCH("Amostra 7",K4)))</formula>
    </cfRule>
    <cfRule type="containsText" dxfId="1124" priority="253" operator="containsText" text="Amostra 6">
      <formula>NOT(ISERROR(SEARCH("Amostra 6",K4)))</formula>
    </cfRule>
    <cfRule type="containsText" dxfId="1123" priority="254" operator="containsText" text="Amostra 5">
      <formula>NOT(ISERROR(SEARCH("Amostra 5",K4)))</formula>
    </cfRule>
    <cfRule type="containsText" dxfId="1122" priority="255" operator="containsText" text="Amostra 4">
      <formula>NOT(ISERROR(SEARCH("Amostra 4",K4)))</formula>
    </cfRule>
    <cfRule type="containsText" dxfId="1121" priority="256" operator="containsText" text="Amostra 3">
      <formula>NOT(ISERROR(SEARCH("Amostra 3",K4)))</formula>
    </cfRule>
    <cfRule type="containsText" dxfId="1120" priority="257" operator="containsText" text="Amostra 2">
      <formula>NOT(ISERROR(SEARCH("Amostra 2",K4)))</formula>
    </cfRule>
    <cfRule type="containsText" dxfId="1119" priority="258" operator="containsText" text="Amostra 1">
      <formula>NOT(ISERROR(SEARCH("Amostra 1",K4)))</formula>
    </cfRule>
  </conditionalFormatting>
  <conditionalFormatting sqref="M4">
    <cfRule type="containsText" dxfId="1118" priority="208" operator="containsText" text="Agua">
      <formula>NOT(ISERROR(SEARCH("Agua",M4)))</formula>
    </cfRule>
    <cfRule type="containsText" dxfId="1117" priority="209" operator="containsText" text="WT">
      <formula>NOT(ISERROR(SEARCH("WT",M4)))</formula>
    </cfRule>
    <cfRule type="containsText" dxfId="1116" priority="210" operator="containsText" text="pos">
      <formula>NOT(ISERROR(SEARCH("pos",M4)))</formula>
    </cfRule>
    <cfRule type="containsText" dxfId="1115" priority="211" operator="containsText" text="Amostra 22">
      <formula>NOT(ISERROR(SEARCH("Amostra 22",M4)))</formula>
    </cfRule>
    <cfRule type="containsText" dxfId="1114" priority="212" operator="containsText" text="Amostra 21">
      <formula>NOT(ISERROR(SEARCH("Amostra 21",M4)))</formula>
    </cfRule>
    <cfRule type="containsText" dxfId="1113" priority="213" operator="containsText" text="Amostra 20">
      <formula>NOT(ISERROR(SEARCH("Amostra 20",M4)))</formula>
    </cfRule>
    <cfRule type="containsText" dxfId="1112" priority="214" operator="containsText" text="Amostra 19">
      <formula>NOT(ISERROR(SEARCH("Amostra 19",M4)))</formula>
    </cfRule>
    <cfRule type="containsText" dxfId="1111" priority="215" operator="containsText" text="Amostra 18">
      <formula>NOT(ISERROR(SEARCH("Amostra 18",M4)))</formula>
    </cfRule>
    <cfRule type="containsText" dxfId="1110" priority="216" operator="containsText" text="Amostra 17">
      <formula>NOT(ISERROR(SEARCH("Amostra 17",M4)))</formula>
    </cfRule>
    <cfRule type="containsText" dxfId="1109" priority="217" operator="containsText" text="Amostra 16">
      <formula>NOT(ISERROR(SEARCH("Amostra 16",M4)))</formula>
    </cfRule>
    <cfRule type="containsText" dxfId="1108" priority="218" operator="containsText" text="Amostra 15">
      <formula>NOT(ISERROR(SEARCH("Amostra 15",M4)))</formula>
    </cfRule>
    <cfRule type="containsText" dxfId="1107" priority="219" operator="containsText" text="Amostra 14">
      <formula>NOT(ISERROR(SEARCH("Amostra 14",M4)))</formula>
    </cfRule>
    <cfRule type="containsText" dxfId="1106" priority="220" operator="containsText" text="Amostra 13">
      <formula>NOT(ISERROR(SEARCH("Amostra 13",M4)))</formula>
    </cfRule>
    <cfRule type="containsText" dxfId="1105" priority="221" operator="containsText" text="Amostra 12">
      <formula>NOT(ISERROR(SEARCH("Amostra 12",M4)))</formula>
    </cfRule>
    <cfRule type="containsText" dxfId="1104" priority="222" operator="containsText" text="Amostra 11">
      <formula>NOT(ISERROR(SEARCH("Amostra 11",M4)))</formula>
    </cfRule>
    <cfRule type="containsText" dxfId="1103" priority="223" operator="containsText" text="Amostra 10">
      <formula>NOT(ISERROR(SEARCH("Amostra 10",M4)))</formula>
    </cfRule>
    <cfRule type="containsText" dxfId="1102" priority="224" operator="containsText" text="Amostra 9">
      <formula>NOT(ISERROR(SEARCH("Amostra 9",M4)))</formula>
    </cfRule>
    <cfRule type="containsText" dxfId="1101" priority="225" operator="containsText" text="Amostra 8">
      <formula>NOT(ISERROR(SEARCH("Amostra 8",M4)))</formula>
    </cfRule>
    <cfRule type="containsText" dxfId="1100" priority="226" operator="containsText" text="Amostra 7">
      <formula>NOT(ISERROR(SEARCH("Amostra 7",M4)))</formula>
    </cfRule>
    <cfRule type="containsText" dxfId="1099" priority="227" operator="containsText" text="Amostra 6">
      <formula>NOT(ISERROR(SEARCH("Amostra 6",M4)))</formula>
    </cfRule>
    <cfRule type="containsText" dxfId="1098" priority="228" operator="containsText" text="Amostra 5">
      <formula>NOT(ISERROR(SEARCH("Amostra 5",M4)))</formula>
    </cfRule>
    <cfRule type="containsText" dxfId="1097" priority="229" operator="containsText" text="Amostra 4">
      <formula>NOT(ISERROR(SEARCH("Amostra 4",M4)))</formula>
    </cfRule>
    <cfRule type="containsText" dxfId="1096" priority="230" operator="containsText" text="Amostra 3">
      <formula>NOT(ISERROR(SEARCH("Amostra 3",M4)))</formula>
    </cfRule>
    <cfRule type="containsText" dxfId="1095" priority="231" operator="containsText" text="Amostra 2">
      <formula>NOT(ISERROR(SEARCH("Amostra 2",M4)))</formula>
    </cfRule>
    <cfRule type="containsText" dxfId="1094" priority="232" operator="containsText" text="Amostra 1">
      <formula>NOT(ISERROR(SEARCH("Amostra 1",M4)))</formula>
    </cfRule>
  </conditionalFormatting>
  <conditionalFormatting sqref="K5">
    <cfRule type="containsText" dxfId="1093" priority="182" operator="containsText" text="Agua">
      <formula>NOT(ISERROR(SEARCH("Agua",K5)))</formula>
    </cfRule>
    <cfRule type="containsText" dxfId="1092" priority="183" operator="containsText" text="WT">
      <formula>NOT(ISERROR(SEARCH("WT",K5)))</formula>
    </cfRule>
    <cfRule type="containsText" dxfId="1091" priority="184" operator="containsText" text="pos">
      <formula>NOT(ISERROR(SEARCH("pos",K5)))</formula>
    </cfRule>
    <cfRule type="containsText" dxfId="1090" priority="185" operator="containsText" text="Amostra 22">
      <formula>NOT(ISERROR(SEARCH("Amostra 22",K5)))</formula>
    </cfRule>
    <cfRule type="containsText" dxfId="1089" priority="186" operator="containsText" text="Amostra 21">
      <formula>NOT(ISERROR(SEARCH("Amostra 21",K5)))</formula>
    </cfRule>
    <cfRule type="containsText" dxfId="1088" priority="187" operator="containsText" text="Amostra 20">
      <formula>NOT(ISERROR(SEARCH("Amostra 20",K5)))</formula>
    </cfRule>
    <cfRule type="containsText" dxfId="1087" priority="188" operator="containsText" text="Amostra 19">
      <formula>NOT(ISERROR(SEARCH("Amostra 19",K5)))</formula>
    </cfRule>
    <cfRule type="containsText" dxfId="1086" priority="189" operator="containsText" text="Amostra 18">
      <formula>NOT(ISERROR(SEARCH("Amostra 18",K5)))</formula>
    </cfRule>
    <cfRule type="containsText" dxfId="1085" priority="190" operator="containsText" text="Amostra 17">
      <formula>NOT(ISERROR(SEARCH("Amostra 17",K5)))</formula>
    </cfRule>
    <cfRule type="containsText" dxfId="1084" priority="191" operator="containsText" text="Amostra 16">
      <formula>NOT(ISERROR(SEARCH("Amostra 16",K5)))</formula>
    </cfRule>
    <cfRule type="containsText" dxfId="1083" priority="192" operator="containsText" text="Amostra 15">
      <formula>NOT(ISERROR(SEARCH("Amostra 15",K5)))</formula>
    </cfRule>
    <cfRule type="containsText" dxfId="1082" priority="193" operator="containsText" text="Amostra 14">
      <formula>NOT(ISERROR(SEARCH("Amostra 14",K5)))</formula>
    </cfRule>
    <cfRule type="containsText" dxfId="1081" priority="194" operator="containsText" text="Amostra 13">
      <formula>NOT(ISERROR(SEARCH("Amostra 13",K5)))</formula>
    </cfRule>
    <cfRule type="containsText" dxfId="1080" priority="195" operator="containsText" text="Amostra 12">
      <formula>NOT(ISERROR(SEARCH("Amostra 12",K5)))</formula>
    </cfRule>
    <cfRule type="containsText" dxfId="1079" priority="196" operator="containsText" text="Amostra 11">
      <formula>NOT(ISERROR(SEARCH("Amostra 11",K5)))</formula>
    </cfRule>
    <cfRule type="containsText" dxfId="1078" priority="197" operator="containsText" text="Amostra 10">
      <formula>NOT(ISERROR(SEARCH("Amostra 10",K5)))</formula>
    </cfRule>
    <cfRule type="containsText" dxfId="1077" priority="198" operator="containsText" text="Amostra 9">
      <formula>NOT(ISERROR(SEARCH("Amostra 9",K5)))</formula>
    </cfRule>
    <cfRule type="containsText" dxfId="1076" priority="199" operator="containsText" text="Amostra 8">
      <formula>NOT(ISERROR(SEARCH("Amostra 8",K5)))</formula>
    </cfRule>
    <cfRule type="containsText" dxfId="1075" priority="200" operator="containsText" text="Amostra 7">
      <formula>NOT(ISERROR(SEARCH("Amostra 7",K5)))</formula>
    </cfRule>
    <cfRule type="containsText" dxfId="1074" priority="201" operator="containsText" text="Amostra 6">
      <formula>NOT(ISERROR(SEARCH("Amostra 6",K5)))</formula>
    </cfRule>
    <cfRule type="containsText" dxfId="1073" priority="202" operator="containsText" text="Amostra 5">
      <formula>NOT(ISERROR(SEARCH("Amostra 5",K5)))</formula>
    </cfRule>
    <cfRule type="containsText" dxfId="1072" priority="203" operator="containsText" text="Amostra 4">
      <formula>NOT(ISERROR(SEARCH("Amostra 4",K5)))</formula>
    </cfRule>
    <cfRule type="containsText" dxfId="1071" priority="204" operator="containsText" text="Amostra 3">
      <formula>NOT(ISERROR(SEARCH("Amostra 3",K5)))</formula>
    </cfRule>
    <cfRule type="containsText" dxfId="1070" priority="205" operator="containsText" text="Amostra 2">
      <formula>NOT(ISERROR(SEARCH("Amostra 2",K5)))</formula>
    </cfRule>
    <cfRule type="containsText" dxfId="1069" priority="206" operator="containsText" text="Amostra 1">
      <formula>NOT(ISERROR(SEARCH("Amostra 1",K5)))</formula>
    </cfRule>
  </conditionalFormatting>
  <conditionalFormatting sqref="L5">
    <cfRule type="containsText" dxfId="1068" priority="156" operator="containsText" text="Agua">
      <formula>NOT(ISERROR(SEARCH("Agua",L5)))</formula>
    </cfRule>
    <cfRule type="containsText" dxfId="1067" priority="157" operator="containsText" text="WT">
      <formula>NOT(ISERROR(SEARCH("WT",L5)))</formula>
    </cfRule>
    <cfRule type="containsText" dxfId="1066" priority="158" operator="containsText" text="pos">
      <formula>NOT(ISERROR(SEARCH("pos",L5)))</formula>
    </cfRule>
    <cfRule type="containsText" dxfId="1065" priority="159" operator="containsText" text="Amostra 22">
      <formula>NOT(ISERROR(SEARCH("Amostra 22",L5)))</formula>
    </cfRule>
    <cfRule type="containsText" dxfId="1064" priority="160" operator="containsText" text="Amostra 21">
      <formula>NOT(ISERROR(SEARCH("Amostra 21",L5)))</formula>
    </cfRule>
    <cfRule type="containsText" dxfId="1063" priority="161" operator="containsText" text="Amostra 20">
      <formula>NOT(ISERROR(SEARCH("Amostra 20",L5)))</formula>
    </cfRule>
    <cfRule type="containsText" dxfId="1062" priority="162" operator="containsText" text="Amostra 19">
      <formula>NOT(ISERROR(SEARCH("Amostra 19",L5)))</formula>
    </cfRule>
    <cfRule type="containsText" dxfId="1061" priority="163" operator="containsText" text="Amostra 18">
      <formula>NOT(ISERROR(SEARCH("Amostra 18",L5)))</formula>
    </cfRule>
    <cfRule type="containsText" dxfId="1060" priority="164" operator="containsText" text="Amostra 17">
      <formula>NOT(ISERROR(SEARCH("Amostra 17",L5)))</formula>
    </cfRule>
    <cfRule type="containsText" dxfId="1059" priority="165" operator="containsText" text="Amostra 16">
      <formula>NOT(ISERROR(SEARCH("Amostra 16",L5)))</formula>
    </cfRule>
    <cfRule type="containsText" dxfId="1058" priority="166" operator="containsText" text="Amostra 15">
      <formula>NOT(ISERROR(SEARCH("Amostra 15",L5)))</formula>
    </cfRule>
    <cfRule type="containsText" dxfId="1057" priority="167" operator="containsText" text="Amostra 14">
      <formula>NOT(ISERROR(SEARCH("Amostra 14",L5)))</formula>
    </cfRule>
    <cfRule type="containsText" dxfId="1056" priority="168" operator="containsText" text="Amostra 13">
      <formula>NOT(ISERROR(SEARCH("Amostra 13",L5)))</formula>
    </cfRule>
    <cfRule type="containsText" dxfId="1055" priority="169" operator="containsText" text="Amostra 12">
      <formula>NOT(ISERROR(SEARCH("Amostra 12",L5)))</formula>
    </cfRule>
    <cfRule type="containsText" dxfId="1054" priority="170" operator="containsText" text="Amostra 11">
      <formula>NOT(ISERROR(SEARCH("Amostra 11",L5)))</formula>
    </cfRule>
    <cfRule type="containsText" dxfId="1053" priority="171" operator="containsText" text="Amostra 10">
      <formula>NOT(ISERROR(SEARCH("Amostra 10",L5)))</formula>
    </cfRule>
    <cfRule type="containsText" dxfId="1052" priority="172" operator="containsText" text="Amostra 9">
      <formula>NOT(ISERROR(SEARCH("Amostra 9",L5)))</formula>
    </cfRule>
    <cfRule type="containsText" dxfId="1051" priority="173" operator="containsText" text="Amostra 8">
      <formula>NOT(ISERROR(SEARCH("Amostra 8",L5)))</formula>
    </cfRule>
    <cfRule type="containsText" dxfId="1050" priority="174" operator="containsText" text="Amostra 7">
      <formula>NOT(ISERROR(SEARCH("Amostra 7",L5)))</formula>
    </cfRule>
    <cfRule type="containsText" dxfId="1049" priority="175" operator="containsText" text="Amostra 6">
      <formula>NOT(ISERROR(SEARCH("Amostra 6",L5)))</formula>
    </cfRule>
    <cfRule type="containsText" dxfId="1048" priority="176" operator="containsText" text="Amostra 5">
      <formula>NOT(ISERROR(SEARCH("Amostra 5",L5)))</formula>
    </cfRule>
    <cfRule type="containsText" dxfId="1047" priority="177" operator="containsText" text="Amostra 4">
      <formula>NOT(ISERROR(SEARCH("Amostra 4",L5)))</formula>
    </cfRule>
    <cfRule type="containsText" dxfId="1046" priority="178" operator="containsText" text="Amostra 3">
      <formula>NOT(ISERROR(SEARCH("Amostra 3",L5)))</formula>
    </cfRule>
    <cfRule type="containsText" dxfId="1045" priority="179" operator="containsText" text="Amostra 2">
      <formula>NOT(ISERROR(SEARCH("Amostra 2",L5)))</formula>
    </cfRule>
    <cfRule type="containsText" dxfId="1044" priority="180" operator="containsText" text="Amostra 1">
      <formula>NOT(ISERROR(SEARCH("Amostra 1",L5)))</formula>
    </cfRule>
  </conditionalFormatting>
  <conditionalFormatting sqref="F7:F17">
    <cfRule type="expression" dxfId="1043" priority="154">
      <formula>ISNUMBER(FIND("Amostra",$C7))</formula>
    </cfRule>
  </conditionalFormatting>
  <conditionalFormatting sqref="L7:L17">
    <cfRule type="expression" dxfId="1042" priority="153">
      <formula>ISNUMBER(FIND("Amostra",$I7))</formula>
    </cfRule>
  </conditionalFormatting>
  <conditionalFormatting sqref="D4:F4">
    <cfRule type="expression" dxfId="1041" priority="152">
      <formula>ISNUMBER(FIND("ERRO",$D$4))</formula>
    </cfRule>
  </conditionalFormatting>
  <conditionalFormatting sqref="I31">
    <cfRule type="containsText" dxfId="1040" priority="102" operator="containsText" text="Água">
      <formula>NOT(ISERROR(SEARCH("Água",I31)))</formula>
    </cfRule>
    <cfRule type="containsText" dxfId="1039" priority="103" operator="containsText" text="WT">
      <formula>NOT(ISERROR(SEARCH("WT",I31)))</formula>
    </cfRule>
    <cfRule type="containsText" dxfId="1038" priority="104" operator="containsText" text="pos">
      <formula>NOT(ISERROR(SEARCH("pos",I31)))</formula>
    </cfRule>
    <cfRule type="containsText" dxfId="1037" priority="105" operator="containsText" text="Amostra 22">
      <formula>NOT(ISERROR(SEARCH("Amostra 22",I31)))</formula>
    </cfRule>
    <cfRule type="containsText" dxfId="1036" priority="106" operator="containsText" text="Amostra 21">
      <formula>NOT(ISERROR(SEARCH("Amostra 21",I31)))</formula>
    </cfRule>
    <cfRule type="containsText" dxfId="1035" priority="107" operator="containsText" text="Amostra 20">
      <formula>NOT(ISERROR(SEARCH("Amostra 20",I31)))</formula>
    </cfRule>
    <cfRule type="containsText" dxfId="1034" priority="108" operator="containsText" text="Amostra 19">
      <formula>NOT(ISERROR(SEARCH("Amostra 19",I31)))</formula>
    </cfRule>
    <cfRule type="containsText" dxfId="1033" priority="109" operator="containsText" text="Amostra 18">
      <formula>NOT(ISERROR(SEARCH("Amostra 18",I31)))</formula>
    </cfRule>
    <cfRule type="containsText" dxfId="1032" priority="110" operator="containsText" text="Amostra 17">
      <formula>NOT(ISERROR(SEARCH("Amostra 17",I31)))</formula>
    </cfRule>
    <cfRule type="containsText" dxfId="1031" priority="111" operator="containsText" text="Amostra 16">
      <formula>NOT(ISERROR(SEARCH("Amostra 16",I31)))</formula>
    </cfRule>
    <cfRule type="containsText" dxfId="1030" priority="112" operator="containsText" text="Amostra 15">
      <formula>NOT(ISERROR(SEARCH("Amostra 15",I31)))</formula>
    </cfRule>
    <cfRule type="containsText" dxfId="1029" priority="113" operator="containsText" text="Amostra 14">
      <formula>NOT(ISERROR(SEARCH("Amostra 14",I31)))</formula>
    </cfRule>
    <cfRule type="containsText" dxfId="1028" priority="114" operator="containsText" text="Amostra 13">
      <formula>NOT(ISERROR(SEARCH("Amostra 13",I31)))</formula>
    </cfRule>
    <cfRule type="containsText" dxfId="1027" priority="115" operator="containsText" text="Amostra 12">
      <formula>NOT(ISERROR(SEARCH("Amostra 12",I31)))</formula>
    </cfRule>
    <cfRule type="containsText" dxfId="1026" priority="116" operator="containsText" text="Amostra 11">
      <formula>NOT(ISERROR(SEARCH("Amostra 11",I31)))</formula>
    </cfRule>
    <cfRule type="containsText" dxfId="1025" priority="117" operator="containsText" text="Amostra 10">
      <formula>NOT(ISERROR(SEARCH("Amostra 10",I31)))</formula>
    </cfRule>
    <cfRule type="containsText" dxfId="1024" priority="118" operator="containsText" text="Amostra 9">
      <formula>NOT(ISERROR(SEARCH("Amostra 9",I31)))</formula>
    </cfRule>
    <cfRule type="containsText" dxfId="1023" priority="119" operator="containsText" text="Amostra 8">
      <formula>NOT(ISERROR(SEARCH("Amostra 8",I31)))</formula>
    </cfRule>
    <cfRule type="containsText" dxfId="1022" priority="120" operator="containsText" text="Amostra 7">
      <formula>NOT(ISERROR(SEARCH("Amostra 7",I31)))</formula>
    </cfRule>
    <cfRule type="containsText" dxfId="1021" priority="121" operator="containsText" text="Amostra 6">
      <formula>NOT(ISERROR(SEARCH("Amostra 6",I31)))</formula>
    </cfRule>
    <cfRule type="containsText" dxfId="1020" priority="122" operator="containsText" text="Amostra 5">
      <formula>NOT(ISERROR(SEARCH("Amostra 5",I31)))</formula>
    </cfRule>
    <cfRule type="containsText" dxfId="1019" priority="123" operator="containsText" text="Amostra 4">
      <formula>NOT(ISERROR(SEARCH("Amostra 4",I31)))</formula>
    </cfRule>
    <cfRule type="containsText" dxfId="1018" priority="124" operator="containsText" text="Amostra 3">
      <formula>NOT(ISERROR(SEARCH("Amostra 3",I31)))</formula>
    </cfRule>
    <cfRule type="containsText" dxfId="1017" priority="125" operator="containsText" text="Amostra 2">
      <formula>NOT(ISERROR(SEARCH("Amostra 2",I31)))</formula>
    </cfRule>
    <cfRule type="containsText" dxfId="1016" priority="126" operator="containsText" text="Amostra 1">
      <formula>NOT(ISERROR(SEARCH("Amostra 1",I31)))</formula>
    </cfRule>
  </conditionalFormatting>
  <conditionalFormatting sqref="L2:L3">
    <cfRule type="containsText" dxfId="1015" priority="77" operator="containsText" text="Água">
      <formula>NOT(ISERROR(SEARCH("Água",L2)))</formula>
    </cfRule>
    <cfRule type="containsText" dxfId="1014" priority="78" operator="containsText" text="WT">
      <formula>NOT(ISERROR(SEARCH("WT",L2)))</formula>
    </cfRule>
    <cfRule type="containsText" dxfId="1013" priority="79" operator="containsText" text="pos">
      <formula>NOT(ISERROR(SEARCH("pos",L2)))</formula>
    </cfRule>
    <cfRule type="containsText" dxfId="1012" priority="80" operator="containsText" text="Amostra 22">
      <formula>NOT(ISERROR(SEARCH("Amostra 22",L2)))</formula>
    </cfRule>
    <cfRule type="containsText" dxfId="1011" priority="81" operator="containsText" text="Amostra 21">
      <formula>NOT(ISERROR(SEARCH("Amostra 21",L2)))</formula>
    </cfRule>
    <cfRule type="containsText" dxfId="1010" priority="82" operator="containsText" text="Amostra 20">
      <formula>NOT(ISERROR(SEARCH("Amostra 20",L2)))</formula>
    </cfRule>
    <cfRule type="containsText" dxfId="1009" priority="83" operator="containsText" text="Amostra 19">
      <formula>NOT(ISERROR(SEARCH("Amostra 19",L2)))</formula>
    </cfRule>
    <cfRule type="containsText" dxfId="1008" priority="84" operator="containsText" text="Amostra 18">
      <formula>NOT(ISERROR(SEARCH("Amostra 18",L2)))</formula>
    </cfRule>
    <cfRule type="containsText" dxfId="1007" priority="85" operator="containsText" text="Amostra 17">
      <formula>NOT(ISERROR(SEARCH("Amostra 17",L2)))</formula>
    </cfRule>
    <cfRule type="containsText" dxfId="1006" priority="86" operator="containsText" text="Amostra 16">
      <formula>NOT(ISERROR(SEARCH("Amostra 16",L2)))</formula>
    </cfRule>
    <cfRule type="containsText" dxfId="1005" priority="87" operator="containsText" text="Amostra 15">
      <formula>NOT(ISERROR(SEARCH("Amostra 15",L2)))</formula>
    </cfRule>
    <cfRule type="containsText" dxfId="1004" priority="88" operator="containsText" text="Amostra 14">
      <formula>NOT(ISERROR(SEARCH("Amostra 14",L2)))</formula>
    </cfRule>
    <cfRule type="containsText" dxfId="1003" priority="89" operator="containsText" text="Amostra 13">
      <formula>NOT(ISERROR(SEARCH("Amostra 13",L2)))</formula>
    </cfRule>
    <cfRule type="containsText" dxfId="1002" priority="90" operator="containsText" text="Amostra 12">
      <formula>NOT(ISERROR(SEARCH("Amostra 12",L2)))</formula>
    </cfRule>
    <cfRule type="containsText" dxfId="1001" priority="91" operator="containsText" text="Amostra 11">
      <formula>NOT(ISERROR(SEARCH("Amostra 11",L2)))</formula>
    </cfRule>
    <cfRule type="containsText" dxfId="1000" priority="92" operator="containsText" text="Amostra 10">
      <formula>NOT(ISERROR(SEARCH("Amostra 10",L2)))</formula>
    </cfRule>
    <cfRule type="containsText" dxfId="999" priority="93" operator="containsText" text="Amostra 9">
      <formula>NOT(ISERROR(SEARCH("Amostra 9",L2)))</formula>
    </cfRule>
    <cfRule type="containsText" dxfId="998" priority="94" operator="containsText" text="Amostra 8">
      <formula>NOT(ISERROR(SEARCH("Amostra 8",L2)))</formula>
    </cfRule>
    <cfRule type="containsText" dxfId="997" priority="95" operator="containsText" text="Amostra 7">
      <formula>NOT(ISERROR(SEARCH("Amostra 7",L2)))</formula>
    </cfRule>
    <cfRule type="containsText" dxfId="996" priority="96" operator="containsText" text="Amostra 6">
      <formula>NOT(ISERROR(SEARCH("Amostra 6",L2)))</formula>
    </cfRule>
    <cfRule type="containsText" dxfId="995" priority="97" operator="containsText" text="Amostra 5">
      <formula>NOT(ISERROR(SEARCH("Amostra 5",L2)))</formula>
    </cfRule>
    <cfRule type="containsText" dxfId="994" priority="98" operator="containsText" text="Amostra 4">
      <formula>NOT(ISERROR(SEARCH("Amostra 4",L2)))</formula>
    </cfRule>
    <cfRule type="containsText" dxfId="993" priority="99" operator="containsText" text="Amostra 3">
      <formula>NOT(ISERROR(SEARCH("Amostra 3",L2)))</formula>
    </cfRule>
    <cfRule type="containsText" dxfId="992" priority="100" operator="containsText" text="Amostra 2">
      <formula>NOT(ISERROR(SEARCH("Amostra 2",L2)))</formula>
    </cfRule>
    <cfRule type="containsText" dxfId="991" priority="101" operator="containsText" text="Amostra 1">
      <formula>NOT(ISERROR(SEARCH("Amostra 1",L2)))</formula>
    </cfRule>
  </conditionalFormatting>
  <conditionalFormatting sqref="L4">
    <cfRule type="containsText" dxfId="990" priority="52" operator="containsText" text="Água">
      <formula>NOT(ISERROR(SEARCH("Água",L4)))</formula>
    </cfRule>
    <cfRule type="containsText" dxfId="989" priority="53" operator="containsText" text="WT">
      <formula>NOT(ISERROR(SEARCH("WT",L4)))</formula>
    </cfRule>
    <cfRule type="containsText" dxfId="988" priority="54" operator="containsText" text="pos">
      <formula>NOT(ISERROR(SEARCH("pos",L4)))</formula>
    </cfRule>
    <cfRule type="containsText" dxfId="987" priority="55" operator="containsText" text="Amostra 22">
      <formula>NOT(ISERROR(SEARCH("Amostra 22",L4)))</formula>
    </cfRule>
    <cfRule type="containsText" dxfId="986" priority="56" operator="containsText" text="Amostra 21">
      <formula>NOT(ISERROR(SEARCH("Amostra 21",L4)))</formula>
    </cfRule>
    <cfRule type="containsText" dxfId="985" priority="57" operator="containsText" text="Amostra 20">
      <formula>NOT(ISERROR(SEARCH("Amostra 20",L4)))</formula>
    </cfRule>
    <cfRule type="containsText" dxfId="984" priority="58" operator="containsText" text="Amostra 19">
      <formula>NOT(ISERROR(SEARCH("Amostra 19",L4)))</formula>
    </cfRule>
    <cfRule type="containsText" dxfId="983" priority="59" operator="containsText" text="Amostra 18">
      <formula>NOT(ISERROR(SEARCH("Amostra 18",L4)))</formula>
    </cfRule>
    <cfRule type="containsText" dxfId="982" priority="60" operator="containsText" text="Amostra 17">
      <formula>NOT(ISERROR(SEARCH("Amostra 17",L4)))</formula>
    </cfRule>
    <cfRule type="containsText" dxfId="981" priority="61" operator="containsText" text="Amostra 16">
      <formula>NOT(ISERROR(SEARCH("Amostra 16",L4)))</formula>
    </cfRule>
    <cfRule type="containsText" dxfId="980" priority="62" operator="containsText" text="Amostra 15">
      <formula>NOT(ISERROR(SEARCH("Amostra 15",L4)))</formula>
    </cfRule>
    <cfRule type="containsText" dxfId="979" priority="63" operator="containsText" text="Amostra 14">
      <formula>NOT(ISERROR(SEARCH("Amostra 14",L4)))</formula>
    </cfRule>
    <cfRule type="containsText" dxfId="978" priority="64" operator="containsText" text="Amostra 13">
      <formula>NOT(ISERROR(SEARCH("Amostra 13",L4)))</formula>
    </cfRule>
    <cfRule type="containsText" dxfId="977" priority="65" operator="containsText" text="Amostra 12">
      <formula>NOT(ISERROR(SEARCH("Amostra 12",L4)))</formula>
    </cfRule>
    <cfRule type="containsText" dxfId="976" priority="66" operator="containsText" text="Amostra 11">
      <formula>NOT(ISERROR(SEARCH("Amostra 11",L4)))</formula>
    </cfRule>
    <cfRule type="containsText" dxfId="975" priority="67" operator="containsText" text="Amostra 10">
      <formula>NOT(ISERROR(SEARCH("Amostra 10",L4)))</formula>
    </cfRule>
    <cfRule type="containsText" dxfId="974" priority="68" operator="containsText" text="Amostra 9">
      <formula>NOT(ISERROR(SEARCH("Amostra 9",L4)))</formula>
    </cfRule>
    <cfRule type="containsText" dxfId="973" priority="69" operator="containsText" text="Amostra 8">
      <formula>NOT(ISERROR(SEARCH("Amostra 8",L4)))</formula>
    </cfRule>
    <cfRule type="containsText" dxfId="972" priority="70" operator="containsText" text="Amostra 7">
      <formula>NOT(ISERROR(SEARCH("Amostra 7",L4)))</formula>
    </cfRule>
    <cfRule type="containsText" dxfId="971" priority="71" operator="containsText" text="Amostra 6">
      <formula>NOT(ISERROR(SEARCH("Amostra 6",L4)))</formula>
    </cfRule>
    <cfRule type="containsText" dxfId="970" priority="72" operator="containsText" text="Amostra 5">
      <formula>NOT(ISERROR(SEARCH("Amostra 5",L4)))</formula>
    </cfRule>
    <cfRule type="containsText" dxfId="969" priority="73" operator="containsText" text="Amostra 4">
      <formula>NOT(ISERROR(SEARCH("Amostra 4",L4)))</formula>
    </cfRule>
    <cfRule type="containsText" dxfId="968" priority="74" operator="containsText" text="Amostra 3">
      <formula>NOT(ISERROR(SEARCH("Amostra 3",L4)))</formula>
    </cfRule>
    <cfRule type="containsText" dxfId="967" priority="75" operator="containsText" text="Amostra 2">
      <formula>NOT(ISERROR(SEARCH("Amostra 2",L4)))</formula>
    </cfRule>
    <cfRule type="containsText" dxfId="966" priority="76" operator="containsText" text="Amostra 1">
      <formula>NOT(ISERROR(SEARCH("Amostra 1",L4)))</formula>
    </cfRule>
  </conditionalFormatting>
  <conditionalFormatting sqref="L4">
    <cfRule type="containsText" dxfId="965" priority="27" operator="containsText" text="Agua">
      <formula>NOT(ISERROR(SEARCH("Agua",L4)))</formula>
    </cfRule>
    <cfRule type="containsText" dxfId="964" priority="28" operator="containsText" text="WT">
      <formula>NOT(ISERROR(SEARCH("WT",L4)))</formula>
    </cfRule>
    <cfRule type="containsText" dxfId="963" priority="29" operator="containsText" text="pos">
      <formula>NOT(ISERROR(SEARCH("pos",L4)))</formula>
    </cfRule>
    <cfRule type="containsText" dxfId="962" priority="30" operator="containsText" text="Amostra 22">
      <formula>NOT(ISERROR(SEARCH("Amostra 22",L4)))</formula>
    </cfRule>
    <cfRule type="containsText" dxfId="961" priority="31" operator="containsText" text="Amostra 21">
      <formula>NOT(ISERROR(SEARCH("Amostra 21",L4)))</formula>
    </cfRule>
    <cfRule type="containsText" dxfId="960" priority="32" operator="containsText" text="Amostra 20">
      <formula>NOT(ISERROR(SEARCH("Amostra 20",L4)))</formula>
    </cfRule>
    <cfRule type="containsText" dxfId="959" priority="33" operator="containsText" text="Amostra 19">
      <formula>NOT(ISERROR(SEARCH("Amostra 19",L4)))</formula>
    </cfRule>
    <cfRule type="containsText" dxfId="958" priority="34" operator="containsText" text="Amostra 18">
      <formula>NOT(ISERROR(SEARCH("Amostra 18",L4)))</formula>
    </cfRule>
    <cfRule type="containsText" dxfId="957" priority="35" operator="containsText" text="Amostra 17">
      <formula>NOT(ISERROR(SEARCH("Amostra 17",L4)))</formula>
    </cfRule>
    <cfRule type="containsText" dxfId="956" priority="36" operator="containsText" text="Amostra 16">
      <formula>NOT(ISERROR(SEARCH("Amostra 16",L4)))</formula>
    </cfRule>
    <cfRule type="containsText" dxfId="955" priority="37" operator="containsText" text="Amostra 15">
      <formula>NOT(ISERROR(SEARCH("Amostra 15",L4)))</formula>
    </cfRule>
    <cfRule type="containsText" dxfId="954" priority="38" operator="containsText" text="Amostra 14">
      <formula>NOT(ISERROR(SEARCH("Amostra 14",L4)))</formula>
    </cfRule>
    <cfRule type="containsText" dxfId="953" priority="39" operator="containsText" text="Amostra 13">
      <formula>NOT(ISERROR(SEARCH("Amostra 13",L4)))</formula>
    </cfRule>
    <cfRule type="containsText" dxfId="952" priority="40" operator="containsText" text="Amostra 12">
      <formula>NOT(ISERROR(SEARCH("Amostra 12",L4)))</formula>
    </cfRule>
    <cfRule type="containsText" dxfId="951" priority="41" operator="containsText" text="Amostra 11">
      <formula>NOT(ISERROR(SEARCH("Amostra 11",L4)))</formula>
    </cfRule>
    <cfRule type="containsText" dxfId="950" priority="42" operator="containsText" text="Amostra 10">
      <formula>NOT(ISERROR(SEARCH("Amostra 10",L4)))</formula>
    </cfRule>
    <cfRule type="containsText" dxfId="949" priority="43" operator="containsText" text="Amostra 9">
      <formula>NOT(ISERROR(SEARCH("Amostra 9",L4)))</formula>
    </cfRule>
    <cfRule type="containsText" dxfId="948" priority="44" operator="containsText" text="Amostra 8">
      <formula>NOT(ISERROR(SEARCH("Amostra 8",L4)))</formula>
    </cfRule>
    <cfRule type="containsText" dxfId="947" priority="45" operator="containsText" text="Amostra 7">
      <formula>NOT(ISERROR(SEARCH("Amostra 7",L4)))</formula>
    </cfRule>
    <cfRule type="containsText" dxfId="946" priority="46" operator="containsText" text="Amostra 6">
      <formula>NOT(ISERROR(SEARCH("Amostra 6",L4)))</formula>
    </cfRule>
    <cfRule type="containsText" dxfId="945" priority="47" operator="containsText" text="Amostra 5">
      <formula>NOT(ISERROR(SEARCH("Amostra 5",L4)))</formula>
    </cfRule>
    <cfRule type="containsText" dxfId="944" priority="48" operator="containsText" text="Amostra 4">
      <formula>NOT(ISERROR(SEARCH("Amostra 4",L4)))</formula>
    </cfRule>
    <cfRule type="containsText" dxfId="943" priority="49" operator="containsText" text="Amostra 3">
      <formula>NOT(ISERROR(SEARCH("Amostra 3",L4)))</formula>
    </cfRule>
    <cfRule type="containsText" dxfId="942" priority="50" operator="containsText" text="Amostra 2">
      <formula>NOT(ISERROR(SEARCH("Amostra 2",L4)))</formula>
    </cfRule>
    <cfRule type="containsText" dxfId="941" priority="51" operator="containsText" text="Amostra 1">
      <formula>NOT(ISERROR(SEARCH("Amostra 1",L4)))</formula>
    </cfRule>
  </conditionalFormatting>
  <conditionalFormatting sqref="I29">
    <cfRule type="containsText" dxfId="940" priority="1" operator="containsText" text="Água">
      <formula>NOT(ISERROR(SEARCH("Água",I29)))</formula>
    </cfRule>
    <cfRule type="containsText" dxfId="939" priority="2" operator="containsText" text="WT">
      <formula>NOT(ISERROR(SEARCH("WT",I29)))</formula>
    </cfRule>
    <cfRule type="containsText" dxfId="938" priority="3" operator="containsText" text="pos">
      <formula>NOT(ISERROR(SEARCH("pos",I29)))</formula>
    </cfRule>
    <cfRule type="containsText" dxfId="937" priority="4" operator="containsText" text="Amostra 22">
      <formula>NOT(ISERROR(SEARCH("Amostra 22",I29)))</formula>
    </cfRule>
    <cfRule type="containsText" dxfId="936" priority="5" operator="containsText" text="Amostra 21">
      <formula>NOT(ISERROR(SEARCH("Amostra 21",I29)))</formula>
    </cfRule>
    <cfRule type="containsText" dxfId="935" priority="6" operator="containsText" text="Amostra 20">
      <formula>NOT(ISERROR(SEARCH("Amostra 20",I29)))</formula>
    </cfRule>
    <cfRule type="containsText" dxfId="934" priority="7" operator="containsText" text="Amostra 19">
      <formula>NOT(ISERROR(SEARCH("Amostra 19",I29)))</formula>
    </cfRule>
    <cfRule type="containsText" dxfId="933" priority="8" operator="containsText" text="Amostra 18">
      <formula>NOT(ISERROR(SEARCH("Amostra 18",I29)))</formula>
    </cfRule>
    <cfRule type="containsText" dxfId="932" priority="9" operator="containsText" text="Amostra 17">
      <formula>NOT(ISERROR(SEARCH("Amostra 17",I29)))</formula>
    </cfRule>
    <cfRule type="containsText" dxfId="931" priority="10" operator="containsText" text="Amostra 16">
      <formula>NOT(ISERROR(SEARCH("Amostra 16",I29)))</formula>
    </cfRule>
    <cfRule type="containsText" dxfId="930" priority="11" operator="containsText" text="Amostra 15">
      <formula>NOT(ISERROR(SEARCH("Amostra 15",I29)))</formula>
    </cfRule>
    <cfRule type="containsText" dxfId="929" priority="12" operator="containsText" text="Amostra 14">
      <formula>NOT(ISERROR(SEARCH("Amostra 14",I29)))</formula>
    </cfRule>
    <cfRule type="containsText" dxfId="928" priority="13" operator="containsText" text="Amostra 13">
      <formula>NOT(ISERROR(SEARCH("Amostra 13",I29)))</formula>
    </cfRule>
    <cfRule type="containsText" dxfId="927" priority="14" operator="containsText" text="Amostra 12">
      <formula>NOT(ISERROR(SEARCH("Amostra 12",I29)))</formula>
    </cfRule>
    <cfRule type="containsText" dxfId="926" priority="15" operator="containsText" text="Amostra 11">
      <formula>NOT(ISERROR(SEARCH("Amostra 11",I29)))</formula>
    </cfRule>
    <cfRule type="containsText" dxfId="925" priority="16" operator="containsText" text="Amostra 10">
      <formula>NOT(ISERROR(SEARCH("Amostra 10",I29)))</formula>
    </cfRule>
    <cfRule type="containsText" dxfId="924" priority="17" operator="containsText" text="Amostra 9">
      <formula>NOT(ISERROR(SEARCH("Amostra 9",I29)))</formula>
    </cfRule>
    <cfRule type="containsText" dxfId="923" priority="18" operator="containsText" text="Amostra 8">
      <formula>NOT(ISERROR(SEARCH("Amostra 8",I29)))</formula>
    </cfRule>
    <cfRule type="containsText" dxfId="922" priority="19" operator="containsText" text="Amostra 7">
      <formula>NOT(ISERROR(SEARCH("Amostra 7",I29)))</formula>
    </cfRule>
    <cfRule type="containsText" dxfId="921" priority="20" operator="containsText" text="Amostra 6">
      <formula>NOT(ISERROR(SEARCH("Amostra 6",I29)))</formula>
    </cfRule>
    <cfRule type="containsText" dxfId="920" priority="21" operator="containsText" text="Amostra 5">
      <formula>NOT(ISERROR(SEARCH("Amostra 5",I29)))</formula>
    </cfRule>
    <cfRule type="containsText" dxfId="919" priority="22" operator="containsText" text="Amostra 4">
      <formula>NOT(ISERROR(SEARCH("Amostra 4",I29)))</formula>
    </cfRule>
    <cfRule type="containsText" dxfId="918" priority="23" operator="containsText" text="Amostra 3">
      <formula>NOT(ISERROR(SEARCH("Amostra 3",I29)))</formula>
    </cfRule>
    <cfRule type="containsText" dxfId="917" priority="24" operator="containsText" text="Amostra 2">
      <formula>NOT(ISERROR(SEARCH("Amostra 2",I29)))</formula>
    </cfRule>
    <cfRule type="containsText" dxfId="916" priority="25" operator="containsText" text="Amostra 1">
      <formula>NOT(ISERROR(SEARCH("Amostra 1",I29)))</formula>
    </cfRule>
  </conditionalFormatting>
  <dataValidations disablePrompts="1" count="1">
    <dataValidation type="whole" allowBlank="1" showInputMessage="1" showErrorMessage="1" sqref="C4" xr:uid="{273E5002-C5E7-4CF2-9B1F-D2B2004F9E26}">
      <formula1>1</formula1>
      <formula2>22</formula2>
    </dataValidation>
  </dataValidations>
  <pageMargins left="0.25" right="0.25" top="0.75" bottom="0.75" header="0.3" footer="0.3"/>
  <pageSetup paperSize="9" scale="60" orientation="landscape" r:id="rId1"/>
  <headerFooter>
    <oddHeader xml:space="preserve">&amp;L&amp;G&amp;RFQX.AA.BB – Formulário diluição de amostras RT-PCR – Revisão 00           </oddHead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0" operator="containsText" id="{1E0AF5F8-01E0-4D38-B7E9-98F7AD8AB0BE}">
            <xm:f>NOT(ISERROR(SEARCH("-",C20)))</xm:f>
            <xm:f>"-"</xm:f>
            <x14:dxf>
              <fill>
                <patternFill>
                  <bgColor rgb="FFFFC000"/>
                </patternFill>
              </fill>
            </x14:dxf>
          </x14:cfRule>
          <xm:sqref>C20:N27</xm:sqref>
        </x14:conditionalFormatting>
        <x14:conditionalFormatting xmlns:xm="http://schemas.microsoft.com/office/excel/2006/main">
          <x14:cfRule type="containsText" priority="233" operator="containsText" id="{F9743B53-1C3D-47F8-BBD4-E4D8F86F295E}">
            <xm:f>NOT(ISERROR(SEARCH("-",K4)))</xm:f>
            <xm:f>"-"</xm:f>
            <x14:dxf>
              <fill>
                <patternFill>
                  <bgColor rgb="FFFFC000"/>
                </patternFill>
              </fill>
            </x14:dxf>
          </x14:cfRule>
          <xm:sqref>K4</xm:sqref>
        </x14:conditionalFormatting>
        <x14:conditionalFormatting xmlns:xm="http://schemas.microsoft.com/office/excel/2006/main">
          <x14:cfRule type="containsText" priority="207" operator="containsText" id="{86D0AF79-D489-4A55-ACD2-38BC382778FE}">
            <xm:f>NOT(ISERROR(SEARCH("-",M4)))</xm:f>
            <xm:f>"-"</xm:f>
            <x14:dxf>
              <fill>
                <patternFill>
                  <bgColor rgb="FFFFC000"/>
                </patternFill>
              </fill>
            </x14:dxf>
          </x14:cfRule>
          <xm:sqref>M4</xm:sqref>
        </x14:conditionalFormatting>
        <x14:conditionalFormatting xmlns:xm="http://schemas.microsoft.com/office/excel/2006/main">
          <x14:cfRule type="containsText" priority="181" operator="containsText" id="{314369C1-0A0D-44CB-B529-E8937D563E25}">
            <xm:f>NOT(ISERROR(SEARCH("-",K5)))</xm:f>
            <xm:f>"-"</xm:f>
            <x14:dxf>
              <fill>
                <patternFill>
                  <bgColor rgb="FFFFC00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55" operator="containsText" id="{BAB83244-DAA8-44F4-8DD4-1F53690B1EF9}">
            <xm:f>NOT(ISERROR(SEARCH("-",L5)))</xm:f>
            <xm:f>"-"</xm:f>
            <x14:dxf>
              <fill>
                <patternFill>
                  <bgColor rgb="FFFFC000"/>
                </patternFill>
              </fill>
            </x14:dxf>
          </x14:cfRule>
          <xm:sqref>L5</xm:sqref>
        </x14:conditionalFormatting>
        <x14:conditionalFormatting xmlns:xm="http://schemas.microsoft.com/office/excel/2006/main">
          <x14:cfRule type="containsText" priority="26" operator="containsText" id="{41EC507F-A39F-4CDE-9D39-690E019542FE}">
            <xm:f>NOT(ISERROR(SEARCH("-",L4)))</xm:f>
            <xm:f>"-"</xm:f>
            <x14:dxf>
              <fill>
                <patternFill>
                  <bgColor rgb="FFFFC000"/>
                </patternFill>
              </fill>
            </x14:dxf>
          </x14:cfRule>
          <xm:sqref>L4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F31DD04-3777-4B4A-8662-64791A263A59}">
          <x14:formula1>
            <xm:f>'Calculos pré definidos'!$A$2:$A$10</xm:f>
          </x14:formula1>
          <xm:sqref>C2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A8F4-B1BD-415A-95D8-3D9ED99C8086}">
  <sheetPr codeName="Planilha37"/>
  <dimension ref="B1:N35"/>
  <sheetViews>
    <sheetView view="pageBreakPreview" zoomScaleNormal="40" zoomScaleSheetLayoutView="100" zoomScalePageLayoutView="70" workbookViewId="0">
      <selection activeCell="K7" sqref="K7"/>
    </sheetView>
  </sheetViews>
  <sheetFormatPr defaultColWidth="9.140625" defaultRowHeight="15" x14ac:dyDescent="0.25"/>
  <cols>
    <col min="1" max="1" width="18.140625" style="2" customWidth="1"/>
    <col min="2" max="2" width="10.85546875" style="24" customWidth="1"/>
    <col min="3" max="3" width="15.7109375" style="2" customWidth="1"/>
    <col min="4" max="15" width="15.140625" style="2" customWidth="1"/>
    <col min="16" max="16" width="9.28515625" style="2" customWidth="1"/>
    <col min="17" max="16384" width="9.140625" style="2"/>
  </cols>
  <sheetData>
    <row r="1" spans="2:14" ht="36" customHeight="1" x14ac:dyDescent="0.25">
      <c r="B1" s="35" t="str">
        <f>"Tabela de diluição de amostras para RT-PCR para "&amp;C2</f>
        <v>Tabela de diluição de amostras para RT-PCR para RT023 EGFR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2:14" ht="15.75" x14ac:dyDescent="0.25">
      <c r="B2" s="34" t="s">
        <v>25</v>
      </c>
      <c r="C2" s="14" t="s">
        <v>10</v>
      </c>
      <c r="D2" s="37"/>
      <c r="F2" s="34" t="s">
        <v>55</v>
      </c>
      <c r="G2" s="14" t="s">
        <v>86</v>
      </c>
      <c r="H2" s="37"/>
      <c r="K2" s="6" t="s">
        <v>45</v>
      </c>
      <c r="L2" s="9">
        <v>25</v>
      </c>
      <c r="M2" s="2" t="s">
        <v>47</v>
      </c>
    </row>
    <row r="3" spans="2:14" x14ac:dyDescent="0.25">
      <c r="K3" s="6" t="s">
        <v>51</v>
      </c>
      <c r="L3" s="9">
        <v>220</v>
      </c>
      <c r="M3" s="2" t="s">
        <v>47</v>
      </c>
    </row>
    <row r="4" spans="2:14" x14ac:dyDescent="0.25">
      <c r="B4" s="10" t="s">
        <v>43</v>
      </c>
      <c r="C4" s="16">
        <v>3</v>
      </c>
      <c r="D4" s="2" t="str">
        <f>IF(C4&gt;VLOOKUP($C$2,'Calculos pré definidos'!A1:I10,9),"ERRO! Muitas amostras. Reduza a quantidade.","")</f>
        <v/>
      </c>
      <c r="K4" s="6" t="s">
        <v>46</v>
      </c>
      <c r="L4" s="9">
        <v>25</v>
      </c>
      <c r="M4" s="2" t="s">
        <v>48</v>
      </c>
    </row>
    <row r="5" spans="2:14" x14ac:dyDescent="0.25">
      <c r="K5" s="6" t="s">
        <v>49</v>
      </c>
      <c r="L5" s="9">
        <f>L3/L2*L4/L3</f>
        <v>1.0000000000000002</v>
      </c>
      <c r="M5" s="2" t="s">
        <v>50</v>
      </c>
    </row>
    <row r="6" spans="2:14" ht="30" x14ac:dyDescent="0.25">
      <c r="D6" s="7" t="str">
        <f>IF(C4&gt;=1,"Concentração Inicial (C1)","")</f>
        <v>Concentração Inicial (C1)</v>
      </c>
      <c r="E6" s="7" t="str">
        <f>IF(C4&gt;=1,"Volume inicial DNA/RNA (V1)","")</f>
        <v>Volume inicial DNA/RNA (V1)</v>
      </c>
      <c r="F6" s="7" t="str">
        <f>IF(C4&gt;=1,"H20 (V2-V1)","")</f>
        <v>H20 (V2-V1)</v>
      </c>
      <c r="G6" s="7" t="str">
        <f>IF(C4&gt;=1,"ID da Amostra","")</f>
        <v>ID da Amostra</v>
      </c>
      <c r="J6" s="7" t="str">
        <f>IF(C4&gt;=12,"Concentração Inicial (C1)","")</f>
        <v/>
      </c>
      <c r="K6" s="7" t="str">
        <f>IF(C4&gt;=12,"Volume inicial DNA/RNA (V1)","")</f>
        <v/>
      </c>
      <c r="L6" s="7" t="str">
        <f>IF(C4&gt;=12,"H20 (V2-V1)","")</f>
        <v/>
      </c>
      <c r="M6" s="7" t="str">
        <f>IF(C4&gt;=12,"ID da Amostra","")</f>
        <v/>
      </c>
    </row>
    <row r="7" spans="2:14" x14ac:dyDescent="0.25">
      <c r="B7" s="10" t="s">
        <v>44</v>
      </c>
      <c r="C7" s="2" t="str">
        <f t="shared" ref="C7:C17" si="0">IF(ROW(B4)-3&lt;=$C$4,"Amostra "&amp;ROW(B4)-3,"")</f>
        <v>Amostra 1</v>
      </c>
      <c r="D7" s="17">
        <v>21.1</v>
      </c>
      <c r="E7" s="17">
        <v>11</v>
      </c>
      <c r="F7" s="2">
        <f t="shared" ref="F7:F17" si="1">IF(ISBLANK(D7),"",IF((D7/$L$5*E7)&lt;$L$3,"Aumente o V1",(D7/$L$5*E7)-E7))</f>
        <v>221.09999999999997</v>
      </c>
      <c r="G7" s="17" t="s">
        <v>92</v>
      </c>
      <c r="I7" s="2" t="str">
        <f t="shared" ref="I7:I17" si="2">IF(ROW(B4)+8&lt;=$C$4,"Amostra "&amp;ROW(B4)+8,"")</f>
        <v/>
      </c>
      <c r="J7" s="17"/>
      <c r="K7" s="17"/>
      <c r="L7" s="2" t="str">
        <f t="shared" ref="L7:L17" si="3">IF(ISBLANK(J7),"",IF((J7/$L$5*K7)&lt;$L$3,"Aumente o V1",(J7/$L$5*K7)-K7))</f>
        <v/>
      </c>
      <c r="M7" s="17"/>
    </row>
    <row r="8" spans="2:14" x14ac:dyDescent="0.25">
      <c r="C8" s="2" t="str">
        <f t="shared" si="0"/>
        <v>Amostra 2</v>
      </c>
      <c r="D8" s="17">
        <v>35.299999999999997</v>
      </c>
      <c r="E8" s="17">
        <v>7</v>
      </c>
      <c r="F8" s="2">
        <f t="shared" si="1"/>
        <v>240.09999999999994</v>
      </c>
      <c r="G8" s="17" t="s">
        <v>93</v>
      </c>
      <c r="I8" s="2" t="str">
        <f t="shared" si="2"/>
        <v/>
      </c>
      <c r="J8" s="17"/>
      <c r="K8" s="17"/>
      <c r="L8" s="2" t="str">
        <f t="shared" si="3"/>
        <v/>
      </c>
      <c r="M8" s="17"/>
    </row>
    <row r="9" spans="2:14" x14ac:dyDescent="0.25">
      <c r="C9" s="2" t="str">
        <f t="shared" si="0"/>
        <v>Amostra 3</v>
      </c>
      <c r="D9" s="17">
        <v>108</v>
      </c>
      <c r="E9" s="17">
        <v>3</v>
      </c>
      <c r="F9" s="2">
        <f t="shared" si="1"/>
        <v>320.99999999999989</v>
      </c>
      <c r="G9" s="17" t="s">
        <v>94</v>
      </c>
      <c r="I9" s="2" t="str">
        <f t="shared" si="2"/>
        <v/>
      </c>
      <c r="J9" s="17"/>
      <c r="K9" s="17"/>
      <c r="L9" s="2" t="str">
        <f t="shared" si="3"/>
        <v/>
      </c>
      <c r="M9" s="17"/>
    </row>
    <row r="10" spans="2:14" x14ac:dyDescent="0.25">
      <c r="C10" s="2" t="str">
        <f t="shared" si="0"/>
        <v/>
      </c>
      <c r="D10" s="17"/>
      <c r="E10" s="17"/>
      <c r="F10" s="2" t="str">
        <f t="shared" si="1"/>
        <v/>
      </c>
      <c r="G10" s="17"/>
      <c r="I10" s="2" t="str">
        <f t="shared" si="2"/>
        <v/>
      </c>
      <c r="J10" s="17"/>
      <c r="K10" s="17"/>
      <c r="L10" s="2" t="str">
        <f t="shared" si="3"/>
        <v/>
      </c>
      <c r="M10" s="17"/>
    </row>
    <row r="11" spans="2:14" x14ac:dyDescent="0.25">
      <c r="C11" s="2" t="str">
        <f t="shared" si="0"/>
        <v/>
      </c>
      <c r="D11" s="17"/>
      <c r="E11" s="17"/>
      <c r="F11" s="2" t="str">
        <f t="shared" si="1"/>
        <v/>
      </c>
      <c r="G11" s="17"/>
      <c r="I11" s="2" t="str">
        <f t="shared" si="2"/>
        <v/>
      </c>
      <c r="J11" s="17"/>
      <c r="K11" s="40"/>
      <c r="L11" s="2" t="str">
        <f t="shared" si="3"/>
        <v/>
      </c>
      <c r="M11" s="17"/>
    </row>
    <row r="12" spans="2:14" x14ac:dyDescent="0.25">
      <c r="C12" s="2" t="str">
        <f t="shared" si="0"/>
        <v/>
      </c>
      <c r="D12" s="17"/>
      <c r="E12" s="17"/>
      <c r="F12" s="2" t="str">
        <f t="shared" si="1"/>
        <v/>
      </c>
      <c r="G12" s="17"/>
      <c r="I12" s="2" t="str">
        <f t="shared" si="2"/>
        <v/>
      </c>
      <c r="J12" s="17"/>
      <c r="K12" s="17"/>
      <c r="L12" s="2" t="str">
        <f t="shared" si="3"/>
        <v/>
      </c>
      <c r="M12" s="17"/>
    </row>
    <row r="13" spans="2:14" x14ac:dyDescent="0.25">
      <c r="C13" s="2" t="str">
        <f t="shared" si="0"/>
        <v/>
      </c>
      <c r="D13" s="17"/>
      <c r="E13" s="17"/>
      <c r="F13" s="2" t="str">
        <f t="shared" si="1"/>
        <v/>
      </c>
      <c r="G13" s="17"/>
      <c r="I13" s="2" t="str">
        <f t="shared" si="2"/>
        <v/>
      </c>
      <c r="J13" s="17"/>
      <c r="K13" s="17"/>
      <c r="L13" s="2" t="str">
        <f t="shared" si="3"/>
        <v/>
      </c>
      <c r="M13" s="17"/>
    </row>
    <row r="14" spans="2:14" x14ac:dyDescent="0.25">
      <c r="C14" s="2" t="str">
        <f t="shared" si="0"/>
        <v/>
      </c>
      <c r="D14" s="17"/>
      <c r="E14" s="17"/>
      <c r="F14" s="2" t="str">
        <f t="shared" si="1"/>
        <v/>
      </c>
      <c r="G14" s="17"/>
      <c r="I14" s="2" t="str">
        <f t="shared" si="2"/>
        <v/>
      </c>
      <c r="J14" s="17"/>
      <c r="K14" s="17"/>
      <c r="L14" s="2" t="str">
        <f t="shared" si="3"/>
        <v/>
      </c>
      <c r="M14" s="17"/>
    </row>
    <row r="15" spans="2:14" x14ac:dyDescent="0.25">
      <c r="C15" s="2" t="str">
        <f t="shared" si="0"/>
        <v/>
      </c>
      <c r="D15" s="17"/>
      <c r="E15" s="17"/>
      <c r="F15" s="2" t="str">
        <f t="shared" si="1"/>
        <v/>
      </c>
      <c r="G15" s="17"/>
      <c r="I15" s="2" t="str">
        <f t="shared" si="2"/>
        <v/>
      </c>
      <c r="J15" s="17"/>
      <c r="K15" s="17"/>
      <c r="L15" s="2" t="str">
        <f t="shared" si="3"/>
        <v/>
      </c>
      <c r="M15" s="17"/>
    </row>
    <row r="16" spans="2:14" x14ac:dyDescent="0.25">
      <c r="C16" s="2" t="str">
        <f t="shared" si="0"/>
        <v/>
      </c>
      <c r="D16" s="17"/>
      <c r="E16" s="17"/>
      <c r="F16" s="2" t="str">
        <f t="shared" si="1"/>
        <v/>
      </c>
      <c r="G16" s="17"/>
      <c r="I16" s="2" t="str">
        <f t="shared" si="2"/>
        <v/>
      </c>
      <c r="J16" s="17"/>
      <c r="K16" s="17"/>
      <c r="L16" s="2" t="str">
        <f t="shared" si="3"/>
        <v/>
      </c>
      <c r="M16" s="17"/>
    </row>
    <row r="17" spans="2:14" x14ac:dyDescent="0.25">
      <c r="C17" s="2" t="str">
        <f t="shared" si="0"/>
        <v/>
      </c>
      <c r="D17" s="17"/>
      <c r="E17" s="17"/>
      <c r="F17" s="2" t="str">
        <f t="shared" si="1"/>
        <v/>
      </c>
      <c r="G17" s="17"/>
      <c r="I17" s="2" t="str">
        <f t="shared" si="2"/>
        <v/>
      </c>
      <c r="J17" s="17"/>
      <c r="K17" s="17"/>
      <c r="L17" s="2" t="str">
        <f t="shared" si="3"/>
        <v/>
      </c>
      <c r="M17" s="17"/>
    </row>
    <row r="19" spans="2:14" x14ac:dyDescent="0.25">
      <c r="C19" s="11">
        <v>1</v>
      </c>
      <c r="D19" s="11">
        <v>2</v>
      </c>
      <c r="E19" s="11">
        <v>3</v>
      </c>
      <c r="F19" s="11">
        <v>4</v>
      </c>
      <c r="G19" s="11">
        <v>5</v>
      </c>
      <c r="H19" s="11">
        <v>6</v>
      </c>
      <c r="I19" s="11">
        <v>7</v>
      </c>
      <c r="J19" s="11">
        <v>8</v>
      </c>
      <c r="K19" s="11">
        <v>9</v>
      </c>
      <c r="L19" s="11">
        <v>10</v>
      </c>
      <c r="M19" s="11">
        <v>11</v>
      </c>
      <c r="N19" s="11">
        <v>12</v>
      </c>
    </row>
    <row r="20" spans="2:14" ht="26.25" x14ac:dyDescent="0.25">
      <c r="B20" s="12" t="s">
        <v>26</v>
      </c>
      <c r="C20" s="8" t="str" cm="1">
        <f t="array" aca="1" ref="C20" ca="1">IF(ISNUMBER(FIND("ctrl",INDIRECT("Sheet4!"&amp;"K"&amp;MATCH($C$2,Sheet4!$A:$A,0)+0))),
INDIRECT("Sheet4!"&amp;"K"&amp;MATCH($C$2,Sheet4!$A:$A,0)+0),IF(INDIRECT("Sheet4!"&amp;"K"&amp;MATCH($C$2,Sheet4!$A:$A,0)+0)="Água","Água",
IF(INDIRECT("Sheet4!"&amp;"K"&amp;MATCH($C$2,Sheet4!$A:$A,0)+0)="-","-",
IF(_xlfn.NUMBERVALUE(MID(INDIRECT("Sheet4!"&amp;"K"&amp;MATCH($C$2,Sheet4!$A:$A,0)+0),9,2))&lt;=$C$4,
_xlfn.IFNA(VLOOKUP(INDIRECT("Sheet4!"&amp;"K"&amp;MATCH($C$2,Sheet4!$A:$A,0)+0),$C$7:$H$17,1,FALSE)&amp;CHAR(10)&amp;VLOOKUP(INDIRECT("Sheet4!"&amp;"K"&amp;MATCH($C$2,Sheet4!$A:$A,0)+0),$C$7:$H$17,5,FALSE),
VLOOKUP(INDIRECT("Sheet4!"&amp;"K"&amp;MATCH($C$2,Sheet4!$A:$A,0)+0),$I$7:$N$17,1,FALSE)&amp;CHAR(10)&amp;VLOOKUP(INDIRECT("Sheet4!"&amp;"K"&amp;MATCH($C$2,Sheet4!$A:$A,0)+0),$I$7:$N$17,5,FALSE)),"-"))))</f>
        <v>-</v>
      </c>
      <c r="D20" s="8" t="str" cm="1">
        <f t="array" aca="1" ref="D20" ca="1">IF(ISNUMBER(FIND("ctrl",INDIRECT("Sheet4!"&amp;"K"&amp;MATCH($C$2,Sheet4!$A:$A,0)+0))),
INDIRECT("Sheet4!"&amp;"K"&amp;MATCH($C$2,Sheet4!$A:$A,0)+0),IF(INDIRECT("Sheet4!"&amp;"K"&amp;MATCH($C$2,Sheet4!$A:$A,0)+0)="Água","Água",
IF(INDIRECT("Sheet4!"&amp;"K"&amp;MATCH($C$2,Sheet4!$A:$A,0)+0)="-","-",
IF(_xlfn.NUMBERVALUE(MID(INDIRECT("Sheet4!"&amp;"K"&amp;MATCH($C$2,Sheet4!$A:$A,0)+0),9,2))&lt;=$C$4,
_xlfn.IFNA(VLOOKUP(INDIRECT("Sheet4!"&amp;"K"&amp;MATCH($C$2,Sheet4!$A:$A,0)+0),$C$7:$H$17,1,FALSE)&amp;CHAR(10)&amp;VLOOKUP(INDIRECT("Sheet4!"&amp;"K"&amp;MATCH($C$2,Sheet4!$A:$A,0)+0),$C$7:$H$17,5,FALSE),
VLOOKUP(INDIRECT("Sheet4!"&amp;"K"&amp;MATCH($C$2,Sheet4!$A:$A,0)+0),$I$7:$N$17,1,FALSE)&amp;CHAR(10)&amp;VLOOKUP(INDIRECT("Sheet4!"&amp;"K"&amp;MATCH($C$2,Sheet4!$A:$A,0)+0),$I$7:$N$17,5,FALSE)),"-"))))</f>
        <v>-</v>
      </c>
      <c r="E20" s="8" t="str" cm="1">
        <f t="array" aca="1" ref="E20" ca="1">IF(ISNUMBER(FIND("ctrl",INDIRECT("Sheet4!"&amp;"K"&amp;MATCH($C$2,Sheet4!$A:$A,0)+0))),
INDIRECT("Sheet4!"&amp;"K"&amp;MATCH($C$2,Sheet4!$A:$A,0)+0),IF(INDIRECT("Sheet4!"&amp;"K"&amp;MATCH($C$2,Sheet4!$A:$A,0)+0)="Água","Água",
IF(INDIRECT("Sheet4!"&amp;"K"&amp;MATCH($C$2,Sheet4!$A:$A,0)+0)="-","-",
IF(_xlfn.NUMBERVALUE(MID(INDIRECT("Sheet4!"&amp;"K"&amp;MATCH($C$2,Sheet4!$A:$A,0)+0),9,2))&lt;=$C$4,
_xlfn.IFNA(VLOOKUP(INDIRECT("Sheet4!"&amp;"K"&amp;MATCH($C$2,Sheet4!$A:$A,0)+0),$C$7:$H$17,1,FALSE)&amp;CHAR(10)&amp;VLOOKUP(INDIRECT("Sheet4!"&amp;"K"&amp;MATCH($C$2,Sheet4!$A:$A,0)+0),$C$7:$H$17,5,FALSE),
VLOOKUP(INDIRECT("Sheet4!"&amp;"K"&amp;MATCH($C$2,Sheet4!$A:$A,0)+0),$I$7:$N$17,1,FALSE)&amp;CHAR(10)&amp;VLOOKUP(INDIRECT("Sheet4!"&amp;"K"&amp;MATCH($C$2,Sheet4!$A:$A,0)+0),$I$7:$N$17,5,FALSE)),"-"))))</f>
        <v>-</v>
      </c>
      <c r="F20" s="8" t="str" cm="1">
        <f t="array" aca="1" ref="F20" ca="1">IF(ISNUMBER(FIND("ctrl",INDIRECT("Sheet4!"&amp;"G"&amp;MATCH($C$2,Sheet4!$A:$A,0)+0))),
INDIRECT("Sheet4!"&amp;"G"&amp;MATCH($C$2,Sheet4!$A:$A,0)+0),IF(INDIRECT("Sheet4!"&amp;"G"&amp;MATCH($C$2,Sheet4!$A:$A,0)+0)="Água","Água",
IF(INDIRECT("Sheet4!"&amp;"G"&amp;MATCH($C$2,Sheet4!$A:$A,0)+0)="-","-",
IF(_xlfn.NUMBERVALUE(MID(INDIRECT("Sheet4!"&amp;"G"&amp;MATCH($C$2,Sheet4!$A:$A,0)+0),9,2))&lt;=$C$4,
_xlfn.IFNA(VLOOKUP(INDIRECT("Sheet4!"&amp;"G"&amp;MATCH($C$2,Sheet4!$A:$A,0)+0),$C$7:$H$17,1,FALSE)&amp;CHAR(10)&amp;VLOOKUP(INDIRECT("Sheet4!"&amp;"G"&amp;MATCH($C$2,Sheet4!$A:$A,0)+0),$C$7:$H$17,5,FALSE),
VLOOKUP(INDIRECT("Sheet4!"&amp;"G"&amp;MATCH($C$2,Sheet4!$A:$A,0)+0),$I$7:$N$17,1,FALSE)&amp;CHAR(10)&amp;VLOOKUP(INDIRECT("Sheet4!"&amp;"G"&amp;MATCH($C$2,Sheet4!$A:$A,0)+0),$I$7:$N$17,5,FALSE)),"-"))))</f>
        <v>-</v>
      </c>
      <c r="G20" s="8" t="str" cm="1">
        <f t="array" aca="1" ref="G20" ca="1">IF(ISNUMBER(FIND("ctrl",INDIRECT("Sheet4!"&amp;"H"&amp;MATCH($C$2,Sheet4!$A:$A,0)+0))),
INDIRECT("Sheet4!"&amp;"H"&amp;MATCH($C$2,Sheet4!$A:$A,0)+0),IF(INDIRECT("Sheet4!"&amp;"H"&amp;MATCH($C$2,Sheet4!$A:$A,0)+0)="Água","Água",
IF(INDIRECT("Sheet4!"&amp;"H"&amp;MATCH($C$2,Sheet4!$A:$A,0)+0)="-","-",
IF(_xlfn.NUMBERVALUE(MID(INDIRECT("Sheet4!"&amp;"H"&amp;MATCH($C$2,Sheet4!$A:$A,0)+0),9,2))&lt;=$C$4,
_xlfn.IFNA(VLOOKUP(INDIRECT("Sheet4!"&amp;"H"&amp;MATCH($C$2,Sheet4!$A:$A,0)+0),$C$7:$H$17,1,FALSE)&amp;CHAR(10)&amp;VLOOKUP(INDIRECT("Sheet4!"&amp;"H"&amp;MATCH($C$2,Sheet4!$A:$A,0)+0),$C$7:$H$17,5,FALSE),
VLOOKUP(INDIRECT("Sheet4!"&amp;"H"&amp;MATCH($C$2,Sheet4!$A:$A,0)+0),$I$7:$N$17,1,FALSE)&amp;CHAR(10)&amp;VLOOKUP(INDIRECT("Sheet4!"&amp;"H"&amp;MATCH($C$2,Sheet4!$A:$A,0)+0),$I$7:$N$17,5,FALSE)),"-"))))</f>
        <v>-</v>
      </c>
      <c r="H20" s="8" t="str" cm="1">
        <f t="array" aca="1" ref="H20" ca="1">IF(ISNUMBER(FIND("ctrl",INDIRECT("Sheet4!"&amp;"I"&amp;MATCH($C$2,Sheet4!$A:$A,0)+0))),
INDIRECT("Sheet4!"&amp;"I"&amp;MATCH($C$2,Sheet4!$A:$A,0)+0),IF(INDIRECT("Sheet4!"&amp;"I"&amp;MATCH($C$2,Sheet4!$A:$A,0)+0)="Água","Água",
IF(INDIRECT("Sheet4!"&amp;"I"&amp;MATCH($C$2,Sheet4!$A:$A,0)+0)="-","-",
IF(_xlfn.NUMBERVALUE(MID(INDIRECT("Sheet4!"&amp;"I"&amp;MATCH($C$2,Sheet4!$A:$A,0)+0),9,2))&lt;=$C$4,
_xlfn.IFNA(VLOOKUP(INDIRECT("Sheet4!"&amp;"I"&amp;MATCH($C$2,Sheet4!$A:$A,0)+0),$C$7:$H$17,1,FALSE)&amp;CHAR(10)&amp;VLOOKUP(INDIRECT("Sheet4!"&amp;"I"&amp;MATCH($C$2,Sheet4!$A:$A,0)+0),$C$7:$H$17,5,FALSE),
VLOOKUP(INDIRECT("Sheet4!"&amp;"I"&amp;MATCH($C$2,Sheet4!$A:$A,0)+0),$I$7:$N$17,1,FALSE)&amp;CHAR(10)&amp;VLOOKUP(INDIRECT("Sheet4!"&amp;"I"&amp;MATCH($C$2,Sheet4!$A:$A,0)+0),$I$7:$N$17,5,FALSE)),"-"))))</f>
        <v>-</v>
      </c>
      <c r="I20" s="8" t="str" cm="1">
        <f t="array" aca="1" ref="I20" ca="1">IF(ISNUMBER(FIND("ctrl",INDIRECT("Sheet4!"&amp;"J"&amp;MATCH($C$2,Sheet4!$A:$A,0)+0))),
INDIRECT("Sheet4!"&amp;"J"&amp;MATCH($C$2,Sheet4!$A:$A,0)+0),IF(INDIRECT("Sheet4!"&amp;"J"&amp;MATCH($C$2,Sheet4!$A:$A,0)+0)="Água","Água",
IF(INDIRECT("Sheet4!"&amp;"J"&amp;MATCH($C$2,Sheet4!$A:$A,0)+0)="-","-",
IF(_xlfn.NUMBERVALUE(MID(INDIRECT("Sheet4!"&amp;"J"&amp;MATCH($C$2,Sheet4!$A:$A,0)+0),9,2))&lt;=$C$4,
_xlfn.IFNA(VLOOKUP(INDIRECT("Sheet4!"&amp;"J"&amp;MATCH($C$2,Sheet4!$A:$A,0)+0),$C$7:$H$17,1,FALSE)&amp;CHAR(10)&amp;VLOOKUP(INDIRECT("Sheet4!"&amp;"J"&amp;MATCH($C$2,Sheet4!$A:$A,0)+0),$C$7:$H$17,5,FALSE),
VLOOKUP(INDIRECT("Sheet4!"&amp;"J"&amp;MATCH($C$2,Sheet4!$A:$A,0)+0),$I$7:$N$17,1,FALSE)&amp;CHAR(10)&amp;VLOOKUP(INDIRECT("Sheet4!"&amp;"J"&amp;MATCH($C$2,Sheet4!$A:$A,0)+0),$I$7:$N$17,5,FALSE)),"-"))))</f>
        <v>-</v>
      </c>
      <c r="J20" s="8" t="str" cm="1">
        <f t="array" aca="1" ref="J20" ca="1">IF(ISNUMBER(FIND("ctrl",INDIRECT("Sheet4!"&amp;"K"&amp;MATCH($C$2,Sheet4!$A:$A,0)+0))),
INDIRECT("Sheet4!"&amp;"K"&amp;MATCH($C$2,Sheet4!$A:$A,0)+0),IF(INDIRECT("Sheet4!"&amp;"K"&amp;MATCH($C$2,Sheet4!$A:$A,0)+0)="Água","Água",
IF(INDIRECT("Sheet4!"&amp;"K"&amp;MATCH($C$2,Sheet4!$A:$A,0)+0)="-","-",
IF(_xlfn.NUMBERVALUE(MID(INDIRECT("Sheet4!"&amp;"K"&amp;MATCH($C$2,Sheet4!$A:$A,0)+0),9,2))&lt;=$C$4,
_xlfn.IFNA(VLOOKUP(INDIRECT("Sheet4!"&amp;"K"&amp;MATCH($C$2,Sheet4!$A:$A,0)+0),$C$7:$H$17,1,FALSE)&amp;CHAR(10)&amp;VLOOKUP(INDIRECT("Sheet4!"&amp;"K"&amp;MATCH($C$2,Sheet4!$A:$A,0)+0),$C$7:$H$17,5,FALSE),
VLOOKUP(INDIRECT("Sheet4!"&amp;"K"&amp;MATCH($C$2,Sheet4!$A:$A,0)+0),$I$7:$N$17,1,FALSE)&amp;CHAR(10)&amp;VLOOKUP(INDIRECT("Sheet4!"&amp;"K"&amp;MATCH($C$2,Sheet4!$A:$A,0)+0),$I$7:$N$17,5,FALSE)),"-"))))</f>
        <v>-</v>
      </c>
      <c r="K20" s="8" t="str" cm="1">
        <f t="array" aca="1" ref="K20" ca="1">IF(ISNUMBER(FIND("ctrl",INDIRECT("Sheet4!"&amp;"D"&amp;MATCH($C$2,Sheet4!$A:$A,0)+0))),
INDIRECT("Sheet4!"&amp;"D"&amp;MATCH($C$2,Sheet4!$A:$A,0)+0),IF(INDIRECT("Sheet4!"&amp;"D"&amp;MATCH($C$2,Sheet4!$A:$A,0)+0)="Água","Água",
IF(INDIRECT("Sheet4!"&amp;"D"&amp;MATCH($C$2,Sheet4!$A:$A,0)+0)="-","-",
IF(_xlfn.NUMBERVALUE(MID(INDIRECT("Sheet4!"&amp;"D"&amp;MATCH($C$2,Sheet4!$A:$A,0)+0),9,2))&lt;=$C$4,
_xlfn.IFNA(VLOOKUP(INDIRECT("Sheet4!"&amp;"D"&amp;MATCH($C$2,Sheet4!$A:$A,0)+0),$C$7:$H$17,1,FALSE)&amp;CHAR(10)&amp;VLOOKUP(INDIRECT("Sheet4!"&amp;"D"&amp;MATCH($C$2,Sheet4!$A:$A,0)+0),$C$7:$H$17,5,FALSE),
VLOOKUP(INDIRECT("Sheet4!"&amp;"D"&amp;MATCH($C$2,Sheet4!$A:$A,0)+0),$I$7:$N$17,1,FALSE)&amp;CHAR(10)&amp;VLOOKUP(INDIRECT("Sheet4!"&amp;"D"&amp;MATCH($C$2,Sheet4!$A:$A,0)+0),$I$7:$N$17,5,FALSE)),"-"))))</f>
        <v>Amostra 1
111 K.V.</v>
      </c>
      <c r="L20" s="8" t="str" cm="1">
        <f t="array" aca="1" ref="L20" ca="1">IF(ISNUMBER(FIND("ctrl",INDIRECT("Sheet4!"&amp;"E"&amp;MATCH($C$2,Sheet4!$A:$A,0)+0))),
INDIRECT("Sheet4!"&amp;"E"&amp;MATCH($C$2,Sheet4!$A:$A,0)+0),IF(INDIRECT("Sheet4!"&amp;"E"&amp;MATCH($C$2,Sheet4!$A:$A,0)+0)="Água","Água",
IF(INDIRECT("Sheet4!"&amp;"E"&amp;MATCH($C$2,Sheet4!$A:$A,0)+0)="-","-",
IF(_xlfn.NUMBERVALUE(MID(INDIRECT("Sheet4!"&amp;"E"&amp;MATCH($C$2,Sheet4!$A:$A,0)+0),9,2))&lt;=$C$4,
_xlfn.IFNA(VLOOKUP(INDIRECT("Sheet4!"&amp;"E"&amp;MATCH($C$2,Sheet4!$A:$A,0)+0),$C$7:$H$17,1,FALSE)&amp;CHAR(10)&amp;VLOOKUP(INDIRECT("Sheet4!"&amp;"E"&amp;MATCH($C$2,Sheet4!$A:$A,0)+0),$C$7:$H$17,5,FALSE),
VLOOKUP(INDIRECT("Sheet4!"&amp;"E"&amp;MATCH($C$2,Sheet4!$A:$A,0)+0),$I$7:$N$17,1,FALSE)&amp;CHAR(10)&amp;VLOOKUP(INDIRECT("Sheet4!"&amp;"E"&amp;MATCH($C$2,Sheet4!$A:$A,0)+0),$I$7:$N$17,5,FALSE)),"-"))))</f>
        <v>Amostra 2
112 B.B.</v>
      </c>
      <c r="M20" s="8" t="str" cm="1">
        <f t="array" aca="1" ref="M20" ca="1">IF(ISNUMBER(FIND("ctrl",INDIRECT("Sheet4!"&amp;"F"&amp;MATCH($C$2,Sheet4!$A:$A,0)+0))),
INDIRECT("Sheet4!"&amp;"F"&amp;MATCH($C$2,Sheet4!$A:$A,0)+0),IF(INDIRECT("Sheet4!"&amp;"F"&amp;MATCH($C$2,Sheet4!$A:$A,0)+0)="Água","Água",
IF(INDIRECT("Sheet4!"&amp;"F"&amp;MATCH($C$2,Sheet4!$A:$A,0)+0)="-","-",
IF(_xlfn.NUMBERVALUE(MID(INDIRECT("Sheet4!"&amp;"F"&amp;MATCH($C$2,Sheet4!$A:$A,0)+0),9,2))&lt;=$C$4,
_xlfn.IFNA(VLOOKUP(INDIRECT("Sheet4!"&amp;"F"&amp;MATCH($C$2,Sheet4!$A:$A,0)+0),$C$7:$H$17,1,FALSE)&amp;CHAR(10)&amp;VLOOKUP(INDIRECT("Sheet4!"&amp;"F"&amp;MATCH($C$2,Sheet4!$A:$A,0)+0),$C$7:$H$17,5,FALSE),
VLOOKUP(INDIRECT("Sheet4!"&amp;"F"&amp;MATCH($C$2,Sheet4!$A:$A,0)+0),$I$7:$N$17,1,FALSE)&amp;CHAR(10)&amp;VLOOKUP(INDIRECT("Sheet4!"&amp;"F"&amp;MATCH($C$2,Sheet4!$A:$A,0)+0),$I$7:$N$17,5,FALSE)),"-"))))</f>
        <v>Amostra 3
113 F.S.</v>
      </c>
      <c r="N20" s="8" t="str" cm="1">
        <f t="array" aca="1" ref="N20" ca="1">IF(ISNUMBER(FIND("ctrl",INDIRECT("Sheet4!"&amp;"O"&amp;MATCH($C$2,Sheet4!$A:$A,0)+0))),
INDIRECT("Sheet4!"&amp;"O"&amp;MATCH($C$2,Sheet4!$A:$A,0)+0),IF(INDIRECT("Sheet4!"&amp;"O"&amp;MATCH($C$2,Sheet4!$A:$A,0)+0)="Água","Água",
IF(INDIRECT("Sheet4!"&amp;"O"&amp;MATCH($C$2,Sheet4!$A:$A,0)+0)="-","-",
IF(_xlfn.NUMBERVALUE(MID(INDIRECT("Sheet4!"&amp;"O"&amp;MATCH($C$2,Sheet4!$A:$A,0)+0),9,2))&lt;=$C$4,
_xlfn.IFNA(VLOOKUP(INDIRECT("Sheet4!"&amp;"O"&amp;MATCH($C$2,Sheet4!$A:$A,0)+0),$C$7:$H$17,1,FALSE)&amp;CHAR(10)&amp;VLOOKUP(INDIRECT("Sheet4!"&amp;"O"&amp;MATCH($C$2,Sheet4!$A:$A,0)+0),$C$7:$H$17,5,FALSE),
VLOOKUP(INDIRECT("Sheet4!"&amp;"O"&amp;MATCH($C$2,Sheet4!$A:$A,0)+0),$I$7:$N$17,1,FALSE)&amp;CHAR(10)&amp;VLOOKUP(INDIRECT("Sheet4!"&amp;"O"&amp;MATCH($C$2,Sheet4!$A:$A,0)+0),$I$7:$N$17,5,FALSE)),"-"))))</f>
        <v>Água</v>
      </c>
    </row>
    <row r="21" spans="2:14" ht="15" customHeight="1" x14ac:dyDescent="0.25">
      <c r="B21" s="12" t="s">
        <v>27</v>
      </c>
      <c r="C21" s="8" t="str" cm="1">
        <f t="array" aca="1" ref="C21" ca="1">IF(ISNUMBER(FIND("ctrl",INDIRECT("Sheet4!"&amp;"K"&amp;MATCH($C$2,Sheet4!$A:$A,0)+1))),
INDIRECT("Sheet4!"&amp;"K"&amp;MATCH($C$2,Sheet4!$A:$A,0)+1),IF(INDIRECT("Sheet4!"&amp;"K"&amp;MATCH($C$2,Sheet4!$A:$A,0)+1)="Água","Água",
IF(INDIRECT("Sheet4!"&amp;"K"&amp;MATCH($C$2,Sheet4!$A:$A,0)+1)="-","-",
IF(_xlfn.NUMBERVALUE(MID(INDIRECT("Sheet4!"&amp;"K"&amp;MATCH($C$2,Sheet4!$A:$A,0)+1),9,2))&lt;=$C$4,
_xlfn.IFNA(VLOOKUP(INDIRECT("Sheet4!"&amp;"K"&amp;MATCH($C$2,Sheet4!$A:$A,0)+1),$C$7:$H$17,1,FALSE)&amp;CHAR(10)&amp;VLOOKUP(INDIRECT("Sheet4!"&amp;"K"&amp;MATCH($C$2,Sheet4!$A:$A,0)+1),$C$7:$H$17,5,FALSE),
VLOOKUP(INDIRECT("Sheet4!"&amp;"K"&amp;MATCH($C$2,Sheet4!$A:$A,0)+1),$I$7:$N$17,1,FALSE)&amp;CHAR(10)&amp;VLOOKUP(INDIRECT("Sheet4!"&amp;"K"&amp;MATCH($C$2,Sheet4!$A:$A,0)+1),$I$7:$N$17,5,FALSE)),"-"))))</f>
        <v>-</v>
      </c>
      <c r="D21" s="8" t="str" cm="1">
        <f t="array" aca="1" ref="D21" ca="1">IF(ISNUMBER(FIND("ctrl",INDIRECT("Sheet4!"&amp;"K"&amp;MATCH($C$2,Sheet4!$A:$A,0)+1))),
INDIRECT("Sheet4!"&amp;"K"&amp;MATCH($C$2,Sheet4!$A:$A,0)+1),IF(INDIRECT("Sheet4!"&amp;"K"&amp;MATCH($C$2,Sheet4!$A:$A,0)+1)="Água","Água",
IF(INDIRECT("Sheet4!"&amp;"K"&amp;MATCH($C$2,Sheet4!$A:$A,0)+1)="-","-",
IF(_xlfn.NUMBERVALUE(MID(INDIRECT("Sheet4!"&amp;"K"&amp;MATCH($C$2,Sheet4!$A:$A,0)+1),9,2))&lt;=$C$4,
_xlfn.IFNA(VLOOKUP(INDIRECT("Sheet4!"&amp;"K"&amp;MATCH($C$2,Sheet4!$A:$A,0)+1),$C$7:$H$17,1,FALSE)&amp;CHAR(10)&amp;VLOOKUP(INDIRECT("Sheet4!"&amp;"K"&amp;MATCH($C$2,Sheet4!$A:$A,0)+1),$C$7:$H$17,5,FALSE),
VLOOKUP(INDIRECT("Sheet4!"&amp;"K"&amp;MATCH($C$2,Sheet4!$A:$A,0)+1),$I$7:$N$17,1,FALSE)&amp;CHAR(10)&amp;VLOOKUP(INDIRECT("Sheet4!"&amp;"K"&amp;MATCH($C$2,Sheet4!$A:$A,0)+1),$I$7:$N$17,5,FALSE)),"-"))))</f>
        <v>-</v>
      </c>
      <c r="E21" s="8" t="str" cm="1">
        <f t="array" aca="1" ref="E21" ca="1">IF(ISNUMBER(FIND("ctrl",INDIRECT("Sheet4!"&amp;"K"&amp;MATCH($C$2,Sheet4!$A:$A,0)+1))),
INDIRECT("Sheet4!"&amp;"K"&amp;MATCH($C$2,Sheet4!$A:$A,0)+1),IF(INDIRECT("Sheet4!"&amp;"K"&amp;MATCH($C$2,Sheet4!$A:$A,0)+1)="Água","Água",
IF(INDIRECT("Sheet4!"&amp;"K"&amp;MATCH($C$2,Sheet4!$A:$A,0)+1)="-","-",
IF(_xlfn.NUMBERVALUE(MID(INDIRECT("Sheet4!"&amp;"K"&amp;MATCH($C$2,Sheet4!$A:$A,0)+1),9,2))&lt;=$C$4,
_xlfn.IFNA(VLOOKUP(INDIRECT("Sheet4!"&amp;"K"&amp;MATCH($C$2,Sheet4!$A:$A,0)+1),$C$7:$H$17,1,FALSE)&amp;CHAR(10)&amp;VLOOKUP(INDIRECT("Sheet4!"&amp;"K"&amp;MATCH($C$2,Sheet4!$A:$A,0)+1),$C$7:$H$17,5,FALSE),
VLOOKUP(INDIRECT("Sheet4!"&amp;"K"&amp;MATCH($C$2,Sheet4!$A:$A,0)+1),$I$7:$N$17,1,FALSE)&amp;CHAR(10)&amp;VLOOKUP(INDIRECT("Sheet4!"&amp;"K"&amp;MATCH($C$2,Sheet4!$A:$A,0)+1),$I$7:$N$17,5,FALSE)),"-"))))</f>
        <v>-</v>
      </c>
      <c r="F21" s="8" t="str" cm="1">
        <f t="array" aca="1" ref="F21" ca="1">IF(ISNUMBER(FIND("ctrl",INDIRECT("Sheet4!"&amp;"G"&amp;MATCH($C$2,Sheet4!$A:$A,0)+1))),
INDIRECT("Sheet4!"&amp;"G"&amp;MATCH($C$2,Sheet4!$A:$A,0)+1),IF(INDIRECT("Sheet4!"&amp;"G"&amp;MATCH($C$2,Sheet4!$A:$A,0)+1)="Água","Água",
IF(INDIRECT("Sheet4!"&amp;"G"&amp;MATCH($C$2,Sheet4!$A:$A,0)+1)="-","-",
IF(_xlfn.NUMBERVALUE(MID(INDIRECT("Sheet4!"&amp;"G"&amp;MATCH($C$2,Sheet4!$A:$A,0)+1),9,2))&lt;=$C$4,
_xlfn.IFNA(VLOOKUP(INDIRECT("Sheet4!"&amp;"G"&amp;MATCH($C$2,Sheet4!$A:$A,0)+1),$C$7:$H$17,1,FALSE)&amp;CHAR(10)&amp;VLOOKUP(INDIRECT("Sheet4!"&amp;"G"&amp;MATCH($C$2,Sheet4!$A:$A,0)+1),$C$7:$H$17,5,FALSE),
VLOOKUP(INDIRECT("Sheet4!"&amp;"G"&amp;MATCH($C$2,Sheet4!$A:$A,0)+1),$I$7:$N$17,1,FALSE)&amp;CHAR(10)&amp;VLOOKUP(INDIRECT("Sheet4!"&amp;"G"&amp;MATCH($C$2,Sheet4!$A:$A,0)+1),$I$7:$N$17,5,FALSE)),"-"))))</f>
        <v>-</v>
      </c>
      <c r="G21" s="8" t="str" cm="1">
        <f t="array" aca="1" ref="G21" ca="1">IF(ISNUMBER(FIND("ctrl",INDIRECT("Sheet4!"&amp;"H"&amp;MATCH($C$2,Sheet4!$A:$A,0)+1))),
INDIRECT("Sheet4!"&amp;"H"&amp;MATCH($C$2,Sheet4!$A:$A,0)+1),IF(INDIRECT("Sheet4!"&amp;"H"&amp;MATCH($C$2,Sheet4!$A:$A,0)+1)="Água","Água",
IF(INDIRECT("Sheet4!"&amp;"H"&amp;MATCH($C$2,Sheet4!$A:$A,0)+1)="-","-",
IF(_xlfn.NUMBERVALUE(MID(INDIRECT("Sheet4!"&amp;"H"&amp;MATCH($C$2,Sheet4!$A:$A,0)+1),9,2))&lt;=$C$4,
_xlfn.IFNA(VLOOKUP(INDIRECT("Sheet4!"&amp;"H"&amp;MATCH($C$2,Sheet4!$A:$A,0)+1),$C$7:$H$17,1,FALSE)&amp;CHAR(10)&amp;VLOOKUP(INDIRECT("Sheet4!"&amp;"H"&amp;MATCH($C$2,Sheet4!$A:$A,0)+1),$C$7:$H$17,5,FALSE),
VLOOKUP(INDIRECT("Sheet4!"&amp;"H"&amp;MATCH($C$2,Sheet4!$A:$A,0)+1),$I$7:$N$17,1,FALSE)&amp;CHAR(10)&amp;VLOOKUP(INDIRECT("Sheet4!"&amp;"H"&amp;MATCH($C$2,Sheet4!$A:$A,0)+1),$I$7:$N$17,5,FALSE)),"-"))))</f>
        <v>-</v>
      </c>
      <c r="H21" s="8" t="str" cm="1">
        <f t="array" aca="1" ref="H21" ca="1">IF(ISNUMBER(FIND("ctrl",INDIRECT("Sheet4!"&amp;"I"&amp;MATCH($C$2,Sheet4!$A:$A,0)+1))),
INDIRECT("Sheet4!"&amp;"I"&amp;MATCH($C$2,Sheet4!$A:$A,0)+1),IF(INDIRECT("Sheet4!"&amp;"I"&amp;MATCH($C$2,Sheet4!$A:$A,0)+1)="Água","Água",
IF(INDIRECT("Sheet4!"&amp;"I"&amp;MATCH($C$2,Sheet4!$A:$A,0)+1)="-","-",
IF(_xlfn.NUMBERVALUE(MID(INDIRECT("Sheet4!"&amp;"I"&amp;MATCH($C$2,Sheet4!$A:$A,0)+1),9,2))&lt;=$C$4,
_xlfn.IFNA(VLOOKUP(INDIRECT("Sheet4!"&amp;"I"&amp;MATCH($C$2,Sheet4!$A:$A,0)+1),$C$7:$H$17,1,FALSE)&amp;CHAR(10)&amp;VLOOKUP(INDIRECT("Sheet4!"&amp;"I"&amp;MATCH($C$2,Sheet4!$A:$A,0)+1),$C$7:$H$17,5,FALSE),
VLOOKUP(INDIRECT("Sheet4!"&amp;"I"&amp;MATCH($C$2,Sheet4!$A:$A,0)+1),$I$7:$N$17,1,FALSE)&amp;CHAR(10)&amp;VLOOKUP(INDIRECT("Sheet4!"&amp;"I"&amp;MATCH($C$2,Sheet4!$A:$A,0)+1),$I$7:$N$17,5,FALSE)),"-"))))</f>
        <v>-</v>
      </c>
      <c r="I21" s="8" t="str" cm="1">
        <f t="array" aca="1" ref="I21" ca="1">IF(ISNUMBER(FIND("ctrl",INDIRECT("Sheet4!"&amp;"J"&amp;MATCH($C$2,Sheet4!$A:$A,0)+1))),
INDIRECT("Sheet4!"&amp;"J"&amp;MATCH($C$2,Sheet4!$A:$A,0)+1),IF(INDIRECT("Sheet4!"&amp;"J"&amp;MATCH($C$2,Sheet4!$A:$A,0)+1)="Água","Água",
IF(INDIRECT("Sheet4!"&amp;"J"&amp;MATCH($C$2,Sheet4!$A:$A,0)+1)="-","-",
IF(_xlfn.NUMBERVALUE(MID(INDIRECT("Sheet4!"&amp;"J"&amp;MATCH($C$2,Sheet4!$A:$A,0)+1),9,2))&lt;=$C$4,
_xlfn.IFNA(VLOOKUP(INDIRECT("Sheet4!"&amp;"J"&amp;MATCH($C$2,Sheet4!$A:$A,0)+1),$C$7:$H$17,1,FALSE)&amp;CHAR(10)&amp;VLOOKUP(INDIRECT("Sheet4!"&amp;"J"&amp;MATCH($C$2,Sheet4!$A:$A,0)+1),$C$7:$H$17,5,FALSE),
VLOOKUP(INDIRECT("Sheet4!"&amp;"J"&amp;MATCH($C$2,Sheet4!$A:$A,0)+1),$I$7:$N$17,1,FALSE)&amp;CHAR(10)&amp;VLOOKUP(INDIRECT("Sheet4!"&amp;"J"&amp;MATCH($C$2,Sheet4!$A:$A,0)+1),$I$7:$N$17,5,FALSE)),"-"))))</f>
        <v>-</v>
      </c>
      <c r="J21" s="8" t="str" cm="1">
        <f t="array" aca="1" ref="J21" ca="1">IF(ISNUMBER(FIND("ctrl",INDIRECT("Sheet4!"&amp;"K"&amp;MATCH($C$2,Sheet4!$A:$A,0)+1))),
INDIRECT("Sheet4!"&amp;"K"&amp;MATCH($C$2,Sheet4!$A:$A,0)+1),IF(INDIRECT("Sheet4!"&amp;"K"&amp;MATCH($C$2,Sheet4!$A:$A,0)+1)="Água","Água",
IF(INDIRECT("Sheet4!"&amp;"K"&amp;MATCH($C$2,Sheet4!$A:$A,0)+1)="-","-",
IF(_xlfn.NUMBERVALUE(MID(INDIRECT("Sheet4!"&amp;"K"&amp;MATCH($C$2,Sheet4!$A:$A,0)+1),9,2))&lt;=$C$4,
_xlfn.IFNA(VLOOKUP(INDIRECT("Sheet4!"&amp;"K"&amp;MATCH($C$2,Sheet4!$A:$A,0)+1),$C$7:$H$17,1,FALSE)&amp;CHAR(10)&amp;VLOOKUP(INDIRECT("Sheet4!"&amp;"K"&amp;MATCH($C$2,Sheet4!$A:$A,0)+1),$C$7:$H$17,5,FALSE),
VLOOKUP(INDIRECT("Sheet4!"&amp;"K"&amp;MATCH($C$2,Sheet4!$A:$A,0)+1),$I$7:$N$17,1,FALSE)&amp;CHAR(10)&amp;VLOOKUP(INDIRECT("Sheet4!"&amp;"K"&amp;MATCH($C$2,Sheet4!$A:$A,0)+1),$I$7:$N$17,5,FALSE)),"-"))))</f>
        <v>-</v>
      </c>
      <c r="K21" s="8" t="str" cm="1">
        <f t="array" aca="1" ref="K21" ca="1">IF(ISNUMBER(FIND("ctrl",INDIRECT("Sheet4!"&amp;"D"&amp;MATCH($C$2,Sheet4!$A:$A,0)+1))),
INDIRECT("Sheet4!"&amp;"D"&amp;MATCH($C$2,Sheet4!$A:$A,0)+1),IF(INDIRECT("Sheet4!"&amp;"D"&amp;MATCH($C$2,Sheet4!$A:$A,0)+1)="Água","Água",
IF(INDIRECT("Sheet4!"&amp;"D"&amp;MATCH($C$2,Sheet4!$A:$A,0)+1)="-","-",
IF(_xlfn.NUMBERVALUE(MID(INDIRECT("Sheet4!"&amp;"D"&amp;MATCH($C$2,Sheet4!$A:$A,0)+1),9,2))&lt;=$C$4,
_xlfn.IFNA(VLOOKUP(INDIRECT("Sheet4!"&amp;"D"&amp;MATCH($C$2,Sheet4!$A:$A,0)+1),$C$7:$H$17,1,FALSE)&amp;CHAR(10)&amp;VLOOKUP(INDIRECT("Sheet4!"&amp;"D"&amp;MATCH($C$2,Sheet4!$A:$A,0)+1),$C$7:$H$17,5,FALSE),
VLOOKUP(INDIRECT("Sheet4!"&amp;"D"&amp;MATCH($C$2,Sheet4!$A:$A,0)+1),$I$7:$N$17,1,FALSE)&amp;CHAR(10)&amp;VLOOKUP(INDIRECT("Sheet4!"&amp;"D"&amp;MATCH($C$2,Sheet4!$A:$A,0)+1),$I$7:$N$17,5,FALSE)),"-"))))</f>
        <v>Amostra 1
111 K.V.</v>
      </c>
      <c r="L21" s="8" t="str" cm="1">
        <f t="array" aca="1" ref="L21" ca="1">IF(ISNUMBER(FIND("ctrl",INDIRECT("Sheet4!"&amp;"E"&amp;MATCH($C$2,Sheet4!$A:$A,0)+1))),
INDIRECT("Sheet4!"&amp;"E"&amp;MATCH($C$2,Sheet4!$A:$A,0)+1),IF(INDIRECT("Sheet4!"&amp;"E"&amp;MATCH($C$2,Sheet4!$A:$A,0)+1)="Água","Água",
IF(INDIRECT("Sheet4!"&amp;"E"&amp;MATCH($C$2,Sheet4!$A:$A,0)+1)="-","-",
IF(_xlfn.NUMBERVALUE(MID(INDIRECT("Sheet4!"&amp;"E"&amp;MATCH($C$2,Sheet4!$A:$A,0)+1),9,2))&lt;=$C$4,
_xlfn.IFNA(VLOOKUP(INDIRECT("Sheet4!"&amp;"E"&amp;MATCH($C$2,Sheet4!$A:$A,0)+1),$C$7:$H$17,1,FALSE)&amp;CHAR(10)&amp;VLOOKUP(INDIRECT("Sheet4!"&amp;"E"&amp;MATCH($C$2,Sheet4!$A:$A,0)+1),$C$7:$H$17,5,FALSE),
VLOOKUP(INDIRECT("Sheet4!"&amp;"E"&amp;MATCH($C$2,Sheet4!$A:$A,0)+1),$I$7:$N$17,1,FALSE)&amp;CHAR(10)&amp;VLOOKUP(INDIRECT("Sheet4!"&amp;"E"&amp;MATCH($C$2,Sheet4!$A:$A,0)+1),$I$7:$N$17,5,FALSE)),"-"))))</f>
        <v>Amostra 2
112 B.B.</v>
      </c>
      <c r="M21" s="8" t="str" cm="1">
        <f t="array" aca="1" ref="M21" ca="1">IF(ISNUMBER(FIND("ctrl",INDIRECT("Sheet4!"&amp;"F"&amp;MATCH($C$2,Sheet4!$A:$A,0)+1))),
INDIRECT("Sheet4!"&amp;"F"&amp;MATCH($C$2,Sheet4!$A:$A,0)+1),IF(INDIRECT("Sheet4!"&amp;"F"&amp;MATCH($C$2,Sheet4!$A:$A,0)+1)="Água","Água",
IF(INDIRECT("Sheet4!"&amp;"F"&amp;MATCH($C$2,Sheet4!$A:$A,0)+1)="-","-",
IF(_xlfn.NUMBERVALUE(MID(INDIRECT("Sheet4!"&amp;"F"&amp;MATCH($C$2,Sheet4!$A:$A,0)+1),9,2))&lt;=$C$4,
_xlfn.IFNA(VLOOKUP(INDIRECT("Sheet4!"&amp;"F"&amp;MATCH($C$2,Sheet4!$A:$A,0)+1),$C$7:$H$17,1,FALSE)&amp;CHAR(10)&amp;VLOOKUP(INDIRECT("Sheet4!"&amp;"F"&amp;MATCH($C$2,Sheet4!$A:$A,0)+1),$C$7:$H$17,5,FALSE),
VLOOKUP(INDIRECT("Sheet4!"&amp;"F"&amp;MATCH($C$2,Sheet4!$A:$A,0)+1),$I$7:$N$17,1,FALSE)&amp;CHAR(10)&amp;VLOOKUP(INDIRECT("Sheet4!"&amp;"F"&amp;MATCH($C$2,Sheet4!$A:$A,0)+1),$I$7:$N$17,5,FALSE)),"-"))))</f>
        <v>Amostra 3
113 F.S.</v>
      </c>
      <c r="N21" s="8" t="str" cm="1">
        <f t="array" aca="1" ref="N21" ca="1">IF(ISNUMBER(FIND("ctrl",INDIRECT("Sheet4!"&amp;"O"&amp;MATCH($C$2,Sheet4!$A:$A,0)+1))),
INDIRECT("Sheet4!"&amp;"O"&amp;MATCH($C$2,Sheet4!$A:$A,0)+1),IF(INDIRECT("Sheet4!"&amp;"O"&amp;MATCH($C$2,Sheet4!$A:$A,0)+1)="Água","Água",
IF(INDIRECT("Sheet4!"&amp;"O"&amp;MATCH($C$2,Sheet4!$A:$A,0)+1)="-","-",
IF(_xlfn.NUMBERVALUE(MID(INDIRECT("Sheet4!"&amp;"O"&amp;MATCH($C$2,Sheet4!$A:$A,0)+1),9,2))&lt;=$C$4,
_xlfn.IFNA(VLOOKUP(INDIRECT("Sheet4!"&amp;"O"&amp;MATCH($C$2,Sheet4!$A:$A,0)+1),$C$7:$H$17,1,FALSE)&amp;CHAR(10)&amp;VLOOKUP(INDIRECT("Sheet4!"&amp;"O"&amp;MATCH($C$2,Sheet4!$A:$A,0)+1),$C$7:$H$17,5,FALSE),
VLOOKUP(INDIRECT("Sheet4!"&amp;"O"&amp;MATCH($C$2,Sheet4!$A:$A,0)+1),$I$7:$N$17,1,FALSE)&amp;CHAR(10)&amp;VLOOKUP(INDIRECT("Sheet4!"&amp;"O"&amp;MATCH($C$2,Sheet4!$A:$A,0)+1),$I$7:$N$17,5,FALSE)),"-"))))</f>
        <v>Água</v>
      </c>
    </row>
    <row r="22" spans="2:14" ht="15" customHeight="1" x14ac:dyDescent="0.25">
      <c r="B22" s="12" t="s">
        <v>28</v>
      </c>
      <c r="C22" s="8" t="str" cm="1">
        <f t="array" aca="1" ref="C22" ca="1">IF(ISNUMBER(FIND("ctrl",INDIRECT("Sheet4!"&amp;"K"&amp;MATCH($C$2,Sheet4!$A:$A,0)+2))),
INDIRECT("Sheet4!"&amp;"K"&amp;MATCH($C$2,Sheet4!$A:$A,0)+2),IF(INDIRECT("Sheet4!"&amp;"K"&amp;MATCH($C$2,Sheet4!$A:$A,0)+2)="Água","Água",
IF(INDIRECT("Sheet4!"&amp;"K"&amp;MATCH($C$2,Sheet4!$A:$A,0)+2)="-","-",
IF(_xlfn.NUMBERVALUE(MID(INDIRECT("Sheet4!"&amp;"K"&amp;MATCH($C$2,Sheet4!$A:$A,0)+2),9,2))&lt;=$C$4,
_xlfn.IFNA(VLOOKUP(INDIRECT("Sheet4!"&amp;"K"&amp;MATCH($C$2,Sheet4!$A:$A,0)+2),$C$7:$H$17,1,FALSE)&amp;CHAR(10)&amp;VLOOKUP(INDIRECT("Sheet4!"&amp;"K"&amp;MATCH($C$2,Sheet4!$A:$A,0)+2),$C$7:$H$17,5,FALSE),
VLOOKUP(INDIRECT("Sheet4!"&amp;"K"&amp;MATCH($C$2,Sheet4!$A:$A,0)+2),$I$7:$N$17,1,FALSE)&amp;CHAR(10)&amp;VLOOKUP(INDIRECT("Sheet4!"&amp;"K"&amp;MATCH($C$2,Sheet4!$A:$A,0)+2),$I$7:$N$17,5,FALSE)),"-"))))</f>
        <v>-</v>
      </c>
      <c r="D22" s="8" t="str" cm="1">
        <f t="array" aca="1" ref="D22" ca="1">IF(ISNUMBER(FIND("ctrl",INDIRECT("Sheet4!"&amp;"K"&amp;MATCH($C$2,Sheet4!$A:$A,0)+2))),
INDIRECT("Sheet4!"&amp;"K"&amp;MATCH($C$2,Sheet4!$A:$A,0)+2),IF(INDIRECT("Sheet4!"&amp;"K"&amp;MATCH($C$2,Sheet4!$A:$A,0)+2)="Água","Água",
IF(INDIRECT("Sheet4!"&amp;"K"&amp;MATCH($C$2,Sheet4!$A:$A,0)+2)="-","-",
IF(_xlfn.NUMBERVALUE(MID(INDIRECT("Sheet4!"&amp;"K"&amp;MATCH($C$2,Sheet4!$A:$A,0)+2),9,2))&lt;=$C$4,
_xlfn.IFNA(VLOOKUP(INDIRECT("Sheet4!"&amp;"K"&amp;MATCH($C$2,Sheet4!$A:$A,0)+2),$C$7:$H$17,1,FALSE)&amp;CHAR(10)&amp;VLOOKUP(INDIRECT("Sheet4!"&amp;"K"&amp;MATCH($C$2,Sheet4!$A:$A,0)+2),$C$7:$H$17,5,FALSE),
VLOOKUP(INDIRECT("Sheet4!"&amp;"K"&amp;MATCH($C$2,Sheet4!$A:$A,0)+2),$I$7:$N$17,1,FALSE)&amp;CHAR(10)&amp;VLOOKUP(INDIRECT("Sheet4!"&amp;"K"&amp;MATCH($C$2,Sheet4!$A:$A,0)+2),$I$7:$N$17,5,FALSE)),"-"))))</f>
        <v>-</v>
      </c>
      <c r="E22" s="8" t="str" cm="1">
        <f t="array" aca="1" ref="E22" ca="1">IF(ISNUMBER(FIND("ctrl",INDIRECT("Sheet4!"&amp;"K"&amp;MATCH($C$2,Sheet4!$A:$A,0)+2))),
INDIRECT("Sheet4!"&amp;"K"&amp;MATCH($C$2,Sheet4!$A:$A,0)+2),IF(INDIRECT("Sheet4!"&amp;"K"&amp;MATCH($C$2,Sheet4!$A:$A,0)+2)="Água","Água",
IF(INDIRECT("Sheet4!"&amp;"K"&amp;MATCH($C$2,Sheet4!$A:$A,0)+2)="-","-",
IF(_xlfn.NUMBERVALUE(MID(INDIRECT("Sheet4!"&amp;"K"&amp;MATCH($C$2,Sheet4!$A:$A,0)+2),9,2))&lt;=$C$4,
_xlfn.IFNA(VLOOKUP(INDIRECT("Sheet4!"&amp;"K"&amp;MATCH($C$2,Sheet4!$A:$A,0)+2),$C$7:$H$17,1,FALSE)&amp;CHAR(10)&amp;VLOOKUP(INDIRECT("Sheet4!"&amp;"K"&amp;MATCH($C$2,Sheet4!$A:$A,0)+2),$C$7:$H$17,5,FALSE),
VLOOKUP(INDIRECT("Sheet4!"&amp;"K"&amp;MATCH($C$2,Sheet4!$A:$A,0)+2),$I$7:$N$17,1,FALSE)&amp;CHAR(10)&amp;VLOOKUP(INDIRECT("Sheet4!"&amp;"K"&amp;MATCH($C$2,Sheet4!$A:$A,0)+2),$I$7:$N$17,5,FALSE)),"-"))))</f>
        <v>-</v>
      </c>
      <c r="F22" s="8" t="str" cm="1">
        <f t="array" aca="1" ref="F22" ca="1">IF(ISNUMBER(FIND("ctrl",INDIRECT("Sheet4!"&amp;"G"&amp;MATCH($C$2,Sheet4!$A:$A,0)+2))),
INDIRECT("Sheet4!"&amp;"G"&amp;MATCH($C$2,Sheet4!$A:$A,0)+2),IF(INDIRECT("Sheet4!"&amp;"G"&amp;MATCH($C$2,Sheet4!$A:$A,0)+2)="Água","Água",
IF(INDIRECT("Sheet4!"&amp;"G"&amp;MATCH($C$2,Sheet4!$A:$A,0)+2)="-","-",
IF(_xlfn.NUMBERVALUE(MID(INDIRECT("Sheet4!"&amp;"G"&amp;MATCH($C$2,Sheet4!$A:$A,0)+2),9,2))&lt;=$C$4,
_xlfn.IFNA(VLOOKUP(INDIRECT("Sheet4!"&amp;"G"&amp;MATCH($C$2,Sheet4!$A:$A,0)+2),$C$7:$H$17,1,FALSE)&amp;CHAR(10)&amp;VLOOKUP(INDIRECT("Sheet4!"&amp;"G"&amp;MATCH($C$2,Sheet4!$A:$A,0)+2),$C$7:$H$17,5,FALSE),
VLOOKUP(INDIRECT("Sheet4!"&amp;"G"&amp;MATCH($C$2,Sheet4!$A:$A,0)+2),$I$7:$N$17,1,FALSE)&amp;CHAR(10)&amp;VLOOKUP(INDIRECT("Sheet4!"&amp;"G"&amp;MATCH($C$2,Sheet4!$A:$A,0)+2),$I$7:$N$17,5,FALSE)),"-"))))</f>
        <v>-</v>
      </c>
      <c r="G22" s="8" t="str" cm="1">
        <f t="array" aca="1" ref="G22" ca="1">IF(ISNUMBER(FIND("ctrl",INDIRECT("Sheet4!"&amp;"H"&amp;MATCH($C$2,Sheet4!$A:$A,0)+2))),
INDIRECT("Sheet4!"&amp;"H"&amp;MATCH($C$2,Sheet4!$A:$A,0)+2),IF(INDIRECT("Sheet4!"&amp;"H"&amp;MATCH($C$2,Sheet4!$A:$A,0)+2)="Água","Água",
IF(INDIRECT("Sheet4!"&amp;"H"&amp;MATCH($C$2,Sheet4!$A:$A,0)+2)="-","-",
IF(_xlfn.NUMBERVALUE(MID(INDIRECT("Sheet4!"&amp;"H"&amp;MATCH($C$2,Sheet4!$A:$A,0)+2),9,2))&lt;=$C$4,
_xlfn.IFNA(VLOOKUP(INDIRECT("Sheet4!"&amp;"H"&amp;MATCH($C$2,Sheet4!$A:$A,0)+2),$C$7:$H$17,1,FALSE)&amp;CHAR(10)&amp;VLOOKUP(INDIRECT("Sheet4!"&amp;"H"&amp;MATCH($C$2,Sheet4!$A:$A,0)+2),$C$7:$H$17,5,FALSE),
VLOOKUP(INDIRECT("Sheet4!"&amp;"H"&amp;MATCH($C$2,Sheet4!$A:$A,0)+2),$I$7:$N$17,1,FALSE)&amp;CHAR(10)&amp;VLOOKUP(INDIRECT("Sheet4!"&amp;"H"&amp;MATCH($C$2,Sheet4!$A:$A,0)+2),$I$7:$N$17,5,FALSE)),"-"))))</f>
        <v>-</v>
      </c>
      <c r="H22" s="8" t="str" cm="1">
        <f t="array" aca="1" ref="H22" ca="1">IF(ISNUMBER(FIND("ctrl",INDIRECT("Sheet4!"&amp;"I"&amp;MATCH($C$2,Sheet4!$A:$A,0)+2))),
INDIRECT("Sheet4!"&amp;"I"&amp;MATCH($C$2,Sheet4!$A:$A,0)+2),IF(INDIRECT("Sheet4!"&amp;"I"&amp;MATCH($C$2,Sheet4!$A:$A,0)+2)="Água","Água",
IF(INDIRECT("Sheet4!"&amp;"I"&amp;MATCH($C$2,Sheet4!$A:$A,0)+2)="-","-",
IF(_xlfn.NUMBERVALUE(MID(INDIRECT("Sheet4!"&amp;"I"&amp;MATCH($C$2,Sheet4!$A:$A,0)+2),9,2))&lt;=$C$4,
_xlfn.IFNA(VLOOKUP(INDIRECT("Sheet4!"&amp;"I"&amp;MATCH($C$2,Sheet4!$A:$A,0)+2),$C$7:$H$17,1,FALSE)&amp;CHAR(10)&amp;VLOOKUP(INDIRECT("Sheet4!"&amp;"I"&amp;MATCH($C$2,Sheet4!$A:$A,0)+2),$C$7:$H$17,5,FALSE),
VLOOKUP(INDIRECT("Sheet4!"&amp;"I"&amp;MATCH($C$2,Sheet4!$A:$A,0)+2),$I$7:$N$17,1,FALSE)&amp;CHAR(10)&amp;VLOOKUP(INDIRECT("Sheet4!"&amp;"I"&amp;MATCH($C$2,Sheet4!$A:$A,0)+2),$I$7:$N$17,5,FALSE)),"-"))))</f>
        <v>-</v>
      </c>
      <c r="I22" s="8" t="str" cm="1">
        <f t="array" aca="1" ref="I22" ca="1">IF(ISNUMBER(FIND("ctrl",INDIRECT("Sheet4!"&amp;"J"&amp;MATCH($C$2,Sheet4!$A:$A,0)+2))),
INDIRECT("Sheet4!"&amp;"J"&amp;MATCH($C$2,Sheet4!$A:$A,0)+2),IF(INDIRECT("Sheet4!"&amp;"J"&amp;MATCH($C$2,Sheet4!$A:$A,0)+2)="Água","Água",
IF(INDIRECT("Sheet4!"&amp;"J"&amp;MATCH($C$2,Sheet4!$A:$A,0)+2)="-","-",
IF(_xlfn.NUMBERVALUE(MID(INDIRECT("Sheet4!"&amp;"J"&amp;MATCH($C$2,Sheet4!$A:$A,0)+2),9,2))&lt;=$C$4,
_xlfn.IFNA(VLOOKUP(INDIRECT("Sheet4!"&amp;"J"&amp;MATCH($C$2,Sheet4!$A:$A,0)+2),$C$7:$H$17,1,FALSE)&amp;CHAR(10)&amp;VLOOKUP(INDIRECT("Sheet4!"&amp;"J"&amp;MATCH($C$2,Sheet4!$A:$A,0)+2),$C$7:$H$17,5,FALSE),
VLOOKUP(INDIRECT("Sheet4!"&amp;"J"&amp;MATCH($C$2,Sheet4!$A:$A,0)+2),$I$7:$N$17,1,FALSE)&amp;CHAR(10)&amp;VLOOKUP(INDIRECT("Sheet4!"&amp;"J"&amp;MATCH($C$2,Sheet4!$A:$A,0)+2),$I$7:$N$17,5,FALSE)),"-"))))</f>
        <v>-</v>
      </c>
      <c r="J22" s="8" t="str" cm="1">
        <f t="array" aca="1" ref="J22" ca="1">IF(ISNUMBER(FIND("ctrl",INDIRECT("Sheet4!"&amp;"K"&amp;MATCH($C$2,Sheet4!$A:$A,0)+2))),
INDIRECT("Sheet4!"&amp;"K"&amp;MATCH($C$2,Sheet4!$A:$A,0)+2),IF(INDIRECT("Sheet4!"&amp;"K"&amp;MATCH($C$2,Sheet4!$A:$A,0)+2)="Água","Água",
IF(INDIRECT("Sheet4!"&amp;"K"&amp;MATCH($C$2,Sheet4!$A:$A,0)+2)="-","-",
IF(_xlfn.NUMBERVALUE(MID(INDIRECT("Sheet4!"&amp;"K"&amp;MATCH($C$2,Sheet4!$A:$A,0)+2),9,2))&lt;=$C$4,
_xlfn.IFNA(VLOOKUP(INDIRECT("Sheet4!"&amp;"K"&amp;MATCH($C$2,Sheet4!$A:$A,0)+2),$C$7:$H$17,1,FALSE)&amp;CHAR(10)&amp;VLOOKUP(INDIRECT("Sheet4!"&amp;"K"&amp;MATCH($C$2,Sheet4!$A:$A,0)+2),$C$7:$H$17,5,FALSE),
VLOOKUP(INDIRECT("Sheet4!"&amp;"K"&amp;MATCH($C$2,Sheet4!$A:$A,0)+2),$I$7:$N$17,1,FALSE)&amp;CHAR(10)&amp;VLOOKUP(INDIRECT("Sheet4!"&amp;"K"&amp;MATCH($C$2,Sheet4!$A:$A,0)+2),$I$7:$N$17,5,FALSE)),"-"))))</f>
        <v>-</v>
      </c>
      <c r="K22" s="8" t="str" cm="1">
        <f t="array" aca="1" ref="K22" ca="1">IF(ISNUMBER(FIND("ctrl",INDIRECT("Sheet4!"&amp;"D"&amp;MATCH($C$2,Sheet4!$A:$A,0)+2))),
INDIRECT("Sheet4!"&amp;"D"&amp;MATCH($C$2,Sheet4!$A:$A,0)+2),IF(INDIRECT("Sheet4!"&amp;"D"&amp;MATCH($C$2,Sheet4!$A:$A,0)+2)="Água","Água",
IF(INDIRECT("Sheet4!"&amp;"D"&amp;MATCH($C$2,Sheet4!$A:$A,0)+2)="-","-",
IF(_xlfn.NUMBERVALUE(MID(INDIRECT("Sheet4!"&amp;"D"&amp;MATCH($C$2,Sheet4!$A:$A,0)+2),9,2))&lt;=$C$4,
_xlfn.IFNA(VLOOKUP(INDIRECT("Sheet4!"&amp;"D"&amp;MATCH($C$2,Sheet4!$A:$A,0)+2),$C$7:$H$17,1,FALSE)&amp;CHAR(10)&amp;VLOOKUP(INDIRECT("Sheet4!"&amp;"D"&amp;MATCH($C$2,Sheet4!$A:$A,0)+2),$C$7:$H$17,5,FALSE),
VLOOKUP(INDIRECT("Sheet4!"&amp;"D"&amp;MATCH($C$2,Sheet4!$A:$A,0)+2),$I$7:$N$17,1,FALSE)&amp;CHAR(10)&amp;VLOOKUP(INDIRECT("Sheet4!"&amp;"D"&amp;MATCH($C$2,Sheet4!$A:$A,0)+2),$I$7:$N$17,5,FALSE)),"-"))))</f>
        <v>Amostra 1
111 K.V.</v>
      </c>
      <c r="L22" s="8" t="str" cm="1">
        <f t="array" aca="1" ref="L22" ca="1">IF(ISNUMBER(FIND("ctrl",INDIRECT("Sheet4!"&amp;"E"&amp;MATCH($C$2,Sheet4!$A:$A,0)+2))),
INDIRECT("Sheet4!"&amp;"E"&amp;MATCH($C$2,Sheet4!$A:$A,0)+2),IF(INDIRECT("Sheet4!"&amp;"E"&amp;MATCH($C$2,Sheet4!$A:$A,0)+2)="Água","Água",
IF(INDIRECT("Sheet4!"&amp;"E"&amp;MATCH($C$2,Sheet4!$A:$A,0)+2)="-","-",
IF(_xlfn.NUMBERVALUE(MID(INDIRECT("Sheet4!"&amp;"E"&amp;MATCH($C$2,Sheet4!$A:$A,0)+2),9,2))&lt;=$C$4,
_xlfn.IFNA(VLOOKUP(INDIRECT("Sheet4!"&amp;"E"&amp;MATCH($C$2,Sheet4!$A:$A,0)+2),$C$7:$H$17,1,FALSE)&amp;CHAR(10)&amp;VLOOKUP(INDIRECT("Sheet4!"&amp;"E"&amp;MATCH($C$2,Sheet4!$A:$A,0)+2),$C$7:$H$17,5,FALSE),
VLOOKUP(INDIRECT("Sheet4!"&amp;"E"&amp;MATCH($C$2,Sheet4!$A:$A,0)+2),$I$7:$N$17,1,FALSE)&amp;CHAR(10)&amp;VLOOKUP(INDIRECT("Sheet4!"&amp;"E"&amp;MATCH($C$2,Sheet4!$A:$A,0)+2),$I$7:$N$17,5,FALSE)),"-"))))</f>
        <v>Amostra 2
112 B.B.</v>
      </c>
      <c r="M22" s="8" t="str" cm="1">
        <f t="array" aca="1" ref="M22" ca="1">IF(ISNUMBER(FIND("ctrl",INDIRECT("Sheet4!"&amp;"F"&amp;MATCH($C$2,Sheet4!$A:$A,0)+2))),
INDIRECT("Sheet4!"&amp;"F"&amp;MATCH($C$2,Sheet4!$A:$A,0)+2),IF(INDIRECT("Sheet4!"&amp;"F"&amp;MATCH($C$2,Sheet4!$A:$A,0)+2)="Água","Água",
IF(INDIRECT("Sheet4!"&amp;"F"&amp;MATCH($C$2,Sheet4!$A:$A,0)+2)="-","-",
IF(_xlfn.NUMBERVALUE(MID(INDIRECT("Sheet4!"&amp;"F"&amp;MATCH($C$2,Sheet4!$A:$A,0)+2),9,2))&lt;=$C$4,
_xlfn.IFNA(VLOOKUP(INDIRECT("Sheet4!"&amp;"F"&amp;MATCH($C$2,Sheet4!$A:$A,0)+2),$C$7:$H$17,1,FALSE)&amp;CHAR(10)&amp;VLOOKUP(INDIRECT("Sheet4!"&amp;"F"&amp;MATCH($C$2,Sheet4!$A:$A,0)+2),$C$7:$H$17,5,FALSE),
VLOOKUP(INDIRECT("Sheet4!"&amp;"F"&amp;MATCH($C$2,Sheet4!$A:$A,0)+2),$I$7:$N$17,1,FALSE)&amp;CHAR(10)&amp;VLOOKUP(INDIRECT("Sheet4!"&amp;"F"&amp;MATCH($C$2,Sheet4!$A:$A,0)+2),$I$7:$N$17,5,FALSE)),"-"))))</f>
        <v>Amostra 3
113 F.S.</v>
      </c>
      <c r="N22" s="8" t="str" cm="1">
        <f t="array" aca="1" ref="N22" ca="1">IF(ISNUMBER(FIND("ctrl",INDIRECT("Sheet4!"&amp;"O"&amp;MATCH($C$2,Sheet4!$A:$A,0)+2))),
INDIRECT("Sheet4!"&amp;"O"&amp;MATCH($C$2,Sheet4!$A:$A,0)+2),IF(INDIRECT("Sheet4!"&amp;"O"&amp;MATCH($C$2,Sheet4!$A:$A,0)+2)="Água","Água",
IF(INDIRECT("Sheet4!"&amp;"O"&amp;MATCH($C$2,Sheet4!$A:$A,0)+2)="-","-",
IF(_xlfn.NUMBERVALUE(MID(INDIRECT("Sheet4!"&amp;"O"&amp;MATCH($C$2,Sheet4!$A:$A,0)+2),9,2))&lt;=$C$4,
_xlfn.IFNA(VLOOKUP(INDIRECT("Sheet4!"&amp;"O"&amp;MATCH($C$2,Sheet4!$A:$A,0)+2),$C$7:$H$17,1,FALSE)&amp;CHAR(10)&amp;VLOOKUP(INDIRECT("Sheet4!"&amp;"O"&amp;MATCH($C$2,Sheet4!$A:$A,0)+2),$C$7:$H$17,5,FALSE),
VLOOKUP(INDIRECT("Sheet4!"&amp;"O"&amp;MATCH($C$2,Sheet4!$A:$A,0)+2),$I$7:$N$17,1,FALSE)&amp;CHAR(10)&amp;VLOOKUP(INDIRECT("Sheet4!"&amp;"O"&amp;MATCH($C$2,Sheet4!$A:$A,0)+2),$I$7:$N$17,5,FALSE)),"-"))))</f>
        <v>Água</v>
      </c>
    </row>
    <row r="23" spans="2:14" ht="15" customHeight="1" x14ac:dyDescent="0.25">
      <c r="B23" s="12" t="s">
        <v>29</v>
      </c>
      <c r="C23" s="8" t="str" cm="1">
        <f t="array" aca="1" ref="C23" ca="1">IF(ISNUMBER(FIND("ctrl",INDIRECT("Sheet4!"&amp;"K"&amp;MATCH($C$2,Sheet4!$A:$A,0)+3))),
INDIRECT("Sheet4!"&amp;"K"&amp;MATCH($C$2,Sheet4!$A:$A,0)+3),IF(INDIRECT("Sheet4!"&amp;"K"&amp;MATCH($C$2,Sheet4!$A:$A,0)+3)="Água","Água",
IF(INDIRECT("Sheet4!"&amp;"K"&amp;MATCH($C$2,Sheet4!$A:$A,0)+3)="-","-",
IF(_xlfn.NUMBERVALUE(MID(INDIRECT("Sheet4!"&amp;"K"&amp;MATCH($C$2,Sheet4!$A:$A,0)+3),9,2))&lt;=$C$4,
_xlfn.IFNA(VLOOKUP(INDIRECT("Sheet4!"&amp;"K"&amp;MATCH($C$2,Sheet4!$A:$A,0)+3),$C$7:$H$17,1,FALSE)&amp;CHAR(10)&amp;VLOOKUP(INDIRECT("Sheet4!"&amp;"K"&amp;MATCH($C$2,Sheet4!$A:$A,0)+3),$C$7:$H$17,5,FALSE),
VLOOKUP(INDIRECT("Sheet4!"&amp;"K"&amp;MATCH($C$2,Sheet4!$A:$A,0)+3),$I$7:$N$17,1,FALSE)&amp;CHAR(10)&amp;VLOOKUP(INDIRECT("Sheet4!"&amp;"K"&amp;MATCH($C$2,Sheet4!$A:$A,0)+3),$I$7:$N$17,5,FALSE)),"-"))))</f>
        <v>-</v>
      </c>
      <c r="D23" s="8" t="str" cm="1">
        <f t="array" aca="1" ref="D23" ca="1">IF(ISNUMBER(FIND("ctrl",INDIRECT("Sheet4!"&amp;"K"&amp;MATCH($C$2,Sheet4!$A:$A,0)+3))),
INDIRECT("Sheet4!"&amp;"K"&amp;MATCH($C$2,Sheet4!$A:$A,0)+3),IF(INDIRECT("Sheet4!"&amp;"K"&amp;MATCH($C$2,Sheet4!$A:$A,0)+3)="Água","Água",
IF(INDIRECT("Sheet4!"&amp;"K"&amp;MATCH($C$2,Sheet4!$A:$A,0)+3)="-","-",
IF(_xlfn.NUMBERVALUE(MID(INDIRECT("Sheet4!"&amp;"K"&amp;MATCH($C$2,Sheet4!$A:$A,0)+3),9,2))&lt;=$C$4,
_xlfn.IFNA(VLOOKUP(INDIRECT("Sheet4!"&amp;"K"&amp;MATCH($C$2,Sheet4!$A:$A,0)+3),$C$7:$H$17,1,FALSE)&amp;CHAR(10)&amp;VLOOKUP(INDIRECT("Sheet4!"&amp;"K"&amp;MATCH($C$2,Sheet4!$A:$A,0)+3),$C$7:$H$17,5,FALSE),
VLOOKUP(INDIRECT("Sheet4!"&amp;"K"&amp;MATCH($C$2,Sheet4!$A:$A,0)+3),$I$7:$N$17,1,FALSE)&amp;CHAR(10)&amp;VLOOKUP(INDIRECT("Sheet4!"&amp;"K"&amp;MATCH($C$2,Sheet4!$A:$A,0)+3),$I$7:$N$17,5,FALSE)),"-"))))</f>
        <v>-</v>
      </c>
      <c r="E23" s="8" t="str" cm="1">
        <f t="array" aca="1" ref="E23" ca="1">IF(ISNUMBER(FIND("ctrl",INDIRECT("Sheet4!"&amp;"K"&amp;MATCH($C$2,Sheet4!$A:$A,0)+3))),
INDIRECT("Sheet4!"&amp;"K"&amp;MATCH($C$2,Sheet4!$A:$A,0)+3),IF(INDIRECT("Sheet4!"&amp;"K"&amp;MATCH($C$2,Sheet4!$A:$A,0)+3)="Água","Água",
IF(INDIRECT("Sheet4!"&amp;"K"&amp;MATCH($C$2,Sheet4!$A:$A,0)+3)="-","-",
IF(_xlfn.NUMBERVALUE(MID(INDIRECT("Sheet4!"&amp;"K"&amp;MATCH($C$2,Sheet4!$A:$A,0)+3),9,2))&lt;=$C$4,
_xlfn.IFNA(VLOOKUP(INDIRECT("Sheet4!"&amp;"K"&amp;MATCH($C$2,Sheet4!$A:$A,0)+3),$C$7:$H$17,1,FALSE)&amp;CHAR(10)&amp;VLOOKUP(INDIRECT("Sheet4!"&amp;"K"&amp;MATCH($C$2,Sheet4!$A:$A,0)+3),$C$7:$H$17,5,FALSE),
VLOOKUP(INDIRECT("Sheet4!"&amp;"K"&amp;MATCH($C$2,Sheet4!$A:$A,0)+3),$I$7:$N$17,1,FALSE)&amp;CHAR(10)&amp;VLOOKUP(INDIRECT("Sheet4!"&amp;"K"&amp;MATCH($C$2,Sheet4!$A:$A,0)+3),$I$7:$N$17,5,FALSE)),"-"))))</f>
        <v>-</v>
      </c>
      <c r="F23" s="8" t="str" cm="1">
        <f t="array" aca="1" ref="F23" ca="1">IF(ISNUMBER(FIND("ctrl",INDIRECT("Sheet4!"&amp;"G"&amp;MATCH($C$2,Sheet4!$A:$A,0)+3))),
INDIRECT("Sheet4!"&amp;"G"&amp;MATCH($C$2,Sheet4!$A:$A,0)+3),IF(INDIRECT("Sheet4!"&amp;"G"&amp;MATCH($C$2,Sheet4!$A:$A,0)+3)="Água","Água",
IF(INDIRECT("Sheet4!"&amp;"G"&amp;MATCH($C$2,Sheet4!$A:$A,0)+3)="-","-",
IF(_xlfn.NUMBERVALUE(MID(INDIRECT("Sheet4!"&amp;"G"&amp;MATCH($C$2,Sheet4!$A:$A,0)+3),9,2))&lt;=$C$4,
_xlfn.IFNA(VLOOKUP(INDIRECT("Sheet4!"&amp;"G"&amp;MATCH($C$2,Sheet4!$A:$A,0)+3),$C$7:$H$17,1,FALSE)&amp;CHAR(10)&amp;VLOOKUP(INDIRECT("Sheet4!"&amp;"G"&amp;MATCH($C$2,Sheet4!$A:$A,0)+3),$C$7:$H$17,5,FALSE),
VLOOKUP(INDIRECT("Sheet4!"&amp;"G"&amp;MATCH($C$2,Sheet4!$A:$A,0)+3),$I$7:$N$17,1,FALSE)&amp;CHAR(10)&amp;VLOOKUP(INDIRECT("Sheet4!"&amp;"G"&amp;MATCH($C$2,Sheet4!$A:$A,0)+3),$I$7:$N$17,5,FALSE)),"-"))))</f>
        <v>-</v>
      </c>
      <c r="G23" s="8" t="str" cm="1">
        <f t="array" aca="1" ref="G23" ca="1">IF(ISNUMBER(FIND("ctrl",INDIRECT("Sheet4!"&amp;"H"&amp;MATCH($C$2,Sheet4!$A:$A,0)+3))),
INDIRECT("Sheet4!"&amp;"H"&amp;MATCH($C$2,Sheet4!$A:$A,0)+3),IF(INDIRECT("Sheet4!"&amp;"H"&amp;MATCH($C$2,Sheet4!$A:$A,0)+3)="Água","Água",
IF(INDIRECT("Sheet4!"&amp;"H"&amp;MATCH($C$2,Sheet4!$A:$A,0)+3)="-","-",
IF(_xlfn.NUMBERVALUE(MID(INDIRECT("Sheet4!"&amp;"H"&amp;MATCH($C$2,Sheet4!$A:$A,0)+3),9,2))&lt;=$C$4,
_xlfn.IFNA(VLOOKUP(INDIRECT("Sheet4!"&amp;"H"&amp;MATCH($C$2,Sheet4!$A:$A,0)+3),$C$7:$H$17,1,FALSE)&amp;CHAR(10)&amp;VLOOKUP(INDIRECT("Sheet4!"&amp;"H"&amp;MATCH($C$2,Sheet4!$A:$A,0)+3),$C$7:$H$17,5,FALSE),
VLOOKUP(INDIRECT("Sheet4!"&amp;"H"&amp;MATCH($C$2,Sheet4!$A:$A,0)+3),$I$7:$N$17,1,FALSE)&amp;CHAR(10)&amp;VLOOKUP(INDIRECT("Sheet4!"&amp;"H"&amp;MATCH($C$2,Sheet4!$A:$A,0)+3),$I$7:$N$17,5,FALSE)),"-"))))</f>
        <v>-</v>
      </c>
      <c r="H23" s="8" t="str" cm="1">
        <f t="array" aca="1" ref="H23" ca="1">IF(ISNUMBER(FIND("ctrl",INDIRECT("Sheet4!"&amp;"I"&amp;MATCH($C$2,Sheet4!$A:$A,0)+3))),
INDIRECT("Sheet4!"&amp;"I"&amp;MATCH($C$2,Sheet4!$A:$A,0)+3),IF(INDIRECT("Sheet4!"&amp;"I"&amp;MATCH($C$2,Sheet4!$A:$A,0)+3)="Água","Água",
IF(INDIRECT("Sheet4!"&amp;"I"&amp;MATCH($C$2,Sheet4!$A:$A,0)+3)="-","-",
IF(_xlfn.NUMBERVALUE(MID(INDIRECT("Sheet4!"&amp;"I"&amp;MATCH($C$2,Sheet4!$A:$A,0)+3),9,2))&lt;=$C$4,
_xlfn.IFNA(VLOOKUP(INDIRECT("Sheet4!"&amp;"I"&amp;MATCH($C$2,Sheet4!$A:$A,0)+3),$C$7:$H$17,1,FALSE)&amp;CHAR(10)&amp;VLOOKUP(INDIRECT("Sheet4!"&amp;"I"&amp;MATCH($C$2,Sheet4!$A:$A,0)+3),$C$7:$H$17,5,FALSE),
VLOOKUP(INDIRECT("Sheet4!"&amp;"I"&amp;MATCH($C$2,Sheet4!$A:$A,0)+3),$I$7:$N$17,1,FALSE)&amp;CHAR(10)&amp;VLOOKUP(INDIRECT("Sheet4!"&amp;"I"&amp;MATCH($C$2,Sheet4!$A:$A,0)+3),$I$7:$N$17,5,FALSE)),"-"))))</f>
        <v>-</v>
      </c>
      <c r="I23" s="8" t="str" cm="1">
        <f t="array" aca="1" ref="I23" ca="1">IF(ISNUMBER(FIND("ctrl",INDIRECT("Sheet4!"&amp;"J"&amp;MATCH($C$2,Sheet4!$A:$A,0)+3))),
INDIRECT("Sheet4!"&amp;"J"&amp;MATCH($C$2,Sheet4!$A:$A,0)+3),IF(INDIRECT("Sheet4!"&amp;"J"&amp;MATCH($C$2,Sheet4!$A:$A,0)+3)="Água","Água",
IF(INDIRECT("Sheet4!"&amp;"J"&amp;MATCH($C$2,Sheet4!$A:$A,0)+3)="-","-",
IF(_xlfn.NUMBERVALUE(MID(INDIRECT("Sheet4!"&amp;"J"&amp;MATCH($C$2,Sheet4!$A:$A,0)+3),9,2))&lt;=$C$4,
_xlfn.IFNA(VLOOKUP(INDIRECT("Sheet4!"&amp;"J"&amp;MATCH($C$2,Sheet4!$A:$A,0)+3),$C$7:$H$17,1,FALSE)&amp;CHAR(10)&amp;VLOOKUP(INDIRECT("Sheet4!"&amp;"J"&amp;MATCH($C$2,Sheet4!$A:$A,0)+3),$C$7:$H$17,5,FALSE),
VLOOKUP(INDIRECT("Sheet4!"&amp;"J"&amp;MATCH($C$2,Sheet4!$A:$A,0)+3),$I$7:$N$17,1,FALSE)&amp;CHAR(10)&amp;VLOOKUP(INDIRECT("Sheet4!"&amp;"J"&amp;MATCH($C$2,Sheet4!$A:$A,0)+3),$I$7:$N$17,5,FALSE)),"-"))))</f>
        <v>-</v>
      </c>
      <c r="J23" s="8" t="str" cm="1">
        <f t="array" aca="1" ref="J23" ca="1">IF(ISNUMBER(FIND("ctrl",INDIRECT("Sheet4!"&amp;"K"&amp;MATCH($C$2,Sheet4!$A:$A,0)+3))),
INDIRECT("Sheet4!"&amp;"K"&amp;MATCH($C$2,Sheet4!$A:$A,0)+3),IF(INDIRECT("Sheet4!"&amp;"K"&amp;MATCH($C$2,Sheet4!$A:$A,0)+3)="Água","Água",
IF(INDIRECT("Sheet4!"&amp;"K"&amp;MATCH($C$2,Sheet4!$A:$A,0)+3)="-","-",
IF(_xlfn.NUMBERVALUE(MID(INDIRECT("Sheet4!"&amp;"K"&amp;MATCH($C$2,Sheet4!$A:$A,0)+3),9,2))&lt;=$C$4,
_xlfn.IFNA(VLOOKUP(INDIRECT("Sheet4!"&amp;"K"&amp;MATCH($C$2,Sheet4!$A:$A,0)+3),$C$7:$H$17,1,FALSE)&amp;CHAR(10)&amp;VLOOKUP(INDIRECT("Sheet4!"&amp;"K"&amp;MATCH($C$2,Sheet4!$A:$A,0)+3),$C$7:$H$17,5,FALSE),
VLOOKUP(INDIRECT("Sheet4!"&amp;"K"&amp;MATCH($C$2,Sheet4!$A:$A,0)+3),$I$7:$N$17,1,FALSE)&amp;CHAR(10)&amp;VLOOKUP(INDIRECT("Sheet4!"&amp;"K"&amp;MATCH($C$2,Sheet4!$A:$A,0)+3),$I$7:$N$17,5,FALSE)),"-"))))</f>
        <v>-</v>
      </c>
      <c r="K23" s="8" t="str" cm="1">
        <f t="array" aca="1" ref="K23" ca="1">IF(ISNUMBER(FIND("ctrl",INDIRECT("Sheet4!"&amp;"D"&amp;MATCH($C$2,Sheet4!$A:$A,0)+3))),
INDIRECT("Sheet4!"&amp;"D"&amp;MATCH($C$2,Sheet4!$A:$A,0)+3),IF(INDIRECT("Sheet4!"&amp;"D"&amp;MATCH($C$2,Sheet4!$A:$A,0)+3)="Água","Água",
IF(INDIRECT("Sheet4!"&amp;"D"&amp;MATCH($C$2,Sheet4!$A:$A,0)+3)="-","-",
IF(_xlfn.NUMBERVALUE(MID(INDIRECT("Sheet4!"&amp;"D"&amp;MATCH($C$2,Sheet4!$A:$A,0)+3),9,2))&lt;=$C$4,
_xlfn.IFNA(VLOOKUP(INDIRECT("Sheet4!"&amp;"D"&amp;MATCH($C$2,Sheet4!$A:$A,0)+3),$C$7:$H$17,1,FALSE)&amp;CHAR(10)&amp;VLOOKUP(INDIRECT("Sheet4!"&amp;"D"&amp;MATCH($C$2,Sheet4!$A:$A,0)+3),$C$7:$H$17,5,FALSE),
VLOOKUP(INDIRECT("Sheet4!"&amp;"D"&amp;MATCH($C$2,Sheet4!$A:$A,0)+3),$I$7:$N$17,1,FALSE)&amp;CHAR(10)&amp;VLOOKUP(INDIRECT("Sheet4!"&amp;"D"&amp;MATCH($C$2,Sheet4!$A:$A,0)+3),$I$7:$N$17,5,FALSE)),"-"))))</f>
        <v>Amostra 1
111 K.V.</v>
      </c>
      <c r="L23" s="8" t="str" cm="1">
        <f t="array" aca="1" ref="L23" ca="1">IF(ISNUMBER(FIND("ctrl",INDIRECT("Sheet4!"&amp;"E"&amp;MATCH($C$2,Sheet4!$A:$A,0)+3))),
INDIRECT("Sheet4!"&amp;"E"&amp;MATCH($C$2,Sheet4!$A:$A,0)+3),IF(INDIRECT("Sheet4!"&amp;"E"&amp;MATCH($C$2,Sheet4!$A:$A,0)+3)="Água","Água",
IF(INDIRECT("Sheet4!"&amp;"E"&amp;MATCH($C$2,Sheet4!$A:$A,0)+3)="-","-",
IF(_xlfn.NUMBERVALUE(MID(INDIRECT("Sheet4!"&amp;"E"&amp;MATCH($C$2,Sheet4!$A:$A,0)+3),9,2))&lt;=$C$4,
_xlfn.IFNA(VLOOKUP(INDIRECT("Sheet4!"&amp;"E"&amp;MATCH($C$2,Sheet4!$A:$A,0)+3),$C$7:$H$17,1,FALSE)&amp;CHAR(10)&amp;VLOOKUP(INDIRECT("Sheet4!"&amp;"E"&amp;MATCH($C$2,Sheet4!$A:$A,0)+3),$C$7:$H$17,5,FALSE),
VLOOKUP(INDIRECT("Sheet4!"&amp;"E"&amp;MATCH($C$2,Sheet4!$A:$A,0)+3),$I$7:$N$17,1,FALSE)&amp;CHAR(10)&amp;VLOOKUP(INDIRECT("Sheet4!"&amp;"E"&amp;MATCH($C$2,Sheet4!$A:$A,0)+3),$I$7:$N$17,5,FALSE)),"-"))))</f>
        <v>Amostra 2
112 B.B.</v>
      </c>
      <c r="M23" s="8" t="str" cm="1">
        <f t="array" aca="1" ref="M23" ca="1">IF(ISNUMBER(FIND("ctrl",INDIRECT("Sheet4!"&amp;"F"&amp;MATCH($C$2,Sheet4!$A:$A,0)+3))),
INDIRECT("Sheet4!"&amp;"F"&amp;MATCH($C$2,Sheet4!$A:$A,0)+3),IF(INDIRECT("Sheet4!"&amp;"F"&amp;MATCH($C$2,Sheet4!$A:$A,0)+3)="Água","Água",
IF(INDIRECT("Sheet4!"&amp;"F"&amp;MATCH($C$2,Sheet4!$A:$A,0)+3)="-","-",
IF(_xlfn.NUMBERVALUE(MID(INDIRECT("Sheet4!"&amp;"F"&amp;MATCH($C$2,Sheet4!$A:$A,0)+3),9,2))&lt;=$C$4,
_xlfn.IFNA(VLOOKUP(INDIRECT("Sheet4!"&amp;"F"&amp;MATCH($C$2,Sheet4!$A:$A,0)+3),$C$7:$H$17,1,FALSE)&amp;CHAR(10)&amp;VLOOKUP(INDIRECT("Sheet4!"&amp;"F"&amp;MATCH($C$2,Sheet4!$A:$A,0)+3),$C$7:$H$17,5,FALSE),
VLOOKUP(INDIRECT("Sheet4!"&amp;"F"&amp;MATCH($C$2,Sheet4!$A:$A,0)+3),$I$7:$N$17,1,FALSE)&amp;CHAR(10)&amp;VLOOKUP(INDIRECT("Sheet4!"&amp;"F"&amp;MATCH($C$2,Sheet4!$A:$A,0)+3),$I$7:$N$17,5,FALSE)),"-"))))</f>
        <v>Amostra 3
113 F.S.</v>
      </c>
      <c r="N23" s="8" t="str" cm="1">
        <f t="array" aca="1" ref="N23" ca="1">IF(ISNUMBER(FIND("ctrl",INDIRECT("Sheet4!"&amp;"O"&amp;MATCH($C$2,Sheet4!$A:$A,0)+3))),
INDIRECT("Sheet4!"&amp;"O"&amp;MATCH($C$2,Sheet4!$A:$A,0)+3),IF(INDIRECT("Sheet4!"&amp;"O"&amp;MATCH($C$2,Sheet4!$A:$A,0)+3)="Água","Água",
IF(INDIRECT("Sheet4!"&amp;"O"&amp;MATCH($C$2,Sheet4!$A:$A,0)+3)="-","-",
IF(_xlfn.NUMBERVALUE(MID(INDIRECT("Sheet4!"&amp;"O"&amp;MATCH($C$2,Sheet4!$A:$A,0)+3),9,2))&lt;=$C$4,
_xlfn.IFNA(VLOOKUP(INDIRECT("Sheet4!"&amp;"O"&amp;MATCH($C$2,Sheet4!$A:$A,0)+3),$C$7:$H$17,1,FALSE)&amp;CHAR(10)&amp;VLOOKUP(INDIRECT("Sheet4!"&amp;"O"&amp;MATCH($C$2,Sheet4!$A:$A,0)+3),$C$7:$H$17,5,FALSE),
VLOOKUP(INDIRECT("Sheet4!"&amp;"O"&amp;MATCH($C$2,Sheet4!$A:$A,0)+3),$I$7:$N$17,1,FALSE)&amp;CHAR(10)&amp;VLOOKUP(INDIRECT("Sheet4!"&amp;"O"&amp;MATCH($C$2,Sheet4!$A:$A,0)+3),$I$7:$N$17,5,FALSE)),"-"))))</f>
        <v>Água</v>
      </c>
    </row>
    <row r="24" spans="2:14" ht="26.25" x14ac:dyDescent="0.25">
      <c r="B24" s="12" t="s">
        <v>30</v>
      </c>
      <c r="C24" s="8" t="str" cm="1">
        <f t="array" aca="1" ref="C24" ca="1">IF(ISNUMBER(FIND("ctrl",INDIRECT("Sheet4!"&amp;"K"&amp;MATCH($C$2,Sheet4!$A:$A,0)+4))),
INDIRECT("Sheet4!"&amp;"K"&amp;MATCH($C$2,Sheet4!$A:$A,0)+4),IF(INDIRECT("Sheet4!"&amp;"K"&amp;MATCH($C$2,Sheet4!$A:$A,0)+4)="Água","Água",
IF(INDIRECT("Sheet4!"&amp;"K"&amp;MATCH($C$2,Sheet4!$A:$A,0)+4)="-","-",
IF(_xlfn.NUMBERVALUE(MID(INDIRECT("Sheet4!"&amp;"K"&amp;MATCH($C$2,Sheet4!$A:$A,0)+4),9,2))&lt;=$C$4,
_xlfn.IFNA(VLOOKUP(INDIRECT("Sheet4!"&amp;"K"&amp;MATCH($C$2,Sheet4!$A:$A,0)+4),$C$7:$H$17,1,FALSE)&amp;CHAR(10)&amp;VLOOKUP(INDIRECT("Sheet4!"&amp;"K"&amp;MATCH($C$2,Sheet4!$A:$A,0)+4),$C$7:$H$17,5,FALSE),
VLOOKUP(INDIRECT("Sheet4!"&amp;"K"&amp;MATCH($C$2,Sheet4!$A:$A,0)+4),$I$7:$N$17,1,FALSE)&amp;CHAR(10)&amp;VLOOKUP(INDIRECT("Sheet4!"&amp;"K"&amp;MATCH($C$2,Sheet4!$A:$A,0)+4),$I$7:$N$17,5,FALSE)),"-"))))</f>
        <v>-</v>
      </c>
      <c r="D24" s="8" t="str" cm="1">
        <f t="array" aca="1" ref="D24" ca="1">IF(ISNUMBER(FIND("ctrl",INDIRECT("Sheet4!"&amp;"K"&amp;MATCH($C$2,Sheet4!$A:$A,0)+4))),
INDIRECT("Sheet4!"&amp;"K"&amp;MATCH($C$2,Sheet4!$A:$A,0)+4),IF(INDIRECT("Sheet4!"&amp;"K"&amp;MATCH($C$2,Sheet4!$A:$A,0)+4)="Água","Água",
IF(INDIRECT("Sheet4!"&amp;"K"&amp;MATCH($C$2,Sheet4!$A:$A,0)+4)="-","-",
IF(_xlfn.NUMBERVALUE(MID(INDIRECT("Sheet4!"&amp;"K"&amp;MATCH($C$2,Sheet4!$A:$A,0)+4),9,2))&lt;=$C$4,
_xlfn.IFNA(VLOOKUP(INDIRECT("Sheet4!"&amp;"K"&amp;MATCH($C$2,Sheet4!$A:$A,0)+4),$C$7:$H$17,1,FALSE)&amp;CHAR(10)&amp;VLOOKUP(INDIRECT("Sheet4!"&amp;"K"&amp;MATCH($C$2,Sheet4!$A:$A,0)+4),$C$7:$H$17,5,FALSE),
VLOOKUP(INDIRECT("Sheet4!"&amp;"K"&amp;MATCH($C$2,Sheet4!$A:$A,0)+4),$I$7:$N$17,1,FALSE)&amp;CHAR(10)&amp;VLOOKUP(INDIRECT("Sheet4!"&amp;"K"&amp;MATCH($C$2,Sheet4!$A:$A,0)+4),$I$7:$N$17,5,FALSE)),"-"))))</f>
        <v>-</v>
      </c>
      <c r="E24" s="8" t="str" cm="1">
        <f t="array" aca="1" ref="E24" ca="1">IF(ISNUMBER(FIND("ctrl",INDIRECT("Sheet4!"&amp;"K"&amp;MATCH($C$2,Sheet4!$A:$A,0)+4))),
INDIRECT("Sheet4!"&amp;"K"&amp;MATCH($C$2,Sheet4!$A:$A,0)+4),IF(INDIRECT("Sheet4!"&amp;"K"&amp;MATCH($C$2,Sheet4!$A:$A,0)+4)="Água","Água",
IF(INDIRECT("Sheet4!"&amp;"K"&amp;MATCH($C$2,Sheet4!$A:$A,0)+4)="-","-",
IF(_xlfn.NUMBERVALUE(MID(INDIRECT("Sheet4!"&amp;"K"&amp;MATCH($C$2,Sheet4!$A:$A,0)+4),9,2))&lt;=$C$4,
_xlfn.IFNA(VLOOKUP(INDIRECT("Sheet4!"&amp;"K"&amp;MATCH($C$2,Sheet4!$A:$A,0)+4),$C$7:$H$17,1,FALSE)&amp;CHAR(10)&amp;VLOOKUP(INDIRECT("Sheet4!"&amp;"K"&amp;MATCH($C$2,Sheet4!$A:$A,0)+4),$C$7:$H$17,5,FALSE),
VLOOKUP(INDIRECT("Sheet4!"&amp;"K"&amp;MATCH($C$2,Sheet4!$A:$A,0)+4),$I$7:$N$17,1,FALSE)&amp;CHAR(10)&amp;VLOOKUP(INDIRECT("Sheet4!"&amp;"K"&amp;MATCH($C$2,Sheet4!$A:$A,0)+4),$I$7:$N$17,5,FALSE)),"-"))))</f>
        <v>-</v>
      </c>
      <c r="F24" s="8" t="str" cm="1">
        <f t="array" aca="1" ref="F24" ca="1">IF(ISNUMBER(FIND("ctrl",INDIRECT("Sheet4!"&amp;"G"&amp;MATCH($C$2,Sheet4!$A:$A,0)+4))),
INDIRECT("Sheet4!"&amp;"G"&amp;MATCH($C$2,Sheet4!$A:$A,0)+4),IF(INDIRECT("Sheet4!"&amp;"G"&amp;MATCH($C$2,Sheet4!$A:$A,0)+4)="Água","Água",
IF(INDIRECT("Sheet4!"&amp;"G"&amp;MATCH($C$2,Sheet4!$A:$A,0)+4)="-","-",
IF(_xlfn.NUMBERVALUE(MID(INDIRECT("Sheet4!"&amp;"G"&amp;MATCH($C$2,Sheet4!$A:$A,0)+4),9,2))&lt;=$C$4,
_xlfn.IFNA(VLOOKUP(INDIRECT("Sheet4!"&amp;"G"&amp;MATCH($C$2,Sheet4!$A:$A,0)+4),$C$7:$H$17,1,FALSE)&amp;CHAR(10)&amp;VLOOKUP(INDIRECT("Sheet4!"&amp;"G"&amp;MATCH($C$2,Sheet4!$A:$A,0)+4),$C$7:$H$17,5,FALSE),
VLOOKUP(INDIRECT("Sheet4!"&amp;"G"&amp;MATCH($C$2,Sheet4!$A:$A,0)+4),$I$7:$N$17,1,FALSE)&amp;CHAR(10)&amp;VLOOKUP(INDIRECT("Sheet4!"&amp;"G"&amp;MATCH($C$2,Sheet4!$A:$A,0)+4),$I$7:$N$17,5,FALSE)),"-"))))</f>
        <v>-</v>
      </c>
      <c r="G24" s="8" t="str" cm="1">
        <f t="array" aca="1" ref="G24" ca="1">IF(ISNUMBER(FIND("ctrl",INDIRECT("Sheet4!"&amp;"H"&amp;MATCH($C$2,Sheet4!$A:$A,0)+4))),
INDIRECT("Sheet4!"&amp;"H"&amp;MATCH($C$2,Sheet4!$A:$A,0)+4),IF(INDIRECT("Sheet4!"&amp;"H"&amp;MATCH($C$2,Sheet4!$A:$A,0)+4)="Água","Água",
IF(INDIRECT("Sheet4!"&amp;"H"&amp;MATCH($C$2,Sheet4!$A:$A,0)+4)="-","-",
IF(_xlfn.NUMBERVALUE(MID(INDIRECT("Sheet4!"&amp;"H"&amp;MATCH($C$2,Sheet4!$A:$A,0)+4),9,2))&lt;=$C$4,
_xlfn.IFNA(VLOOKUP(INDIRECT("Sheet4!"&amp;"H"&amp;MATCH($C$2,Sheet4!$A:$A,0)+4),$C$7:$H$17,1,FALSE)&amp;CHAR(10)&amp;VLOOKUP(INDIRECT("Sheet4!"&amp;"H"&amp;MATCH($C$2,Sheet4!$A:$A,0)+4),$C$7:$H$17,5,FALSE),
VLOOKUP(INDIRECT("Sheet4!"&amp;"H"&amp;MATCH($C$2,Sheet4!$A:$A,0)+4),$I$7:$N$17,1,FALSE)&amp;CHAR(10)&amp;VLOOKUP(INDIRECT("Sheet4!"&amp;"H"&amp;MATCH($C$2,Sheet4!$A:$A,0)+4),$I$7:$N$17,5,FALSE)),"-"))))</f>
        <v>-</v>
      </c>
      <c r="H24" s="8" t="str" cm="1">
        <f t="array" aca="1" ref="H24" ca="1">IF(ISNUMBER(FIND("ctrl",INDIRECT("Sheet4!"&amp;"I"&amp;MATCH($C$2,Sheet4!$A:$A,0)+4))),
INDIRECT("Sheet4!"&amp;"I"&amp;MATCH($C$2,Sheet4!$A:$A,0)+4),IF(INDIRECT("Sheet4!"&amp;"I"&amp;MATCH($C$2,Sheet4!$A:$A,0)+4)="Água","Água",
IF(INDIRECT("Sheet4!"&amp;"I"&amp;MATCH($C$2,Sheet4!$A:$A,0)+4)="-","-",
IF(_xlfn.NUMBERVALUE(MID(INDIRECT("Sheet4!"&amp;"I"&amp;MATCH($C$2,Sheet4!$A:$A,0)+4),9,2))&lt;=$C$4,
_xlfn.IFNA(VLOOKUP(INDIRECT("Sheet4!"&amp;"I"&amp;MATCH($C$2,Sheet4!$A:$A,0)+4),$C$7:$H$17,1,FALSE)&amp;CHAR(10)&amp;VLOOKUP(INDIRECT("Sheet4!"&amp;"I"&amp;MATCH($C$2,Sheet4!$A:$A,0)+4),$C$7:$H$17,5,FALSE),
VLOOKUP(INDIRECT("Sheet4!"&amp;"I"&amp;MATCH($C$2,Sheet4!$A:$A,0)+4),$I$7:$N$17,1,FALSE)&amp;CHAR(10)&amp;VLOOKUP(INDIRECT("Sheet4!"&amp;"I"&amp;MATCH($C$2,Sheet4!$A:$A,0)+4),$I$7:$N$17,5,FALSE)),"-"))))</f>
        <v>-</v>
      </c>
      <c r="I24" s="8" t="str" cm="1">
        <f t="array" aca="1" ref="I24" ca="1">IF(ISNUMBER(FIND("ctrl",INDIRECT("Sheet4!"&amp;"J"&amp;MATCH($C$2,Sheet4!$A:$A,0)+4))),
INDIRECT("Sheet4!"&amp;"J"&amp;MATCH($C$2,Sheet4!$A:$A,0)+4),IF(INDIRECT("Sheet4!"&amp;"J"&amp;MATCH($C$2,Sheet4!$A:$A,0)+4)="Água","Água",
IF(INDIRECT("Sheet4!"&amp;"J"&amp;MATCH($C$2,Sheet4!$A:$A,0)+4)="-","-",
IF(_xlfn.NUMBERVALUE(MID(INDIRECT("Sheet4!"&amp;"J"&amp;MATCH($C$2,Sheet4!$A:$A,0)+4),9,2))&lt;=$C$4,
_xlfn.IFNA(VLOOKUP(INDIRECT("Sheet4!"&amp;"J"&amp;MATCH($C$2,Sheet4!$A:$A,0)+4),$C$7:$H$17,1,FALSE)&amp;CHAR(10)&amp;VLOOKUP(INDIRECT("Sheet4!"&amp;"J"&amp;MATCH($C$2,Sheet4!$A:$A,0)+4),$C$7:$H$17,5,FALSE),
VLOOKUP(INDIRECT("Sheet4!"&amp;"J"&amp;MATCH($C$2,Sheet4!$A:$A,0)+4),$I$7:$N$17,1,FALSE)&amp;CHAR(10)&amp;VLOOKUP(INDIRECT("Sheet4!"&amp;"J"&amp;MATCH($C$2,Sheet4!$A:$A,0)+4),$I$7:$N$17,5,FALSE)),"-"))))</f>
        <v>-</v>
      </c>
      <c r="J24" s="8" t="str" cm="1">
        <f t="array" aca="1" ref="J24" ca="1">IF(ISNUMBER(FIND("ctrl",INDIRECT("Sheet4!"&amp;"K"&amp;MATCH($C$2,Sheet4!$A:$A,0)+4))),
INDIRECT("Sheet4!"&amp;"K"&amp;MATCH($C$2,Sheet4!$A:$A,0)+4),IF(INDIRECT("Sheet4!"&amp;"K"&amp;MATCH($C$2,Sheet4!$A:$A,0)+4)="Água","Água",
IF(INDIRECT("Sheet4!"&amp;"K"&amp;MATCH($C$2,Sheet4!$A:$A,0)+4)="-","-",
IF(_xlfn.NUMBERVALUE(MID(INDIRECT("Sheet4!"&amp;"K"&amp;MATCH($C$2,Sheet4!$A:$A,0)+4),9,2))&lt;=$C$4,
_xlfn.IFNA(VLOOKUP(INDIRECT("Sheet4!"&amp;"K"&amp;MATCH($C$2,Sheet4!$A:$A,0)+4),$C$7:$H$17,1,FALSE)&amp;CHAR(10)&amp;VLOOKUP(INDIRECT("Sheet4!"&amp;"K"&amp;MATCH($C$2,Sheet4!$A:$A,0)+4),$C$7:$H$17,5,FALSE),
VLOOKUP(INDIRECT("Sheet4!"&amp;"K"&amp;MATCH($C$2,Sheet4!$A:$A,0)+4),$I$7:$N$17,1,FALSE)&amp;CHAR(10)&amp;VLOOKUP(INDIRECT("Sheet4!"&amp;"K"&amp;MATCH($C$2,Sheet4!$A:$A,0)+4),$I$7:$N$17,5,FALSE)),"-"))))</f>
        <v>-</v>
      </c>
      <c r="K24" s="8" t="str" cm="1">
        <f t="array" aca="1" ref="K24" ca="1">IF(ISNUMBER(FIND("ctrl",INDIRECT("Sheet4!"&amp;"D"&amp;MATCH($C$2,Sheet4!$A:$A,0)+4))),
INDIRECT("Sheet4!"&amp;"D"&amp;MATCH($C$2,Sheet4!$A:$A,0)+4),IF(INDIRECT("Sheet4!"&amp;"D"&amp;MATCH($C$2,Sheet4!$A:$A,0)+4)="Água","Água",
IF(INDIRECT("Sheet4!"&amp;"D"&amp;MATCH($C$2,Sheet4!$A:$A,0)+4)="-","-",
IF(_xlfn.NUMBERVALUE(MID(INDIRECT("Sheet4!"&amp;"D"&amp;MATCH($C$2,Sheet4!$A:$A,0)+4),9,2))&lt;=$C$4,
_xlfn.IFNA(VLOOKUP(INDIRECT("Sheet4!"&amp;"D"&amp;MATCH($C$2,Sheet4!$A:$A,0)+4),$C$7:$H$17,1,FALSE)&amp;CHAR(10)&amp;VLOOKUP(INDIRECT("Sheet4!"&amp;"D"&amp;MATCH($C$2,Sheet4!$A:$A,0)+4),$C$7:$H$17,5,FALSE),
VLOOKUP(INDIRECT("Sheet4!"&amp;"D"&amp;MATCH($C$2,Sheet4!$A:$A,0)+4),$I$7:$N$17,1,FALSE)&amp;CHAR(10)&amp;VLOOKUP(INDIRECT("Sheet4!"&amp;"D"&amp;MATCH($C$2,Sheet4!$A:$A,0)+4),$I$7:$N$17,5,FALSE)),"-"))))</f>
        <v>Amostra 1
111 K.V.</v>
      </c>
      <c r="L24" s="8" t="str" cm="1">
        <f t="array" aca="1" ref="L24" ca="1">IF(ISNUMBER(FIND("ctrl",INDIRECT("Sheet4!"&amp;"E"&amp;MATCH($C$2,Sheet4!$A:$A,0)+4))),
INDIRECT("Sheet4!"&amp;"E"&amp;MATCH($C$2,Sheet4!$A:$A,0)+4),IF(INDIRECT("Sheet4!"&amp;"E"&amp;MATCH($C$2,Sheet4!$A:$A,0)+4)="Água","Água",
IF(INDIRECT("Sheet4!"&amp;"E"&amp;MATCH($C$2,Sheet4!$A:$A,0)+4)="-","-",
IF(_xlfn.NUMBERVALUE(MID(INDIRECT("Sheet4!"&amp;"E"&amp;MATCH($C$2,Sheet4!$A:$A,0)+4),9,2))&lt;=$C$4,
_xlfn.IFNA(VLOOKUP(INDIRECT("Sheet4!"&amp;"E"&amp;MATCH($C$2,Sheet4!$A:$A,0)+4),$C$7:$H$17,1,FALSE)&amp;CHAR(10)&amp;VLOOKUP(INDIRECT("Sheet4!"&amp;"E"&amp;MATCH($C$2,Sheet4!$A:$A,0)+4),$C$7:$H$17,5,FALSE),
VLOOKUP(INDIRECT("Sheet4!"&amp;"E"&amp;MATCH($C$2,Sheet4!$A:$A,0)+4),$I$7:$N$17,1,FALSE)&amp;CHAR(10)&amp;VLOOKUP(INDIRECT("Sheet4!"&amp;"E"&amp;MATCH($C$2,Sheet4!$A:$A,0)+4),$I$7:$N$17,5,FALSE)),"-"))))</f>
        <v>Amostra 2
112 B.B.</v>
      </c>
      <c r="M24" s="8" t="str" cm="1">
        <f t="array" aca="1" ref="M24" ca="1">IF(ISNUMBER(FIND("ctrl",INDIRECT("Sheet4!"&amp;"F"&amp;MATCH($C$2,Sheet4!$A:$A,0)+4))),
INDIRECT("Sheet4!"&amp;"F"&amp;MATCH($C$2,Sheet4!$A:$A,0)+4),IF(INDIRECT("Sheet4!"&amp;"F"&amp;MATCH($C$2,Sheet4!$A:$A,0)+4)="Água","Água",
IF(INDIRECT("Sheet4!"&amp;"F"&amp;MATCH($C$2,Sheet4!$A:$A,0)+4)="-","-",
IF(_xlfn.NUMBERVALUE(MID(INDIRECT("Sheet4!"&amp;"F"&amp;MATCH($C$2,Sheet4!$A:$A,0)+4),9,2))&lt;=$C$4,
_xlfn.IFNA(VLOOKUP(INDIRECT("Sheet4!"&amp;"F"&amp;MATCH($C$2,Sheet4!$A:$A,0)+4),$C$7:$H$17,1,FALSE)&amp;CHAR(10)&amp;VLOOKUP(INDIRECT("Sheet4!"&amp;"F"&amp;MATCH($C$2,Sheet4!$A:$A,0)+4),$C$7:$H$17,5,FALSE),
VLOOKUP(INDIRECT("Sheet4!"&amp;"F"&amp;MATCH($C$2,Sheet4!$A:$A,0)+4),$I$7:$N$17,1,FALSE)&amp;CHAR(10)&amp;VLOOKUP(INDIRECT("Sheet4!"&amp;"F"&amp;MATCH($C$2,Sheet4!$A:$A,0)+4),$I$7:$N$17,5,FALSE)),"-"))))</f>
        <v>Amostra 3
113 F.S.</v>
      </c>
      <c r="N24" s="8" t="str" cm="1">
        <f t="array" aca="1" ref="N24" ca="1">IF(ISNUMBER(FIND("ctrl",INDIRECT("Sheet4!"&amp;"O"&amp;MATCH($C$2,Sheet4!$A:$A,0)+4))),
INDIRECT("Sheet4!"&amp;"O"&amp;MATCH($C$2,Sheet4!$A:$A,0)+4),IF(INDIRECT("Sheet4!"&amp;"O"&amp;MATCH($C$2,Sheet4!$A:$A,0)+4)="Água","Água",
IF(INDIRECT("Sheet4!"&amp;"O"&amp;MATCH($C$2,Sheet4!$A:$A,0)+4)="-","-",
IF(_xlfn.NUMBERVALUE(MID(INDIRECT("Sheet4!"&amp;"O"&amp;MATCH($C$2,Sheet4!$A:$A,0)+4),9,2))&lt;=$C$4,
_xlfn.IFNA(VLOOKUP(INDIRECT("Sheet4!"&amp;"O"&amp;MATCH($C$2,Sheet4!$A:$A,0)+4),$C$7:$H$17,1,FALSE)&amp;CHAR(10)&amp;VLOOKUP(INDIRECT("Sheet4!"&amp;"O"&amp;MATCH($C$2,Sheet4!$A:$A,0)+4),$C$7:$H$17,5,FALSE),
VLOOKUP(INDIRECT("Sheet4!"&amp;"O"&amp;MATCH($C$2,Sheet4!$A:$A,0)+4),$I$7:$N$17,1,FALSE)&amp;CHAR(10)&amp;VLOOKUP(INDIRECT("Sheet4!"&amp;"O"&amp;MATCH($C$2,Sheet4!$A:$A,0)+4),$I$7:$N$17,5,FALSE)),"-"))))</f>
        <v>Água</v>
      </c>
    </row>
    <row r="25" spans="2:14" ht="15" customHeight="1" x14ac:dyDescent="0.25">
      <c r="B25" s="12" t="s">
        <v>31</v>
      </c>
      <c r="C25" s="8" t="str" cm="1">
        <f t="array" aca="1" ref="C25" ca="1">IF(ISNUMBER(FIND("ctrl",INDIRECT("Sheet4!"&amp;"K"&amp;MATCH($C$2,Sheet4!$A:$A,0)+5))),
INDIRECT("Sheet4!"&amp;"K"&amp;MATCH($C$2,Sheet4!$A:$A,0)+5),IF(INDIRECT("Sheet4!"&amp;"K"&amp;MATCH($C$2,Sheet4!$A:$A,0)+5)="Água","Água",
IF(INDIRECT("Sheet4!"&amp;"K"&amp;MATCH($C$2,Sheet4!$A:$A,0)+5)="-","-",
IF(_xlfn.NUMBERVALUE(MID(INDIRECT("Sheet4!"&amp;"K"&amp;MATCH($C$2,Sheet4!$A:$A,0)+5),9,2))&lt;=$C$4,
_xlfn.IFNA(VLOOKUP(INDIRECT("Sheet4!"&amp;"K"&amp;MATCH($C$2,Sheet4!$A:$A,0)+5),$C$7:$H$17,1,FALSE)&amp;CHAR(10)&amp;VLOOKUP(INDIRECT("Sheet4!"&amp;"K"&amp;MATCH($C$2,Sheet4!$A:$A,0)+5),$C$7:$H$17,5,FALSE),
VLOOKUP(INDIRECT("Sheet4!"&amp;"K"&amp;MATCH($C$2,Sheet4!$A:$A,0)+5),$I$7:$N$17,1,FALSE)&amp;CHAR(10)&amp;VLOOKUP(INDIRECT("Sheet4!"&amp;"K"&amp;MATCH($C$2,Sheet4!$A:$A,0)+5),$I$7:$N$17,5,FALSE)),"-"))))</f>
        <v>-</v>
      </c>
      <c r="D25" s="8" t="str" cm="1">
        <f t="array" aca="1" ref="D25" ca="1">IF(ISNUMBER(FIND("ctrl",INDIRECT("Sheet4!"&amp;"K"&amp;MATCH($C$2,Sheet4!$A:$A,0)+5))),
INDIRECT("Sheet4!"&amp;"K"&amp;MATCH($C$2,Sheet4!$A:$A,0)+5),IF(INDIRECT("Sheet4!"&amp;"K"&amp;MATCH($C$2,Sheet4!$A:$A,0)+5)="Água","Água",
IF(INDIRECT("Sheet4!"&amp;"K"&amp;MATCH($C$2,Sheet4!$A:$A,0)+5)="-","-",
IF(_xlfn.NUMBERVALUE(MID(INDIRECT("Sheet4!"&amp;"K"&amp;MATCH($C$2,Sheet4!$A:$A,0)+5),9,2))&lt;=$C$4,
_xlfn.IFNA(VLOOKUP(INDIRECT("Sheet4!"&amp;"K"&amp;MATCH($C$2,Sheet4!$A:$A,0)+5),$C$7:$H$17,1,FALSE)&amp;CHAR(10)&amp;VLOOKUP(INDIRECT("Sheet4!"&amp;"K"&amp;MATCH($C$2,Sheet4!$A:$A,0)+5),$C$7:$H$17,5,FALSE),
VLOOKUP(INDIRECT("Sheet4!"&amp;"K"&amp;MATCH($C$2,Sheet4!$A:$A,0)+5),$I$7:$N$17,1,FALSE)&amp;CHAR(10)&amp;VLOOKUP(INDIRECT("Sheet4!"&amp;"K"&amp;MATCH($C$2,Sheet4!$A:$A,0)+5),$I$7:$N$17,5,FALSE)),"-"))))</f>
        <v>-</v>
      </c>
      <c r="E25" s="8" t="str" cm="1">
        <f t="array" aca="1" ref="E25" ca="1">IF(ISNUMBER(FIND("ctrl",INDIRECT("Sheet4!"&amp;"K"&amp;MATCH($C$2,Sheet4!$A:$A,0)+5))),
INDIRECT("Sheet4!"&amp;"K"&amp;MATCH($C$2,Sheet4!$A:$A,0)+5),IF(INDIRECT("Sheet4!"&amp;"K"&amp;MATCH($C$2,Sheet4!$A:$A,0)+5)="Água","Água",
IF(INDIRECT("Sheet4!"&amp;"K"&amp;MATCH($C$2,Sheet4!$A:$A,0)+5)="-","-",
IF(_xlfn.NUMBERVALUE(MID(INDIRECT("Sheet4!"&amp;"K"&amp;MATCH($C$2,Sheet4!$A:$A,0)+5),9,2))&lt;=$C$4,
_xlfn.IFNA(VLOOKUP(INDIRECT("Sheet4!"&amp;"K"&amp;MATCH($C$2,Sheet4!$A:$A,0)+5),$C$7:$H$17,1,FALSE)&amp;CHAR(10)&amp;VLOOKUP(INDIRECT("Sheet4!"&amp;"K"&amp;MATCH($C$2,Sheet4!$A:$A,0)+5),$C$7:$H$17,5,FALSE),
VLOOKUP(INDIRECT("Sheet4!"&amp;"K"&amp;MATCH($C$2,Sheet4!$A:$A,0)+5),$I$7:$N$17,1,FALSE)&amp;CHAR(10)&amp;VLOOKUP(INDIRECT("Sheet4!"&amp;"K"&amp;MATCH($C$2,Sheet4!$A:$A,0)+5),$I$7:$N$17,5,FALSE)),"-"))))</f>
        <v>-</v>
      </c>
      <c r="F25" s="8" t="str" cm="1">
        <f t="array" aca="1" ref="F25" ca="1">IF(ISNUMBER(FIND("ctrl",INDIRECT("Sheet4!"&amp;"G"&amp;MATCH($C$2,Sheet4!$A:$A,0)+5))),
INDIRECT("Sheet4!"&amp;"G"&amp;MATCH($C$2,Sheet4!$A:$A,0)+5),IF(INDIRECT("Sheet4!"&amp;"G"&amp;MATCH($C$2,Sheet4!$A:$A,0)+5)="Água","Água",
IF(INDIRECT("Sheet4!"&amp;"G"&amp;MATCH($C$2,Sheet4!$A:$A,0)+5)="-","-",
IF(_xlfn.NUMBERVALUE(MID(INDIRECT("Sheet4!"&amp;"G"&amp;MATCH($C$2,Sheet4!$A:$A,0)+5),9,2))&lt;=$C$4,
_xlfn.IFNA(VLOOKUP(INDIRECT("Sheet4!"&amp;"G"&amp;MATCH($C$2,Sheet4!$A:$A,0)+5),$C$7:$H$17,1,FALSE)&amp;CHAR(10)&amp;VLOOKUP(INDIRECT("Sheet4!"&amp;"G"&amp;MATCH($C$2,Sheet4!$A:$A,0)+5),$C$7:$H$17,5,FALSE),
VLOOKUP(INDIRECT("Sheet4!"&amp;"G"&amp;MATCH($C$2,Sheet4!$A:$A,0)+5),$I$7:$N$17,1,FALSE)&amp;CHAR(10)&amp;VLOOKUP(INDIRECT("Sheet4!"&amp;"G"&amp;MATCH($C$2,Sheet4!$A:$A,0)+5),$I$7:$N$17,5,FALSE)),"-"))))</f>
        <v>-</v>
      </c>
      <c r="G25" s="8" t="str" cm="1">
        <f t="array" aca="1" ref="G25" ca="1">IF(ISNUMBER(FIND("ctrl",INDIRECT("Sheet4!"&amp;"H"&amp;MATCH($C$2,Sheet4!$A:$A,0)+5))),
INDIRECT("Sheet4!"&amp;"H"&amp;MATCH($C$2,Sheet4!$A:$A,0)+5),IF(INDIRECT("Sheet4!"&amp;"H"&amp;MATCH($C$2,Sheet4!$A:$A,0)+5)="Água","Água",
IF(INDIRECT("Sheet4!"&amp;"H"&amp;MATCH($C$2,Sheet4!$A:$A,0)+5)="-","-",
IF(_xlfn.NUMBERVALUE(MID(INDIRECT("Sheet4!"&amp;"H"&amp;MATCH($C$2,Sheet4!$A:$A,0)+5),9,2))&lt;=$C$4,
_xlfn.IFNA(VLOOKUP(INDIRECT("Sheet4!"&amp;"H"&amp;MATCH($C$2,Sheet4!$A:$A,0)+5),$C$7:$H$17,1,FALSE)&amp;CHAR(10)&amp;VLOOKUP(INDIRECT("Sheet4!"&amp;"H"&amp;MATCH($C$2,Sheet4!$A:$A,0)+5),$C$7:$H$17,5,FALSE),
VLOOKUP(INDIRECT("Sheet4!"&amp;"H"&amp;MATCH($C$2,Sheet4!$A:$A,0)+5),$I$7:$N$17,1,FALSE)&amp;CHAR(10)&amp;VLOOKUP(INDIRECT("Sheet4!"&amp;"H"&amp;MATCH($C$2,Sheet4!$A:$A,0)+5),$I$7:$N$17,5,FALSE)),"-"))))</f>
        <v>-</v>
      </c>
      <c r="H25" s="8" t="str" cm="1">
        <f t="array" aca="1" ref="H25" ca="1">IF(ISNUMBER(FIND("ctrl",INDIRECT("Sheet4!"&amp;"I"&amp;MATCH($C$2,Sheet4!$A:$A,0)+5))),
INDIRECT("Sheet4!"&amp;"I"&amp;MATCH($C$2,Sheet4!$A:$A,0)+5),IF(INDIRECT("Sheet4!"&amp;"I"&amp;MATCH($C$2,Sheet4!$A:$A,0)+5)="Água","Água",
IF(INDIRECT("Sheet4!"&amp;"I"&amp;MATCH($C$2,Sheet4!$A:$A,0)+5)="-","-",
IF(_xlfn.NUMBERVALUE(MID(INDIRECT("Sheet4!"&amp;"I"&amp;MATCH($C$2,Sheet4!$A:$A,0)+5),9,2))&lt;=$C$4,
_xlfn.IFNA(VLOOKUP(INDIRECT("Sheet4!"&amp;"I"&amp;MATCH($C$2,Sheet4!$A:$A,0)+5),$C$7:$H$17,1,FALSE)&amp;CHAR(10)&amp;VLOOKUP(INDIRECT("Sheet4!"&amp;"I"&amp;MATCH($C$2,Sheet4!$A:$A,0)+5),$C$7:$H$17,5,FALSE),
VLOOKUP(INDIRECT("Sheet4!"&amp;"I"&amp;MATCH($C$2,Sheet4!$A:$A,0)+5),$I$7:$N$17,1,FALSE)&amp;CHAR(10)&amp;VLOOKUP(INDIRECT("Sheet4!"&amp;"I"&amp;MATCH($C$2,Sheet4!$A:$A,0)+5),$I$7:$N$17,5,FALSE)),"-"))))</f>
        <v>-</v>
      </c>
      <c r="I25" s="8" t="str" cm="1">
        <f t="array" aca="1" ref="I25" ca="1">IF(ISNUMBER(FIND("ctrl",INDIRECT("Sheet4!"&amp;"J"&amp;MATCH($C$2,Sheet4!$A:$A,0)+5))),
INDIRECT("Sheet4!"&amp;"J"&amp;MATCH($C$2,Sheet4!$A:$A,0)+5),IF(INDIRECT("Sheet4!"&amp;"J"&amp;MATCH($C$2,Sheet4!$A:$A,0)+5)="Água","Água",
IF(INDIRECT("Sheet4!"&amp;"J"&amp;MATCH($C$2,Sheet4!$A:$A,0)+5)="-","-",
IF(_xlfn.NUMBERVALUE(MID(INDIRECT("Sheet4!"&amp;"J"&amp;MATCH($C$2,Sheet4!$A:$A,0)+5),9,2))&lt;=$C$4,
_xlfn.IFNA(VLOOKUP(INDIRECT("Sheet4!"&amp;"J"&amp;MATCH($C$2,Sheet4!$A:$A,0)+5),$C$7:$H$17,1,FALSE)&amp;CHAR(10)&amp;VLOOKUP(INDIRECT("Sheet4!"&amp;"J"&amp;MATCH($C$2,Sheet4!$A:$A,0)+5),$C$7:$H$17,5,FALSE),
VLOOKUP(INDIRECT("Sheet4!"&amp;"J"&amp;MATCH($C$2,Sheet4!$A:$A,0)+5),$I$7:$N$17,1,FALSE)&amp;CHAR(10)&amp;VLOOKUP(INDIRECT("Sheet4!"&amp;"J"&amp;MATCH($C$2,Sheet4!$A:$A,0)+5),$I$7:$N$17,5,FALSE)),"-"))))</f>
        <v>-</v>
      </c>
      <c r="J25" s="8" t="str" cm="1">
        <f t="array" aca="1" ref="J25" ca="1">IF(ISNUMBER(FIND("ctrl",INDIRECT("Sheet4!"&amp;"K"&amp;MATCH($C$2,Sheet4!$A:$A,0)+5))),
INDIRECT("Sheet4!"&amp;"K"&amp;MATCH($C$2,Sheet4!$A:$A,0)+5),IF(INDIRECT("Sheet4!"&amp;"K"&amp;MATCH($C$2,Sheet4!$A:$A,0)+5)="Água","Água",
IF(INDIRECT("Sheet4!"&amp;"K"&amp;MATCH($C$2,Sheet4!$A:$A,0)+5)="-","-",
IF(_xlfn.NUMBERVALUE(MID(INDIRECT("Sheet4!"&amp;"K"&amp;MATCH($C$2,Sheet4!$A:$A,0)+5),9,2))&lt;=$C$4,
_xlfn.IFNA(VLOOKUP(INDIRECT("Sheet4!"&amp;"K"&amp;MATCH($C$2,Sheet4!$A:$A,0)+5),$C$7:$H$17,1,FALSE)&amp;CHAR(10)&amp;VLOOKUP(INDIRECT("Sheet4!"&amp;"K"&amp;MATCH($C$2,Sheet4!$A:$A,0)+5),$C$7:$H$17,5,FALSE),
VLOOKUP(INDIRECT("Sheet4!"&amp;"K"&amp;MATCH($C$2,Sheet4!$A:$A,0)+5),$I$7:$N$17,1,FALSE)&amp;CHAR(10)&amp;VLOOKUP(INDIRECT("Sheet4!"&amp;"K"&amp;MATCH($C$2,Sheet4!$A:$A,0)+5),$I$7:$N$17,5,FALSE)),"-"))))</f>
        <v>-</v>
      </c>
      <c r="K25" s="8" t="str" cm="1">
        <f t="array" aca="1" ref="K25" ca="1">IF(ISNUMBER(FIND("ctrl",INDIRECT("Sheet4!"&amp;"D"&amp;MATCH($C$2,Sheet4!$A:$A,0)+5))),
INDIRECT("Sheet4!"&amp;"D"&amp;MATCH($C$2,Sheet4!$A:$A,0)+5),IF(INDIRECT("Sheet4!"&amp;"D"&amp;MATCH($C$2,Sheet4!$A:$A,0)+5)="Água","Água",
IF(INDIRECT("Sheet4!"&amp;"D"&amp;MATCH($C$2,Sheet4!$A:$A,0)+5)="-","-",
IF(_xlfn.NUMBERVALUE(MID(INDIRECT("Sheet4!"&amp;"D"&amp;MATCH($C$2,Sheet4!$A:$A,0)+5),9,2))&lt;=$C$4,
_xlfn.IFNA(VLOOKUP(INDIRECT("Sheet4!"&amp;"D"&amp;MATCH($C$2,Sheet4!$A:$A,0)+5),$C$7:$H$17,1,FALSE)&amp;CHAR(10)&amp;VLOOKUP(INDIRECT("Sheet4!"&amp;"D"&amp;MATCH($C$2,Sheet4!$A:$A,0)+5),$C$7:$H$17,5,FALSE),
VLOOKUP(INDIRECT("Sheet4!"&amp;"D"&amp;MATCH($C$2,Sheet4!$A:$A,0)+5),$I$7:$N$17,1,FALSE)&amp;CHAR(10)&amp;VLOOKUP(INDIRECT("Sheet4!"&amp;"D"&amp;MATCH($C$2,Sheet4!$A:$A,0)+5),$I$7:$N$17,5,FALSE)),"-"))))</f>
        <v>Amostra 1
111 K.V.</v>
      </c>
      <c r="L25" s="8" t="str" cm="1">
        <f t="array" aca="1" ref="L25" ca="1">IF(ISNUMBER(FIND("ctrl",INDIRECT("Sheet4!"&amp;"E"&amp;MATCH($C$2,Sheet4!$A:$A,0)+5))),
INDIRECT("Sheet4!"&amp;"E"&amp;MATCH($C$2,Sheet4!$A:$A,0)+5),IF(INDIRECT("Sheet4!"&amp;"E"&amp;MATCH($C$2,Sheet4!$A:$A,0)+5)="Água","Água",
IF(INDIRECT("Sheet4!"&amp;"E"&amp;MATCH($C$2,Sheet4!$A:$A,0)+5)="-","-",
IF(_xlfn.NUMBERVALUE(MID(INDIRECT("Sheet4!"&amp;"E"&amp;MATCH($C$2,Sheet4!$A:$A,0)+5),9,2))&lt;=$C$4,
_xlfn.IFNA(VLOOKUP(INDIRECT("Sheet4!"&amp;"E"&amp;MATCH($C$2,Sheet4!$A:$A,0)+5),$C$7:$H$17,1,FALSE)&amp;CHAR(10)&amp;VLOOKUP(INDIRECT("Sheet4!"&amp;"E"&amp;MATCH($C$2,Sheet4!$A:$A,0)+5),$C$7:$H$17,5,FALSE),
VLOOKUP(INDIRECT("Sheet4!"&amp;"E"&amp;MATCH($C$2,Sheet4!$A:$A,0)+5),$I$7:$N$17,1,FALSE)&amp;CHAR(10)&amp;VLOOKUP(INDIRECT("Sheet4!"&amp;"E"&amp;MATCH($C$2,Sheet4!$A:$A,0)+5),$I$7:$N$17,5,FALSE)),"-"))))</f>
        <v>Amostra 2
112 B.B.</v>
      </c>
      <c r="M25" s="8" t="str" cm="1">
        <f t="array" aca="1" ref="M25" ca="1">IF(ISNUMBER(FIND("ctrl",INDIRECT("Sheet4!"&amp;"F"&amp;MATCH($C$2,Sheet4!$A:$A,0)+5))),
INDIRECT("Sheet4!"&amp;"F"&amp;MATCH($C$2,Sheet4!$A:$A,0)+5),IF(INDIRECT("Sheet4!"&amp;"F"&amp;MATCH($C$2,Sheet4!$A:$A,0)+5)="Água","Água",
IF(INDIRECT("Sheet4!"&amp;"F"&amp;MATCH($C$2,Sheet4!$A:$A,0)+5)="-","-",
IF(_xlfn.NUMBERVALUE(MID(INDIRECT("Sheet4!"&amp;"F"&amp;MATCH($C$2,Sheet4!$A:$A,0)+5),9,2))&lt;=$C$4,
_xlfn.IFNA(VLOOKUP(INDIRECT("Sheet4!"&amp;"F"&amp;MATCH($C$2,Sheet4!$A:$A,0)+5),$C$7:$H$17,1,FALSE)&amp;CHAR(10)&amp;VLOOKUP(INDIRECT("Sheet4!"&amp;"F"&amp;MATCH($C$2,Sheet4!$A:$A,0)+5),$C$7:$H$17,5,FALSE),
VLOOKUP(INDIRECT("Sheet4!"&amp;"F"&amp;MATCH($C$2,Sheet4!$A:$A,0)+5),$I$7:$N$17,1,FALSE)&amp;CHAR(10)&amp;VLOOKUP(INDIRECT("Sheet4!"&amp;"F"&amp;MATCH($C$2,Sheet4!$A:$A,0)+5),$I$7:$N$17,5,FALSE)),"-"))))</f>
        <v>Amostra 3
113 F.S.</v>
      </c>
      <c r="N25" s="8" t="str" cm="1">
        <f t="array" aca="1" ref="N25" ca="1">IF(ISNUMBER(FIND("ctrl",INDIRECT("Sheet4!"&amp;"O"&amp;MATCH($C$2,Sheet4!$A:$A,0)+5))),
INDIRECT("Sheet4!"&amp;"O"&amp;MATCH($C$2,Sheet4!$A:$A,0)+5),IF(INDIRECT("Sheet4!"&amp;"O"&amp;MATCH($C$2,Sheet4!$A:$A,0)+5)="Água","Água",
IF(INDIRECT("Sheet4!"&amp;"O"&amp;MATCH($C$2,Sheet4!$A:$A,0)+5)="-","-",
IF(_xlfn.NUMBERVALUE(MID(INDIRECT("Sheet4!"&amp;"O"&amp;MATCH($C$2,Sheet4!$A:$A,0)+5),9,2))&lt;=$C$4,
_xlfn.IFNA(VLOOKUP(INDIRECT("Sheet4!"&amp;"O"&amp;MATCH($C$2,Sheet4!$A:$A,0)+5),$C$7:$H$17,1,FALSE)&amp;CHAR(10)&amp;VLOOKUP(INDIRECT("Sheet4!"&amp;"O"&amp;MATCH($C$2,Sheet4!$A:$A,0)+5),$C$7:$H$17,5,FALSE),
VLOOKUP(INDIRECT("Sheet4!"&amp;"O"&amp;MATCH($C$2,Sheet4!$A:$A,0)+5),$I$7:$N$17,1,FALSE)&amp;CHAR(10)&amp;VLOOKUP(INDIRECT("Sheet4!"&amp;"O"&amp;MATCH($C$2,Sheet4!$A:$A,0)+5),$I$7:$N$17,5,FALSE)),"-"))))</f>
        <v>Água</v>
      </c>
    </row>
    <row r="26" spans="2:14" ht="15" customHeight="1" x14ac:dyDescent="0.25">
      <c r="B26" s="12" t="s">
        <v>32</v>
      </c>
      <c r="C26" s="8" t="str" cm="1">
        <f t="array" aca="1" ref="C26" ca="1">IF(ISNUMBER(FIND("ctrl",INDIRECT("Sheet4!"&amp;"K"&amp;MATCH($C$2,Sheet4!$A:$A,0)+6))),
INDIRECT("Sheet4!"&amp;"K"&amp;MATCH($C$2,Sheet4!$A:$A,0)+6),IF(INDIRECT("Sheet4!"&amp;"K"&amp;MATCH($C$2,Sheet4!$A:$A,0)+6)="Água","Água",
IF(INDIRECT("Sheet4!"&amp;"K"&amp;MATCH($C$2,Sheet4!$A:$A,0)+6)="-","-",
IF(_xlfn.NUMBERVALUE(MID(INDIRECT("Sheet4!"&amp;"K"&amp;MATCH($C$2,Sheet4!$A:$A,0)+6),9,2))&lt;=$C$4,
_xlfn.IFNA(VLOOKUP(INDIRECT("Sheet4!"&amp;"K"&amp;MATCH($C$2,Sheet4!$A:$A,0)+6),$C$7:$H$17,1,FALSE)&amp;CHAR(10)&amp;VLOOKUP(INDIRECT("Sheet4!"&amp;"K"&amp;MATCH($C$2,Sheet4!$A:$A,0)+6),$C$7:$H$17,5,FALSE),
VLOOKUP(INDIRECT("Sheet4!"&amp;"K"&amp;MATCH($C$2,Sheet4!$A:$A,0)+6),$I$7:$N$17,1,FALSE)&amp;CHAR(10)&amp;VLOOKUP(INDIRECT("Sheet4!"&amp;"K"&amp;MATCH($C$2,Sheet4!$A:$A,0)+6),$I$7:$N$17,5,FALSE)),"-"))))</f>
        <v>-</v>
      </c>
      <c r="D26" s="8" t="str" cm="1">
        <f t="array" aca="1" ref="D26" ca="1">IF(ISNUMBER(FIND("ctrl",INDIRECT("Sheet4!"&amp;"K"&amp;MATCH($C$2,Sheet4!$A:$A,0)+6))),
INDIRECT("Sheet4!"&amp;"K"&amp;MATCH($C$2,Sheet4!$A:$A,0)+6),IF(INDIRECT("Sheet4!"&amp;"K"&amp;MATCH($C$2,Sheet4!$A:$A,0)+6)="Água","Água",
IF(INDIRECT("Sheet4!"&amp;"K"&amp;MATCH($C$2,Sheet4!$A:$A,0)+6)="-","-",
IF(_xlfn.NUMBERVALUE(MID(INDIRECT("Sheet4!"&amp;"K"&amp;MATCH($C$2,Sheet4!$A:$A,0)+6),9,2))&lt;=$C$4,
_xlfn.IFNA(VLOOKUP(INDIRECT("Sheet4!"&amp;"K"&amp;MATCH($C$2,Sheet4!$A:$A,0)+6),$C$7:$H$17,1,FALSE)&amp;CHAR(10)&amp;VLOOKUP(INDIRECT("Sheet4!"&amp;"K"&amp;MATCH($C$2,Sheet4!$A:$A,0)+6),$C$7:$H$17,5,FALSE),
VLOOKUP(INDIRECT("Sheet4!"&amp;"K"&amp;MATCH($C$2,Sheet4!$A:$A,0)+6),$I$7:$N$17,1,FALSE)&amp;CHAR(10)&amp;VLOOKUP(INDIRECT("Sheet4!"&amp;"K"&amp;MATCH($C$2,Sheet4!$A:$A,0)+6),$I$7:$N$17,5,FALSE)),"-"))))</f>
        <v>-</v>
      </c>
      <c r="E26" s="8" t="str" cm="1">
        <f t="array" aca="1" ref="E26" ca="1">IF(ISNUMBER(FIND("ctrl",INDIRECT("Sheet4!"&amp;"K"&amp;MATCH($C$2,Sheet4!$A:$A,0)+6))),
INDIRECT("Sheet4!"&amp;"K"&amp;MATCH($C$2,Sheet4!$A:$A,0)+6),IF(INDIRECT("Sheet4!"&amp;"K"&amp;MATCH($C$2,Sheet4!$A:$A,0)+6)="Água","Água",
IF(INDIRECT("Sheet4!"&amp;"K"&amp;MATCH($C$2,Sheet4!$A:$A,0)+6)="-","-",
IF(_xlfn.NUMBERVALUE(MID(INDIRECT("Sheet4!"&amp;"K"&amp;MATCH($C$2,Sheet4!$A:$A,0)+6),9,2))&lt;=$C$4,
_xlfn.IFNA(VLOOKUP(INDIRECT("Sheet4!"&amp;"K"&amp;MATCH($C$2,Sheet4!$A:$A,0)+6),$C$7:$H$17,1,FALSE)&amp;CHAR(10)&amp;VLOOKUP(INDIRECT("Sheet4!"&amp;"K"&amp;MATCH($C$2,Sheet4!$A:$A,0)+6),$C$7:$H$17,5,FALSE),
VLOOKUP(INDIRECT("Sheet4!"&amp;"K"&amp;MATCH($C$2,Sheet4!$A:$A,0)+6),$I$7:$N$17,1,FALSE)&amp;CHAR(10)&amp;VLOOKUP(INDIRECT("Sheet4!"&amp;"K"&amp;MATCH($C$2,Sheet4!$A:$A,0)+6),$I$7:$N$17,5,FALSE)),"-"))))</f>
        <v>-</v>
      </c>
      <c r="F26" s="8" t="str" cm="1">
        <f t="array" aca="1" ref="F26" ca="1">IF(ISNUMBER(FIND("ctrl",INDIRECT("Sheet4!"&amp;"G"&amp;MATCH($C$2,Sheet4!$A:$A,0)+6))),
INDIRECT("Sheet4!"&amp;"G"&amp;MATCH($C$2,Sheet4!$A:$A,0)+6),IF(INDIRECT("Sheet4!"&amp;"G"&amp;MATCH($C$2,Sheet4!$A:$A,0)+6)="Água","Água",
IF(INDIRECT("Sheet4!"&amp;"G"&amp;MATCH($C$2,Sheet4!$A:$A,0)+6)="-","-",
IF(_xlfn.NUMBERVALUE(MID(INDIRECT("Sheet4!"&amp;"G"&amp;MATCH($C$2,Sheet4!$A:$A,0)+6),9,2))&lt;=$C$4,
_xlfn.IFNA(VLOOKUP(INDIRECT("Sheet4!"&amp;"G"&amp;MATCH($C$2,Sheet4!$A:$A,0)+6),$C$7:$H$17,1,FALSE)&amp;CHAR(10)&amp;VLOOKUP(INDIRECT("Sheet4!"&amp;"G"&amp;MATCH($C$2,Sheet4!$A:$A,0)+6),$C$7:$H$17,5,FALSE),
VLOOKUP(INDIRECT("Sheet4!"&amp;"G"&amp;MATCH($C$2,Sheet4!$A:$A,0)+6),$I$7:$N$17,1,FALSE)&amp;CHAR(10)&amp;VLOOKUP(INDIRECT("Sheet4!"&amp;"G"&amp;MATCH($C$2,Sheet4!$A:$A,0)+6),$I$7:$N$17,5,FALSE)),"-"))))</f>
        <v>-</v>
      </c>
      <c r="G26" s="8" t="str" cm="1">
        <f t="array" aca="1" ref="G26" ca="1">IF(ISNUMBER(FIND("ctrl",INDIRECT("Sheet4!"&amp;"H"&amp;MATCH($C$2,Sheet4!$A:$A,0)+6))),
INDIRECT("Sheet4!"&amp;"H"&amp;MATCH($C$2,Sheet4!$A:$A,0)+6),IF(INDIRECT("Sheet4!"&amp;"H"&amp;MATCH($C$2,Sheet4!$A:$A,0)+6)="Água","Água",
IF(INDIRECT("Sheet4!"&amp;"H"&amp;MATCH($C$2,Sheet4!$A:$A,0)+6)="-","-",
IF(_xlfn.NUMBERVALUE(MID(INDIRECT("Sheet4!"&amp;"H"&amp;MATCH($C$2,Sheet4!$A:$A,0)+6),9,2))&lt;=$C$4,
_xlfn.IFNA(VLOOKUP(INDIRECT("Sheet4!"&amp;"H"&amp;MATCH($C$2,Sheet4!$A:$A,0)+6),$C$7:$H$17,1,FALSE)&amp;CHAR(10)&amp;VLOOKUP(INDIRECT("Sheet4!"&amp;"H"&amp;MATCH($C$2,Sheet4!$A:$A,0)+6),$C$7:$H$17,5,FALSE),
VLOOKUP(INDIRECT("Sheet4!"&amp;"H"&amp;MATCH($C$2,Sheet4!$A:$A,0)+6),$I$7:$N$17,1,FALSE)&amp;CHAR(10)&amp;VLOOKUP(INDIRECT("Sheet4!"&amp;"H"&amp;MATCH($C$2,Sheet4!$A:$A,0)+6),$I$7:$N$17,5,FALSE)),"-"))))</f>
        <v>-</v>
      </c>
      <c r="H26" s="8" t="str" cm="1">
        <f t="array" aca="1" ref="H26" ca="1">IF(ISNUMBER(FIND("ctrl",INDIRECT("Sheet4!"&amp;"I"&amp;MATCH($C$2,Sheet4!$A:$A,0)+6))),
INDIRECT("Sheet4!"&amp;"I"&amp;MATCH($C$2,Sheet4!$A:$A,0)+6),IF(INDIRECT("Sheet4!"&amp;"I"&amp;MATCH($C$2,Sheet4!$A:$A,0)+6)="Água","Água",
IF(INDIRECT("Sheet4!"&amp;"I"&amp;MATCH($C$2,Sheet4!$A:$A,0)+6)="-","-",
IF(_xlfn.NUMBERVALUE(MID(INDIRECT("Sheet4!"&amp;"I"&amp;MATCH($C$2,Sheet4!$A:$A,0)+6),9,2))&lt;=$C$4,
_xlfn.IFNA(VLOOKUP(INDIRECT("Sheet4!"&amp;"I"&amp;MATCH($C$2,Sheet4!$A:$A,0)+6),$C$7:$H$17,1,FALSE)&amp;CHAR(10)&amp;VLOOKUP(INDIRECT("Sheet4!"&amp;"I"&amp;MATCH($C$2,Sheet4!$A:$A,0)+6),$C$7:$H$17,5,FALSE),
VLOOKUP(INDIRECT("Sheet4!"&amp;"I"&amp;MATCH($C$2,Sheet4!$A:$A,0)+6),$I$7:$N$17,1,FALSE)&amp;CHAR(10)&amp;VLOOKUP(INDIRECT("Sheet4!"&amp;"I"&amp;MATCH($C$2,Sheet4!$A:$A,0)+6),$I$7:$N$17,5,FALSE)),"-"))))</f>
        <v>-</v>
      </c>
      <c r="I26" s="8" t="str" cm="1">
        <f t="array" aca="1" ref="I26" ca="1">IF(ISNUMBER(FIND("ctrl",INDIRECT("Sheet4!"&amp;"J"&amp;MATCH($C$2,Sheet4!$A:$A,0)+6))),
INDIRECT("Sheet4!"&amp;"J"&amp;MATCH($C$2,Sheet4!$A:$A,0)+6),IF(INDIRECT("Sheet4!"&amp;"J"&amp;MATCH($C$2,Sheet4!$A:$A,0)+6)="Água","Água",
IF(INDIRECT("Sheet4!"&amp;"J"&amp;MATCH($C$2,Sheet4!$A:$A,0)+6)="-","-",
IF(_xlfn.NUMBERVALUE(MID(INDIRECT("Sheet4!"&amp;"J"&amp;MATCH($C$2,Sheet4!$A:$A,0)+6),9,2))&lt;=$C$4,
_xlfn.IFNA(VLOOKUP(INDIRECT("Sheet4!"&amp;"J"&amp;MATCH($C$2,Sheet4!$A:$A,0)+6),$C$7:$H$17,1,FALSE)&amp;CHAR(10)&amp;VLOOKUP(INDIRECT("Sheet4!"&amp;"J"&amp;MATCH($C$2,Sheet4!$A:$A,0)+6),$C$7:$H$17,5,FALSE),
VLOOKUP(INDIRECT("Sheet4!"&amp;"J"&amp;MATCH($C$2,Sheet4!$A:$A,0)+6),$I$7:$N$17,1,FALSE)&amp;CHAR(10)&amp;VLOOKUP(INDIRECT("Sheet4!"&amp;"J"&amp;MATCH($C$2,Sheet4!$A:$A,0)+6),$I$7:$N$17,5,FALSE)),"-"))))</f>
        <v>-</v>
      </c>
      <c r="J26" s="8" t="str" cm="1">
        <f t="array" aca="1" ref="J26" ca="1">IF(ISNUMBER(FIND("ctrl",INDIRECT("Sheet4!"&amp;"K"&amp;MATCH($C$2,Sheet4!$A:$A,0)+6))),
INDIRECT("Sheet4!"&amp;"K"&amp;MATCH($C$2,Sheet4!$A:$A,0)+6),IF(INDIRECT("Sheet4!"&amp;"K"&amp;MATCH($C$2,Sheet4!$A:$A,0)+6)="Água","Água",
IF(INDIRECT("Sheet4!"&amp;"K"&amp;MATCH($C$2,Sheet4!$A:$A,0)+6)="-","-",
IF(_xlfn.NUMBERVALUE(MID(INDIRECT("Sheet4!"&amp;"K"&amp;MATCH($C$2,Sheet4!$A:$A,0)+6),9,2))&lt;=$C$4,
_xlfn.IFNA(VLOOKUP(INDIRECT("Sheet4!"&amp;"K"&amp;MATCH($C$2,Sheet4!$A:$A,0)+6),$C$7:$H$17,1,FALSE)&amp;CHAR(10)&amp;VLOOKUP(INDIRECT("Sheet4!"&amp;"K"&amp;MATCH($C$2,Sheet4!$A:$A,0)+6),$C$7:$H$17,5,FALSE),
VLOOKUP(INDIRECT("Sheet4!"&amp;"K"&amp;MATCH($C$2,Sheet4!$A:$A,0)+6),$I$7:$N$17,1,FALSE)&amp;CHAR(10)&amp;VLOOKUP(INDIRECT("Sheet4!"&amp;"K"&amp;MATCH($C$2,Sheet4!$A:$A,0)+6),$I$7:$N$17,5,FALSE)),"-"))))</f>
        <v>-</v>
      </c>
      <c r="K26" s="8" t="str" cm="1">
        <f t="array" aca="1" ref="K26" ca="1">IF(ISNUMBER(FIND("ctrl",INDIRECT("Sheet4!"&amp;"D"&amp;MATCH($C$2,Sheet4!$A:$A,0)+6))),
INDIRECT("Sheet4!"&amp;"D"&amp;MATCH($C$2,Sheet4!$A:$A,0)+6),IF(INDIRECT("Sheet4!"&amp;"D"&amp;MATCH($C$2,Sheet4!$A:$A,0)+6)="Água","Água",
IF(INDIRECT("Sheet4!"&amp;"D"&amp;MATCH($C$2,Sheet4!$A:$A,0)+6)="-","-",
IF(_xlfn.NUMBERVALUE(MID(INDIRECT("Sheet4!"&amp;"D"&amp;MATCH($C$2,Sheet4!$A:$A,0)+6),9,2))&lt;=$C$4,
_xlfn.IFNA(VLOOKUP(INDIRECT("Sheet4!"&amp;"D"&amp;MATCH($C$2,Sheet4!$A:$A,0)+6),$C$7:$H$17,1,FALSE)&amp;CHAR(10)&amp;VLOOKUP(INDIRECT("Sheet4!"&amp;"D"&amp;MATCH($C$2,Sheet4!$A:$A,0)+6),$C$7:$H$17,5,FALSE),
VLOOKUP(INDIRECT("Sheet4!"&amp;"D"&amp;MATCH($C$2,Sheet4!$A:$A,0)+6),$I$7:$N$17,1,FALSE)&amp;CHAR(10)&amp;VLOOKUP(INDIRECT("Sheet4!"&amp;"D"&amp;MATCH($C$2,Sheet4!$A:$A,0)+6),$I$7:$N$17,5,FALSE)),"-"))))</f>
        <v>Amostra 1
111 K.V.</v>
      </c>
      <c r="L26" s="8" t="str" cm="1">
        <f t="array" aca="1" ref="L26" ca="1">IF(ISNUMBER(FIND("ctrl",INDIRECT("Sheet4!"&amp;"E"&amp;MATCH($C$2,Sheet4!$A:$A,0)+6))),
INDIRECT("Sheet4!"&amp;"E"&amp;MATCH($C$2,Sheet4!$A:$A,0)+6),IF(INDIRECT("Sheet4!"&amp;"E"&amp;MATCH($C$2,Sheet4!$A:$A,0)+6)="Água","Água",
IF(INDIRECT("Sheet4!"&amp;"E"&amp;MATCH($C$2,Sheet4!$A:$A,0)+6)="-","-",
IF(_xlfn.NUMBERVALUE(MID(INDIRECT("Sheet4!"&amp;"E"&amp;MATCH($C$2,Sheet4!$A:$A,0)+6),9,2))&lt;=$C$4,
_xlfn.IFNA(VLOOKUP(INDIRECT("Sheet4!"&amp;"E"&amp;MATCH($C$2,Sheet4!$A:$A,0)+6),$C$7:$H$17,1,FALSE)&amp;CHAR(10)&amp;VLOOKUP(INDIRECT("Sheet4!"&amp;"E"&amp;MATCH($C$2,Sheet4!$A:$A,0)+6),$C$7:$H$17,5,FALSE),
VLOOKUP(INDIRECT("Sheet4!"&amp;"E"&amp;MATCH($C$2,Sheet4!$A:$A,0)+6),$I$7:$N$17,1,FALSE)&amp;CHAR(10)&amp;VLOOKUP(INDIRECT("Sheet4!"&amp;"E"&amp;MATCH($C$2,Sheet4!$A:$A,0)+6),$I$7:$N$17,5,FALSE)),"-"))))</f>
        <v>Amostra 2
112 B.B.</v>
      </c>
      <c r="M26" s="8" t="str" cm="1">
        <f t="array" aca="1" ref="M26" ca="1">IF(ISNUMBER(FIND("ctrl",INDIRECT("Sheet4!"&amp;"F"&amp;MATCH($C$2,Sheet4!$A:$A,0)+6))),
INDIRECT("Sheet4!"&amp;"F"&amp;MATCH($C$2,Sheet4!$A:$A,0)+6),IF(INDIRECT("Sheet4!"&amp;"F"&amp;MATCH($C$2,Sheet4!$A:$A,0)+6)="Água","Água",
IF(INDIRECT("Sheet4!"&amp;"F"&amp;MATCH($C$2,Sheet4!$A:$A,0)+6)="-","-",
IF(_xlfn.NUMBERVALUE(MID(INDIRECT("Sheet4!"&amp;"F"&amp;MATCH($C$2,Sheet4!$A:$A,0)+6),9,2))&lt;=$C$4,
_xlfn.IFNA(VLOOKUP(INDIRECT("Sheet4!"&amp;"F"&amp;MATCH($C$2,Sheet4!$A:$A,0)+6),$C$7:$H$17,1,FALSE)&amp;CHAR(10)&amp;VLOOKUP(INDIRECT("Sheet4!"&amp;"F"&amp;MATCH($C$2,Sheet4!$A:$A,0)+6),$C$7:$H$17,5,FALSE),
VLOOKUP(INDIRECT("Sheet4!"&amp;"F"&amp;MATCH($C$2,Sheet4!$A:$A,0)+6),$I$7:$N$17,1,FALSE)&amp;CHAR(10)&amp;VLOOKUP(INDIRECT("Sheet4!"&amp;"F"&amp;MATCH($C$2,Sheet4!$A:$A,0)+6),$I$7:$N$17,5,FALSE)),"-"))))</f>
        <v>Amostra 3
113 F.S.</v>
      </c>
      <c r="N26" s="8" t="str" cm="1">
        <f t="array" aca="1" ref="N26" ca="1">IF(ISNUMBER(FIND("ctrl",INDIRECT("Sheet4!"&amp;"O"&amp;MATCH($C$2,Sheet4!$A:$A,0)+6))),
INDIRECT("Sheet4!"&amp;"O"&amp;MATCH($C$2,Sheet4!$A:$A,0)+6),IF(INDIRECT("Sheet4!"&amp;"O"&amp;MATCH($C$2,Sheet4!$A:$A,0)+6)="Água","Água",
IF(INDIRECT("Sheet4!"&amp;"O"&amp;MATCH($C$2,Sheet4!$A:$A,0)+6)="-","-",
IF(_xlfn.NUMBERVALUE(MID(INDIRECT("Sheet4!"&amp;"O"&amp;MATCH($C$2,Sheet4!$A:$A,0)+6),9,2))&lt;=$C$4,
_xlfn.IFNA(VLOOKUP(INDIRECT("Sheet4!"&amp;"O"&amp;MATCH($C$2,Sheet4!$A:$A,0)+6),$C$7:$H$17,1,FALSE)&amp;CHAR(10)&amp;VLOOKUP(INDIRECT("Sheet4!"&amp;"O"&amp;MATCH($C$2,Sheet4!$A:$A,0)+6),$C$7:$H$17,5,FALSE),
VLOOKUP(INDIRECT("Sheet4!"&amp;"O"&amp;MATCH($C$2,Sheet4!$A:$A,0)+6),$I$7:$N$17,1,FALSE)&amp;CHAR(10)&amp;VLOOKUP(INDIRECT("Sheet4!"&amp;"O"&amp;MATCH($C$2,Sheet4!$A:$A,0)+6),$I$7:$N$17,5,FALSE)),"-"))))</f>
        <v>Água</v>
      </c>
    </row>
    <row r="27" spans="2:14" ht="15" customHeight="1" x14ac:dyDescent="0.25">
      <c r="B27" s="12" t="s">
        <v>33</v>
      </c>
      <c r="C27" s="8" t="str" cm="1">
        <f t="array" aca="1" ref="C27" ca="1">IF(ISNUMBER(FIND("ctrl",INDIRECT("Sheet4!"&amp;"K"&amp;MATCH($C$2,Sheet4!$A:$A,0)+7))),
INDIRECT("Sheet4!"&amp;"K"&amp;MATCH($C$2,Sheet4!$A:$A,0)+7),IF(INDIRECT("Sheet4!"&amp;"K"&amp;MATCH($C$2,Sheet4!$A:$A,0)+7)="Água","Água",
IF(INDIRECT("Sheet4!"&amp;"K"&amp;MATCH($C$2,Sheet4!$A:$A,0)+7)="-","-",
IF(_xlfn.NUMBERVALUE(MID(INDIRECT("Sheet4!"&amp;"K"&amp;MATCH($C$2,Sheet4!$A:$A,0)+7),9,2))&lt;=$C$4,
_xlfn.IFNA(VLOOKUP(INDIRECT("Sheet4!"&amp;"K"&amp;MATCH($C$2,Sheet4!$A:$A,0)+7),$C$7:$H$17,1,FALSE)&amp;CHAR(10)&amp;VLOOKUP(INDIRECT("Sheet4!"&amp;"K"&amp;MATCH($C$2,Sheet4!$A:$A,0)+7),$C$7:$H$17,5,FALSE),
VLOOKUP(INDIRECT("Sheet4!"&amp;"K"&amp;MATCH($C$2,Sheet4!$A:$A,0)+7),$I$7:$N$17,1,FALSE)&amp;CHAR(10)&amp;VLOOKUP(INDIRECT("Sheet4!"&amp;"K"&amp;MATCH($C$2,Sheet4!$A:$A,0)+7),$I$7:$N$17,5,FALSE)),"-"))))</f>
        <v>-</v>
      </c>
      <c r="D27" s="8" t="str" cm="1">
        <f t="array" aca="1" ref="D27" ca="1">IF(ISNUMBER(FIND("ctrl",INDIRECT("Sheet4!"&amp;"K"&amp;MATCH($C$2,Sheet4!$A:$A,0)+7))),
INDIRECT("Sheet4!"&amp;"K"&amp;MATCH($C$2,Sheet4!$A:$A,0)+7),IF(INDIRECT("Sheet4!"&amp;"K"&amp;MATCH($C$2,Sheet4!$A:$A,0)+7)="Água","Água",
IF(INDIRECT("Sheet4!"&amp;"K"&amp;MATCH($C$2,Sheet4!$A:$A,0)+7)="-","-",
IF(_xlfn.NUMBERVALUE(MID(INDIRECT("Sheet4!"&amp;"K"&amp;MATCH($C$2,Sheet4!$A:$A,0)+7),9,2))&lt;=$C$4,
_xlfn.IFNA(VLOOKUP(INDIRECT("Sheet4!"&amp;"K"&amp;MATCH($C$2,Sheet4!$A:$A,0)+7),$C$7:$H$17,1,FALSE)&amp;CHAR(10)&amp;VLOOKUP(INDIRECT("Sheet4!"&amp;"K"&amp;MATCH($C$2,Sheet4!$A:$A,0)+7),$C$7:$H$17,5,FALSE),
VLOOKUP(INDIRECT("Sheet4!"&amp;"K"&amp;MATCH($C$2,Sheet4!$A:$A,0)+7),$I$7:$N$17,1,FALSE)&amp;CHAR(10)&amp;VLOOKUP(INDIRECT("Sheet4!"&amp;"K"&amp;MATCH($C$2,Sheet4!$A:$A,0)+7),$I$7:$N$17,5,FALSE)),"-"))))</f>
        <v>-</v>
      </c>
      <c r="E27" s="8" t="str" cm="1">
        <f t="array" aca="1" ref="E27" ca="1">IF(ISNUMBER(FIND("ctrl",INDIRECT("Sheet4!"&amp;"K"&amp;MATCH($C$2,Sheet4!$A:$A,0)+7))),
INDIRECT("Sheet4!"&amp;"K"&amp;MATCH($C$2,Sheet4!$A:$A,0)+7),IF(INDIRECT("Sheet4!"&amp;"K"&amp;MATCH($C$2,Sheet4!$A:$A,0)+7)="Água","Água",
IF(INDIRECT("Sheet4!"&amp;"K"&amp;MATCH($C$2,Sheet4!$A:$A,0)+7)="-","-",
IF(_xlfn.NUMBERVALUE(MID(INDIRECT("Sheet4!"&amp;"K"&amp;MATCH($C$2,Sheet4!$A:$A,0)+7),9,2))&lt;=$C$4,
_xlfn.IFNA(VLOOKUP(INDIRECT("Sheet4!"&amp;"K"&amp;MATCH($C$2,Sheet4!$A:$A,0)+7),$C$7:$H$17,1,FALSE)&amp;CHAR(10)&amp;VLOOKUP(INDIRECT("Sheet4!"&amp;"K"&amp;MATCH($C$2,Sheet4!$A:$A,0)+7),$C$7:$H$17,5,FALSE),
VLOOKUP(INDIRECT("Sheet4!"&amp;"K"&amp;MATCH($C$2,Sheet4!$A:$A,0)+7),$I$7:$N$17,1,FALSE)&amp;CHAR(10)&amp;VLOOKUP(INDIRECT("Sheet4!"&amp;"K"&amp;MATCH($C$2,Sheet4!$A:$A,0)+7),$I$7:$N$17,5,FALSE)),"-"))))</f>
        <v>-</v>
      </c>
      <c r="F27" s="8" t="str" cm="1">
        <f t="array" aca="1" ref="F27" ca="1">IF(ISNUMBER(FIND("ctrl",INDIRECT("Sheet4!"&amp;"G"&amp;MATCH($C$2,Sheet4!$A:$A,0)+7))),
INDIRECT("Sheet4!"&amp;"G"&amp;MATCH($C$2,Sheet4!$A:$A,0)+7),IF(INDIRECT("Sheet4!"&amp;"G"&amp;MATCH($C$2,Sheet4!$A:$A,0)+7)="Água","Água",
IF(INDIRECT("Sheet4!"&amp;"G"&amp;MATCH($C$2,Sheet4!$A:$A,0)+7)="-","-",
IF(_xlfn.NUMBERVALUE(MID(INDIRECT("Sheet4!"&amp;"G"&amp;MATCH($C$2,Sheet4!$A:$A,0)+7),9,2))&lt;=$C$4,
_xlfn.IFNA(VLOOKUP(INDIRECT("Sheet4!"&amp;"G"&amp;MATCH($C$2,Sheet4!$A:$A,0)+7),$C$7:$H$17,1,FALSE)&amp;CHAR(10)&amp;VLOOKUP(INDIRECT("Sheet4!"&amp;"G"&amp;MATCH($C$2,Sheet4!$A:$A,0)+7),$C$7:$H$17,5,FALSE),
VLOOKUP(INDIRECT("Sheet4!"&amp;"G"&amp;MATCH($C$2,Sheet4!$A:$A,0)+7),$I$7:$N$17,1,FALSE)&amp;CHAR(10)&amp;VLOOKUP(INDIRECT("Sheet4!"&amp;"G"&amp;MATCH($C$2,Sheet4!$A:$A,0)+7),$I$7:$N$17,5,FALSE)),"-"))))</f>
        <v>-</v>
      </c>
      <c r="G27" s="8" t="str" cm="1">
        <f t="array" aca="1" ref="G27" ca="1">IF(ISNUMBER(FIND("ctrl",INDIRECT("Sheet4!"&amp;"H"&amp;MATCH($C$2,Sheet4!$A:$A,0)+7))),
INDIRECT("Sheet4!"&amp;"H"&amp;MATCH($C$2,Sheet4!$A:$A,0)+7),IF(INDIRECT("Sheet4!"&amp;"H"&amp;MATCH($C$2,Sheet4!$A:$A,0)+7)="Água","Água",
IF(INDIRECT("Sheet4!"&amp;"H"&amp;MATCH($C$2,Sheet4!$A:$A,0)+7)="-","-",
IF(_xlfn.NUMBERVALUE(MID(INDIRECT("Sheet4!"&amp;"H"&amp;MATCH($C$2,Sheet4!$A:$A,0)+7),9,2))&lt;=$C$4,
_xlfn.IFNA(VLOOKUP(INDIRECT("Sheet4!"&amp;"H"&amp;MATCH($C$2,Sheet4!$A:$A,0)+7),$C$7:$H$17,1,FALSE)&amp;CHAR(10)&amp;VLOOKUP(INDIRECT("Sheet4!"&amp;"H"&amp;MATCH($C$2,Sheet4!$A:$A,0)+7),$C$7:$H$17,5,FALSE),
VLOOKUP(INDIRECT("Sheet4!"&amp;"H"&amp;MATCH($C$2,Sheet4!$A:$A,0)+7),$I$7:$N$17,1,FALSE)&amp;CHAR(10)&amp;VLOOKUP(INDIRECT("Sheet4!"&amp;"H"&amp;MATCH($C$2,Sheet4!$A:$A,0)+7),$I$7:$N$17,5,FALSE)),"-"))))</f>
        <v>-</v>
      </c>
      <c r="H27" s="8" t="str" cm="1">
        <f t="array" aca="1" ref="H27" ca="1">IF(ISNUMBER(FIND("ctrl",INDIRECT("Sheet4!"&amp;"I"&amp;MATCH($C$2,Sheet4!$A:$A,0)+7))),
INDIRECT("Sheet4!"&amp;"I"&amp;MATCH($C$2,Sheet4!$A:$A,0)+7),IF(INDIRECT("Sheet4!"&amp;"I"&amp;MATCH($C$2,Sheet4!$A:$A,0)+7)="Água","Água",
IF(INDIRECT("Sheet4!"&amp;"I"&amp;MATCH($C$2,Sheet4!$A:$A,0)+7)="-","-",
IF(_xlfn.NUMBERVALUE(MID(INDIRECT("Sheet4!"&amp;"I"&amp;MATCH($C$2,Sheet4!$A:$A,0)+7),9,2))&lt;=$C$4,
_xlfn.IFNA(VLOOKUP(INDIRECT("Sheet4!"&amp;"I"&amp;MATCH($C$2,Sheet4!$A:$A,0)+7),$C$7:$H$17,1,FALSE)&amp;CHAR(10)&amp;VLOOKUP(INDIRECT("Sheet4!"&amp;"I"&amp;MATCH($C$2,Sheet4!$A:$A,0)+7),$C$7:$H$17,5,FALSE),
VLOOKUP(INDIRECT("Sheet4!"&amp;"I"&amp;MATCH($C$2,Sheet4!$A:$A,0)+7),$I$7:$N$17,1,FALSE)&amp;CHAR(10)&amp;VLOOKUP(INDIRECT("Sheet4!"&amp;"I"&amp;MATCH($C$2,Sheet4!$A:$A,0)+7),$I$7:$N$17,5,FALSE)),"-"))))</f>
        <v>-</v>
      </c>
      <c r="I27" s="8" t="str" cm="1">
        <f t="array" aca="1" ref="I27" ca="1">IF(ISNUMBER(FIND("ctrl",INDIRECT("Sheet4!"&amp;"J"&amp;MATCH($C$2,Sheet4!$A:$A,0)+7))),
INDIRECT("Sheet4!"&amp;"J"&amp;MATCH($C$2,Sheet4!$A:$A,0)+7),IF(INDIRECT("Sheet4!"&amp;"J"&amp;MATCH($C$2,Sheet4!$A:$A,0)+7)="Água","Água",
IF(INDIRECT("Sheet4!"&amp;"J"&amp;MATCH($C$2,Sheet4!$A:$A,0)+7)="-","-",
IF(_xlfn.NUMBERVALUE(MID(INDIRECT("Sheet4!"&amp;"J"&amp;MATCH($C$2,Sheet4!$A:$A,0)+7),9,2))&lt;=$C$4,
_xlfn.IFNA(VLOOKUP(INDIRECT("Sheet4!"&amp;"J"&amp;MATCH($C$2,Sheet4!$A:$A,0)+7),$C$7:$H$17,1,FALSE)&amp;CHAR(10)&amp;VLOOKUP(INDIRECT("Sheet4!"&amp;"J"&amp;MATCH($C$2,Sheet4!$A:$A,0)+7),$C$7:$H$17,5,FALSE),
VLOOKUP(INDIRECT("Sheet4!"&amp;"J"&amp;MATCH($C$2,Sheet4!$A:$A,0)+7),$I$7:$N$17,1,FALSE)&amp;CHAR(10)&amp;VLOOKUP(INDIRECT("Sheet4!"&amp;"J"&amp;MATCH($C$2,Sheet4!$A:$A,0)+7),$I$7:$N$17,5,FALSE)),"-"))))</f>
        <v>-</v>
      </c>
      <c r="J27" s="8" t="str" cm="1">
        <f t="array" aca="1" ref="J27" ca="1">IF(ISNUMBER(FIND("ctrl",INDIRECT("Sheet4!"&amp;"K"&amp;MATCH($C$2,Sheet4!$A:$A,0)+7))),
INDIRECT("Sheet4!"&amp;"K"&amp;MATCH($C$2,Sheet4!$A:$A,0)+7),IF(INDIRECT("Sheet4!"&amp;"K"&amp;MATCH($C$2,Sheet4!$A:$A,0)+7)="Água","Água",
IF(INDIRECT("Sheet4!"&amp;"K"&amp;MATCH($C$2,Sheet4!$A:$A,0)+7)="-","-",
IF(_xlfn.NUMBERVALUE(MID(INDIRECT("Sheet4!"&amp;"K"&amp;MATCH($C$2,Sheet4!$A:$A,0)+7),9,2))&lt;=$C$4,
_xlfn.IFNA(VLOOKUP(INDIRECT("Sheet4!"&amp;"K"&amp;MATCH($C$2,Sheet4!$A:$A,0)+7),$C$7:$H$17,1,FALSE)&amp;CHAR(10)&amp;VLOOKUP(INDIRECT("Sheet4!"&amp;"K"&amp;MATCH($C$2,Sheet4!$A:$A,0)+7),$C$7:$H$17,5,FALSE),
VLOOKUP(INDIRECT("Sheet4!"&amp;"K"&amp;MATCH($C$2,Sheet4!$A:$A,0)+7),$I$7:$N$17,1,FALSE)&amp;CHAR(10)&amp;VLOOKUP(INDIRECT("Sheet4!"&amp;"K"&amp;MATCH($C$2,Sheet4!$A:$A,0)+7),$I$7:$N$17,5,FALSE)),"-"))))</f>
        <v>-</v>
      </c>
      <c r="K27" s="8" t="str" cm="1">
        <f t="array" aca="1" ref="K27" ca="1">IF(ISNUMBER(FIND("ctrl",INDIRECT("Sheet4!"&amp;"D"&amp;MATCH($C$2,Sheet4!$A:$A,0)+7))),
INDIRECT("Sheet4!"&amp;"D"&amp;MATCH($C$2,Sheet4!$A:$A,0)+7),IF(INDIRECT("Sheet4!"&amp;"D"&amp;MATCH($C$2,Sheet4!$A:$A,0)+7)="Água","Água",
IF(INDIRECT("Sheet4!"&amp;"D"&amp;MATCH($C$2,Sheet4!$A:$A,0)+7)="-","-",
IF(_xlfn.NUMBERVALUE(MID(INDIRECT("Sheet4!"&amp;"D"&amp;MATCH($C$2,Sheet4!$A:$A,0)+7),9,2))&lt;=$C$4,
_xlfn.IFNA(VLOOKUP(INDIRECT("Sheet4!"&amp;"D"&amp;MATCH($C$2,Sheet4!$A:$A,0)+7),$C$7:$H$17,1,FALSE)&amp;CHAR(10)&amp;VLOOKUP(INDIRECT("Sheet4!"&amp;"D"&amp;MATCH($C$2,Sheet4!$A:$A,0)+7),$C$7:$H$17,5,FALSE),
VLOOKUP(INDIRECT("Sheet4!"&amp;"D"&amp;MATCH($C$2,Sheet4!$A:$A,0)+7),$I$7:$N$17,1,FALSE)&amp;CHAR(10)&amp;VLOOKUP(INDIRECT("Sheet4!"&amp;"D"&amp;MATCH($C$2,Sheet4!$A:$A,0)+7),$I$7:$N$17,5,FALSE)),"-"))))</f>
        <v>Amostra 1
111 K.V.</v>
      </c>
      <c r="L27" s="8" t="str" cm="1">
        <f t="array" aca="1" ref="L27" ca="1">IF(ISNUMBER(FIND("ctrl",INDIRECT("Sheet4!"&amp;"E"&amp;MATCH($C$2,Sheet4!$A:$A,0)+7))),
INDIRECT("Sheet4!"&amp;"E"&amp;MATCH($C$2,Sheet4!$A:$A,0)+7),IF(INDIRECT("Sheet4!"&amp;"E"&amp;MATCH($C$2,Sheet4!$A:$A,0)+7)="Água","Água",
IF(INDIRECT("Sheet4!"&amp;"E"&amp;MATCH($C$2,Sheet4!$A:$A,0)+7)="-","-",
IF(_xlfn.NUMBERVALUE(MID(INDIRECT("Sheet4!"&amp;"E"&amp;MATCH($C$2,Sheet4!$A:$A,0)+7),9,2))&lt;=$C$4,
_xlfn.IFNA(VLOOKUP(INDIRECT("Sheet4!"&amp;"E"&amp;MATCH($C$2,Sheet4!$A:$A,0)+7),$C$7:$H$17,1,FALSE)&amp;CHAR(10)&amp;VLOOKUP(INDIRECT("Sheet4!"&amp;"E"&amp;MATCH($C$2,Sheet4!$A:$A,0)+7),$C$7:$H$17,5,FALSE),
VLOOKUP(INDIRECT("Sheet4!"&amp;"E"&amp;MATCH($C$2,Sheet4!$A:$A,0)+7),$I$7:$N$17,1,FALSE)&amp;CHAR(10)&amp;VLOOKUP(INDIRECT("Sheet4!"&amp;"E"&amp;MATCH($C$2,Sheet4!$A:$A,0)+7),$I$7:$N$17,5,FALSE)),"-"))))</f>
        <v>Amostra 2
112 B.B.</v>
      </c>
      <c r="M27" s="8" t="str" cm="1">
        <f t="array" aca="1" ref="M27" ca="1">IF(ISNUMBER(FIND("ctrl",INDIRECT("Sheet4!"&amp;"F"&amp;MATCH($C$2,Sheet4!$A:$A,0)+7))),
INDIRECT("Sheet4!"&amp;"F"&amp;MATCH($C$2,Sheet4!$A:$A,0)+7),IF(INDIRECT("Sheet4!"&amp;"F"&amp;MATCH($C$2,Sheet4!$A:$A,0)+7)="Água","Água",
IF(INDIRECT("Sheet4!"&amp;"F"&amp;MATCH($C$2,Sheet4!$A:$A,0)+7)="-","-",
IF(_xlfn.NUMBERVALUE(MID(INDIRECT("Sheet4!"&amp;"F"&amp;MATCH($C$2,Sheet4!$A:$A,0)+7),9,2))&lt;=$C$4,
_xlfn.IFNA(VLOOKUP(INDIRECT("Sheet4!"&amp;"F"&amp;MATCH($C$2,Sheet4!$A:$A,0)+7),$C$7:$H$17,1,FALSE)&amp;CHAR(10)&amp;VLOOKUP(INDIRECT("Sheet4!"&amp;"F"&amp;MATCH($C$2,Sheet4!$A:$A,0)+7),$C$7:$H$17,5,FALSE),
VLOOKUP(INDIRECT("Sheet4!"&amp;"F"&amp;MATCH($C$2,Sheet4!$A:$A,0)+7),$I$7:$N$17,1,FALSE)&amp;CHAR(10)&amp;VLOOKUP(INDIRECT("Sheet4!"&amp;"F"&amp;MATCH($C$2,Sheet4!$A:$A,0)+7),$I$7:$N$17,5,FALSE)),"-"))))</f>
        <v>Amostra 3
113 F.S.</v>
      </c>
      <c r="N27" s="8" t="str" cm="1">
        <f t="array" aca="1" ref="N27" ca="1">IF(ISNUMBER(FIND("ctrl",INDIRECT("Sheet4!"&amp;"O"&amp;MATCH($C$2,Sheet4!$A:$A,0)+7))),
INDIRECT("Sheet4!"&amp;"O"&amp;MATCH($C$2,Sheet4!$A:$A,0)+7),IF(INDIRECT("Sheet4!"&amp;"O"&amp;MATCH($C$2,Sheet4!$A:$A,0)+7)="Água","Água",
IF(INDIRECT("Sheet4!"&amp;"O"&amp;MATCH($C$2,Sheet4!$A:$A,0)+7)="-","-",
IF(_xlfn.NUMBERVALUE(MID(INDIRECT("Sheet4!"&amp;"O"&amp;MATCH($C$2,Sheet4!$A:$A,0)+7),9,2))&lt;=$C$4,
_xlfn.IFNA(VLOOKUP(INDIRECT("Sheet4!"&amp;"O"&amp;MATCH($C$2,Sheet4!$A:$A,0)+7),$C$7:$H$17,1,FALSE)&amp;CHAR(10)&amp;VLOOKUP(INDIRECT("Sheet4!"&amp;"O"&amp;MATCH($C$2,Sheet4!$A:$A,0)+7),$C$7:$H$17,5,FALSE),
VLOOKUP(INDIRECT("Sheet4!"&amp;"O"&amp;MATCH($C$2,Sheet4!$A:$A,0)+7),$I$7:$N$17,1,FALSE)&amp;CHAR(10)&amp;VLOOKUP(INDIRECT("Sheet4!"&amp;"O"&amp;MATCH($C$2,Sheet4!$A:$A,0)+7),$I$7:$N$17,5,FALSE)),"-"))))</f>
        <v>Água</v>
      </c>
    </row>
    <row r="28" spans="2:14" ht="15.75" thickBot="1" x14ac:dyDescent="0.3"/>
    <row r="29" spans="2:14" ht="16.5" thickBot="1" x14ac:dyDescent="0.3">
      <c r="C29" s="31" t="s">
        <v>62</v>
      </c>
      <c r="D29" s="33" t="s">
        <v>56</v>
      </c>
      <c r="E29" s="32"/>
      <c r="F29" s="22"/>
      <c r="G29" s="18"/>
      <c r="H29" s="19" t="s">
        <v>57</v>
      </c>
      <c r="I29" s="29" t="s">
        <v>103</v>
      </c>
    </row>
    <row r="30" spans="2:14" ht="16.5" thickBot="1" x14ac:dyDescent="0.3">
      <c r="C30" s="30" t="s">
        <v>61</v>
      </c>
      <c r="D30" t="s">
        <v>69</v>
      </c>
      <c r="E30" s="32"/>
      <c r="F30" s="22"/>
      <c r="G30" s="18"/>
      <c r="H30" s="19" t="s">
        <v>58</v>
      </c>
      <c r="I30" s="20">
        <v>44926</v>
      </c>
    </row>
    <row r="31" spans="2:14" ht="16.5" thickBot="1" x14ac:dyDescent="0.3">
      <c r="C31" s="30" t="s">
        <v>60</v>
      </c>
      <c r="D31" s="21" t="s">
        <v>64</v>
      </c>
      <c r="E31" s="22"/>
      <c r="F31" s="22"/>
      <c r="G31" s="23"/>
      <c r="H31" s="19" t="s">
        <v>59</v>
      </c>
      <c r="I31" s="20">
        <v>44777</v>
      </c>
    </row>
    <row r="33" spans="2:14" x14ac:dyDescent="0.25">
      <c r="B33" s="24" t="s">
        <v>63</v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2:14" x14ac:dyDescent="0.25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2:14" x14ac:dyDescent="0.25"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</sheetData>
  <conditionalFormatting sqref="B1:N1 I4:K4 B6:N6 J2 I2:I3 K2:K3 I5:J5 B2:D2 B4:D5 B7:F17 H7:N17 B29:B31 I30:N30 B32:N1048576 F2:H2 J29:N29 J31:N31 M2:N5 B18:N28">
    <cfRule type="containsText" dxfId="909" priority="265" operator="containsText" text="Água">
      <formula>NOT(ISERROR(SEARCH("Água",B1)))</formula>
    </cfRule>
    <cfRule type="containsText" dxfId="908" priority="266" operator="containsText" text="WT">
      <formula>NOT(ISERROR(SEARCH("WT",B1)))</formula>
    </cfRule>
    <cfRule type="containsText" dxfId="907" priority="267" operator="containsText" text="pos">
      <formula>NOT(ISERROR(SEARCH("pos",B1)))</formula>
    </cfRule>
    <cfRule type="containsText" dxfId="906" priority="268" operator="containsText" text="Amostra 22">
      <formula>NOT(ISERROR(SEARCH("Amostra 22",B1)))</formula>
    </cfRule>
    <cfRule type="containsText" dxfId="905" priority="269" operator="containsText" text="Amostra 21">
      <formula>NOT(ISERROR(SEARCH("Amostra 21",B1)))</formula>
    </cfRule>
    <cfRule type="containsText" dxfId="904" priority="270" operator="containsText" text="Amostra 20">
      <formula>NOT(ISERROR(SEARCH("Amostra 20",B1)))</formula>
    </cfRule>
    <cfRule type="containsText" dxfId="903" priority="271" operator="containsText" text="Amostra 19">
      <formula>NOT(ISERROR(SEARCH("Amostra 19",B1)))</formula>
    </cfRule>
    <cfRule type="containsText" dxfId="902" priority="272" operator="containsText" text="Amostra 18">
      <formula>NOT(ISERROR(SEARCH("Amostra 18",B1)))</formula>
    </cfRule>
    <cfRule type="containsText" dxfId="901" priority="273" operator="containsText" text="Amostra 17">
      <formula>NOT(ISERROR(SEARCH("Amostra 17",B1)))</formula>
    </cfRule>
    <cfRule type="containsText" dxfId="900" priority="274" operator="containsText" text="Amostra 16">
      <formula>NOT(ISERROR(SEARCH("Amostra 16",B1)))</formula>
    </cfRule>
    <cfRule type="containsText" dxfId="899" priority="275" operator="containsText" text="Amostra 15">
      <formula>NOT(ISERROR(SEARCH("Amostra 15",B1)))</formula>
    </cfRule>
    <cfRule type="containsText" dxfId="898" priority="276" operator="containsText" text="Amostra 14">
      <formula>NOT(ISERROR(SEARCH("Amostra 14",B1)))</formula>
    </cfRule>
    <cfRule type="containsText" dxfId="897" priority="277" operator="containsText" text="Amostra 13">
      <formula>NOT(ISERROR(SEARCH("Amostra 13",B1)))</formula>
    </cfRule>
    <cfRule type="containsText" dxfId="896" priority="278" operator="containsText" text="Amostra 12">
      <formula>NOT(ISERROR(SEARCH("Amostra 12",B1)))</formula>
    </cfRule>
    <cfRule type="containsText" dxfId="895" priority="279" operator="containsText" text="Amostra 11">
      <formula>NOT(ISERROR(SEARCH("Amostra 11",B1)))</formula>
    </cfRule>
    <cfRule type="containsText" dxfId="894" priority="280" operator="containsText" text="Amostra 10">
      <formula>NOT(ISERROR(SEARCH("Amostra 10",B1)))</formula>
    </cfRule>
    <cfRule type="containsText" dxfId="893" priority="281" operator="containsText" text="Amostra 9">
      <formula>NOT(ISERROR(SEARCH("Amostra 9",B1)))</formula>
    </cfRule>
    <cfRule type="containsText" dxfId="892" priority="282" operator="containsText" text="Amostra 8">
      <formula>NOT(ISERROR(SEARCH("Amostra 8",B1)))</formula>
    </cfRule>
    <cfRule type="containsText" dxfId="891" priority="283" operator="containsText" text="Amostra 7">
      <formula>NOT(ISERROR(SEARCH("Amostra 7",B1)))</formula>
    </cfRule>
    <cfRule type="containsText" dxfId="890" priority="284" operator="containsText" text="Amostra 6">
      <formula>NOT(ISERROR(SEARCH("Amostra 6",B1)))</formula>
    </cfRule>
    <cfRule type="containsText" dxfId="889" priority="285" operator="containsText" text="Amostra 5">
      <formula>NOT(ISERROR(SEARCH("Amostra 5",B1)))</formula>
    </cfRule>
    <cfRule type="containsText" dxfId="888" priority="286" operator="containsText" text="Amostra 4">
      <formula>NOT(ISERROR(SEARCH("Amostra 4",B1)))</formula>
    </cfRule>
    <cfRule type="containsText" dxfId="887" priority="287" operator="containsText" text="Amostra 3">
      <formula>NOT(ISERROR(SEARCH("Amostra 3",B1)))</formula>
    </cfRule>
    <cfRule type="containsText" dxfId="886" priority="288" operator="containsText" text="Amostra 2">
      <formula>NOT(ISERROR(SEARCH("Amostra 2",B1)))</formula>
    </cfRule>
    <cfRule type="containsText" dxfId="885" priority="289" operator="containsText" text="Amostra 1">
      <formula>NOT(ISERROR(SEARCH("Amostra 1",B1)))</formula>
    </cfRule>
  </conditionalFormatting>
  <conditionalFormatting sqref="G7:H17">
    <cfRule type="expression" dxfId="884" priority="262">
      <formula>ISNUMBER(FIND("Amostra",$C7))</formula>
    </cfRule>
  </conditionalFormatting>
  <conditionalFormatting sqref="J7:J17">
    <cfRule type="expression" dxfId="883" priority="263">
      <formula>ISNUMBER(FIND("Amostra",$I7))</formula>
    </cfRule>
  </conditionalFormatting>
  <conditionalFormatting sqref="D7:D17">
    <cfRule type="expression" dxfId="882" priority="264">
      <formula>ISNUMBER(FIND("Amostra",$C7))</formula>
    </cfRule>
  </conditionalFormatting>
  <conditionalFormatting sqref="M7:N17">
    <cfRule type="expression" dxfId="881" priority="261">
      <formula>ISNUMBER(FIND("Amostra",$I7))</formula>
    </cfRule>
  </conditionalFormatting>
  <conditionalFormatting sqref="E7:E17">
    <cfRule type="expression" dxfId="880" priority="260">
      <formula>ISNUMBER(FIND("Amostra",$C7))</formula>
    </cfRule>
  </conditionalFormatting>
  <conditionalFormatting sqref="K7:K17">
    <cfRule type="expression" dxfId="879" priority="259">
      <formula>ISNUMBER(FIND("Amostra",$I7))</formula>
    </cfRule>
  </conditionalFormatting>
  <conditionalFormatting sqref="K4">
    <cfRule type="containsText" dxfId="878" priority="234" operator="containsText" text="Agua">
      <formula>NOT(ISERROR(SEARCH("Agua",K4)))</formula>
    </cfRule>
    <cfRule type="containsText" dxfId="877" priority="235" operator="containsText" text="WT">
      <formula>NOT(ISERROR(SEARCH("WT",K4)))</formula>
    </cfRule>
    <cfRule type="containsText" dxfId="876" priority="236" operator="containsText" text="pos">
      <formula>NOT(ISERROR(SEARCH("pos",K4)))</formula>
    </cfRule>
    <cfRule type="containsText" dxfId="875" priority="237" operator="containsText" text="Amostra 22">
      <formula>NOT(ISERROR(SEARCH("Amostra 22",K4)))</formula>
    </cfRule>
    <cfRule type="containsText" dxfId="874" priority="238" operator="containsText" text="Amostra 21">
      <formula>NOT(ISERROR(SEARCH("Amostra 21",K4)))</formula>
    </cfRule>
    <cfRule type="containsText" dxfId="873" priority="239" operator="containsText" text="Amostra 20">
      <formula>NOT(ISERROR(SEARCH("Amostra 20",K4)))</formula>
    </cfRule>
    <cfRule type="containsText" dxfId="872" priority="240" operator="containsText" text="Amostra 19">
      <formula>NOT(ISERROR(SEARCH("Amostra 19",K4)))</formula>
    </cfRule>
    <cfRule type="containsText" dxfId="871" priority="241" operator="containsText" text="Amostra 18">
      <formula>NOT(ISERROR(SEARCH("Amostra 18",K4)))</formula>
    </cfRule>
    <cfRule type="containsText" dxfId="870" priority="242" operator="containsText" text="Amostra 17">
      <formula>NOT(ISERROR(SEARCH("Amostra 17",K4)))</formula>
    </cfRule>
    <cfRule type="containsText" dxfId="869" priority="243" operator="containsText" text="Amostra 16">
      <formula>NOT(ISERROR(SEARCH("Amostra 16",K4)))</formula>
    </cfRule>
    <cfRule type="containsText" dxfId="868" priority="244" operator="containsText" text="Amostra 15">
      <formula>NOT(ISERROR(SEARCH("Amostra 15",K4)))</formula>
    </cfRule>
    <cfRule type="containsText" dxfId="867" priority="245" operator="containsText" text="Amostra 14">
      <formula>NOT(ISERROR(SEARCH("Amostra 14",K4)))</formula>
    </cfRule>
    <cfRule type="containsText" dxfId="866" priority="246" operator="containsText" text="Amostra 13">
      <formula>NOT(ISERROR(SEARCH("Amostra 13",K4)))</formula>
    </cfRule>
    <cfRule type="containsText" dxfId="865" priority="247" operator="containsText" text="Amostra 12">
      <formula>NOT(ISERROR(SEARCH("Amostra 12",K4)))</formula>
    </cfRule>
    <cfRule type="containsText" dxfId="864" priority="248" operator="containsText" text="Amostra 11">
      <formula>NOT(ISERROR(SEARCH("Amostra 11",K4)))</formula>
    </cfRule>
    <cfRule type="containsText" dxfId="863" priority="249" operator="containsText" text="Amostra 10">
      <formula>NOT(ISERROR(SEARCH("Amostra 10",K4)))</formula>
    </cfRule>
    <cfRule type="containsText" dxfId="862" priority="250" operator="containsText" text="Amostra 9">
      <formula>NOT(ISERROR(SEARCH("Amostra 9",K4)))</formula>
    </cfRule>
    <cfRule type="containsText" dxfId="861" priority="251" operator="containsText" text="Amostra 8">
      <formula>NOT(ISERROR(SEARCH("Amostra 8",K4)))</formula>
    </cfRule>
    <cfRule type="containsText" dxfId="860" priority="252" operator="containsText" text="Amostra 7">
      <formula>NOT(ISERROR(SEARCH("Amostra 7",K4)))</formula>
    </cfRule>
    <cfRule type="containsText" dxfId="859" priority="253" operator="containsText" text="Amostra 6">
      <formula>NOT(ISERROR(SEARCH("Amostra 6",K4)))</formula>
    </cfRule>
    <cfRule type="containsText" dxfId="858" priority="254" operator="containsText" text="Amostra 5">
      <formula>NOT(ISERROR(SEARCH("Amostra 5",K4)))</formula>
    </cfRule>
    <cfRule type="containsText" dxfId="857" priority="255" operator="containsText" text="Amostra 4">
      <formula>NOT(ISERROR(SEARCH("Amostra 4",K4)))</formula>
    </cfRule>
    <cfRule type="containsText" dxfId="856" priority="256" operator="containsText" text="Amostra 3">
      <formula>NOT(ISERROR(SEARCH("Amostra 3",K4)))</formula>
    </cfRule>
    <cfRule type="containsText" dxfId="855" priority="257" operator="containsText" text="Amostra 2">
      <formula>NOT(ISERROR(SEARCH("Amostra 2",K4)))</formula>
    </cfRule>
    <cfRule type="containsText" dxfId="854" priority="258" operator="containsText" text="Amostra 1">
      <formula>NOT(ISERROR(SEARCH("Amostra 1",K4)))</formula>
    </cfRule>
  </conditionalFormatting>
  <conditionalFormatting sqref="M4">
    <cfRule type="containsText" dxfId="853" priority="208" operator="containsText" text="Agua">
      <formula>NOT(ISERROR(SEARCH("Agua",M4)))</formula>
    </cfRule>
    <cfRule type="containsText" dxfId="852" priority="209" operator="containsText" text="WT">
      <formula>NOT(ISERROR(SEARCH("WT",M4)))</formula>
    </cfRule>
    <cfRule type="containsText" dxfId="851" priority="210" operator="containsText" text="pos">
      <formula>NOT(ISERROR(SEARCH("pos",M4)))</formula>
    </cfRule>
    <cfRule type="containsText" dxfId="850" priority="211" operator="containsText" text="Amostra 22">
      <formula>NOT(ISERROR(SEARCH("Amostra 22",M4)))</formula>
    </cfRule>
    <cfRule type="containsText" dxfId="849" priority="212" operator="containsText" text="Amostra 21">
      <formula>NOT(ISERROR(SEARCH("Amostra 21",M4)))</formula>
    </cfRule>
    <cfRule type="containsText" dxfId="848" priority="213" operator="containsText" text="Amostra 20">
      <formula>NOT(ISERROR(SEARCH("Amostra 20",M4)))</formula>
    </cfRule>
    <cfRule type="containsText" dxfId="847" priority="214" operator="containsText" text="Amostra 19">
      <formula>NOT(ISERROR(SEARCH("Amostra 19",M4)))</formula>
    </cfRule>
    <cfRule type="containsText" dxfId="846" priority="215" operator="containsText" text="Amostra 18">
      <formula>NOT(ISERROR(SEARCH("Amostra 18",M4)))</formula>
    </cfRule>
    <cfRule type="containsText" dxfId="845" priority="216" operator="containsText" text="Amostra 17">
      <formula>NOT(ISERROR(SEARCH("Amostra 17",M4)))</formula>
    </cfRule>
    <cfRule type="containsText" dxfId="844" priority="217" operator="containsText" text="Amostra 16">
      <formula>NOT(ISERROR(SEARCH("Amostra 16",M4)))</formula>
    </cfRule>
    <cfRule type="containsText" dxfId="843" priority="218" operator="containsText" text="Amostra 15">
      <formula>NOT(ISERROR(SEARCH("Amostra 15",M4)))</formula>
    </cfRule>
    <cfRule type="containsText" dxfId="842" priority="219" operator="containsText" text="Amostra 14">
      <formula>NOT(ISERROR(SEARCH("Amostra 14",M4)))</formula>
    </cfRule>
    <cfRule type="containsText" dxfId="841" priority="220" operator="containsText" text="Amostra 13">
      <formula>NOT(ISERROR(SEARCH("Amostra 13",M4)))</formula>
    </cfRule>
    <cfRule type="containsText" dxfId="840" priority="221" operator="containsText" text="Amostra 12">
      <formula>NOT(ISERROR(SEARCH("Amostra 12",M4)))</formula>
    </cfRule>
    <cfRule type="containsText" dxfId="839" priority="222" operator="containsText" text="Amostra 11">
      <formula>NOT(ISERROR(SEARCH("Amostra 11",M4)))</formula>
    </cfRule>
    <cfRule type="containsText" dxfId="838" priority="223" operator="containsText" text="Amostra 10">
      <formula>NOT(ISERROR(SEARCH("Amostra 10",M4)))</formula>
    </cfRule>
    <cfRule type="containsText" dxfId="837" priority="224" operator="containsText" text="Amostra 9">
      <formula>NOT(ISERROR(SEARCH("Amostra 9",M4)))</formula>
    </cfRule>
    <cfRule type="containsText" dxfId="836" priority="225" operator="containsText" text="Amostra 8">
      <formula>NOT(ISERROR(SEARCH("Amostra 8",M4)))</formula>
    </cfRule>
    <cfRule type="containsText" dxfId="835" priority="226" operator="containsText" text="Amostra 7">
      <formula>NOT(ISERROR(SEARCH("Amostra 7",M4)))</formula>
    </cfRule>
    <cfRule type="containsText" dxfId="834" priority="227" operator="containsText" text="Amostra 6">
      <formula>NOT(ISERROR(SEARCH("Amostra 6",M4)))</formula>
    </cfRule>
    <cfRule type="containsText" dxfId="833" priority="228" operator="containsText" text="Amostra 5">
      <formula>NOT(ISERROR(SEARCH("Amostra 5",M4)))</formula>
    </cfRule>
    <cfRule type="containsText" dxfId="832" priority="229" operator="containsText" text="Amostra 4">
      <formula>NOT(ISERROR(SEARCH("Amostra 4",M4)))</formula>
    </cfRule>
    <cfRule type="containsText" dxfId="831" priority="230" operator="containsText" text="Amostra 3">
      <formula>NOT(ISERROR(SEARCH("Amostra 3",M4)))</formula>
    </cfRule>
    <cfRule type="containsText" dxfId="830" priority="231" operator="containsText" text="Amostra 2">
      <formula>NOT(ISERROR(SEARCH("Amostra 2",M4)))</formula>
    </cfRule>
    <cfRule type="containsText" dxfId="829" priority="232" operator="containsText" text="Amostra 1">
      <formula>NOT(ISERROR(SEARCH("Amostra 1",M4)))</formula>
    </cfRule>
  </conditionalFormatting>
  <conditionalFormatting sqref="K5">
    <cfRule type="containsText" dxfId="828" priority="182" operator="containsText" text="Agua">
      <formula>NOT(ISERROR(SEARCH("Agua",K5)))</formula>
    </cfRule>
    <cfRule type="containsText" dxfId="827" priority="183" operator="containsText" text="WT">
      <formula>NOT(ISERROR(SEARCH("WT",K5)))</formula>
    </cfRule>
    <cfRule type="containsText" dxfId="826" priority="184" operator="containsText" text="pos">
      <formula>NOT(ISERROR(SEARCH("pos",K5)))</formula>
    </cfRule>
    <cfRule type="containsText" dxfId="825" priority="185" operator="containsText" text="Amostra 22">
      <formula>NOT(ISERROR(SEARCH("Amostra 22",K5)))</formula>
    </cfRule>
    <cfRule type="containsText" dxfId="824" priority="186" operator="containsText" text="Amostra 21">
      <formula>NOT(ISERROR(SEARCH("Amostra 21",K5)))</formula>
    </cfRule>
    <cfRule type="containsText" dxfId="823" priority="187" operator="containsText" text="Amostra 20">
      <formula>NOT(ISERROR(SEARCH("Amostra 20",K5)))</formula>
    </cfRule>
    <cfRule type="containsText" dxfId="822" priority="188" operator="containsText" text="Amostra 19">
      <formula>NOT(ISERROR(SEARCH("Amostra 19",K5)))</formula>
    </cfRule>
    <cfRule type="containsText" dxfId="821" priority="189" operator="containsText" text="Amostra 18">
      <formula>NOT(ISERROR(SEARCH("Amostra 18",K5)))</formula>
    </cfRule>
    <cfRule type="containsText" dxfId="820" priority="190" operator="containsText" text="Amostra 17">
      <formula>NOT(ISERROR(SEARCH("Amostra 17",K5)))</formula>
    </cfRule>
    <cfRule type="containsText" dxfId="819" priority="191" operator="containsText" text="Amostra 16">
      <formula>NOT(ISERROR(SEARCH("Amostra 16",K5)))</formula>
    </cfRule>
    <cfRule type="containsText" dxfId="818" priority="192" operator="containsText" text="Amostra 15">
      <formula>NOT(ISERROR(SEARCH("Amostra 15",K5)))</formula>
    </cfRule>
    <cfRule type="containsText" dxfId="817" priority="193" operator="containsText" text="Amostra 14">
      <formula>NOT(ISERROR(SEARCH("Amostra 14",K5)))</formula>
    </cfRule>
    <cfRule type="containsText" dxfId="816" priority="194" operator="containsText" text="Amostra 13">
      <formula>NOT(ISERROR(SEARCH("Amostra 13",K5)))</formula>
    </cfRule>
    <cfRule type="containsText" dxfId="815" priority="195" operator="containsText" text="Amostra 12">
      <formula>NOT(ISERROR(SEARCH("Amostra 12",K5)))</formula>
    </cfRule>
    <cfRule type="containsText" dxfId="814" priority="196" operator="containsText" text="Amostra 11">
      <formula>NOT(ISERROR(SEARCH("Amostra 11",K5)))</formula>
    </cfRule>
    <cfRule type="containsText" dxfId="813" priority="197" operator="containsText" text="Amostra 10">
      <formula>NOT(ISERROR(SEARCH("Amostra 10",K5)))</formula>
    </cfRule>
    <cfRule type="containsText" dxfId="812" priority="198" operator="containsText" text="Amostra 9">
      <formula>NOT(ISERROR(SEARCH("Amostra 9",K5)))</formula>
    </cfRule>
    <cfRule type="containsText" dxfId="811" priority="199" operator="containsText" text="Amostra 8">
      <formula>NOT(ISERROR(SEARCH("Amostra 8",K5)))</formula>
    </cfRule>
    <cfRule type="containsText" dxfId="810" priority="200" operator="containsText" text="Amostra 7">
      <formula>NOT(ISERROR(SEARCH("Amostra 7",K5)))</formula>
    </cfRule>
    <cfRule type="containsText" dxfId="809" priority="201" operator="containsText" text="Amostra 6">
      <formula>NOT(ISERROR(SEARCH("Amostra 6",K5)))</formula>
    </cfRule>
    <cfRule type="containsText" dxfId="808" priority="202" operator="containsText" text="Amostra 5">
      <formula>NOT(ISERROR(SEARCH("Amostra 5",K5)))</formula>
    </cfRule>
    <cfRule type="containsText" dxfId="807" priority="203" operator="containsText" text="Amostra 4">
      <formula>NOT(ISERROR(SEARCH("Amostra 4",K5)))</formula>
    </cfRule>
    <cfRule type="containsText" dxfId="806" priority="204" operator="containsText" text="Amostra 3">
      <formula>NOT(ISERROR(SEARCH("Amostra 3",K5)))</formula>
    </cfRule>
    <cfRule type="containsText" dxfId="805" priority="205" operator="containsText" text="Amostra 2">
      <formula>NOT(ISERROR(SEARCH("Amostra 2",K5)))</formula>
    </cfRule>
    <cfRule type="containsText" dxfId="804" priority="206" operator="containsText" text="Amostra 1">
      <formula>NOT(ISERROR(SEARCH("Amostra 1",K5)))</formula>
    </cfRule>
  </conditionalFormatting>
  <conditionalFormatting sqref="L5">
    <cfRule type="containsText" dxfId="803" priority="156" operator="containsText" text="Agua">
      <formula>NOT(ISERROR(SEARCH("Agua",L5)))</formula>
    </cfRule>
    <cfRule type="containsText" dxfId="802" priority="157" operator="containsText" text="WT">
      <formula>NOT(ISERROR(SEARCH("WT",L5)))</formula>
    </cfRule>
    <cfRule type="containsText" dxfId="801" priority="158" operator="containsText" text="pos">
      <formula>NOT(ISERROR(SEARCH("pos",L5)))</formula>
    </cfRule>
    <cfRule type="containsText" dxfId="800" priority="159" operator="containsText" text="Amostra 22">
      <formula>NOT(ISERROR(SEARCH("Amostra 22",L5)))</formula>
    </cfRule>
    <cfRule type="containsText" dxfId="799" priority="160" operator="containsText" text="Amostra 21">
      <formula>NOT(ISERROR(SEARCH("Amostra 21",L5)))</formula>
    </cfRule>
    <cfRule type="containsText" dxfId="798" priority="161" operator="containsText" text="Amostra 20">
      <formula>NOT(ISERROR(SEARCH("Amostra 20",L5)))</formula>
    </cfRule>
    <cfRule type="containsText" dxfId="797" priority="162" operator="containsText" text="Amostra 19">
      <formula>NOT(ISERROR(SEARCH("Amostra 19",L5)))</formula>
    </cfRule>
    <cfRule type="containsText" dxfId="796" priority="163" operator="containsText" text="Amostra 18">
      <formula>NOT(ISERROR(SEARCH("Amostra 18",L5)))</formula>
    </cfRule>
    <cfRule type="containsText" dxfId="795" priority="164" operator="containsText" text="Amostra 17">
      <formula>NOT(ISERROR(SEARCH("Amostra 17",L5)))</formula>
    </cfRule>
    <cfRule type="containsText" dxfId="794" priority="165" operator="containsText" text="Amostra 16">
      <formula>NOT(ISERROR(SEARCH("Amostra 16",L5)))</formula>
    </cfRule>
    <cfRule type="containsText" dxfId="793" priority="166" operator="containsText" text="Amostra 15">
      <formula>NOT(ISERROR(SEARCH("Amostra 15",L5)))</formula>
    </cfRule>
    <cfRule type="containsText" dxfId="792" priority="167" operator="containsText" text="Amostra 14">
      <formula>NOT(ISERROR(SEARCH("Amostra 14",L5)))</formula>
    </cfRule>
    <cfRule type="containsText" dxfId="791" priority="168" operator="containsText" text="Amostra 13">
      <formula>NOT(ISERROR(SEARCH("Amostra 13",L5)))</formula>
    </cfRule>
    <cfRule type="containsText" dxfId="790" priority="169" operator="containsText" text="Amostra 12">
      <formula>NOT(ISERROR(SEARCH("Amostra 12",L5)))</formula>
    </cfRule>
    <cfRule type="containsText" dxfId="789" priority="170" operator="containsText" text="Amostra 11">
      <formula>NOT(ISERROR(SEARCH("Amostra 11",L5)))</formula>
    </cfRule>
    <cfRule type="containsText" dxfId="788" priority="171" operator="containsText" text="Amostra 10">
      <formula>NOT(ISERROR(SEARCH("Amostra 10",L5)))</formula>
    </cfRule>
    <cfRule type="containsText" dxfId="787" priority="172" operator="containsText" text="Amostra 9">
      <formula>NOT(ISERROR(SEARCH("Amostra 9",L5)))</formula>
    </cfRule>
    <cfRule type="containsText" dxfId="786" priority="173" operator="containsText" text="Amostra 8">
      <formula>NOT(ISERROR(SEARCH("Amostra 8",L5)))</formula>
    </cfRule>
    <cfRule type="containsText" dxfId="785" priority="174" operator="containsText" text="Amostra 7">
      <formula>NOT(ISERROR(SEARCH("Amostra 7",L5)))</formula>
    </cfRule>
    <cfRule type="containsText" dxfId="784" priority="175" operator="containsText" text="Amostra 6">
      <formula>NOT(ISERROR(SEARCH("Amostra 6",L5)))</formula>
    </cfRule>
    <cfRule type="containsText" dxfId="783" priority="176" operator="containsText" text="Amostra 5">
      <formula>NOT(ISERROR(SEARCH("Amostra 5",L5)))</formula>
    </cfRule>
    <cfRule type="containsText" dxfId="782" priority="177" operator="containsText" text="Amostra 4">
      <formula>NOT(ISERROR(SEARCH("Amostra 4",L5)))</formula>
    </cfRule>
    <cfRule type="containsText" dxfId="781" priority="178" operator="containsText" text="Amostra 3">
      <formula>NOT(ISERROR(SEARCH("Amostra 3",L5)))</formula>
    </cfRule>
    <cfRule type="containsText" dxfId="780" priority="179" operator="containsText" text="Amostra 2">
      <formula>NOT(ISERROR(SEARCH("Amostra 2",L5)))</formula>
    </cfRule>
    <cfRule type="containsText" dxfId="779" priority="180" operator="containsText" text="Amostra 1">
      <formula>NOT(ISERROR(SEARCH("Amostra 1",L5)))</formula>
    </cfRule>
  </conditionalFormatting>
  <conditionalFormatting sqref="F7:F17">
    <cfRule type="expression" dxfId="778" priority="154">
      <formula>ISNUMBER(FIND("Amostra",$C7))</formula>
    </cfRule>
  </conditionalFormatting>
  <conditionalFormatting sqref="L7:L17">
    <cfRule type="expression" dxfId="777" priority="153">
      <formula>ISNUMBER(FIND("Amostra",$I7))</formula>
    </cfRule>
  </conditionalFormatting>
  <conditionalFormatting sqref="D4:F4">
    <cfRule type="expression" dxfId="776" priority="152">
      <formula>ISNUMBER(FIND("ERRO",$D$4))</formula>
    </cfRule>
  </conditionalFormatting>
  <conditionalFormatting sqref="I31">
    <cfRule type="containsText" dxfId="775" priority="102" operator="containsText" text="Água">
      <formula>NOT(ISERROR(SEARCH("Água",I31)))</formula>
    </cfRule>
    <cfRule type="containsText" dxfId="774" priority="103" operator="containsText" text="WT">
      <formula>NOT(ISERROR(SEARCH("WT",I31)))</formula>
    </cfRule>
    <cfRule type="containsText" dxfId="773" priority="104" operator="containsText" text="pos">
      <formula>NOT(ISERROR(SEARCH("pos",I31)))</formula>
    </cfRule>
    <cfRule type="containsText" dxfId="772" priority="105" operator="containsText" text="Amostra 22">
      <formula>NOT(ISERROR(SEARCH("Amostra 22",I31)))</formula>
    </cfRule>
    <cfRule type="containsText" dxfId="771" priority="106" operator="containsText" text="Amostra 21">
      <formula>NOT(ISERROR(SEARCH("Amostra 21",I31)))</formula>
    </cfRule>
    <cfRule type="containsText" dxfId="770" priority="107" operator="containsText" text="Amostra 20">
      <formula>NOT(ISERROR(SEARCH("Amostra 20",I31)))</formula>
    </cfRule>
    <cfRule type="containsText" dxfId="769" priority="108" operator="containsText" text="Amostra 19">
      <formula>NOT(ISERROR(SEARCH("Amostra 19",I31)))</formula>
    </cfRule>
    <cfRule type="containsText" dxfId="768" priority="109" operator="containsText" text="Amostra 18">
      <formula>NOT(ISERROR(SEARCH("Amostra 18",I31)))</formula>
    </cfRule>
    <cfRule type="containsText" dxfId="767" priority="110" operator="containsText" text="Amostra 17">
      <formula>NOT(ISERROR(SEARCH("Amostra 17",I31)))</formula>
    </cfRule>
    <cfRule type="containsText" dxfId="766" priority="111" operator="containsText" text="Amostra 16">
      <formula>NOT(ISERROR(SEARCH("Amostra 16",I31)))</formula>
    </cfRule>
    <cfRule type="containsText" dxfId="765" priority="112" operator="containsText" text="Amostra 15">
      <formula>NOT(ISERROR(SEARCH("Amostra 15",I31)))</formula>
    </cfRule>
    <cfRule type="containsText" dxfId="764" priority="113" operator="containsText" text="Amostra 14">
      <formula>NOT(ISERROR(SEARCH("Amostra 14",I31)))</formula>
    </cfRule>
    <cfRule type="containsText" dxfId="763" priority="114" operator="containsText" text="Amostra 13">
      <formula>NOT(ISERROR(SEARCH("Amostra 13",I31)))</formula>
    </cfRule>
    <cfRule type="containsText" dxfId="762" priority="115" operator="containsText" text="Amostra 12">
      <formula>NOT(ISERROR(SEARCH("Amostra 12",I31)))</formula>
    </cfRule>
    <cfRule type="containsText" dxfId="761" priority="116" operator="containsText" text="Amostra 11">
      <formula>NOT(ISERROR(SEARCH("Amostra 11",I31)))</formula>
    </cfRule>
    <cfRule type="containsText" dxfId="760" priority="117" operator="containsText" text="Amostra 10">
      <formula>NOT(ISERROR(SEARCH("Amostra 10",I31)))</formula>
    </cfRule>
    <cfRule type="containsText" dxfId="759" priority="118" operator="containsText" text="Amostra 9">
      <formula>NOT(ISERROR(SEARCH("Amostra 9",I31)))</formula>
    </cfRule>
    <cfRule type="containsText" dxfId="758" priority="119" operator="containsText" text="Amostra 8">
      <formula>NOT(ISERROR(SEARCH("Amostra 8",I31)))</formula>
    </cfRule>
    <cfRule type="containsText" dxfId="757" priority="120" operator="containsText" text="Amostra 7">
      <formula>NOT(ISERROR(SEARCH("Amostra 7",I31)))</formula>
    </cfRule>
    <cfRule type="containsText" dxfId="756" priority="121" operator="containsText" text="Amostra 6">
      <formula>NOT(ISERROR(SEARCH("Amostra 6",I31)))</formula>
    </cfRule>
    <cfRule type="containsText" dxfId="755" priority="122" operator="containsText" text="Amostra 5">
      <formula>NOT(ISERROR(SEARCH("Amostra 5",I31)))</formula>
    </cfRule>
    <cfRule type="containsText" dxfId="754" priority="123" operator="containsText" text="Amostra 4">
      <formula>NOT(ISERROR(SEARCH("Amostra 4",I31)))</formula>
    </cfRule>
    <cfRule type="containsText" dxfId="753" priority="124" operator="containsText" text="Amostra 3">
      <formula>NOT(ISERROR(SEARCH("Amostra 3",I31)))</formula>
    </cfRule>
    <cfRule type="containsText" dxfId="752" priority="125" operator="containsText" text="Amostra 2">
      <formula>NOT(ISERROR(SEARCH("Amostra 2",I31)))</formula>
    </cfRule>
    <cfRule type="containsText" dxfId="751" priority="126" operator="containsText" text="Amostra 1">
      <formula>NOT(ISERROR(SEARCH("Amostra 1",I31)))</formula>
    </cfRule>
  </conditionalFormatting>
  <conditionalFormatting sqref="L2:L3">
    <cfRule type="containsText" dxfId="750" priority="77" operator="containsText" text="Água">
      <formula>NOT(ISERROR(SEARCH("Água",L2)))</formula>
    </cfRule>
    <cfRule type="containsText" dxfId="749" priority="78" operator="containsText" text="WT">
      <formula>NOT(ISERROR(SEARCH("WT",L2)))</formula>
    </cfRule>
    <cfRule type="containsText" dxfId="748" priority="79" operator="containsText" text="pos">
      <formula>NOT(ISERROR(SEARCH("pos",L2)))</formula>
    </cfRule>
    <cfRule type="containsText" dxfId="747" priority="80" operator="containsText" text="Amostra 22">
      <formula>NOT(ISERROR(SEARCH("Amostra 22",L2)))</formula>
    </cfRule>
    <cfRule type="containsText" dxfId="746" priority="81" operator="containsText" text="Amostra 21">
      <formula>NOT(ISERROR(SEARCH("Amostra 21",L2)))</formula>
    </cfRule>
    <cfRule type="containsText" dxfId="745" priority="82" operator="containsText" text="Amostra 20">
      <formula>NOT(ISERROR(SEARCH("Amostra 20",L2)))</formula>
    </cfRule>
    <cfRule type="containsText" dxfId="744" priority="83" operator="containsText" text="Amostra 19">
      <formula>NOT(ISERROR(SEARCH("Amostra 19",L2)))</formula>
    </cfRule>
    <cfRule type="containsText" dxfId="743" priority="84" operator="containsText" text="Amostra 18">
      <formula>NOT(ISERROR(SEARCH("Amostra 18",L2)))</formula>
    </cfRule>
    <cfRule type="containsText" dxfId="742" priority="85" operator="containsText" text="Amostra 17">
      <formula>NOT(ISERROR(SEARCH("Amostra 17",L2)))</formula>
    </cfRule>
    <cfRule type="containsText" dxfId="741" priority="86" operator="containsText" text="Amostra 16">
      <formula>NOT(ISERROR(SEARCH("Amostra 16",L2)))</formula>
    </cfRule>
    <cfRule type="containsText" dxfId="740" priority="87" operator="containsText" text="Amostra 15">
      <formula>NOT(ISERROR(SEARCH("Amostra 15",L2)))</formula>
    </cfRule>
    <cfRule type="containsText" dxfId="739" priority="88" operator="containsText" text="Amostra 14">
      <formula>NOT(ISERROR(SEARCH("Amostra 14",L2)))</formula>
    </cfRule>
    <cfRule type="containsText" dxfId="738" priority="89" operator="containsText" text="Amostra 13">
      <formula>NOT(ISERROR(SEARCH("Amostra 13",L2)))</formula>
    </cfRule>
    <cfRule type="containsText" dxfId="737" priority="90" operator="containsText" text="Amostra 12">
      <formula>NOT(ISERROR(SEARCH("Amostra 12",L2)))</formula>
    </cfRule>
    <cfRule type="containsText" dxfId="736" priority="91" operator="containsText" text="Amostra 11">
      <formula>NOT(ISERROR(SEARCH("Amostra 11",L2)))</formula>
    </cfRule>
    <cfRule type="containsText" dxfId="735" priority="92" operator="containsText" text="Amostra 10">
      <formula>NOT(ISERROR(SEARCH("Amostra 10",L2)))</formula>
    </cfRule>
    <cfRule type="containsText" dxfId="734" priority="93" operator="containsText" text="Amostra 9">
      <formula>NOT(ISERROR(SEARCH("Amostra 9",L2)))</formula>
    </cfRule>
    <cfRule type="containsText" dxfId="733" priority="94" operator="containsText" text="Amostra 8">
      <formula>NOT(ISERROR(SEARCH("Amostra 8",L2)))</formula>
    </cfRule>
    <cfRule type="containsText" dxfId="732" priority="95" operator="containsText" text="Amostra 7">
      <formula>NOT(ISERROR(SEARCH("Amostra 7",L2)))</formula>
    </cfRule>
    <cfRule type="containsText" dxfId="731" priority="96" operator="containsText" text="Amostra 6">
      <formula>NOT(ISERROR(SEARCH("Amostra 6",L2)))</formula>
    </cfRule>
    <cfRule type="containsText" dxfId="730" priority="97" operator="containsText" text="Amostra 5">
      <formula>NOT(ISERROR(SEARCH("Amostra 5",L2)))</formula>
    </cfRule>
    <cfRule type="containsText" dxfId="729" priority="98" operator="containsText" text="Amostra 4">
      <formula>NOT(ISERROR(SEARCH("Amostra 4",L2)))</formula>
    </cfRule>
    <cfRule type="containsText" dxfId="728" priority="99" operator="containsText" text="Amostra 3">
      <formula>NOT(ISERROR(SEARCH("Amostra 3",L2)))</formula>
    </cfRule>
    <cfRule type="containsText" dxfId="727" priority="100" operator="containsText" text="Amostra 2">
      <formula>NOT(ISERROR(SEARCH("Amostra 2",L2)))</formula>
    </cfRule>
    <cfRule type="containsText" dxfId="726" priority="101" operator="containsText" text="Amostra 1">
      <formula>NOT(ISERROR(SEARCH("Amostra 1",L2)))</formula>
    </cfRule>
  </conditionalFormatting>
  <conditionalFormatting sqref="L4">
    <cfRule type="containsText" dxfId="725" priority="52" operator="containsText" text="Água">
      <formula>NOT(ISERROR(SEARCH("Água",L4)))</formula>
    </cfRule>
    <cfRule type="containsText" dxfId="724" priority="53" operator="containsText" text="WT">
      <formula>NOT(ISERROR(SEARCH("WT",L4)))</formula>
    </cfRule>
    <cfRule type="containsText" dxfId="723" priority="54" operator="containsText" text="pos">
      <formula>NOT(ISERROR(SEARCH("pos",L4)))</formula>
    </cfRule>
    <cfRule type="containsText" dxfId="722" priority="55" operator="containsText" text="Amostra 22">
      <formula>NOT(ISERROR(SEARCH("Amostra 22",L4)))</formula>
    </cfRule>
    <cfRule type="containsText" dxfId="721" priority="56" operator="containsText" text="Amostra 21">
      <formula>NOT(ISERROR(SEARCH("Amostra 21",L4)))</formula>
    </cfRule>
    <cfRule type="containsText" dxfId="720" priority="57" operator="containsText" text="Amostra 20">
      <formula>NOT(ISERROR(SEARCH("Amostra 20",L4)))</formula>
    </cfRule>
    <cfRule type="containsText" dxfId="719" priority="58" operator="containsText" text="Amostra 19">
      <formula>NOT(ISERROR(SEARCH("Amostra 19",L4)))</formula>
    </cfRule>
    <cfRule type="containsText" dxfId="718" priority="59" operator="containsText" text="Amostra 18">
      <formula>NOT(ISERROR(SEARCH("Amostra 18",L4)))</formula>
    </cfRule>
    <cfRule type="containsText" dxfId="717" priority="60" operator="containsText" text="Amostra 17">
      <formula>NOT(ISERROR(SEARCH("Amostra 17",L4)))</formula>
    </cfRule>
    <cfRule type="containsText" dxfId="716" priority="61" operator="containsText" text="Amostra 16">
      <formula>NOT(ISERROR(SEARCH("Amostra 16",L4)))</formula>
    </cfRule>
    <cfRule type="containsText" dxfId="715" priority="62" operator="containsText" text="Amostra 15">
      <formula>NOT(ISERROR(SEARCH("Amostra 15",L4)))</formula>
    </cfRule>
    <cfRule type="containsText" dxfId="714" priority="63" operator="containsText" text="Amostra 14">
      <formula>NOT(ISERROR(SEARCH("Amostra 14",L4)))</formula>
    </cfRule>
    <cfRule type="containsText" dxfId="713" priority="64" operator="containsText" text="Amostra 13">
      <formula>NOT(ISERROR(SEARCH("Amostra 13",L4)))</formula>
    </cfRule>
    <cfRule type="containsText" dxfId="712" priority="65" operator="containsText" text="Amostra 12">
      <formula>NOT(ISERROR(SEARCH("Amostra 12",L4)))</formula>
    </cfRule>
    <cfRule type="containsText" dxfId="711" priority="66" operator="containsText" text="Amostra 11">
      <formula>NOT(ISERROR(SEARCH("Amostra 11",L4)))</formula>
    </cfRule>
    <cfRule type="containsText" dxfId="710" priority="67" operator="containsText" text="Amostra 10">
      <formula>NOT(ISERROR(SEARCH("Amostra 10",L4)))</formula>
    </cfRule>
    <cfRule type="containsText" dxfId="709" priority="68" operator="containsText" text="Amostra 9">
      <formula>NOT(ISERROR(SEARCH("Amostra 9",L4)))</formula>
    </cfRule>
    <cfRule type="containsText" dxfId="708" priority="69" operator="containsText" text="Amostra 8">
      <formula>NOT(ISERROR(SEARCH("Amostra 8",L4)))</formula>
    </cfRule>
    <cfRule type="containsText" dxfId="707" priority="70" operator="containsText" text="Amostra 7">
      <formula>NOT(ISERROR(SEARCH("Amostra 7",L4)))</formula>
    </cfRule>
    <cfRule type="containsText" dxfId="706" priority="71" operator="containsText" text="Amostra 6">
      <formula>NOT(ISERROR(SEARCH("Amostra 6",L4)))</formula>
    </cfRule>
    <cfRule type="containsText" dxfId="705" priority="72" operator="containsText" text="Amostra 5">
      <formula>NOT(ISERROR(SEARCH("Amostra 5",L4)))</formula>
    </cfRule>
    <cfRule type="containsText" dxfId="704" priority="73" operator="containsText" text="Amostra 4">
      <formula>NOT(ISERROR(SEARCH("Amostra 4",L4)))</formula>
    </cfRule>
    <cfRule type="containsText" dxfId="703" priority="74" operator="containsText" text="Amostra 3">
      <formula>NOT(ISERROR(SEARCH("Amostra 3",L4)))</formula>
    </cfRule>
    <cfRule type="containsText" dxfId="702" priority="75" operator="containsText" text="Amostra 2">
      <formula>NOT(ISERROR(SEARCH("Amostra 2",L4)))</formula>
    </cfRule>
    <cfRule type="containsText" dxfId="701" priority="76" operator="containsText" text="Amostra 1">
      <formula>NOT(ISERROR(SEARCH("Amostra 1",L4)))</formula>
    </cfRule>
  </conditionalFormatting>
  <conditionalFormatting sqref="L4">
    <cfRule type="containsText" dxfId="700" priority="27" operator="containsText" text="Agua">
      <formula>NOT(ISERROR(SEARCH("Agua",L4)))</formula>
    </cfRule>
    <cfRule type="containsText" dxfId="699" priority="28" operator="containsText" text="WT">
      <formula>NOT(ISERROR(SEARCH("WT",L4)))</formula>
    </cfRule>
    <cfRule type="containsText" dxfId="698" priority="29" operator="containsText" text="pos">
      <formula>NOT(ISERROR(SEARCH("pos",L4)))</formula>
    </cfRule>
    <cfRule type="containsText" dxfId="697" priority="30" operator="containsText" text="Amostra 22">
      <formula>NOT(ISERROR(SEARCH("Amostra 22",L4)))</formula>
    </cfRule>
    <cfRule type="containsText" dxfId="696" priority="31" operator="containsText" text="Amostra 21">
      <formula>NOT(ISERROR(SEARCH("Amostra 21",L4)))</formula>
    </cfRule>
    <cfRule type="containsText" dxfId="695" priority="32" operator="containsText" text="Amostra 20">
      <formula>NOT(ISERROR(SEARCH("Amostra 20",L4)))</formula>
    </cfRule>
    <cfRule type="containsText" dxfId="694" priority="33" operator="containsText" text="Amostra 19">
      <formula>NOT(ISERROR(SEARCH("Amostra 19",L4)))</formula>
    </cfRule>
    <cfRule type="containsText" dxfId="693" priority="34" operator="containsText" text="Amostra 18">
      <formula>NOT(ISERROR(SEARCH("Amostra 18",L4)))</formula>
    </cfRule>
    <cfRule type="containsText" dxfId="692" priority="35" operator="containsText" text="Amostra 17">
      <formula>NOT(ISERROR(SEARCH("Amostra 17",L4)))</formula>
    </cfRule>
    <cfRule type="containsText" dxfId="691" priority="36" operator="containsText" text="Amostra 16">
      <formula>NOT(ISERROR(SEARCH("Amostra 16",L4)))</formula>
    </cfRule>
    <cfRule type="containsText" dxfId="690" priority="37" operator="containsText" text="Amostra 15">
      <formula>NOT(ISERROR(SEARCH("Amostra 15",L4)))</formula>
    </cfRule>
    <cfRule type="containsText" dxfId="689" priority="38" operator="containsText" text="Amostra 14">
      <formula>NOT(ISERROR(SEARCH("Amostra 14",L4)))</formula>
    </cfRule>
    <cfRule type="containsText" dxfId="688" priority="39" operator="containsText" text="Amostra 13">
      <formula>NOT(ISERROR(SEARCH("Amostra 13",L4)))</formula>
    </cfRule>
    <cfRule type="containsText" dxfId="687" priority="40" operator="containsText" text="Amostra 12">
      <formula>NOT(ISERROR(SEARCH("Amostra 12",L4)))</formula>
    </cfRule>
    <cfRule type="containsText" dxfId="686" priority="41" operator="containsText" text="Amostra 11">
      <formula>NOT(ISERROR(SEARCH("Amostra 11",L4)))</formula>
    </cfRule>
    <cfRule type="containsText" dxfId="685" priority="42" operator="containsText" text="Amostra 10">
      <formula>NOT(ISERROR(SEARCH("Amostra 10",L4)))</formula>
    </cfRule>
    <cfRule type="containsText" dxfId="684" priority="43" operator="containsText" text="Amostra 9">
      <formula>NOT(ISERROR(SEARCH("Amostra 9",L4)))</formula>
    </cfRule>
    <cfRule type="containsText" dxfId="683" priority="44" operator="containsText" text="Amostra 8">
      <formula>NOT(ISERROR(SEARCH("Amostra 8",L4)))</formula>
    </cfRule>
    <cfRule type="containsText" dxfId="682" priority="45" operator="containsText" text="Amostra 7">
      <formula>NOT(ISERROR(SEARCH("Amostra 7",L4)))</formula>
    </cfRule>
    <cfRule type="containsText" dxfId="681" priority="46" operator="containsText" text="Amostra 6">
      <formula>NOT(ISERROR(SEARCH("Amostra 6",L4)))</formula>
    </cfRule>
    <cfRule type="containsText" dxfId="680" priority="47" operator="containsText" text="Amostra 5">
      <formula>NOT(ISERROR(SEARCH("Amostra 5",L4)))</formula>
    </cfRule>
    <cfRule type="containsText" dxfId="679" priority="48" operator="containsText" text="Amostra 4">
      <formula>NOT(ISERROR(SEARCH("Amostra 4",L4)))</formula>
    </cfRule>
    <cfRule type="containsText" dxfId="678" priority="49" operator="containsText" text="Amostra 3">
      <formula>NOT(ISERROR(SEARCH("Amostra 3",L4)))</formula>
    </cfRule>
    <cfRule type="containsText" dxfId="677" priority="50" operator="containsText" text="Amostra 2">
      <formula>NOT(ISERROR(SEARCH("Amostra 2",L4)))</formula>
    </cfRule>
    <cfRule type="containsText" dxfId="676" priority="51" operator="containsText" text="Amostra 1">
      <formula>NOT(ISERROR(SEARCH("Amostra 1",L4)))</formula>
    </cfRule>
  </conditionalFormatting>
  <conditionalFormatting sqref="I29">
    <cfRule type="containsText" dxfId="675" priority="1" operator="containsText" text="Água">
      <formula>NOT(ISERROR(SEARCH("Água",I29)))</formula>
    </cfRule>
    <cfRule type="containsText" dxfId="674" priority="2" operator="containsText" text="WT">
      <formula>NOT(ISERROR(SEARCH("WT",I29)))</formula>
    </cfRule>
    <cfRule type="containsText" dxfId="673" priority="3" operator="containsText" text="pos">
      <formula>NOT(ISERROR(SEARCH("pos",I29)))</formula>
    </cfRule>
    <cfRule type="containsText" dxfId="672" priority="4" operator="containsText" text="Amostra 22">
      <formula>NOT(ISERROR(SEARCH("Amostra 22",I29)))</formula>
    </cfRule>
    <cfRule type="containsText" dxfId="671" priority="5" operator="containsText" text="Amostra 21">
      <formula>NOT(ISERROR(SEARCH("Amostra 21",I29)))</formula>
    </cfRule>
    <cfRule type="containsText" dxfId="670" priority="6" operator="containsText" text="Amostra 20">
      <formula>NOT(ISERROR(SEARCH("Amostra 20",I29)))</formula>
    </cfRule>
    <cfRule type="containsText" dxfId="669" priority="7" operator="containsText" text="Amostra 19">
      <formula>NOT(ISERROR(SEARCH("Amostra 19",I29)))</formula>
    </cfRule>
    <cfRule type="containsText" dxfId="668" priority="8" operator="containsText" text="Amostra 18">
      <formula>NOT(ISERROR(SEARCH("Amostra 18",I29)))</formula>
    </cfRule>
    <cfRule type="containsText" dxfId="667" priority="9" operator="containsText" text="Amostra 17">
      <formula>NOT(ISERROR(SEARCH("Amostra 17",I29)))</formula>
    </cfRule>
    <cfRule type="containsText" dxfId="666" priority="10" operator="containsText" text="Amostra 16">
      <formula>NOT(ISERROR(SEARCH("Amostra 16",I29)))</formula>
    </cfRule>
    <cfRule type="containsText" dxfId="665" priority="11" operator="containsText" text="Amostra 15">
      <formula>NOT(ISERROR(SEARCH("Amostra 15",I29)))</formula>
    </cfRule>
    <cfRule type="containsText" dxfId="664" priority="12" operator="containsText" text="Amostra 14">
      <formula>NOT(ISERROR(SEARCH("Amostra 14",I29)))</formula>
    </cfRule>
    <cfRule type="containsText" dxfId="663" priority="13" operator="containsText" text="Amostra 13">
      <formula>NOT(ISERROR(SEARCH("Amostra 13",I29)))</formula>
    </cfRule>
    <cfRule type="containsText" dxfId="662" priority="14" operator="containsText" text="Amostra 12">
      <formula>NOT(ISERROR(SEARCH("Amostra 12",I29)))</formula>
    </cfRule>
    <cfRule type="containsText" dxfId="661" priority="15" operator="containsText" text="Amostra 11">
      <formula>NOT(ISERROR(SEARCH("Amostra 11",I29)))</formula>
    </cfRule>
    <cfRule type="containsText" dxfId="660" priority="16" operator="containsText" text="Amostra 10">
      <formula>NOT(ISERROR(SEARCH("Amostra 10",I29)))</formula>
    </cfRule>
    <cfRule type="containsText" dxfId="659" priority="17" operator="containsText" text="Amostra 9">
      <formula>NOT(ISERROR(SEARCH("Amostra 9",I29)))</formula>
    </cfRule>
    <cfRule type="containsText" dxfId="658" priority="18" operator="containsText" text="Amostra 8">
      <formula>NOT(ISERROR(SEARCH("Amostra 8",I29)))</formula>
    </cfRule>
    <cfRule type="containsText" dxfId="657" priority="19" operator="containsText" text="Amostra 7">
      <formula>NOT(ISERROR(SEARCH("Amostra 7",I29)))</formula>
    </cfRule>
    <cfRule type="containsText" dxfId="656" priority="20" operator="containsText" text="Amostra 6">
      <formula>NOT(ISERROR(SEARCH("Amostra 6",I29)))</formula>
    </cfRule>
    <cfRule type="containsText" dxfId="655" priority="21" operator="containsText" text="Amostra 5">
      <formula>NOT(ISERROR(SEARCH("Amostra 5",I29)))</formula>
    </cfRule>
    <cfRule type="containsText" dxfId="654" priority="22" operator="containsText" text="Amostra 4">
      <formula>NOT(ISERROR(SEARCH("Amostra 4",I29)))</formula>
    </cfRule>
    <cfRule type="containsText" dxfId="653" priority="23" operator="containsText" text="Amostra 3">
      <formula>NOT(ISERROR(SEARCH("Amostra 3",I29)))</formula>
    </cfRule>
    <cfRule type="containsText" dxfId="652" priority="24" operator="containsText" text="Amostra 2">
      <formula>NOT(ISERROR(SEARCH("Amostra 2",I29)))</formula>
    </cfRule>
    <cfRule type="containsText" dxfId="651" priority="25" operator="containsText" text="Amostra 1">
      <formula>NOT(ISERROR(SEARCH("Amostra 1",I29)))</formula>
    </cfRule>
  </conditionalFormatting>
  <dataValidations count="1">
    <dataValidation type="whole" allowBlank="1" showInputMessage="1" showErrorMessage="1" sqref="C4" xr:uid="{5ABA6311-C5D9-4BC4-B0BA-6E49771FA707}">
      <formula1>1</formula1>
      <formula2>22</formula2>
    </dataValidation>
  </dataValidations>
  <pageMargins left="0.25" right="0.25" top="0.75" bottom="0.75" header="0.3" footer="0.3"/>
  <pageSetup paperSize="9" scale="60" orientation="landscape" r:id="rId1"/>
  <headerFooter>
    <oddHeader xml:space="preserve">&amp;L&amp;G&amp;RFQX.AA.BB – Formulário diluição de amostras RT-PCR – Revisão 00           </oddHead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0" operator="containsText" id="{85395892-B93A-4A37-A050-3E2B7C42CD9B}">
            <xm:f>NOT(ISERROR(SEARCH("-",C20)))</xm:f>
            <xm:f>"-"</xm:f>
            <x14:dxf>
              <fill>
                <patternFill>
                  <bgColor rgb="FFFFC000"/>
                </patternFill>
              </fill>
            </x14:dxf>
          </x14:cfRule>
          <xm:sqref>C20:N27</xm:sqref>
        </x14:conditionalFormatting>
        <x14:conditionalFormatting xmlns:xm="http://schemas.microsoft.com/office/excel/2006/main">
          <x14:cfRule type="containsText" priority="233" operator="containsText" id="{D627E10E-0802-484E-B9CA-3A60C367ACBB}">
            <xm:f>NOT(ISERROR(SEARCH("-",K4)))</xm:f>
            <xm:f>"-"</xm:f>
            <x14:dxf>
              <fill>
                <patternFill>
                  <bgColor rgb="FFFFC000"/>
                </patternFill>
              </fill>
            </x14:dxf>
          </x14:cfRule>
          <xm:sqref>K4</xm:sqref>
        </x14:conditionalFormatting>
        <x14:conditionalFormatting xmlns:xm="http://schemas.microsoft.com/office/excel/2006/main">
          <x14:cfRule type="containsText" priority="207" operator="containsText" id="{14FAEA97-3DB5-4DD7-8F6B-F7137A1ABA49}">
            <xm:f>NOT(ISERROR(SEARCH("-",M4)))</xm:f>
            <xm:f>"-"</xm:f>
            <x14:dxf>
              <fill>
                <patternFill>
                  <bgColor rgb="FFFFC000"/>
                </patternFill>
              </fill>
            </x14:dxf>
          </x14:cfRule>
          <xm:sqref>M4</xm:sqref>
        </x14:conditionalFormatting>
        <x14:conditionalFormatting xmlns:xm="http://schemas.microsoft.com/office/excel/2006/main">
          <x14:cfRule type="containsText" priority="181" operator="containsText" id="{24059658-9487-4EE3-BFB3-B5AA801F2F3F}">
            <xm:f>NOT(ISERROR(SEARCH("-",K5)))</xm:f>
            <xm:f>"-"</xm:f>
            <x14:dxf>
              <fill>
                <patternFill>
                  <bgColor rgb="FFFFC00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55" operator="containsText" id="{EC67A0B7-90C0-4F33-B02D-C16A5B3083FB}">
            <xm:f>NOT(ISERROR(SEARCH("-",L5)))</xm:f>
            <xm:f>"-"</xm:f>
            <x14:dxf>
              <fill>
                <patternFill>
                  <bgColor rgb="FFFFC000"/>
                </patternFill>
              </fill>
            </x14:dxf>
          </x14:cfRule>
          <xm:sqref>L5</xm:sqref>
        </x14:conditionalFormatting>
        <x14:conditionalFormatting xmlns:xm="http://schemas.microsoft.com/office/excel/2006/main">
          <x14:cfRule type="containsText" priority="26" operator="containsText" id="{645B9BA2-29C8-4DF8-B0E5-BD231E193C8E}">
            <xm:f>NOT(ISERROR(SEARCH("-",L4)))</xm:f>
            <xm:f>"-"</xm:f>
            <x14:dxf>
              <fill>
                <patternFill>
                  <bgColor rgb="FFFFC000"/>
                </patternFill>
              </fill>
            </x14:dxf>
          </x14:cfRule>
          <xm:sqref>L4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F2B770-0BE4-44DE-90F6-38D234299978}">
          <x14:formula1>
            <xm:f>'Calculos pré definidos'!$A$2:$A$10</xm:f>
          </x14:formula1>
          <xm:sqref>C2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9926-4C02-4A64-AD85-1683420B85E1}">
  <sheetPr codeName="Planilha38"/>
  <dimension ref="B1:N35"/>
  <sheetViews>
    <sheetView view="pageBreakPreview" zoomScaleNormal="40" zoomScaleSheetLayoutView="100" zoomScalePageLayoutView="70" workbookViewId="0">
      <selection activeCell="K7" sqref="K7"/>
    </sheetView>
  </sheetViews>
  <sheetFormatPr defaultColWidth="9.140625" defaultRowHeight="15" x14ac:dyDescent="0.25"/>
  <cols>
    <col min="1" max="1" width="18.140625" style="2" customWidth="1"/>
    <col min="2" max="2" width="10.85546875" style="24" customWidth="1"/>
    <col min="3" max="3" width="15.7109375" style="2" customWidth="1"/>
    <col min="4" max="15" width="15.140625" style="2" customWidth="1"/>
    <col min="16" max="16" width="9.28515625" style="2" customWidth="1"/>
    <col min="17" max="16384" width="9.140625" style="2"/>
  </cols>
  <sheetData>
    <row r="1" spans="2:14" ht="36" customHeight="1" x14ac:dyDescent="0.25">
      <c r="B1" s="35" t="str">
        <f>"Tabela de diluição de amostras para RT-PCR para "&amp;C2</f>
        <v>Tabela de diluição de amostras para RT-PCR para RT022 BRAF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2:14" ht="15.75" x14ac:dyDescent="0.25">
      <c r="B2" s="34" t="s">
        <v>25</v>
      </c>
      <c r="C2" s="14" t="s">
        <v>9</v>
      </c>
      <c r="D2" s="15"/>
      <c r="F2" s="34" t="s">
        <v>55</v>
      </c>
      <c r="G2" s="14" t="s">
        <v>95</v>
      </c>
      <c r="H2" s="15"/>
      <c r="K2" s="6" t="s">
        <v>45</v>
      </c>
      <c r="L2" s="9">
        <v>25</v>
      </c>
      <c r="M2" s="2" t="s">
        <v>47</v>
      </c>
    </row>
    <row r="3" spans="2:14" x14ac:dyDescent="0.25">
      <c r="K3" s="6" t="s">
        <v>51</v>
      </c>
      <c r="L3" s="9">
        <v>120</v>
      </c>
      <c r="M3" s="2" t="s">
        <v>47</v>
      </c>
    </row>
    <row r="4" spans="2:14" x14ac:dyDescent="0.25">
      <c r="B4" s="10" t="s">
        <v>43</v>
      </c>
      <c r="C4" s="16">
        <v>1</v>
      </c>
      <c r="D4" s="2" t="str">
        <f>IF(C4&gt;VLOOKUP($C$2,'Calculos pré definidos'!A1:I10,9),"ERRO! Muitas amostras. Reduza a quantidade.","")</f>
        <v/>
      </c>
      <c r="K4" s="6" t="s">
        <v>46</v>
      </c>
      <c r="L4" s="9">
        <v>25</v>
      </c>
      <c r="M4" s="2" t="s">
        <v>48</v>
      </c>
    </row>
    <row r="5" spans="2:14" x14ac:dyDescent="0.25">
      <c r="K5" s="6" t="s">
        <v>49</v>
      </c>
      <c r="L5" s="9">
        <f>L3/L2*L4/L3</f>
        <v>1</v>
      </c>
      <c r="M5" s="2" t="s">
        <v>50</v>
      </c>
    </row>
    <row r="6" spans="2:14" ht="30" x14ac:dyDescent="0.25">
      <c r="D6" s="7" t="str">
        <f>IF(C4&gt;=1,"Concentração Inicial (C1)","")</f>
        <v>Concentração Inicial (C1)</v>
      </c>
      <c r="E6" s="7" t="str">
        <f>IF(C4&gt;=1,"Volume inicial DNA/RNA (V1)","")</f>
        <v>Volume inicial DNA/RNA (V1)</v>
      </c>
      <c r="F6" s="7" t="str">
        <f>IF(C4&gt;=1,"H20 (V2-V1)","")</f>
        <v>H20 (V2-V1)</v>
      </c>
      <c r="G6" s="7" t="str">
        <f>IF(C4&gt;=1,"ID da Amostra","")</f>
        <v>ID da Amostra</v>
      </c>
      <c r="J6" s="7" t="str">
        <f>IF(C4&gt;=12,"Concentração Inicial (C1)","")</f>
        <v/>
      </c>
      <c r="K6" s="7" t="str">
        <f>IF(C4&gt;=12,"Volume inicial DNA/RNA (V1)","")</f>
        <v/>
      </c>
      <c r="L6" s="7" t="str">
        <f>IF(C4&gt;=12,"H20 (V2-V1)","")</f>
        <v/>
      </c>
      <c r="M6" s="7" t="str">
        <f>IF(C4&gt;=12,"ID da Amostra","")</f>
        <v/>
      </c>
    </row>
    <row r="7" spans="2:14" x14ac:dyDescent="0.25">
      <c r="B7" s="10" t="s">
        <v>44</v>
      </c>
      <c r="C7" s="2" t="str">
        <f t="shared" ref="C7:C17" si="0">IF(ROW(B4)-3&lt;=$C$4,"Amostra "&amp;ROW(B4)-3,"")</f>
        <v>Amostra 1</v>
      </c>
      <c r="D7" s="17">
        <v>503.6</v>
      </c>
      <c r="E7" s="17">
        <v>1</v>
      </c>
      <c r="F7" s="2">
        <f t="shared" ref="F7" si="1">IF(ISBLANK(D7),"",IF((D7/$L$5*E7)&lt;$L$3,"Aumente o V1",(D7/$L$5*E7)-E7))</f>
        <v>502.6</v>
      </c>
      <c r="G7" s="17" t="s">
        <v>91</v>
      </c>
      <c r="I7" s="2" t="str">
        <f t="shared" ref="I7:I17" si="2">IF(ROW(B4)+8&lt;=$C$4,"Amostra "&amp;ROW(B4)+8,"")</f>
        <v/>
      </c>
      <c r="J7" s="17"/>
      <c r="K7" s="17"/>
      <c r="L7" s="2" t="str">
        <f t="shared" ref="L7:L17" si="3">IF(ISBLANK(J7),"",IF((J7/$L$5*K7)&lt;$L$3,"Aumente o V1",(J7/$L$5*K7)-K7))</f>
        <v/>
      </c>
      <c r="M7" s="17"/>
    </row>
    <row r="8" spans="2:14" x14ac:dyDescent="0.25">
      <c r="C8" s="2" t="str">
        <f t="shared" si="0"/>
        <v/>
      </c>
      <c r="D8" s="17"/>
      <c r="E8" s="17"/>
      <c r="F8" s="2" t="str">
        <f t="shared" ref="F8:F11" si="4">IF(ISBLANK(D8),"",IF((D8/$L$5*E8)&lt;$L$3,"Aumente o V1",(D8/$L$5*E8)-E8))</f>
        <v/>
      </c>
      <c r="G8" s="17"/>
      <c r="I8" s="2" t="str">
        <f t="shared" si="2"/>
        <v/>
      </c>
      <c r="J8" s="17"/>
      <c r="K8" s="17"/>
      <c r="L8" s="2" t="str">
        <f t="shared" si="3"/>
        <v/>
      </c>
      <c r="M8" s="17"/>
    </row>
    <row r="9" spans="2:14" x14ac:dyDescent="0.25">
      <c r="C9" s="2" t="str">
        <f t="shared" si="0"/>
        <v/>
      </c>
      <c r="D9" s="17"/>
      <c r="E9" s="17"/>
      <c r="F9" s="2" t="str">
        <f t="shared" si="4"/>
        <v/>
      </c>
      <c r="G9" s="17"/>
      <c r="I9" s="2" t="str">
        <f t="shared" si="2"/>
        <v/>
      </c>
      <c r="J9" s="17"/>
      <c r="K9" s="17"/>
      <c r="L9" s="2" t="str">
        <f t="shared" si="3"/>
        <v/>
      </c>
      <c r="M9" s="17"/>
    </row>
    <row r="10" spans="2:14" x14ac:dyDescent="0.25">
      <c r="C10" s="2" t="str">
        <f t="shared" si="0"/>
        <v/>
      </c>
      <c r="D10" s="17"/>
      <c r="E10" s="17"/>
      <c r="F10" s="2" t="str">
        <f t="shared" si="4"/>
        <v/>
      </c>
      <c r="G10" s="17"/>
      <c r="I10" s="2" t="str">
        <f t="shared" si="2"/>
        <v/>
      </c>
      <c r="J10" s="17"/>
      <c r="K10" s="17"/>
      <c r="L10" s="2" t="str">
        <f t="shared" si="3"/>
        <v/>
      </c>
      <c r="M10" s="17"/>
    </row>
    <row r="11" spans="2:14" x14ac:dyDescent="0.25">
      <c r="C11" s="2" t="str">
        <f t="shared" si="0"/>
        <v/>
      </c>
      <c r="D11" s="17"/>
      <c r="E11" s="17"/>
      <c r="F11" s="2" t="str">
        <f t="shared" si="4"/>
        <v/>
      </c>
      <c r="G11" s="17"/>
      <c r="I11" s="2" t="str">
        <f t="shared" si="2"/>
        <v/>
      </c>
      <c r="J11" s="17"/>
      <c r="K11" s="17"/>
      <c r="L11" s="2" t="str">
        <f t="shared" si="3"/>
        <v/>
      </c>
      <c r="M11" s="17"/>
    </row>
    <row r="12" spans="2:14" x14ac:dyDescent="0.25">
      <c r="C12" s="2" t="str">
        <f t="shared" si="0"/>
        <v/>
      </c>
      <c r="D12" s="17"/>
      <c r="E12" s="17"/>
      <c r="F12" s="2" t="str">
        <f>IF(ISBLANK(D12),"",IF((D12/$L$5*E12)&lt;$L$3,"Aumente o V1",(D12/$L$5*E12)-E12))</f>
        <v/>
      </c>
      <c r="G12" s="17"/>
      <c r="I12" s="2" t="str">
        <f t="shared" si="2"/>
        <v/>
      </c>
      <c r="J12" s="17"/>
      <c r="K12" s="17"/>
      <c r="L12" s="2" t="str">
        <f t="shared" si="3"/>
        <v/>
      </c>
      <c r="M12" s="17"/>
    </row>
    <row r="13" spans="2:14" x14ac:dyDescent="0.25">
      <c r="C13" s="2" t="str">
        <f t="shared" si="0"/>
        <v/>
      </c>
      <c r="D13" s="17"/>
      <c r="E13" s="17"/>
      <c r="F13" s="2" t="str">
        <f t="shared" ref="F13:F17" si="5">IF(ISBLANK(D13),"",IF((D13/$L$5*E13)&lt;$L$3,"Aumente o V1",(D13/$L$5*E13)-E13))</f>
        <v/>
      </c>
      <c r="G13" s="17"/>
      <c r="I13" s="2" t="str">
        <f t="shared" si="2"/>
        <v/>
      </c>
      <c r="J13" s="17"/>
      <c r="K13" s="17"/>
      <c r="L13" s="2" t="str">
        <f t="shared" si="3"/>
        <v/>
      </c>
      <c r="M13" s="17"/>
    </row>
    <row r="14" spans="2:14" x14ac:dyDescent="0.25">
      <c r="C14" s="2" t="str">
        <f t="shared" si="0"/>
        <v/>
      </c>
      <c r="D14" s="17"/>
      <c r="E14" s="17"/>
      <c r="F14" s="2" t="str">
        <f t="shared" si="5"/>
        <v/>
      </c>
      <c r="G14" s="17"/>
      <c r="I14" s="2" t="str">
        <f t="shared" si="2"/>
        <v/>
      </c>
      <c r="J14" s="17"/>
      <c r="K14" s="17"/>
      <c r="L14" s="2" t="str">
        <f t="shared" si="3"/>
        <v/>
      </c>
      <c r="M14" s="17"/>
    </row>
    <row r="15" spans="2:14" x14ac:dyDescent="0.25">
      <c r="C15" s="2" t="str">
        <f t="shared" si="0"/>
        <v/>
      </c>
      <c r="D15" s="17"/>
      <c r="E15" s="17"/>
      <c r="F15" s="2" t="str">
        <f t="shared" si="5"/>
        <v/>
      </c>
      <c r="G15" s="17"/>
      <c r="I15" s="2" t="str">
        <f t="shared" si="2"/>
        <v/>
      </c>
      <c r="J15" s="17"/>
      <c r="K15" s="17"/>
      <c r="L15" s="2" t="str">
        <f t="shared" si="3"/>
        <v/>
      </c>
      <c r="M15" s="17"/>
    </row>
    <row r="16" spans="2:14" x14ac:dyDescent="0.25">
      <c r="C16" s="2" t="str">
        <f t="shared" si="0"/>
        <v/>
      </c>
      <c r="D16" s="17"/>
      <c r="E16" s="17"/>
      <c r="F16" s="2" t="str">
        <f t="shared" si="5"/>
        <v/>
      </c>
      <c r="G16" s="17"/>
      <c r="I16" s="2" t="str">
        <f t="shared" si="2"/>
        <v/>
      </c>
      <c r="J16" s="17"/>
      <c r="K16" s="17"/>
      <c r="L16" s="2" t="str">
        <f t="shared" si="3"/>
        <v/>
      </c>
      <c r="M16" s="17"/>
    </row>
    <row r="17" spans="2:14" x14ac:dyDescent="0.25">
      <c r="C17" s="2" t="str">
        <f t="shared" si="0"/>
        <v/>
      </c>
      <c r="D17" s="17"/>
      <c r="E17" s="17"/>
      <c r="F17" s="2" t="str">
        <f t="shared" si="5"/>
        <v/>
      </c>
      <c r="G17" s="17"/>
      <c r="I17" s="2" t="str">
        <f t="shared" si="2"/>
        <v/>
      </c>
      <c r="J17" s="17"/>
      <c r="K17" s="17"/>
      <c r="L17" s="2" t="str">
        <f t="shared" si="3"/>
        <v/>
      </c>
      <c r="M17" s="17"/>
    </row>
    <row r="19" spans="2:14" x14ac:dyDescent="0.25">
      <c r="C19" s="11">
        <v>1</v>
      </c>
      <c r="D19" s="11">
        <v>2</v>
      </c>
      <c r="E19" s="11">
        <v>3</v>
      </c>
      <c r="F19" s="11">
        <v>4</v>
      </c>
      <c r="G19" s="11">
        <v>5</v>
      </c>
      <c r="H19" s="11">
        <v>6</v>
      </c>
      <c r="I19" s="11">
        <v>7</v>
      </c>
      <c r="J19" s="11">
        <v>8</v>
      </c>
      <c r="K19" s="11">
        <v>9</v>
      </c>
      <c r="L19" s="11">
        <v>10</v>
      </c>
      <c r="M19" s="11">
        <v>11</v>
      </c>
      <c r="N19" s="11">
        <v>12</v>
      </c>
    </row>
    <row r="20" spans="2:14" ht="26.25" x14ac:dyDescent="0.25">
      <c r="B20" s="12" t="s">
        <v>26</v>
      </c>
      <c r="C20" s="8" t="str" cm="1">
        <f t="array" aca="1" ref="C20" ca="1">IF(ISNUMBER(FIND("ctrl",INDIRECT("Sheet4!"&amp;"D"&amp;MATCH($C$2,Sheet4!$A:$A,0)+0))),
INDIRECT("Sheet4!"&amp;"D"&amp;MATCH($C$2,Sheet4!$A:$A,0)+0),IF(INDIRECT("Sheet4!"&amp;"D"&amp;MATCH($C$2,Sheet4!$A:$A,0)+0)="Água","Água",
IF(INDIRECT("Sheet4!"&amp;"D"&amp;MATCH($C$2,Sheet4!$A:$A,0)+0)="-","-",
IF(_xlfn.NUMBERVALUE(MID(INDIRECT("Sheet4!"&amp;"D"&amp;MATCH($C$2,Sheet4!$A:$A,0)+0),9,2))&lt;=$C$4,
_xlfn.IFNA(VLOOKUP(INDIRECT("Sheet4!"&amp;"D"&amp;MATCH($C$2,Sheet4!$A:$A,0)+0),$C$7:$H$17,1,FALSE)&amp;CHAR(10)&amp;VLOOKUP(INDIRECT("Sheet4!"&amp;"D"&amp;MATCH($C$2,Sheet4!$A:$A,0)+0),$C$7:$H$17,5,FALSE),
VLOOKUP(INDIRECT("Sheet4!"&amp;"D"&amp;MATCH($C$2,Sheet4!$A:$A,0)+0),$I$7:$N$17,1,FALSE)&amp;CHAR(10)&amp;VLOOKUP(INDIRECT("Sheet4!"&amp;"D"&amp;MATCH($C$2,Sheet4!$A:$A,0)+0),$I$7:$N$17,5,FALSE)),"-"))))</f>
        <v>Amostra 1
37S R.G.S.V</v>
      </c>
      <c r="D20" s="8" t="str" cm="1">
        <f t="array" aca="1" ref="D20" ca="1">IF(ISNUMBER(FIND("ctrl",INDIRECT("Sheet4!"&amp;"E"&amp;MATCH($C$2,Sheet4!$A:$A,0)+0))),
INDIRECT("Sheet4!"&amp;"E"&amp;MATCH($C$2,Sheet4!$A:$A,0)+0),IF(INDIRECT("Sheet4!"&amp;"E"&amp;MATCH($C$2,Sheet4!$A:$A,0)+0)="Água","Água",
IF(INDIRECT("Sheet4!"&amp;"E"&amp;MATCH($C$2,Sheet4!$A:$A,0)+0)="-","-",
IF(_xlfn.NUMBERVALUE(MID(INDIRECT("Sheet4!"&amp;"E"&amp;MATCH($C$2,Sheet4!$A:$A,0)+0),9,2))&lt;=$C$4,
_xlfn.IFNA(VLOOKUP(INDIRECT("Sheet4!"&amp;"E"&amp;MATCH($C$2,Sheet4!$A:$A,0)+0),$C$7:$H$17,1,FALSE)&amp;CHAR(10)&amp;VLOOKUP(INDIRECT("Sheet4!"&amp;"E"&amp;MATCH($C$2,Sheet4!$A:$A,0)+0),$C$7:$H$17,5,FALSE),
VLOOKUP(INDIRECT("Sheet4!"&amp;"E"&amp;MATCH($C$2,Sheet4!$A:$A,0)+0),$I$7:$N$17,1,FALSE)&amp;CHAR(10)&amp;VLOOKUP(INDIRECT("Sheet4!"&amp;"E"&amp;MATCH($C$2,Sheet4!$A:$A,0)+0),$I$7:$N$17,5,FALSE)),"-"))))</f>
        <v>-</v>
      </c>
      <c r="E20" s="8" t="str" cm="1">
        <f t="array" aca="1" ref="E20" ca="1">IF(ISNUMBER(FIND("ctrl",INDIRECT("Sheet4!"&amp;"F"&amp;MATCH($C$2,Sheet4!$A:$A,0)+0))),
INDIRECT("Sheet4!"&amp;"F"&amp;MATCH($C$2,Sheet4!$A:$A,0)+0),IF(INDIRECT("Sheet4!"&amp;"F"&amp;MATCH($C$2,Sheet4!$A:$A,0)+0)="Água","Água",
IF(INDIRECT("Sheet4!"&amp;"F"&amp;MATCH($C$2,Sheet4!$A:$A,0)+0)="-","-",
IF(_xlfn.NUMBERVALUE(MID(INDIRECT("Sheet4!"&amp;"F"&amp;MATCH($C$2,Sheet4!$A:$A,0)+0),9,2))&lt;=$C$4,
_xlfn.IFNA(VLOOKUP(INDIRECT("Sheet4!"&amp;"F"&amp;MATCH($C$2,Sheet4!$A:$A,0)+0),$C$7:$H$17,1,FALSE)&amp;CHAR(10)&amp;VLOOKUP(INDIRECT("Sheet4!"&amp;"F"&amp;MATCH($C$2,Sheet4!$A:$A,0)+0),$C$7:$H$17,5,FALSE),
VLOOKUP(INDIRECT("Sheet4!"&amp;"F"&amp;MATCH($C$2,Sheet4!$A:$A,0)+0),$I$7:$N$17,1,FALSE)&amp;CHAR(10)&amp;VLOOKUP(INDIRECT("Sheet4!"&amp;"F"&amp;MATCH($C$2,Sheet4!$A:$A,0)+0),$I$7:$N$17,5,FALSE)),"-"))))</f>
        <v>-</v>
      </c>
      <c r="F20" s="8" t="str" cm="1">
        <f t="array" aca="1" ref="F20" ca="1">IF(ISNUMBER(FIND("ctrl",INDIRECT("Sheet4!"&amp;"G"&amp;MATCH($C$2,Sheet4!$A:$A,0)+0))),
INDIRECT("Sheet4!"&amp;"G"&amp;MATCH($C$2,Sheet4!$A:$A,0)+0),IF(INDIRECT("Sheet4!"&amp;"G"&amp;MATCH($C$2,Sheet4!$A:$A,0)+0)="Água","Água",
IF(INDIRECT("Sheet4!"&amp;"G"&amp;MATCH($C$2,Sheet4!$A:$A,0)+0)="-","-",
IF(_xlfn.NUMBERVALUE(MID(INDIRECT("Sheet4!"&amp;"G"&amp;MATCH($C$2,Sheet4!$A:$A,0)+0),9,2))&lt;=$C$4,
_xlfn.IFNA(VLOOKUP(INDIRECT("Sheet4!"&amp;"G"&amp;MATCH($C$2,Sheet4!$A:$A,0)+0),$C$7:$H$17,1,FALSE)&amp;CHAR(10)&amp;VLOOKUP(INDIRECT("Sheet4!"&amp;"G"&amp;MATCH($C$2,Sheet4!$A:$A,0)+0),$C$7:$H$17,5,FALSE),
VLOOKUP(INDIRECT("Sheet4!"&amp;"G"&amp;MATCH($C$2,Sheet4!$A:$A,0)+0),$I$7:$N$17,1,FALSE)&amp;CHAR(10)&amp;VLOOKUP(INDIRECT("Sheet4!"&amp;"G"&amp;MATCH($C$2,Sheet4!$A:$A,0)+0),$I$7:$N$17,5,FALSE)),"-"))))</f>
        <v>-</v>
      </c>
      <c r="G20" s="8" t="str" cm="1">
        <f t="array" aca="1" ref="G20" ca="1">IF(ISNUMBER(FIND("ctrl",INDIRECT("Sheet4!"&amp;"H"&amp;MATCH($C$2,Sheet4!$A:$A,0)+0))),
INDIRECT("Sheet4!"&amp;"H"&amp;MATCH($C$2,Sheet4!$A:$A,0)+0),IF(INDIRECT("Sheet4!"&amp;"H"&amp;MATCH($C$2,Sheet4!$A:$A,0)+0)="Água","Água",
IF(INDIRECT("Sheet4!"&amp;"H"&amp;MATCH($C$2,Sheet4!$A:$A,0)+0)="-","-",
IF(_xlfn.NUMBERVALUE(MID(INDIRECT("Sheet4!"&amp;"H"&amp;MATCH($C$2,Sheet4!$A:$A,0)+0),9,2))&lt;=$C$4,
_xlfn.IFNA(VLOOKUP(INDIRECT("Sheet4!"&amp;"H"&amp;MATCH($C$2,Sheet4!$A:$A,0)+0),$C$7:$H$17,1,FALSE)&amp;CHAR(10)&amp;VLOOKUP(INDIRECT("Sheet4!"&amp;"H"&amp;MATCH($C$2,Sheet4!$A:$A,0)+0),$C$7:$H$17,5,FALSE),
VLOOKUP(INDIRECT("Sheet4!"&amp;"H"&amp;MATCH($C$2,Sheet4!$A:$A,0)+0),$I$7:$N$17,1,FALSE)&amp;CHAR(10)&amp;VLOOKUP(INDIRECT("Sheet4!"&amp;"H"&amp;MATCH($C$2,Sheet4!$A:$A,0)+0),$I$7:$N$17,5,FALSE)),"-"))))</f>
        <v>-</v>
      </c>
      <c r="H20" s="8" t="str" cm="1">
        <f t="array" aca="1" ref="H20" ca="1">IF(ISNUMBER(FIND("ctrl",INDIRECT("Sheet4!"&amp;"I"&amp;MATCH($C$2,Sheet4!$A:$A,0)+0))),
INDIRECT("Sheet4!"&amp;"I"&amp;MATCH($C$2,Sheet4!$A:$A,0)+0),IF(INDIRECT("Sheet4!"&amp;"I"&amp;MATCH($C$2,Sheet4!$A:$A,0)+0)="Água","Água",
IF(INDIRECT("Sheet4!"&amp;"I"&amp;MATCH($C$2,Sheet4!$A:$A,0)+0)="-","-",
IF(_xlfn.NUMBERVALUE(MID(INDIRECT("Sheet4!"&amp;"I"&amp;MATCH($C$2,Sheet4!$A:$A,0)+0),9,2))&lt;=$C$4,
_xlfn.IFNA(VLOOKUP(INDIRECT("Sheet4!"&amp;"I"&amp;MATCH($C$2,Sheet4!$A:$A,0)+0),$C$7:$H$17,1,FALSE)&amp;CHAR(10)&amp;VLOOKUP(INDIRECT("Sheet4!"&amp;"I"&amp;MATCH($C$2,Sheet4!$A:$A,0)+0),$C$7:$H$17,5,FALSE),
VLOOKUP(INDIRECT("Sheet4!"&amp;"I"&amp;MATCH($C$2,Sheet4!$A:$A,0)+0),$I$7:$N$17,1,FALSE)&amp;CHAR(10)&amp;VLOOKUP(INDIRECT("Sheet4!"&amp;"I"&amp;MATCH($C$2,Sheet4!$A:$A,0)+0),$I$7:$N$17,5,FALSE)),"-"))))</f>
        <v>-</v>
      </c>
      <c r="I20" s="8" t="str" cm="1">
        <f t="array" aca="1" ref="I20" ca="1">IF(ISNUMBER(FIND("ctrl",INDIRECT("Sheet4!"&amp;"J"&amp;MATCH($C$2,Sheet4!$A:$A,0)+0))),
INDIRECT("Sheet4!"&amp;"J"&amp;MATCH($C$2,Sheet4!$A:$A,0)+0),IF(INDIRECT("Sheet4!"&amp;"J"&amp;MATCH($C$2,Sheet4!$A:$A,0)+0)="Água","Água",
IF(INDIRECT("Sheet4!"&amp;"J"&amp;MATCH($C$2,Sheet4!$A:$A,0)+0)="-","-",
IF(_xlfn.NUMBERVALUE(MID(INDIRECT("Sheet4!"&amp;"J"&amp;MATCH($C$2,Sheet4!$A:$A,0)+0),9,2))&lt;=$C$4,
_xlfn.IFNA(VLOOKUP(INDIRECT("Sheet4!"&amp;"J"&amp;MATCH($C$2,Sheet4!$A:$A,0)+0),$C$7:$H$17,1,FALSE)&amp;CHAR(10)&amp;VLOOKUP(INDIRECT("Sheet4!"&amp;"J"&amp;MATCH($C$2,Sheet4!$A:$A,0)+0),$C$7:$H$17,5,FALSE),
VLOOKUP(INDIRECT("Sheet4!"&amp;"J"&amp;MATCH($C$2,Sheet4!$A:$A,0)+0),$I$7:$N$17,1,FALSE)&amp;CHAR(10)&amp;VLOOKUP(INDIRECT("Sheet4!"&amp;"J"&amp;MATCH($C$2,Sheet4!$A:$A,0)+0),$I$7:$N$17,5,FALSE)),"-"))))</f>
        <v>-</v>
      </c>
      <c r="J20" s="8" t="str" cm="1">
        <f t="array" aca="1" ref="J20" ca="1">IF(ISNUMBER(FIND("ctrl",INDIRECT("Sheet4!"&amp;"K"&amp;MATCH($C$2,Sheet4!$A:$A,0)+0))),
INDIRECT("Sheet4!"&amp;"K"&amp;MATCH($C$2,Sheet4!$A:$A,0)+0),IF(INDIRECT("Sheet4!"&amp;"K"&amp;MATCH($C$2,Sheet4!$A:$A,0)+0)="Água","Água",
IF(INDIRECT("Sheet4!"&amp;"K"&amp;MATCH($C$2,Sheet4!$A:$A,0)+0)="-","-",
IF(_xlfn.NUMBERVALUE(MID(INDIRECT("Sheet4!"&amp;"K"&amp;MATCH($C$2,Sheet4!$A:$A,0)+0),9,2))&lt;=$C$4,
_xlfn.IFNA(VLOOKUP(INDIRECT("Sheet4!"&amp;"K"&amp;MATCH($C$2,Sheet4!$A:$A,0)+0),$C$7:$H$17,1,FALSE)&amp;CHAR(10)&amp;VLOOKUP(INDIRECT("Sheet4!"&amp;"K"&amp;MATCH($C$2,Sheet4!$A:$A,0)+0),$C$7:$H$17,5,FALSE),
VLOOKUP(INDIRECT("Sheet4!"&amp;"K"&amp;MATCH($C$2,Sheet4!$A:$A,0)+0),$I$7:$N$17,1,FALSE)&amp;CHAR(10)&amp;VLOOKUP(INDIRECT("Sheet4!"&amp;"K"&amp;MATCH($C$2,Sheet4!$A:$A,0)+0),$I$7:$N$17,5,FALSE)),"-"))))</f>
        <v>-</v>
      </c>
      <c r="K20" s="8" t="str" cm="1">
        <f t="array" aca="1" ref="K20" ca="1">IF(ISNUMBER(FIND("ctrl",INDIRECT("Sheet4!"&amp;"L"&amp;MATCH($C$2,Sheet4!$A:$A,0)+0))),
INDIRECT("Sheet4!"&amp;"L"&amp;MATCH($C$2,Sheet4!$A:$A,0)+0),IF(INDIRECT("Sheet4!"&amp;"L"&amp;MATCH($C$2,Sheet4!$A:$A,0)+0)="Água","Água",
IF(INDIRECT("Sheet4!"&amp;"L"&amp;MATCH($C$2,Sheet4!$A:$A,0)+0)="-","-",
IF(_xlfn.NUMBERVALUE(MID(INDIRECT("Sheet4!"&amp;"L"&amp;MATCH($C$2,Sheet4!$A:$A,0)+0),9,2))&lt;=$C$4,
_xlfn.IFNA(VLOOKUP(INDIRECT("Sheet4!"&amp;"L"&amp;MATCH($C$2,Sheet4!$A:$A,0)+0),$C$7:$H$17,1,FALSE)&amp;CHAR(10)&amp;VLOOKUP(INDIRECT("Sheet4!"&amp;"L"&amp;MATCH($C$2,Sheet4!$A:$A,0)+0),$C$7:$H$17,5,FALSE),
VLOOKUP(INDIRECT("Sheet4!"&amp;"L"&amp;MATCH($C$2,Sheet4!$A:$A,0)+0),$I$7:$N$17,1,FALSE)&amp;CHAR(10)&amp;VLOOKUP(INDIRECT("Sheet4!"&amp;"L"&amp;MATCH($C$2,Sheet4!$A:$A,0)+0),$I$7:$N$17,5,FALSE)),"-"))))</f>
        <v>-</v>
      </c>
      <c r="L20" s="8" t="str" cm="1">
        <f t="array" aca="1" ref="L20" ca="1">IF(ISNUMBER(FIND("ctrl",INDIRECT("Sheet4!"&amp;"M"&amp;MATCH($C$2,Sheet4!$A:$A,0)+0))),
INDIRECT("Sheet4!"&amp;"M"&amp;MATCH($C$2,Sheet4!$A:$A,0)+0),IF(INDIRECT("Sheet4!"&amp;"M"&amp;MATCH($C$2,Sheet4!$A:$A,0)+0)="Água","Água",
IF(INDIRECT("Sheet4!"&amp;"M"&amp;MATCH($C$2,Sheet4!$A:$A,0)+0)="-","-",
IF(_xlfn.NUMBERVALUE(MID(INDIRECT("Sheet4!"&amp;"M"&amp;MATCH($C$2,Sheet4!$A:$A,0)+0),9,2))&lt;=$C$4,
_xlfn.IFNA(VLOOKUP(INDIRECT("Sheet4!"&amp;"M"&amp;MATCH($C$2,Sheet4!$A:$A,0)+0),$C$7:$H$17,1,FALSE)&amp;CHAR(10)&amp;VLOOKUP(INDIRECT("Sheet4!"&amp;"M"&amp;MATCH($C$2,Sheet4!$A:$A,0)+0),$C$7:$H$17,5,FALSE),
VLOOKUP(INDIRECT("Sheet4!"&amp;"M"&amp;MATCH($C$2,Sheet4!$A:$A,0)+0),$I$7:$N$17,1,FALSE)&amp;CHAR(10)&amp;VLOOKUP(INDIRECT("Sheet4!"&amp;"M"&amp;MATCH($C$2,Sheet4!$A:$A,0)+0),$I$7:$N$17,5,FALSE)),"-"))))</f>
        <v>-</v>
      </c>
      <c r="M20" s="8" t="str" cm="1">
        <f t="array" aca="1" ref="M20" ca="1">IF(ISNUMBER(FIND("ctrl",INDIRECT("Sheet4!"&amp;"N"&amp;MATCH($C$2,Sheet4!$A:$A,0)+0))),
INDIRECT("Sheet4!"&amp;"N"&amp;MATCH($C$2,Sheet4!$A:$A,0)+0),IF(INDIRECT("Sheet4!"&amp;"N"&amp;MATCH($C$2,Sheet4!$A:$A,0)+0)="Água","Água",
IF(INDIRECT("Sheet4!"&amp;"N"&amp;MATCH($C$2,Sheet4!$A:$A,0)+0)="-","-",
IF(_xlfn.NUMBERVALUE(MID(INDIRECT("Sheet4!"&amp;"N"&amp;MATCH($C$2,Sheet4!$A:$A,0)+0),9,2))&lt;=$C$4,
_xlfn.IFNA(VLOOKUP(INDIRECT("Sheet4!"&amp;"N"&amp;MATCH($C$2,Sheet4!$A:$A,0)+0),$C$7:$H$17,1,FALSE)&amp;CHAR(10)&amp;VLOOKUP(INDIRECT("Sheet4!"&amp;"N"&amp;MATCH($C$2,Sheet4!$A:$A,0)+0),$C$7:$H$17,5,FALSE),
VLOOKUP(INDIRECT("Sheet4!"&amp;"N"&amp;MATCH($C$2,Sheet4!$A:$A,0)+0),$I$7:$N$17,1,FALSE)&amp;CHAR(10)&amp;VLOOKUP(INDIRECT("Sheet4!"&amp;"N"&amp;MATCH($C$2,Sheet4!$A:$A,0)+0),$I$7:$N$17,5,FALSE)),"-"))))</f>
        <v>-</v>
      </c>
      <c r="N20" s="8" t="str" cm="1">
        <f t="array" aca="1" ref="N20" ca="1">IF(ISNUMBER(FIND("ctrl",INDIRECT("Sheet4!"&amp;"N"&amp;MATCH($C$2,Sheet4!$A:$A,0)+0))),
INDIRECT("Sheet4!"&amp;"N"&amp;MATCH($C$2,Sheet4!$A:$A,0)+0),IF(INDIRECT("Sheet4!"&amp;"N"&amp;MATCH($C$2,Sheet4!$A:$A,0)+0)="Água","Água",
IF(INDIRECT("Sheet4!"&amp;"N"&amp;MATCH($C$2,Sheet4!$A:$A,0)+0)="-","-",
IF(_xlfn.NUMBERVALUE(MID(INDIRECT("Sheet4!"&amp;"N"&amp;MATCH($C$2,Sheet4!$A:$A,0)+0),9,2))&lt;=$C$4,
_xlfn.IFNA(VLOOKUP(INDIRECT("Sheet4!"&amp;"N"&amp;MATCH($C$2,Sheet4!$A:$A,0)+0),$C$7:$H$17,1,FALSE)&amp;CHAR(10)&amp;VLOOKUP(INDIRECT("Sheet4!"&amp;"N"&amp;MATCH($C$2,Sheet4!$A:$A,0)+0),$C$7:$H$17,5,FALSE),
VLOOKUP(INDIRECT("Sheet4!"&amp;"N"&amp;MATCH($C$2,Sheet4!$A:$A,0)+0),$I$7:$N$17,1,FALSE)&amp;CHAR(10)&amp;VLOOKUP(INDIRECT("Sheet4!"&amp;"N"&amp;MATCH($C$2,Sheet4!$A:$A,0)+0),$I$7:$N$17,5,FALSE)),"-"))))</f>
        <v>-</v>
      </c>
    </row>
    <row r="21" spans="2:14" ht="15" customHeight="1" x14ac:dyDescent="0.25">
      <c r="B21" s="12" t="s">
        <v>27</v>
      </c>
      <c r="C21" s="8" t="str" cm="1">
        <f t="array" aca="1" ref="C21" ca="1">IF(ISNUMBER(FIND("ctrl",INDIRECT("Sheet4!"&amp;"D"&amp;MATCH($C$2,Sheet4!$A:$A,0)+1))),
INDIRECT("Sheet4!"&amp;"D"&amp;MATCH($C$2,Sheet4!$A:$A,0)+1),IF(INDIRECT("Sheet4!"&amp;"D"&amp;MATCH($C$2,Sheet4!$A:$A,0)+1)="Água","Água",
IF(INDIRECT("Sheet4!"&amp;"D"&amp;MATCH($C$2,Sheet4!$A:$A,0)+1)="-","-",
IF(_xlfn.NUMBERVALUE(MID(INDIRECT("Sheet4!"&amp;"D"&amp;MATCH($C$2,Sheet4!$A:$A,0)+1),9,2))&lt;=$C$4,
_xlfn.IFNA(VLOOKUP(INDIRECT("Sheet4!"&amp;"D"&amp;MATCH($C$2,Sheet4!$A:$A,0)+1),$C$7:$H$17,1,FALSE)&amp;CHAR(10)&amp;VLOOKUP(INDIRECT("Sheet4!"&amp;"D"&amp;MATCH($C$2,Sheet4!$A:$A,0)+1),$C$7:$H$17,5,FALSE),
VLOOKUP(INDIRECT("Sheet4!"&amp;"D"&amp;MATCH($C$2,Sheet4!$A:$A,0)+1),$I$7:$N$17,1,FALSE)&amp;CHAR(10)&amp;VLOOKUP(INDIRECT("Sheet4!"&amp;"D"&amp;MATCH($C$2,Sheet4!$A:$A,0)+1),$I$7:$N$17,5,FALSE)),"-"))))</f>
        <v>Amostra 1
37S R.G.S.V</v>
      </c>
      <c r="D21" s="8" t="str" cm="1">
        <f t="array" aca="1" ref="D21" ca="1">IF(ISNUMBER(FIND("ctrl",INDIRECT("Sheet4!"&amp;"E"&amp;MATCH($C$2,Sheet4!$A:$A,0)+1))),
INDIRECT("Sheet4!"&amp;"E"&amp;MATCH($C$2,Sheet4!$A:$A,0)+1),IF(INDIRECT("Sheet4!"&amp;"E"&amp;MATCH($C$2,Sheet4!$A:$A,0)+1)="Água","Água",
IF(INDIRECT("Sheet4!"&amp;"E"&amp;MATCH($C$2,Sheet4!$A:$A,0)+1)="-","-",
IF(_xlfn.NUMBERVALUE(MID(INDIRECT("Sheet4!"&amp;"E"&amp;MATCH($C$2,Sheet4!$A:$A,0)+1),9,2))&lt;=$C$4,
_xlfn.IFNA(VLOOKUP(INDIRECT("Sheet4!"&amp;"E"&amp;MATCH($C$2,Sheet4!$A:$A,0)+1),$C$7:$H$17,1,FALSE)&amp;CHAR(10)&amp;VLOOKUP(INDIRECT("Sheet4!"&amp;"E"&amp;MATCH($C$2,Sheet4!$A:$A,0)+1),$C$7:$H$17,5,FALSE),
VLOOKUP(INDIRECT("Sheet4!"&amp;"E"&amp;MATCH($C$2,Sheet4!$A:$A,0)+1),$I$7:$N$17,1,FALSE)&amp;CHAR(10)&amp;VLOOKUP(INDIRECT("Sheet4!"&amp;"E"&amp;MATCH($C$2,Sheet4!$A:$A,0)+1),$I$7:$N$17,5,FALSE)),"-"))))</f>
        <v>-</v>
      </c>
      <c r="E21" s="8" t="str" cm="1">
        <f t="array" aca="1" ref="E21" ca="1">IF(ISNUMBER(FIND("ctrl",INDIRECT("Sheet4!"&amp;"F"&amp;MATCH($C$2,Sheet4!$A:$A,0)+1))),
INDIRECT("Sheet4!"&amp;"F"&amp;MATCH($C$2,Sheet4!$A:$A,0)+1),IF(INDIRECT("Sheet4!"&amp;"F"&amp;MATCH($C$2,Sheet4!$A:$A,0)+1)="Água","Água",
IF(INDIRECT("Sheet4!"&amp;"F"&amp;MATCH($C$2,Sheet4!$A:$A,0)+1)="-","-",
IF(_xlfn.NUMBERVALUE(MID(INDIRECT("Sheet4!"&amp;"F"&amp;MATCH($C$2,Sheet4!$A:$A,0)+1),9,2))&lt;=$C$4,
_xlfn.IFNA(VLOOKUP(INDIRECT("Sheet4!"&amp;"F"&amp;MATCH($C$2,Sheet4!$A:$A,0)+1),$C$7:$H$17,1,FALSE)&amp;CHAR(10)&amp;VLOOKUP(INDIRECT("Sheet4!"&amp;"F"&amp;MATCH($C$2,Sheet4!$A:$A,0)+1),$C$7:$H$17,5,FALSE),
VLOOKUP(INDIRECT("Sheet4!"&amp;"F"&amp;MATCH($C$2,Sheet4!$A:$A,0)+1),$I$7:$N$17,1,FALSE)&amp;CHAR(10)&amp;VLOOKUP(INDIRECT("Sheet4!"&amp;"F"&amp;MATCH($C$2,Sheet4!$A:$A,0)+1),$I$7:$N$17,5,FALSE)),"-"))))</f>
        <v>-</v>
      </c>
      <c r="F21" s="8" t="str" cm="1">
        <f t="array" aca="1" ref="F21" ca="1">IF(ISNUMBER(FIND("ctrl",INDIRECT("Sheet4!"&amp;"G"&amp;MATCH($C$2,Sheet4!$A:$A,0)+1))),
INDIRECT("Sheet4!"&amp;"G"&amp;MATCH($C$2,Sheet4!$A:$A,0)+1),IF(INDIRECT("Sheet4!"&amp;"G"&amp;MATCH($C$2,Sheet4!$A:$A,0)+1)="Água","Água",
IF(INDIRECT("Sheet4!"&amp;"G"&amp;MATCH($C$2,Sheet4!$A:$A,0)+1)="-","-",
IF(_xlfn.NUMBERVALUE(MID(INDIRECT("Sheet4!"&amp;"G"&amp;MATCH($C$2,Sheet4!$A:$A,0)+1),9,2))&lt;=$C$4,
_xlfn.IFNA(VLOOKUP(INDIRECT("Sheet4!"&amp;"G"&amp;MATCH($C$2,Sheet4!$A:$A,0)+1),$C$7:$H$17,1,FALSE)&amp;CHAR(10)&amp;VLOOKUP(INDIRECT("Sheet4!"&amp;"G"&amp;MATCH($C$2,Sheet4!$A:$A,0)+1),$C$7:$H$17,5,FALSE),
VLOOKUP(INDIRECT("Sheet4!"&amp;"G"&amp;MATCH($C$2,Sheet4!$A:$A,0)+1),$I$7:$N$17,1,FALSE)&amp;CHAR(10)&amp;VLOOKUP(INDIRECT("Sheet4!"&amp;"G"&amp;MATCH($C$2,Sheet4!$A:$A,0)+1),$I$7:$N$17,5,FALSE)),"-"))))</f>
        <v>-</v>
      </c>
      <c r="G21" s="8" t="str" cm="1">
        <f t="array" aca="1" ref="G21" ca="1">IF(ISNUMBER(FIND("ctrl",INDIRECT("Sheet4!"&amp;"H"&amp;MATCH($C$2,Sheet4!$A:$A,0)+1))),
INDIRECT("Sheet4!"&amp;"H"&amp;MATCH($C$2,Sheet4!$A:$A,0)+1),IF(INDIRECT("Sheet4!"&amp;"H"&amp;MATCH($C$2,Sheet4!$A:$A,0)+1)="Água","Água",
IF(INDIRECT("Sheet4!"&amp;"H"&amp;MATCH($C$2,Sheet4!$A:$A,0)+1)="-","-",
IF(_xlfn.NUMBERVALUE(MID(INDIRECT("Sheet4!"&amp;"H"&amp;MATCH($C$2,Sheet4!$A:$A,0)+1),9,2))&lt;=$C$4,
_xlfn.IFNA(VLOOKUP(INDIRECT("Sheet4!"&amp;"H"&amp;MATCH($C$2,Sheet4!$A:$A,0)+1),$C$7:$H$17,1,FALSE)&amp;CHAR(10)&amp;VLOOKUP(INDIRECT("Sheet4!"&amp;"H"&amp;MATCH($C$2,Sheet4!$A:$A,0)+1),$C$7:$H$17,5,FALSE),
VLOOKUP(INDIRECT("Sheet4!"&amp;"H"&amp;MATCH($C$2,Sheet4!$A:$A,0)+1),$I$7:$N$17,1,FALSE)&amp;CHAR(10)&amp;VLOOKUP(INDIRECT("Sheet4!"&amp;"H"&amp;MATCH($C$2,Sheet4!$A:$A,0)+1),$I$7:$N$17,5,FALSE)),"-"))))</f>
        <v>-</v>
      </c>
      <c r="H21" s="8" t="str" cm="1">
        <f t="array" aca="1" ref="H21" ca="1">IF(ISNUMBER(FIND("ctrl",INDIRECT("Sheet4!"&amp;"I"&amp;MATCH($C$2,Sheet4!$A:$A,0)+1))),
INDIRECT("Sheet4!"&amp;"I"&amp;MATCH($C$2,Sheet4!$A:$A,0)+1),IF(INDIRECT("Sheet4!"&amp;"I"&amp;MATCH($C$2,Sheet4!$A:$A,0)+1)="Água","Água",
IF(INDIRECT("Sheet4!"&amp;"I"&amp;MATCH($C$2,Sheet4!$A:$A,0)+1)="-","-",
IF(_xlfn.NUMBERVALUE(MID(INDIRECT("Sheet4!"&amp;"I"&amp;MATCH($C$2,Sheet4!$A:$A,0)+1),9,2))&lt;=$C$4,
_xlfn.IFNA(VLOOKUP(INDIRECT("Sheet4!"&amp;"I"&amp;MATCH($C$2,Sheet4!$A:$A,0)+1),$C$7:$H$17,1,FALSE)&amp;CHAR(10)&amp;VLOOKUP(INDIRECT("Sheet4!"&amp;"I"&amp;MATCH($C$2,Sheet4!$A:$A,0)+1),$C$7:$H$17,5,FALSE),
VLOOKUP(INDIRECT("Sheet4!"&amp;"I"&amp;MATCH($C$2,Sheet4!$A:$A,0)+1),$I$7:$N$17,1,FALSE)&amp;CHAR(10)&amp;VLOOKUP(INDIRECT("Sheet4!"&amp;"I"&amp;MATCH($C$2,Sheet4!$A:$A,0)+1),$I$7:$N$17,5,FALSE)),"-"))))</f>
        <v>-</v>
      </c>
      <c r="I21" s="8" t="str" cm="1">
        <f t="array" aca="1" ref="I21" ca="1">IF(ISNUMBER(FIND("ctrl",INDIRECT("Sheet4!"&amp;"J"&amp;MATCH($C$2,Sheet4!$A:$A,0)+1))),
INDIRECT("Sheet4!"&amp;"J"&amp;MATCH($C$2,Sheet4!$A:$A,0)+1),IF(INDIRECT("Sheet4!"&amp;"J"&amp;MATCH($C$2,Sheet4!$A:$A,0)+1)="Água","Água",
IF(INDIRECT("Sheet4!"&amp;"J"&amp;MATCH($C$2,Sheet4!$A:$A,0)+1)="-","-",
IF(_xlfn.NUMBERVALUE(MID(INDIRECT("Sheet4!"&amp;"J"&amp;MATCH($C$2,Sheet4!$A:$A,0)+1),9,2))&lt;=$C$4,
_xlfn.IFNA(VLOOKUP(INDIRECT("Sheet4!"&amp;"J"&amp;MATCH($C$2,Sheet4!$A:$A,0)+1),$C$7:$H$17,1,FALSE)&amp;CHAR(10)&amp;VLOOKUP(INDIRECT("Sheet4!"&amp;"J"&amp;MATCH($C$2,Sheet4!$A:$A,0)+1),$C$7:$H$17,5,FALSE),
VLOOKUP(INDIRECT("Sheet4!"&amp;"J"&amp;MATCH($C$2,Sheet4!$A:$A,0)+1),$I$7:$N$17,1,FALSE)&amp;CHAR(10)&amp;VLOOKUP(INDIRECT("Sheet4!"&amp;"J"&amp;MATCH($C$2,Sheet4!$A:$A,0)+1),$I$7:$N$17,5,FALSE)),"-"))))</f>
        <v>-</v>
      </c>
      <c r="J21" s="8" t="str" cm="1">
        <f t="array" aca="1" ref="J21" ca="1">IF(ISNUMBER(FIND("ctrl",INDIRECT("Sheet4!"&amp;"K"&amp;MATCH($C$2,Sheet4!$A:$A,0)+1))),
INDIRECT("Sheet4!"&amp;"K"&amp;MATCH($C$2,Sheet4!$A:$A,0)+1),IF(INDIRECT("Sheet4!"&amp;"K"&amp;MATCH($C$2,Sheet4!$A:$A,0)+1)="Água","Água",
IF(INDIRECT("Sheet4!"&amp;"K"&amp;MATCH($C$2,Sheet4!$A:$A,0)+1)="-","-",
IF(_xlfn.NUMBERVALUE(MID(INDIRECT("Sheet4!"&amp;"K"&amp;MATCH($C$2,Sheet4!$A:$A,0)+1),9,2))&lt;=$C$4,
_xlfn.IFNA(VLOOKUP(INDIRECT("Sheet4!"&amp;"K"&amp;MATCH($C$2,Sheet4!$A:$A,0)+1),$C$7:$H$17,1,FALSE)&amp;CHAR(10)&amp;VLOOKUP(INDIRECT("Sheet4!"&amp;"K"&amp;MATCH($C$2,Sheet4!$A:$A,0)+1),$C$7:$H$17,5,FALSE),
VLOOKUP(INDIRECT("Sheet4!"&amp;"K"&amp;MATCH($C$2,Sheet4!$A:$A,0)+1),$I$7:$N$17,1,FALSE)&amp;CHAR(10)&amp;VLOOKUP(INDIRECT("Sheet4!"&amp;"K"&amp;MATCH($C$2,Sheet4!$A:$A,0)+1),$I$7:$N$17,5,FALSE)),"-"))))</f>
        <v>-</v>
      </c>
      <c r="K21" s="8" t="str" cm="1">
        <f t="array" aca="1" ref="K21" ca="1">IF(ISNUMBER(FIND("ctrl",INDIRECT("Sheet4!"&amp;"L"&amp;MATCH($C$2,Sheet4!$A:$A,0)+1))),
INDIRECT("Sheet4!"&amp;"L"&amp;MATCH($C$2,Sheet4!$A:$A,0)+1),IF(INDIRECT("Sheet4!"&amp;"L"&amp;MATCH($C$2,Sheet4!$A:$A,0)+1)="Água","Água",
IF(INDIRECT("Sheet4!"&amp;"L"&amp;MATCH($C$2,Sheet4!$A:$A,0)+1)="-","-",
IF(_xlfn.NUMBERVALUE(MID(INDIRECT("Sheet4!"&amp;"L"&amp;MATCH($C$2,Sheet4!$A:$A,0)+1),9,2))&lt;=$C$4,
_xlfn.IFNA(VLOOKUP(INDIRECT("Sheet4!"&amp;"L"&amp;MATCH($C$2,Sheet4!$A:$A,0)+1),$C$7:$H$17,1,FALSE)&amp;CHAR(10)&amp;VLOOKUP(INDIRECT("Sheet4!"&amp;"L"&amp;MATCH($C$2,Sheet4!$A:$A,0)+1),$C$7:$H$17,5,FALSE),
VLOOKUP(INDIRECT("Sheet4!"&amp;"L"&amp;MATCH($C$2,Sheet4!$A:$A,0)+1),$I$7:$N$17,1,FALSE)&amp;CHAR(10)&amp;VLOOKUP(INDIRECT("Sheet4!"&amp;"L"&amp;MATCH($C$2,Sheet4!$A:$A,0)+1),$I$7:$N$17,5,FALSE)),"-"))))</f>
        <v>-</v>
      </c>
      <c r="L21" s="8" t="str" cm="1">
        <f t="array" aca="1" ref="L21" ca="1">IF(ISNUMBER(FIND("ctrl",INDIRECT("Sheet4!"&amp;"M"&amp;MATCH($C$2,Sheet4!$A:$A,0)+1))),
INDIRECT("Sheet4!"&amp;"M"&amp;MATCH($C$2,Sheet4!$A:$A,0)+1),IF(INDIRECT("Sheet4!"&amp;"M"&amp;MATCH($C$2,Sheet4!$A:$A,0)+1)="Água","Água",
IF(INDIRECT("Sheet4!"&amp;"M"&amp;MATCH($C$2,Sheet4!$A:$A,0)+1)="-","-",
IF(_xlfn.NUMBERVALUE(MID(INDIRECT("Sheet4!"&amp;"M"&amp;MATCH($C$2,Sheet4!$A:$A,0)+1),9,2))&lt;=$C$4,
_xlfn.IFNA(VLOOKUP(INDIRECT("Sheet4!"&amp;"M"&amp;MATCH($C$2,Sheet4!$A:$A,0)+1),$C$7:$H$17,1,FALSE)&amp;CHAR(10)&amp;VLOOKUP(INDIRECT("Sheet4!"&amp;"M"&amp;MATCH($C$2,Sheet4!$A:$A,0)+1),$C$7:$H$17,5,FALSE),
VLOOKUP(INDIRECT("Sheet4!"&amp;"M"&amp;MATCH($C$2,Sheet4!$A:$A,0)+1),$I$7:$N$17,1,FALSE)&amp;CHAR(10)&amp;VLOOKUP(INDIRECT("Sheet4!"&amp;"M"&amp;MATCH($C$2,Sheet4!$A:$A,0)+1),$I$7:$N$17,5,FALSE)),"-"))))</f>
        <v>-</v>
      </c>
      <c r="M21" s="8" t="str" cm="1">
        <f t="array" aca="1" ref="M21" ca="1">IF(ISNUMBER(FIND("ctrl",INDIRECT("Sheet4!"&amp;"N"&amp;MATCH($C$2,Sheet4!$A:$A,0)+1))),
INDIRECT("Sheet4!"&amp;"N"&amp;MATCH($C$2,Sheet4!$A:$A,0)+1),IF(INDIRECT("Sheet4!"&amp;"N"&amp;MATCH($C$2,Sheet4!$A:$A,0)+1)="Água","Água",
IF(INDIRECT("Sheet4!"&amp;"N"&amp;MATCH($C$2,Sheet4!$A:$A,0)+1)="-","-",
IF(_xlfn.NUMBERVALUE(MID(INDIRECT("Sheet4!"&amp;"N"&amp;MATCH($C$2,Sheet4!$A:$A,0)+1),9,2))&lt;=$C$4,
_xlfn.IFNA(VLOOKUP(INDIRECT("Sheet4!"&amp;"N"&amp;MATCH($C$2,Sheet4!$A:$A,0)+1),$C$7:$H$17,1,FALSE)&amp;CHAR(10)&amp;VLOOKUP(INDIRECT("Sheet4!"&amp;"N"&amp;MATCH($C$2,Sheet4!$A:$A,0)+1),$C$7:$H$17,5,FALSE),
VLOOKUP(INDIRECT("Sheet4!"&amp;"N"&amp;MATCH($C$2,Sheet4!$A:$A,0)+1),$I$7:$N$17,1,FALSE)&amp;CHAR(10)&amp;VLOOKUP(INDIRECT("Sheet4!"&amp;"N"&amp;MATCH($C$2,Sheet4!$A:$A,0)+1),$I$7:$N$17,5,FALSE)),"-"))))</f>
        <v>-</v>
      </c>
      <c r="N21" s="8" t="str" cm="1">
        <f t="array" aca="1" ref="N21" ca="1">IF(ISNUMBER(FIND("ctrl",INDIRECT("Sheet4!"&amp;"N"&amp;MATCH($C$2,Sheet4!$A:$A,0)+1))),
INDIRECT("Sheet4!"&amp;"N"&amp;MATCH($C$2,Sheet4!$A:$A,0)+1),IF(INDIRECT("Sheet4!"&amp;"N"&amp;MATCH($C$2,Sheet4!$A:$A,0)+1)="Água","Água",
IF(INDIRECT("Sheet4!"&amp;"N"&amp;MATCH($C$2,Sheet4!$A:$A,0)+1)="-","-",
IF(_xlfn.NUMBERVALUE(MID(INDIRECT("Sheet4!"&amp;"N"&amp;MATCH($C$2,Sheet4!$A:$A,0)+1),9,2))&lt;=$C$4,
_xlfn.IFNA(VLOOKUP(INDIRECT("Sheet4!"&amp;"N"&amp;MATCH($C$2,Sheet4!$A:$A,0)+1),$C$7:$H$17,1,FALSE)&amp;CHAR(10)&amp;VLOOKUP(INDIRECT("Sheet4!"&amp;"N"&amp;MATCH($C$2,Sheet4!$A:$A,0)+1),$C$7:$H$17,5,FALSE),
VLOOKUP(INDIRECT("Sheet4!"&amp;"N"&amp;MATCH($C$2,Sheet4!$A:$A,0)+1),$I$7:$N$17,1,FALSE)&amp;CHAR(10)&amp;VLOOKUP(INDIRECT("Sheet4!"&amp;"N"&amp;MATCH($C$2,Sheet4!$A:$A,0)+1),$I$7:$N$17,5,FALSE)),"-"))))</f>
        <v>-</v>
      </c>
    </row>
    <row r="22" spans="2:14" ht="15" customHeight="1" x14ac:dyDescent="0.25">
      <c r="B22" s="12" t="s">
        <v>28</v>
      </c>
      <c r="C22" s="8" t="str" cm="1">
        <f t="array" aca="1" ref="C22" ca="1">IF(ISNUMBER(FIND("ctrl",INDIRECT("Sheet4!"&amp;"D"&amp;MATCH($C$2,Sheet4!$A:$A,0)+2))),
INDIRECT("Sheet4!"&amp;"D"&amp;MATCH($C$2,Sheet4!$A:$A,0)+2),IF(INDIRECT("Sheet4!"&amp;"D"&amp;MATCH($C$2,Sheet4!$A:$A,0)+2)="Água","Água",
IF(INDIRECT("Sheet4!"&amp;"D"&amp;MATCH($C$2,Sheet4!$A:$A,0)+2)="-","-",
IF(_xlfn.NUMBERVALUE(MID(INDIRECT("Sheet4!"&amp;"D"&amp;MATCH($C$2,Sheet4!$A:$A,0)+2),9,2))&lt;=$C$4,
_xlfn.IFNA(VLOOKUP(INDIRECT("Sheet4!"&amp;"D"&amp;MATCH($C$2,Sheet4!$A:$A,0)+2),$C$7:$H$17,1,FALSE)&amp;CHAR(10)&amp;VLOOKUP(INDIRECT("Sheet4!"&amp;"D"&amp;MATCH($C$2,Sheet4!$A:$A,0)+2),$C$7:$H$17,5,FALSE),
VLOOKUP(INDIRECT("Sheet4!"&amp;"D"&amp;MATCH($C$2,Sheet4!$A:$A,0)+2),$I$7:$N$17,1,FALSE)&amp;CHAR(10)&amp;VLOOKUP(INDIRECT("Sheet4!"&amp;"D"&amp;MATCH($C$2,Sheet4!$A:$A,0)+2),$I$7:$N$17,5,FALSE)),"-"))))</f>
        <v>Amostra 1
37S R.G.S.V</v>
      </c>
      <c r="D22" s="8" t="str" cm="1">
        <f t="array" aca="1" ref="D22" ca="1">IF(ISNUMBER(FIND("ctrl",INDIRECT("Sheet4!"&amp;"E"&amp;MATCH($C$2,Sheet4!$A:$A,0)+2))),
INDIRECT("Sheet4!"&amp;"E"&amp;MATCH($C$2,Sheet4!$A:$A,0)+2),IF(INDIRECT("Sheet4!"&amp;"E"&amp;MATCH($C$2,Sheet4!$A:$A,0)+2)="Água","Água",
IF(INDIRECT("Sheet4!"&amp;"E"&amp;MATCH($C$2,Sheet4!$A:$A,0)+2)="-","-",
IF(_xlfn.NUMBERVALUE(MID(INDIRECT("Sheet4!"&amp;"E"&amp;MATCH($C$2,Sheet4!$A:$A,0)+2),9,2))&lt;=$C$4,
_xlfn.IFNA(VLOOKUP(INDIRECT("Sheet4!"&amp;"E"&amp;MATCH($C$2,Sheet4!$A:$A,0)+2),$C$7:$H$17,1,FALSE)&amp;CHAR(10)&amp;VLOOKUP(INDIRECT("Sheet4!"&amp;"E"&amp;MATCH($C$2,Sheet4!$A:$A,0)+2),$C$7:$H$17,5,FALSE),
VLOOKUP(INDIRECT("Sheet4!"&amp;"E"&amp;MATCH($C$2,Sheet4!$A:$A,0)+2),$I$7:$N$17,1,FALSE)&amp;CHAR(10)&amp;VLOOKUP(INDIRECT("Sheet4!"&amp;"E"&amp;MATCH($C$2,Sheet4!$A:$A,0)+2),$I$7:$N$17,5,FALSE)),"-"))))</f>
        <v>-</v>
      </c>
      <c r="E22" s="8" t="str" cm="1">
        <f t="array" aca="1" ref="E22" ca="1">IF(ISNUMBER(FIND("ctrl",INDIRECT("Sheet4!"&amp;"F"&amp;MATCH($C$2,Sheet4!$A:$A,0)+2))),
INDIRECT("Sheet4!"&amp;"F"&amp;MATCH($C$2,Sheet4!$A:$A,0)+2),IF(INDIRECT("Sheet4!"&amp;"F"&amp;MATCH($C$2,Sheet4!$A:$A,0)+2)="Água","Água",
IF(INDIRECT("Sheet4!"&amp;"F"&amp;MATCH($C$2,Sheet4!$A:$A,0)+2)="-","-",
IF(_xlfn.NUMBERVALUE(MID(INDIRECT("Sheet4!"&amp;"F"&amp;MATCH($C$2,Sheet4!$A:$A,0)+2),9,2))&lt;=$C$4,
_xlfn.IFNA(VLOOKUP(INDIRECT("Sheet4!"&amp;"F"&amp;MATCH($C$2,Sheet4!$A:$A,0)+2),$C$7:$H$17,1,FALSE)&amp;CHAR(10)&amp;VLOOKUP(INDIRECT("Sheet4!"&amp;"F"&amp;MATCH($C$2,Sheet4!$A:$A,0)+2),$C$7:$H$17,5,FALSE),
VLOOKUP(INDIRECT("Sheet4!"&amp;"F"&amp;MATCH($C$2,Sheet4!$A:$A,0)+2),$I$7:$N$17,1,FALSE)&amp;CHAR(10)&amp;VLOOKUP(INDIRECT("Sheet4!"&amp;"F"&amp;MATCH($C$2,Sheet4!$A:$A,0)+2),$I$7:$N$17,5,FALSE)),"-"))))</f>
        <v>-</v>
      </c>
      <c r="F22" s="8" t="str" cm="1">
        <f t="array" aca="1" ref="F22" ca="1">IF(ISNUMBER(FIND("ctrl",INDIRECT("Sheet4!"&amp;"G"&amp;MATCH($C$2,Sheet4!$A:$A,0)+2))),
INDIRECT("Sheet4!"&amp;"G"&amp;MATCH($C$2,Sheet4!$A:$A,0)+2),IF(INDIRECT("Sheet4!"&amp;"G"&amp;MATCH($C$2,Sheet4!$A:$A,0)+2)="Água","Água",
IF(INDIRECT("Sheet4!"&amp;"G"&amp;MATCH($C$2,Sheet4!$A:$A,0)+2)="-","-",
IF(_xlfn.NUMBERVALUE(MID(INDIRECT("Sheet4!"&amp;"G"&amp;MATCH($C$2,Sheet4!$A:$A,0)+2),9,2))&lt;=$C$4,
_xlfn.IFNA(VLOOKUP(INDIRECT("Sheet4!"&amp;"G"&amp;MATCH($C$2,Sheet4!$A:$A,0)+2),$C$7:$H$17,1,FALSE)&amp;CHAR(10)&amp;VLOOKUP(INDIRECT("Sheet4!"&amp;"G"&amp;MATCH($C$2,Sheet4!$A:$A,0)+2),$C$7:$H$17,5,FALSE),
VLOOKUP(INDIRECT("Sheet4!"&amp;"G"&amp;MATCH($C$2,Sheet4!$A:$A,0)+2),$I$7:$N$17,1,FALSE)&amp;CHAR(10)&amp;VLOOKUP(INDIRECT("Sheet4!"&amp;"G"&amp;MATCH($C$2,Sheet4!$A:$A,0)+2),$I$7:$N$17,5,FALSE)),"-"))))</f>
        <v>-</v>
      </c>
      <c r="G22" s="8" t="str" cm="1">
        <f t="array" aca="1" ref="G22" ca="1">IF(ISNUMBER(FIND("ctrl",INDIRECT("Sheet4!"&amp;"H"&amp;MATCH($C$2,Sheet4!$A:$A,0)+2))),
INDIRECT("Sheet4!"&amp;"H"&amp;MATCH($C$2,Sheet4!$A:$A,0)+2),IF(INDIRECT("Sheet4!"&amp;"H"&amp;MATCH($C$2,Sheet4!$A:$A,0)+2)="Água","Água",
IF(INDIRECT("Sheet4!"&amp;"H"&amp;MATCH($C$2,Sheet4!$A:$A,0)+2)="-","-",
IF(_xlfn.NUMBERVALUE(MID(INDIRECT("Sheet4!"&amp;"H"&amp;MATCH($C$2,Sheet4!$A:$A,0)+2),9,2))&lt;=$C$4,
_xlfn.IFNA(VLOOKUP(INDIRECT("Sheet4!"&amp;"H"&amp;MATCH($C$2,Sheet4!$A:$A,0)+2),$C$7:$H$17,1,FALSE)&amp;CHAR(10)&amp;VLOOKUP(INDIRECT("Sheet4!"&amp;"H"&amp;MATCH($C$2,Sheet4!$A:$A,0)+2),$C$7:$H$17,5,FALSE),
VLOOKUP(INDIRECT("Sheet4!"&amp;"H"&amp;MATCH($C$2,Sheet4!$A:$A,0)+2),$I$7:$N$17,1,FALSE)&amp;CHAR(10)&amp;VLOOKUP(INDIRECT("Sheet4!"&amp;"H"&amp;MATCH($C$2,Sheet4!$A:$A,0)+2),$I$7:$N$17,5,FALSE)),"-"))))</f>
        <v>-</v>
      </c>
      <c r="H22" s="8" t="str" cm="1">
        <f t="array" aca="1" ref="H22" ca="1">IF(ISNUMBER(FIND("ctrl",INDIRECT("Sheet4!"&amp;"I"&amp;MATCH($C$2,Sheet4!$A:$A,0)+2))),
INDIRECT("Sheet4!"&amp;"I"&amp;MATCH($C$2,Sheet4!$A:$A,0)+2),IF(INDIRECT("Sheet4!"&amp;"I"&amp;MATCH($C$2,Sheet4!$A:$A,0)+2)="Água","Água",
IF(INDIRECT("Sheet4!"&amp;"I"&amp;MATCH($C$2,Sheet4!$A:$A,0)+2)="-","-",
IF(_xlfn.NUMBERVALUE(MID(INDIRECT("Sheet4!"&amp;"I"&amp;MATCH($C$2,Sheet4!$A:$A,0)+2),9,2))&lt;=$C$4,
_xlfn.IFNA(VLOOKUP(INDIRECT("Sheet4!"&amp;"I"&amp;MATCH($C$2,Sheet4!$A:$A,0)+2),$C$7:$H$17,1,FALSE)&amp;CHAR(10)&amp;VLOOKUP(INDIRECT("Sheet4!"&amp;"I"&amp;MATCH($C$2,Sheet4!$A:$A,0)+2),$C$7:$H$17,5,FALSE),
VLOOKUP(INDIRECT("Sheet4!"&amp;"I"&amp;MATCH($C$2,Sheet4!$A:$A,0)+2),$I$7:$N$17,1,FALSE)&amp;CHAR(10)&amp;VLOOKUP(INDIRECT("Sheet4!"&amp;"I"&amp;MATCH($C$2,Sheet4!$A:$A,0)+2),$I$7:$N$17,5,FALSE)),"-"))))</f>
        <v>-</v>
      </c>
      <c r="I22" s="8" t="str" cm="1">
        <f t="array" aca="1" ref="I22" ca="1">IF(ISNUMBER(FIND("ctrl",INDIRECT("Sheet4!"&amp;"J"&amp;MATCH($C$2,Sheet4!$A:$A,0)+2))),
INDIRECT("Sheet4!"&amp;"J"&amp;MATCH($C$2,Sheet4!$A:$A,0)+2),IF(INDIRECT("Sheet4!"&amp;"J"&amp;MATCH($C$2,Sheet4!$A:$A,0)+2)="Água","Água",
IF(INDIRECT("Sheet4!"&amp;"J"&amp;MATCH($C$2,Sheet4!$A:$A,0)+2)="-","-",
IF(_xlfn.NUMBERVALUE(MID(INDIRECT("Sheet4!"&amp;"J"&amp;MATCH($C$2,Sheet4!$A:$A,0)+2),9,2))&lt;=$C$4,
_xlfn.IFNA(VLOOKUP(INDIRECT("Sheet4!"&amp;"J"&amp;MATCH($C$2,Sheet4!$A:$A,0)+2),$C$7:$H$17,1,FALSE)&amp;CHAR(10)&amp;VLOOKUP(INDIRECT("Sheet4!"&amp;"J"&amp;MATCH($C$2,Sheet4!$A:$A,0)+2),$C$7:$H$17,5,FALSE),
VLOOKUP(INDIRECT("Sheet4!"&amp;"J"&amp;MATCH($C$2,Sheet4!$A:$A,0)+2),$I$7:$N$17,1,FALSE)&amp;CHAR(10)&amp;VLOOKUP(INDIRECT("Sheet4!"&amp;"J"&amp;MATCH($C$2,Sheet4!$A:$A,0)+2),$I$7:$N$17,5,FALSE)),"-"))))</f>
        <v>-</v>
      </c>
      <c r="J22" s="8" t="str" cm="1">
        <f t="array" aca="1" ref="J22" ca="1">IF(ISNUMBER(FIND("ctrl",INDIRECT("Sheet4!"&amp;"K"&amp;MATCH($C$2,Sheet4!$A:$A,0)+2))),
INDIRECT("Sheet4!"&amp;"K"&amp;MATCH($C$2,Sheet4!$A:$A,0)+2),IF(INDIRECT("Sheet4!"&amp;"K"&amp;MATCH($C$2,Sheet4!$A:$A,0)+2)="Água","Água",
IF(INDIRECT("Sheet4!"&amp;"K"&amp;MATCH($C$2,Sheet4!$A:$A,0)+2)="-","-",
IF(_xlfn.NUMBERVALUE(MID(INDIRECT("Sheet4!"&amp;"K"&amp;MATCH($C$2,Sheet4!$A:$A,0)+2),9,2))&lt;=$C$4,
_xlfn.IFNA(VLOOKUP(INDIRECT("Sheet4!"&amp;"K"&amp;MATCH($C$2,Sheet4!$A:$A,0)+2),$C$7:$H$17,1,FALSE)&amp;CHAR(10)&amp;VLOOKUP(INDIRECT("Sheet4!"&amp;"K"&amp;MATCH($C$2,Sheet4!$A:$A,0)+2),$C$7:$H$17,5,FALSE),
VLOOKUP(INDIRECT("Sheet4!"&amp;"K"&amp;MATCH($C$2,Sheet4!$A:$A,0)+2),$I$7:$N$17,1,FALSE)&amp;CHAR(10)&amp;VLOOKUP(INDIRECT("Sheet4!"&amp;"K"&amp;MATCH($C$2,Sheet4!$A:$A,0)+2),$I$7:$N$17,5,FALSE)),"-"))))</f>
        <v>-</v>
      </c>
      <c r="K22" s="8" t="str" cm="1">
        <f t="array" aca="1" ref="K22" ca="1">IF(ISNUMBER(FIND("ctrl",INDIRECT("Sheet4!"&amp;"L"&amp;MATCH($C$2,Sheet4!$A:$A,0)+2))),
INDIRECT("Sheet4!"&amp;"L"&amp;MATCH($C$2,Sheet4!$A:$A,0)+2),IF(INDIRECT("Sheet4!"&amp;"L"&amp;MATCH($C$2,Sheet4!$A:$A,0)+2)="Água","Água",
IF(INDIRECT("Sheet4!"&amp;"L"&amp;MATCH($C$2,Sheet4!$A:$A,0)+2)="-","-",
IF(_xlfn.NUMBERVALUE(MID(INDIRECT("Sheet4!"&amp;"L"&amp;MATCH($C$2,Sheet4!$A:$A,0)+2),9,2))&lt;=$C$4,
_xlfn.IFNA(VLOOKUP(INDIRECT("Sheet4!"&amp;"L"&amp;MATCH($C$2,Sheet4!$A:$A,0)+2),$C$7:$H$17,1,FALSE)&amp;CHAR(10)&amp;VLOOKUP(INDIRECT("Sheet4!"&amp;"L"&amp;MATCH($C$2,Sheet4!$A:$A,0)+2),$C$7:$H$17,5,FALSE),
VLOOKUP(INDIRECT("Sheet4!"&amp;"L"&amp;MATCH($C$2,Sheet4!$A:$A,0)+2),$I$7:$N$17,1,FALSE)&amp;CHAR(10)&amp;VLOOKUP(INDIRECT("Sheet4!"&amp;"L"&amp;MATCH($C$2,Sheet4!$A:$A,0)+2),$I$7:$N$17,5,FALSE)),"-"))))</f>
        <v>-</v>
      </c>
      <c r="L22" s="8" t="str" cm="1">
        <f t="array" aca="1" ref="L22" ca="1">IF(ISNUMBER(FIND("ctrl",INDIRECT("Sheet4!"&amp;"M"&amp;MATCH($C$2,Sheet4!$A:$A,0)+2))),
INDIRECT("Sheet4!"&amp;"M"&amp;MATCH($C$2,Sheet4!$A:$A,0)+2),IF(INDIRECT("Sheet4!"&amp;"M"&amp;MATCH($C$2,Sheet4!$A:$A,0)+2)="Água","Água",
IF(INDIRECT("Sheet4!"&amp;"M"&amp;MATCH($C$2,Sheet4!$A:$A,0)+2)="-","-",
IF(_xlfn.NUMBERVALUE(MID(INDIRECT("Sheet4!"&amp;"M"&amp;MATCH($C$2,Sheet4!$A:$A,0)+2),9,2))&lt;=$C$4,
_xlfn.IFNA(VLOOKUP(INDIRECT("Sheet4!"&amp;"M"&amp;MATCH($C$2,Sheet4!$A:$A,0)+2),$C$7:$H$17,1,FALSE)&amp;CHAR(10)&amp;VLOOKUP(INDIRECT("Sheet4!"&amp;"M"&amp;MATCH($C$2,Sheet4!$A:$A,0)+2),$C$7:$H$17,5,FALSE),
VLOOKUP(INDIRECT("Sheet4!"&amp;"M"&amp;MATCH($C$2,Sheet4!$A:$A,0)+2),$I$7:$N$17,1,FALSE)&amp;CHAR(10)&amp;VLOOKUP(INDIRECT("Sheet4!"&amp;"M"&amp;MATCH($C$2,Sheet4!$A:$A,0)+2),$I$7:$N$17,5,FALSE)),"-"))))</f>
        <v>-</v>
      </c>
      <c r="M22" s="8" t="str" cm="1">
        <f t="array" aca="1" ref="M22" ca="1">IF(ISNUMBER(FIND("ctrl",INDIRECT("Sheet4!"&amp;"N"&amp;MATCH($C$2,Sheet4!$A:$A,0)+2))),
INDIRECT("Sheet4!"&amp;"N"&amp;MATCH($C$2,Sheet4!$A:$A,0)+2),IF(INDIRECT("Sheet4!"&amp;"N"&amp;MATCH($C$2,Sheet4!$A:$A,0)+2)="Água","Água",
IF(INDIRECT("Sheet4!"&amp;"N"&amp;MATCH($C$2,Sheet4!$A:$A,0)+2)="-","-",
IF(_xlfn.NUMBERVALUE(MID(INDIRECT("Sheet4!"&amp;"N"&amp;MATCH($C$2,Sheet4!$A:$A,0)+2),9,2))&lt;=$C$4,
_xlfn.IFNA(VLOOKUP(INDIRECT("Sheet4!"&amp;"N"&amp;MATCH($C$2,Sheet4!$A:$A,0)+2),$C$7:$H$17,1,FALSE)&amp;CHAR(10)&amp;VLOOKUP(INDIRECT("Sheet4!"&amp;"N"&amp;MATCH($C$2,Sheet4!$A:$A,0)+2),$C$7:$H$17,5,FALSE),
VLOOKUP(INDIRECT("Sheet4!"&amp;"N"&amp;MATCH($C$2,Sheet4!$A:$A,0)+2),$I$7:$N$17,1,FALSE)&amp;CHAR(10)&amp;VLOOKUP(INDIRECT("Sheet4!"&amp;"N"&amp;MATCH($C$2,Sheet4!$A:$A,0)+2),$I$7:$N$17,5,FALSE)),"-"))))</f>
        <v>-</v>
      </c>
      <c r="N22" s="8" t="str" cm="1">
        <f t="array" aca="1" ref="N22" ca="1">IF(ISNUMBER(FIND("ctrl",INDIRECT("Sheet4!"&amp;"N"&amp;MATCH($C$2,Sheet4!$A:$A,0)+2))),
INDIRECT("Sheet4!"&amp;"N"&amp;MATCH($C$2,Sheet4!$A:$A,0)+2),IF(INDIRECT("Sheet4!"&amp;"N"&amp;MATCH($C$2,Sheet4!$A:$A,0)+2)="Água","Água",
IF(INDIRECT("Sheet4!"&amp;"N"&amp;MATCH($C$2,Sheet4!$A:$A,0)+2)="-","-",
IF(_xlfn.NUMBERVALUE(MID(INDIRECT("Sheet4!"&amp;"N"&amp;MATCH($C$2,Sheet4!$A:$A,0)+2),9,2))&lt;=$C$4,
_xlfn.IFNA(VLOOKUP(INDIRECT("Sheet4!"&amp;"N"&amp;MATCH($C$2,Sheet4!$A:$A,0)+2),$C$7:$H$17,1,FALSE)&amp;CHAR(10)&amp;VLOOKUP(INDIRECT("Sheet4!"&amp;"N"&amp;MATCH($C$2,Sheet4!$A:$A,0)+2),$C$7:$H$17,5,FALSE),
VLOOKUP(INDIRECT("Sheet4!"&amp;"N"&amp;MATCH($C$2,Sheet4!$A:$A,0)+2),$I$7:$N$17,1,FALSE)&amp;CHAR(10)&amp;VLOOKUP(INDIRECT("Sheet4!"&amp;"N"&amp;MATCH($C$2,Sheet4!$A:$A,0)+2),$I$7:$N$17,5,FALSE)),"-"))))</f>
        <v>-</v>
      </c>
    </row>
    <row r="23" spans="2:14" ht="15" customHeight="1" x14ac:dyDescent="0.25">
      <c r="B23" s="12" t="s">
        <v>29</v>
      </c>
      <c r="C23" s="8" t="str" cm="1">
        <f t="array" aca="1" ref="C23" ca="1">IF(ISNUMBER(FIND("ctrl",INDIRECT("Sheet4!"&amp;"D"&amp;MATCH($C$2,Sheet4!$A:$A,0)+3))),
INDIRECT("Sheet4!"&amp;"D"&amp;MATCH($C$2,Sheet4!$A:$A,0)+3),IF(INDIRECT("Sheet4!"&amp;"D"&amp;MATCH($C$2,Sheet4!$A:$A,0)+3)="Água","Água",
IF(INDIRECT("Sheet4!"&amp;"D"&amp;MATCH($C$2,Sheet4!$A:$A,0)+3)="-","-",
IF(_xlfn.NUMBERVALUE(MID(INDIRECT("Sheet4!"&amp;"D"&amp;MATCH($C$2,Sheet4!$A:$A,0)+3),9,2))&lt;=$C$4,
_xlfn.IFNA(VLOOKUP(INDIRECT("Sheet4!"&amp;"D"&amp;MATCH($C$2,Sheet4!$A:$A,0)+3),$C$7:$H$17,1,FALSE)&amp;CHAR(10)&amp;VLOOKUP(INDIRECT("Sheet4!"&amp;"D"&amp;MATCH($C$2,Sheet4!$A:$A,0)+3),$C$7:$H$17,5,FALSE),
VLOOKUP(INDIRECT("Sheet4!"&amp;"D"&amp;MATCH($C$2,Sheet4!$A:$A,0)+3),$I$7:$N$17,1,FALSE)&amp;CHAR(10)&amp;VLOOKUP(INDIRECT("Sheet4!"&amp;"D"&amp;MATCH($C$2,Sheet4!$A:$A,0)+3),$I$7:$N$17,5,FALSE)),"-"))))</f>
        <v>Amostra 1
37S R.G.S.V</v>
      </c>
      <c r="D23" s="8" t="str" cm="1">
        <f t="array" aca="1" ref="D23" ca="1">IF(ISNUMBER(FIND("ctrl",INDIRECT("Sheet4!"&amp;"E"&amp;MATCH($C$2,Sheet4!$A:$A,0)+3))),
INDIRECT("Sheet4!"&amp;"E"&amp;MATCH($C$2,Sheet4!$A:$A,0)+3),IF(INDIRECT("Sheet4!"&amp;"E"&amp;MATCH($C$2,Sheet4!$A:$A,0)+3)="Água","Água",
IF(INDIRECT("Sheet4!"&amp;"E"&amp;MATCH($C$2,Sheet4!$A:$A,0)+3)="-","-",
IF(_xlfn.NUMBERVALUE(MID(INDIRECT("Sheet4!"&amp;"E"&amp;MATCH($C$2,Sheet4!$A:$A,0)+3),9,2))&lt;=$C$4,
_xlfn.IFNA(VLOOKUP(INDIRECT("Sheet4!"&amp;"E"&amp;MATCH($C$2,Sheet4!$A:$A,0)+3),$C$7:$H$17,1,FALSE)&amp;CHAR(10)&amp;VLOOKUP(INDIRECT("Sheet4!"&amp;"E"&amp;MATCH($C$2,Sheet4!$A:$A,0)+3),$C$7:$H$17,5,FALSE),
VLOOKUP(INDIRECT("Sheet4!"&amp;"E"&amp;MATCH($C$2,Sheet4!$A:$A,0)+3),$I$7:$N$17,1,FALSE)&amp;CHAR(10)&amp;VLOOKUP(INDIRECT("Sheet4!"&amp;"E"&amp;MATCH($C$2,Sheet4!$A:$A,0)+3),$I$7:$N$17,5,FALSE)),"-"))))</f>
        <v>-</v>
      </c>
      <c r="E23" s="8" t="str" cm="1">
        <f t="array" aca="1" ref="E23" ca="1">IF(ISNUMBER(FIND("ctrl",INDIRECT("Sheet4!"&amp;"F"&amp;MATCH($C$2,Sheet4!$A:$A,0)+3))),
INDIRECT("Sheet4!"&amp;"F"&amp;MATCH($C$2,Sheet4!$A:$A,0)+3),IF(INDIRECT("Sheet4!"&amp;"F"&amp;MATCH($C$2,Sheet4!$A:$A,0)+3)="Água","Água",
IF(INDIRECT("Sheet4!"&amp;"F"&amp;MATCH($C$2,Sheet4!$A:$A,0)+3)="-","-",
IF(_xlfn.NUMBERVALUE(MID(INDIRECT("Sheet4!"&amp;"F"&amp;MATCH($C$2,Sheet4!$A:$A,0)+3),9,2))&lt;=$C$4,
_xlfn.IFNA(VLOOKUP(INDIRECT("Sheet4!"&amp;"F"&amp;MATCH($C$2,Sheet4!$A:$A,0)+3),$C$7:$H$17,1,FALSE)&amp;CHAR(10)&amp;VLOOKUP(INDIRECT("Sheet4!"&amp;"F"&amp;MATCH($C$2,Sheet4!$A:$A,0)+3),$C$7:$H$17,5,FALSE),
VLOOKUP(INDIRECT("Sheet4!"&amp;"F"&amp;MATCH($C$2,Sheet4!$A:$A,0)+3),$I$7:$N$17,1,FALSE)&amp;CHAR(10)&amp;VLOOKUP(INDIRECT("Sheet4!"&amp;"F"&amp;MATCH($C$2,Sheet4!$A:$A,0)+3),$I$7:$N$17,5,FALSE)),"-"))))</f>
        <v>-</v>
      </c>
      <c r="F23" s="8" t="str" cm="1">
        <f t="array" aca="1" ref="F23" ca="1">IF(ISNUMBER(FIND("ctrl",INDIRECT("Sheet4!"&amp;"G"&amp;MATCH($C$2,Sheet4!$A:$A,0)+3))),
INDIRECT("Sheet4!"&amp;"G"&amp;MATCH($C$2,Sheet4!$A:$A,0)+3),IF(INDIRECT("Sheet4!"&amp;"G"&amp;MATCH($C$2,Sheet4!$A:$A,0)+3)="Água","Água",
IF(INDIRECT("Sheet4!"&amp;"G"&amp;MATCH($C$2,Sheet4!$A:$A,0)+3)="-","-",
IF(_xlfn.NUMBERVALUE(MID(INDIRECT("Sheet4!"&amp;"G"&amp;MATCH($C$2,Sheet4!$A:$A,0)+3),9,2))&lt;=$C$4,
_xlfn.IFNA(VLOOKUP(INDIRECT("Sheet4!"&amp;"G"&amp;MATCH($C$2,Sheet4!$A:$A,0)+3),$C$7:$H$17,1,FALSE)&amp;CHAR(10)&amp;VLOOKUP(INDIRECT("Sheet4!"&amp;"G"&amp;MATCH($C$2,Sheet4!$A:$A,0)+3),$C$7:$H$17,5,FALSE),
VLOOKUP(INDIRECT("Sheet4!"&amp;"G"&amp;MATCH($C$2,Sheet4!$A:$A,0)+3),$I$7:$N$17,1,FALSE)&amp;CHAR(10)&amp;VLOOKUP(INDIRECT("Sheet4!"&amp;"G"&amp;MATCH($C$2,Sheet4!$A:$A,0)+3),$I$7:$N$17,5,FALSE)),"-"))))</f>
        <v>-</v>
      </c>
      <c r="G23" s="8" t="str" cm="1">
        <f t="array" aca="1" ref="G23" ca="1">IF(ISNUMBER(FIND("ctrl",INDIRECT("Sheet4!"&amp;"H"&amp;MATCH($C$2,Sheet4!$A:$A,0)+3))),
INDIRECT("Sheet4!"&amp;"H"&amp;MATCH($C$2,Sheet4!$A:$A,0)+3),IF(INDIRECT("Sheet4!"&amp;"H"&amp;MATCH($C$2,Sheet4!$A:$A,0)+3)="Água","Água",
IF(INDIRECT("Sheet4!"&amp;"H"&amp;MATCH($C$2,Sheet4!$A:$A,0)+3)="-","-",
IF(_xlfn.NUMBERVALUE(MID(INDIRECT("Sheet4!"&amp;"H"&amp;MATCH($C$2,Sheet4!$A:$A,0)+3),9,2))&lt;=$C$4,
_xlfn.IFNA(VLOOKUP(INDIRECT("Sheet4!"&amp;"H"&amp;MATCH($C$2,Sheet4!$A:$A,0)+3),$C$7:$H$17,1,FALSE)&amp;CHAR(10)&amp;VLOOKUP(INDIRECT("Sheet4!"&amp;"H"&amp;MATCH($C$2,Sheet4!$A:$A,0)+3),$C$7:$H$17,5,FALSE),
VLOOKUP(INDIRECT("Sheet4!"&amp;"H"&amp;MATCH($C$2,Sheet4!$A:$A,0)+3),$I$7:$N$17,1,FALSE)&amp;CHAR(10)&amp;VLOOKUP(INDIRECT("Sheet4!"&amp;"H"&amp;MATCH($C$2,Sheet4!$A:$A,0)+3),$I$7:$N$17,5,FALSE)),"-"))))</f>
        <v>-</v>
      </c>
      <c r="H23" s="8" t="str" cm="1">
        <f t="array" aca="1" ref="H23" ca="1">IF(ISNUMBER(FIND("ctrl",INDIRECT("Sheet4!"&amp;"I"&amp;MATCH($C$2,Sheet4!$A:$A,0)+3))),
INDIRECT("Sheet4!"&amp;"I"&amp;MATCH($C$2,Sheet4!$A:$A,0)+3),IF(INDIRECT("Sheet4!"&amp;"I"&amp;MATCH($C$2,Sheet4!$A:$A,0)+3)="Água","Água",
IF(INDIRECT("Sheet4!"&amp;"I"&amp;MATCH($C$2,Sheet4!$A:$A,0)+3)="-","-",
IF(_xlfn.NUMBERVALUE(MID(INDIRECT("Sheet4!"&amp;"I"&amp;MATCH($C$2,Sheet4!$A:$A,0)+3),9,2))&lt;=$C$4,
_xlfn.IFNA(VLOOKUP(INDIRECT("Sheet4!"&amp;"I"&amp;MATCH($C$2,Sheet4!$A:$A,0)+3),$C$7:$H$17,1,FALSE)&amp;CHAR(10)&amp;VLOOKUP(INDIRECT("Sheet4!"&amp;"I"&amp;MATCH($C$2,Sheet4!$A:$A,0)+3),$C$7:$H$17,5,FALSE),
VLOOKUP(INDIRECT("Sheet4!"&amp;"I"&amp;MATCH($C$2,Sheet4!$A:$A,0)+3),$I$7:$N$17,1,FALSE)&amp;CHAR(10)&amp;VLOOKUP(INDIRECT("Sheet4!"&amp;"I"&amp;MATCH($C$2,Sheet4!$A:$A,0)+3),$I$7:$N$17,5,FALSE)),"-"))))</f>
        <v>-</v>
      </c>
      <c r="I23" s="8" t="str" cm="1">
        <f t="array" aca="1" ref="I23" ca="1">IF(ISNUMBER(FIND("ctrl",INDIRECT("Sheet4!"&amp;"J"&amp;MATCH($C$2,Sheet4!$A:$A,0)+3))),
INDIRECT("Sheet4!"&amp;"J"&amp;MATCH($C$2,Sheet4!$A:$A,0)+3),IF(INDIRECT("Sheet4!"&amp;"J"&amp;MATCH($C$2,Sheet4!$A:$A,0)+3)="Água","Água",
IF(INDIRECT("Sheet4!"&amp;"J"&amp;MATCH($C$2,Sheet4!$A:$A,0)+3)="-","-",
IF(_xlfn.NUMBERVALUE(MID(INDIRECT("Sheet4!"&amp;"J"&amp;MATCH($C$2,Sheet4!$A:$A,0)+3),9,2))&lt;=$C$4,
_xlfn.IFNA(VLOOKUP(INDIRECT("Sheet4!"&amp;"J"&amp;MATCH($C$2,Sheet4!$A:$A,0)+3),$C$7:$H$17,1,FALSE)&amp;CHAR(10)&amp;VLOOKUP(INDIRECT("Sheet4!"&amp;"J"&amp;MATCH($C$2,Sheet4!$A:$A,0)+3),$C$7:$H$17,5,FALSE),
VLOOKUP(INDIRECT("Sheet4!"&amp;"J"&amp;MATCH($C$2,Sheet4!$A:$A,0)+3),$I$7:$N$17,1,FALSE)&amp;CHAR(10)&amp;VLOOKUP(INDIRECT("Sheet4!"&amp;"J"&amp;MATCH($C$2,Sheet4!$A:$A,0)+3),$I$7:$N$17,5,FALSE)),"-"))))</f>
        <v>-</v>
      </c>
      <c r="J23" s="8" t="str" cm="1">
        <f t="array" aca="1" ref="J23" ca="1">IF(ISNUMBER(FIND("ctrl",INDIRECT("Sheet4!"&amp;"K"&amp;MATCH($C$2,Sheet4!$A:$A,0)+3))),
INDIRECT("Sheet4!"&amp;"K"&amp;MATCH($C$2,Sheet4!$A:$A,0)+3),IF(INDIRECT("Sheet4!"&amp;"K"&amp;MATCH($C$2,Sheet4!$A:$A,0)+3)="Água","Água",
IF(INDIRECT("Sheet4!"&amp;"K"&amp;MATCH($C$2,Sheet4!$A:$A,0)+3)="-","-",
IF(_xlfn.NUMBERVALUE(MID(INDIRECT("Sheet4!"&amp;"K"&amp;MATCH($C$2,Sheet4!$A:$A,0)+3),9,2))&lt;=$C$4,
_xlfn.IFNA(VLOOKUP(INDIRECT("Sheet4!"&amp;"K"&amp;MATCH($C$2,Sheet4!$A:$A,0)+3),$C$7:$H$17,1,FALSE)&amp;CHAR(10)&amp;VLOOKUP(INDIRECT("Sheet4!"&amp;"K"&amp;MATCH($C$2,Sheet4!$A:$A,0)+3),$C$7:$H$17,5,FALSE),
VLOOKUP(INDIRECT("Sheet4!"&amp;"K"&amp;MATCH($C$2,Sheet4!$A:$A,0)+3),$I$7:$N$17,1,FALSE)&amp;CHAR(10)&amp;VLOOKUP(INDIRECT("Sheet4!"&amp;"K"&amp;MATCH($C$2,Sheet4!$A:$A,0)+3),$I$7:$N$17,5,FALSE)),"-"))))</f>
        <v>-</v>
      </c>
      <c r="K23" s="8" t="str" cm="1">
        <f t="array" aca="1" ref="K23" ca="1">IF(ISNUMBER(FIND("ctrl",INDIRECT("Sheet4!"&amp;"L"&amp;MATCH($C$2,Sheet4!$A:$A,0)+3))),
INDIRECT("Sheet4!"&amp;"L"&amp;MATCH($C$2,Sheet4!$A:$A,0)+3),IF(INDIRECT("Sheet4!"&amp;"L"&amp;MATCH($C$2,Sheet4!$A:$A,0)+3)="Água","Água",
IF(INDIRECT("Sheet4!"&amp;"L"&amp;MATCH($C$2,Sheet4!$A:$A,0)+3)="-","-",
IF(_xlfn.NUMBERVALUE(MID(INDIRECT("Sheet4!"&amp;"L"&amp;MATCH($C$2,Sheet4!$A:$A,0)+3),9,2))&lt;=$C$4,
_xlfn.IFNA(VLOOKUP(INDIRECT("Sheet4!"&amp;"L"&amp;MATCH($C$2,Sheet4!$A:$A,0)+3),$C$7:$H$17,1,FALSE)&amp;CHAR(10)&amp;VLOOKUP(INDIRECT("Sheet4!"&amp;"L"&amp;MATCH($C$2,Sheet4!$A:$A,0)+3),$C$7:$H$17,5,FALSE),
VLOOKUP(INDIRECT("Sheet4!"&amp;"L"&amp;MATCH($C$2,Sheet4!$A:$A,0)+3),$I$7:$N$17,1,FALSE)&amp;CHAR(10)&amp;VLOOKUP(INDIRECT("Sheet4!"&amp;"L"&amp;MATCH($C$2,Sheet4!$A:$A,0)+3),$I$7:$N$17,5,FALSE)),"-"))))</f>
        <v>-</v>
      </c>
      <c r="L23" s="8" t="str" cm="1">
        <f t="array" aca="1" ref="L23" ca="1">IF(ISNUMBER(FIND("ctrl",INDIRECT("Sheet4!"&amp;"M"&amp;MATCH($C$2,Sheet4!$A:$A,0)+3))),
INDIRECT("Sheet4!"&amp;"M"&amp;MATCH($C$2,Sheet4!$A:$A,0)+3),IF(INDIRECT("Sheet4!"&amp;"M"&amp;MATCH($C$2,Sheet4!$A:$A,0)+3)="Água","Água",
IF(INDIRECT("Sheet4!"&amp;"M"&amp;MATCH($C$2,Sheet4!$A:$A,0)+3)="-","-",
IF(_xlfn.NUMBERVALUE(MID(INDIRECT("Sheet4!"&amp;"M"&amp;MATCH($C$2,Sheet4!$A:$A,0)+3),9,2))&lt;=$C$4,
_xlfn.IFNA(VLOOKUP(INDIRECT("Sheet4!"&amp;"M"&amp;MATCH($C$2,Sheet4!$A:$A,0)+3),$C$7:$H$17,1,FALSE)&amp;CHAR(10)&amp;VLOOKUP(INDIRECT("Sheet4!"&amp;"M"&amp;MATCH($C$2,Sheet4!$A:$A,0)+3),$C$7:$H$17,5,FALSE),
VLOOKUP(INDIRECT("Sheet4!"&amp;"M"&amp;MATCH($C$2,Sheet4!$A:$A,0)+3),$I$7:$N$17,1,FALSE)&amp;CHAR(10)&amp;VLOOKUP(INDIRECT("Sheet4!"&amp;"M"&amp;MATCH($C$2,Sheet4!$A:$A,0)+3),$I$7:$N$17,5,FALSE)),"-"))))</f>
        <v>-</v>
      </c>
      <c r="M23" s="8" t="str" cm="1">
        <f t="array" aca="1" ref="M23" ca="1">IF(ISNUMBER(FIND("ctrl",INDIRECT("Sheet4!"&amp;"N"&amp;MATCH($C$2,Sheet4!$A:$A,0)+3))),
INDIRECT("Sheet4!"&amp;"N"&amp;MATCH($C$2,Sheet4!$A:$A,0)+3),IF(INDIRECT("Sheet4!"&amp;"N"&amp;MATCH($C$2,Sheet4!$A:$A,0)+3)="Água","Água",
IF(INDIRECT("Sheet4!"&amp;"N"&amp;MATCH($C$2,Sheet4!$A:$A,0)+3)="-","-",
IF(_xlfn.NUMBERVALUE(MID(INDIRECT("Sheet4!"&amp;"N"&amp;MATCH($C$2,Sheet4!$A:$A,0)+3),9,2))&lt;=$C$4,
_xlfn.IFNA(VLOOKUP(INDIRECT("Sheet4!"&amp;"N"&amp;MATCH($C$2,Sheet4!$A:$A,0)+3),$C$7:$H$17,1,FALSE)&amp;CHAR(10)&amp;VLOOKUP(INDIRECT("Sheet4!"&amp;"N"&amp;MATCH($C$2,Sheet4!$A:$A,0)+3),$C$7:$H$17,5,FALSE),
VLOOKUP(INDIRECT("Sheet4!"&amp;"N"&amp;MATCH($C$2,Sheet4!$A:$A,0)+3),$I$7:$N$17,1,FALSE)&amp;CHAR(10)&amp;VLOOKUP(INDIRECT("Sheet4!"&amp;"N"&amp;MATCH($C$2,Sheet4!$A:$A,0)+3),$I$7:$N$17,5,FALSE)),"-"))))</f>
        <v>-</v>
      </c>
      <c r="N23" s="8" t="str" cm="1">
        <f t="array" aca="1" ref="N23" ca="1">IF(ISNUMBER(FIND("ctrl",INDIRECT("Sheet4!"&amp;"N"&amp;MATCH($C$2,Sheet4!$A:$A,0)+3))),
INDIRECT("Sheet4!"&amp;"N"&amp;MATCH($C$2,Sheet4!$A:$A,0)+3),IF(INDIRECT("Sheet4!"&amp;"N"&amp;MATCH($C$2,Sheet4!$A:$A,0)+3)="Água","Água",
IF(INDIRECT("Sheet4!"&amp;"N"&amp;MATCH($C$2,Sheet4!$A:$A,0)+3)="-","-",
IF(_xlfn.NUMBERVALUE(MID(INDIRECT("Sheet4!"&amp;"N"&amp;MATCH($C$2,Sheet4!$A:$A,0)+3),9,2))&lt;=$C$4,
_xlfn.IFNA(VLOOKUP(INDIRECT("Sheet4!"&amp;"N"&amp;MATCH($C$2,Sheet4!$A:$A,0)+3),$C$7:$H$17,1,FALSE)&amp;CHAR(10)&amp;VLOOKUP(INDIRECT("Sheet4!"&amp;"N"&amp;MATCH($C$2,Sheet4!$A:$A,0)+3),$C$7:$H$17,5,FALSE),
VLOOKUP(INDIRECT("Sheet4!"&amp;"N"&amp;MATCH($C$2,Sheet4!$A:$A,0)+3),$I$7:$N$17,1,FALSE)&amp;CHAR(10)&amp;VLOOKUP(INDIRECT("Sheet4!"&amp;"N"&amp;MATCH($C$2,Sheet4!$A:$A,0)+3),$I$7:$N$17,5,FALSE)),"-"))))</f>
        <v>-</v>
      </c>
    </row>
    <row r="24" spans="2:14" x14ac:dyDescent="0.25">
      <c r="B24" s="12" t="s">
        <v>30</v>
      </c>
      <c r="C24" s="8" t="str" cm="1">
        <f t="array" aca="1" ref="C24" ca="1">IF(ISNUMBER(FIND("ctrl",INDIRECT("Sheet4!"&amp;"D"&amp;MATCH($C$2,Sheet4!$A:$A,0)+4))),
INDIRECT("Sheet4!"&amp;"D"&amp;MATCH($C$2,Sheet4!$A:$A,0)+4),IF(INDIRECT("Sheet4!"&amp;"D"&amp;MATCH($C$2,Sheet4!$A:$A,0)+4)="Água","Água",
IF(INDIRECT("Sheet4!"&amp;"D"&amp;MATCH($C$2,Sheet4!$A:$A,0)+4)="-","-",
IF(_xlfn.NUMBERVALUE(MID(INDIRECT("Sheet4!"&amp;"D"&amp;MATCH($C$2,Sheet4!$A:$A,0)+4),9,2))&lt;=$C$4,
_xlfn.IFNA(VLOOKUP(INDIRECT("Sheet4!"&amp;"D"&amp;MATCH($C$2,Sheet4!$A:$A,0)+4),$C$7:$H$17,1,FALSE)&amp;CHAR(10)&amp;VLOOKUP(INDIRECT("Sheet4!"&amp;"D"&amp;MATCH($C$2,Sheet4!$A:$A,0)+4),$C$7:$H$17,5,FALSE),
VLOOKUP(INDIRECT("Sheet4!"&amp;"D"&amp;MATCH($C$2,Sheet4!$A:$A,0)+4),$I$7:$N$17,1,FALSE)&amp;CHAR(10)&amp;VLOOKUP(INDIRECT("Sheet4!"&amp;"D"&amp;MATCH($C$2,Sheet4!$A:$A,0)+4),$I$7:$N$17,5,FALSE)),"-"))))</f>
        <v>-</v>
      </c>
      <c r="D24" s="8" t="str" cm="1">
        <f t="array" aca="1" ref="D24" ca="1">IF(ISNUMBER(FIND("ctrl",INDIRECT("Sheet4!"&amp;"E"&amp;MATCH($C$2,Sheet4!$A:$A,0)+4))),
INDIRECT("Sheet4!"&amp;"E"&amp;MATCH($C$2,Sheet4!$A:$A,0)+4),IF(INDIRECT("Sheet4!"&amp;"E"&amp;MATCH($C$2,Sheet4!$A:$A,0)+4)="Água","Água",
IF(INDIRECT("Sheet4!"&amp;"E"&amp;MATCH($C$2,Sheet4!$A:$A,0)+4)="-","-",
IF(_xlfn.NUMBERVALUE(MID(INDIRECT("Sheet4!"&amp;"E"&amp;MATCH($C$2,Sheet4!$A:$A,0)+4),9,2))&lt;=$C$4,
_xlfn.IFNA(VLOOKUP(INDIRECT("Sheet4!"&amp;"E"&amp;MATCH($C$2,Sheet4!$A:$A,0)+4),$C$7:$H$17,1,FALSE)&amp;CHAR(10)&amp;VLOOKUP(INDIRECT("Sheet4!"&amp;"E"&amp;MATCH($C$2,Sheet4!$A:$A,0)+4),$C$7:$H$17,5,FALSE),
VLOOKUP(INDIRECT("Sheet4!"&amp;"E"&amp;MATCH($C$2,Sheet4!$A:$A,0)+4),$I$7:$N$17,1,FALSE)&amp;CHAR(10)&amp;VLOOKUP(INDIRECT("Sheet4!"&amp;"E"&amp;MATCH($C$2,Sheet4!$A:$A,0)+4),$I$7:$N$17,5,FALSE)),"-"))))</f>
        <v>-</v>
      </c>
      <c r="E24" s="8" t="str" cm="1">
        <f t="array" aca="1" ref="E24" ca="1">IF(ISNUMBER(FIND("ctrl",INDIRECT("Sheet4!"&amp;"F"&amp;MATCH($C$2,Sheet4!$A:$A,0)+4))),
INDIRECT("Sheet4!"&amp;"F"&amp;MATCH($C$2,Sheet4!$A:$A,0)+4),IF(INDIRECT("Sheet4!"&amp;"F"&amp;MATCH($C$2,Sheet4!$A:$A,0)+4)="Água","Água",
IF(INDIRECT("Sheet4!"&amp;"F"&amp;MATCH($C$2,Sheet4!$A:$A,0)+4)="-","-",
IF(_xlfn.NUMBERVALUE(MID(INDIRECT("Sheet4!"&amp;"F"&amp;MATCH($C$2,Sheet4!$A:$A,0)+4),9,2))&lt;=$C$4,
_xlfn.IFNA(VLOOKUP(INDIRECT("Sheet4!"&amp;"F"&amp;MATCH($C$2,Sheet4!$A:$A,0)+4),$C$7:$H$17,1,FALSE)&amp;CHAR(10)&amp;VLOOKUP(INDIRECT("Sheet4!"&amp;"F"&amp;MATCH($C$2,Sheet4!$A:$A,0)+4),$C$7:$H$17,5,FALSE),
VLOOKUP(INDIRECT("Sheet4!"&amp;"F"&amp;MATCH($C$2,Sheet4!$A:$A,0)+4),$I$7:$N$17,1,FALSE)&amp;CHAR(10)&amp;VLOOKUP(INDIRECT("Sheet4!"&amp;"F"&amp;MATCH($C$2,Sheet4!$A:$A,0)+4),$I$7:$N$17,5,FALSE)),"-"))))</f>
        <v>-</v>
      </c>
      <c r="F24" s="8" t="str" cm="1">
        <f t="array" aca="1" ref="F24" ca="1">IF(ISNUMBER(FIND("ctrl",INDIRECT("Sheet4!"&amp;"G"&amp;MATCH($C$2,Sheet4!$A:$A,0)+4))),
INDIRECT("Sheet4!"&amp;"G"&amp;MATCH($C$2,Sheet4!$A:$A,0)+4),IF(INDIRECT("Sheet4!"&amp;"G"&amp;MATCH($C$2,Sheet4!$A:$A,0)+4)="Água","Água",
IF(INDIRECT("Sheet4!"&amp;"G"&amp;MATCH($C$2,Sheet4!$A:$A,0)+4)="-","-",
IF(_xlfn.NUMBERVALUE(MID(INDIRECT("Sheet4!"&amp;"G"&amp;MATCH($C$2,Sheet4!$A:$A,0)+4),9,2))&lt;=$C$4,
_xlfn.IFNA(VLOOKUP(INDIRECT("Sheet4!"&amp;"G"&amp;MATCH($C$2,Sheet4!$A:$A,0)+4),$C$7:$H$17,1,FALSE)&amp;CHAR(10)&amp;VLOOKUP(INDIRECT("Sheet4!"&amp;"G"&amp;MATCH($C$2,Sheet4!$A:$A,0)+4),$C$7:$H$17,5,FALSE),
VLOOKUP(INDIRECT("Sheet4!"&amp;"G"&amp;MATCH($C$2,Sheet4!$A:$A,0)+4),$I$7:$N$17,1,FALSE)&amp;CHAR(10)&amp;VLOOKUP(INDIRECT("Sheet4!"&amp;"G"&amp;MATCH($C$2,Sheet4!$A:$A,0)+4),$I$7:$N$17,5,FALSE)),"-"))))</f>
        <v>-</v>
      </c>
      <c r="G24" s="8" t="str" cm="1">
        <f t="array" aca="1" ref="G24" ca="1">IF(ISNUMBER(FIND("ctrl",INDIRECT("Sheet4!"&amp;"H"&amp;MATCH($C$2,Sheet4!$A:$A,0)+4))),
INDIRECT("Sheet4!"&amp;"H"&amp;MATCH($C$2,Sheet4!$A:$A,0)+4),IF(INDIRECT("Sheet4!"&amp;"H"&amp;MATCH($C$2,Sheet4!$A:$A,0)+4)="Água","Água",
IF(INDIRECT("Sheet4!"&amp;"H"&amp;MATCH($C$2,Sheet4!$A:$A,0)+4)="-","-",
IF(_xlfn.NUMBERVALUE(MID(INDIRECT("Sheet4!"&amp;"H"&amp;MATCH($C$2,Sheet4!$A:$A,0)+4),9,2))&lt;=$C$4,
_xlfn.IFNA(VLOOKUP(INDIRECT("Sheet4!"&amp;"H"&amp;MATCH($C$2,Sheet4!$A:$A,0)+4),$C$7:$H$17,1,FALSE)&amp;CHAR(10)&amp;VLOOKUP(INDIRECT("Sheet4!"&amp;"H"&amp;MATCH($C$2,Sheet4!$A:$A,0)+4),$C$7:$H$17,5,FALSE),
VLOOKUP(INDIRECT("Sheet4!"&amp;"H"&amp;MATCH($C$2,Sheet4!$A:$A,0)+4),$I$7:$N$17,1,FALSE)&amp;CHAR(10)&amp;VLOOKUP(INDIRECT("Sheet4!"&amp;"H"&amp;MATCH($C$2,Sheet4!$A:$A,0)+4),$I$7:$N$17,5,FALSE)),"-"))))</f>
        <v>-</v>
      </c>
      <c r="H24" s="8" t="str" cm="1">
        <f t="array" aca="1" ref="H24" ca="1">IF(ISNUMBER(FIND("ctrl",INDIRECT("Sheet4!"&amp;"I"&amp;MATCH($C$2,Sheet4!$A:$A,0)+4))),
INDIRECT("Sheet4!"&amp;"I"&amp;MATCH($C$2,Sheet4!$A:$A,0)+4),IF(INDIRECT("Sheet4!"&amp;"I"&amp;MATCH($C$2,Sheet4!$A:$A,0)+4)="Água","Água",
IF(INDIRECT("Sheet4!"&amp;"I"&amp;MATCH($C$2,Sheet4!$A:$A,0)+4)="-","-",
IF(_xlfn.NUMBERVALUE(MID(INDIRECT("Sheet4!"&amp;"I"&amp;MATCH($C$2,Sheet4!$A:$A,0)+4),9,2))&lt;=$C$4,
_xlfn.IFNA(VLOOKUP(INDIRECT("Sheet4!"&amp;"I"&amp;MATCH($C$2,Sheet4!$A:$A,0)+4),$C$7:$H$17,1,FALSE)&amp;CHAR(10)&amp;VLOOKUP(INDIRECT("Sheet4!"&amp;"I"&amp;MATCH($C$2,Sheet4!$A:$A,0)+4),$C$7:$H$17,5,FALSE),
VLOOKUP(INDIRECT("Sheet4!"&amp;"I"&amp;MATCH($C$2,Sheet4!$A:$A,0)+4),$I$7:$N$17,1,FALSE)&amp;CHAR(10)&amp;VLOOKUP(INDIRECT("Sheet4!"&amp;"I"&amp;MATCH($C$2,Sheet4!$A:$A,0)+4),$I$7:$N$17,5,FALSE)),"-"))))</f>
        <v>-</v>
      </c>
      <c r="I24" s="8" t="str" cm="1">
        <f t="array" aca="1" ref="I24" ca="1">IF(ISNUMBER(FIND("ctrl",INDIRECT("Sheet4!"&amp;"J"&amp;MATCH($C$2,Sheet4!$A:$A,0)+4))),
INDIRECT("Sheet4!"&amp;"J"&amp;MATCH($C$2,Sheet4!$A:$A,0)+4),IF(INDIRECT("Sheet4!"&amp;"J"&amp;MATCH($C$2,Sheet4!$A:$A,0)+4)="Água","Água",
IF(INDIRECT("Sheet4!"&amp;"J"&amp;MATCH($C$2,Sheet4!$A:$A,0)+4)="-","-",
IF(_xlfn.NUMBERVALUE(MID(INDIRECT("Sheet4!"&amp;"J"&amp;MATCH($C$2,Sheet4!$A:$A,0)+4),9,2))&lt;=$C$4,
_xlfn.IFNA(VLOOKUP(INDIRECT("Sheet4!"&amp;"J"&amp;MATCH($C$2,Sheet4!$A:$A,0)+4),$C$7:$H$17,1,FALSE)&amp;CHAR(10)&amp;VLOOKUP(INDIRECT("Sheet4!"&amp;"J"&amp;MATCH($C$2,Sheet4!$A:$A,0)+4),$C$7:$H$17,5,FALSE),
VLOOKUP(INDIRECT("Sheet4!"&amp;"J"&amp;MATCH($C$2,Sheet4!$A:$A,0)+4),$I$7:$N$17,1,FALSE)&amp;CHAR(10)&amp;VLOOKUP(INDIRECT("Sheet4!"&amp;"J"&amp;MATCH($C$2,Sheet4!$A:$A,0)+4),$I$7:$N$17,5,FALSE)),"-"))))</f>
        <v>-</v>
      </c>
      <c r="J24" s="8" t="str" cm="1">
        <f t="array" aca="1" ref="J24" ca="1">IF(ISNUMBER(FIND("ctrl",INDIRECT("Sheet4!"&amp;"K"&amp;MATCH($C$2,Sheet4!$A:$A,0)+4))),
INDIRECT("Sheet4!"&amp;"K"&amp;MATCH($C$2,Sheet4!$A:$A,0)+4),IF(INDIRECT("Sheet4!"&amp;"K"&amp;MATCH($C$2,Sheet4!$A:$A,0)+4)="Água","Água",
IF(INDIRECT("Sheet4!"&amp;"K"&amp;MATCH($C$2,Sheet4!$A:$A,0)+4)="-","-",
IF(_xlfn.NUMBERVALUE(MID(INDIRECT("Sheet4!"&amp;"K"&amp;MATCH($C$2,Sheet4!$A:$A,0)+4),9,2))&lt;=$C$4,
_xlfn.IFNA(VLOOKUP(INDIRECT("Sheet4!"&amp;"K"&amp;MATCH($C$2,Sheet4!$A:$A,0)+4),$C$7:$H$17,1,FALSE)&amp;CHAR(10)&amp;VLOOKUP(INDIRECT("Sheet4!"&amp;"K"&amp;MATCH($C$2,Sheet4!$A:$A,0)+4),$C$7:$H$17,5,FALSE),
VLOOKUP(INDIRECT("Sheet4!"&amp;"K"&amp;MATCH($C$2,Sheet4!$A:$A,0)+4),$I$7:$N$17,1,FALSE)&amp;CHAR(10)&amp;VLOOKUP(INDIRECT("Sheet4!"&amp;"K"&amp;MATCH($C$2,Sheet4!$A:$A,0)+4),$I$7:$N$17,5,FALSE)),"-"))))</f>
        <v>-</v>
      </c>
      <c r="K24" s="8" t="str" cm="1">
        <f t="array" aca="1" ref="K24" ca="1">IF(ISNUMBER(FIND("ctrl",INDIRECT("Sheet4!"&amp;"L"&amp;MATCH($C$2,Sheet4!$A:$A,0)+4))),
INDIRECT("Sheet4!"&amp;"L"&amp;MATCH($C$2,Sheet4!$A:$A,0)+4),IF(INDIRECT("Sheet4!"&amp;"L"&amp;MATCH($C$2,Sheet4!$A:$A,0)+4)="Água","Água",
IF(INDIRECT("Sheet4!"&amp;"L"&amp;MATCH($C$2,Sheet4!$A:$A,0)+4)="-","-",
IF(_xlfn.NUMBERVALUE(MID(INDIRECT("Sheet4!"&amp;"L"&amp;MATCH($C$2,Sheet4!$A:$A,0)+4),9,2))&lt;=$C$4,
_xlfn.IFNA(VLOOKUP(INDIRECT("Sheet4!"&amp;"L"&amp;MATCH($C$2,Sheet4!$A:$A,0)+4),$C$7:$H$17,1,FALSE)&amp;CHAR(10)&amp;VLOOKUP(INDIRECT("Sheet4!"&amp;"L"&amp;MATCH($C$2,Sheet4!$A:$A,0)+4),$C$7:$H$17,5,FALSE),
VLOOKUP(INDIRECT("Sheet4!"&amp;"L"&amp;MATCH($C$2,Sheet4!$A:$A,0)+4),$I$7:$N$17,1,FALSE)&amp;CHAR(10)&amp;VLOOKUP(INDIRECT("Sheet4!"&amp;"L"&amp;MATCH($C$2,Sheet4!$A:$A,0)+4),$I$7:$N$17,5,FALSE)),"-"))))</f>
        <v>-</v>
      </c>
      <c r="L24" s="8" t="str" cm="1">
        <f t="array" aca="1" ref="L24" ca="1">IF(ISNUMBER(FIND("ctrl",INDIRECT("Sheet4!"&amp;"M"&amp;MATCH($C$2,Sheet4!$A:$A,0)+4))),
INDIRECT("Sheet4!"&amp;"M"&amp;MATCH($C$2,Sheet4!$A:$A,0)+4),IF(INDIRECT("Sheet4!"&amp;"M"&amp;MATCH($C$2,Sheet4!$A:$A,0)+4)="Água","Água",
IF(INDIRECT("Sheet4!"&amp;"M"&amp;MATCH($C$2,Sheet4!$A:$A,0)+4)="-","-",
IF(_xlfn.NUMBERVALUE(MID(INDIRECT("Sheet4!"&amp;"M"&amp;MATCH($C$2,Sheet4!$A:$A,0)+4),9,2))&lt;=$C$4,
_xlfn.IFNA(VLOOKUP(INDIRECT("Sheet4!"&amp;"M"&amp;MATCH($C$2,Sheet4!$A:$A,0)+4),$C$7:$H$17,1,FALSE)&amp;CHAR(10)&amp;VLOOKUP(INDIRECT("Sheet4!"&amp;"M"&amp;MATCH($C$2,Sheet4!$A:$A,0)+4),$C$7:$H$17,5,FALSE),
VLOOKUP(INDIRECT("Sheet4!"&amp;"M"&amp;MATCH($C$2,Sheet4!$A:$A,0)+4),$I$7:$N$17,1,FALSE)&amp;CHAR(10)&amp;VLOOKUP(INDIRECT("Sheet4!"&amp;"M"&amp;MATCH($C$2,Sheet4!$A:$A,0)+4),$I$7:$N$17,5,FALSE)),"-"))))</f>
        <v>-</v>
      </c>
      <c r="M24" s="8" t="str" cm="1">
        <f t="array" aca="1" ref="M24" ca="1">IF(ISNUMBER(FIND("ctrl",INDIRECT("Sheet4!"&amp;"N"&amp;MATCH($C$2,Sheet4!$A:$A,0)+4))),
INDIRECT("Sheet4!"&amp;"N"&amp;MATCH($C$2,Sheet4!$A:$A,0)+4),IF(INDIRECT("Sheet4!"&amp;"N"&amp;MATCH($C$2,Sheet4!$A:$A,0)+4)="Água","Água",
IF(INDIRECT("Sheet4!"&amp;"N"&amp;MATCH($C$2,Sheet4!$A:$A,0)+4)="-","-",
IF(_xlfn.NUMBERVALUE(MID(INDIRECT("Sheet4!"&amp;"N"&amp;MATCH($C$2,Sheet4!$A:$A,0)+4),9,2))&lt;=$C$4,
_xlfn.IFNA(VLOOKUP(INDIRECT("Sheet4!"&amp;"N"&amp;MATCH($C$2,Sheet4!$A:$A,0)+4),$C$7:$H$17,1,FALSE)&amp;CHAR(10)&amp;VLOOKUP(INDIRECT("Sheet4!"&amp;"N"&amp;MATCH($C$2,Sheet4!$A:$A,0)+4),$C$7:$H$17,5,FALSE),
VLOOKUP(INDIRECT("Sheet4!"&amp;"N"&amp;MATCH($C$2,Sheet4!$A:$A,0)+4),$I$7:$N$17,1,FALSE)&amp;CHAR(10)&amp;VLOOKUP(INDIRECT("Sheet4!"&amp;"N"&amp;MATCH($C$2,Sheet4!$A:$A,0)+4),$I$7:$N$17,5,FALSE)),"-"))))</f>
        <v>-</v>
      </c>
      <c r="N24" s="8" t="str" cm="1">
        <f t="array" aca="1" ref="N24" ca="1">IF(ISNUMBER(FIND("ctrl",INDIRECT("Sheet4!"&amp;"N"&amp;MATCH($C$2,Sheet4!$A:$A,0)+4))),
INDIRECT("Sheet4!"&amp;"N"&amp;MATCH($C$2,Sheet4!$A:$A,0)+4),IF(INDIRECT("Sheet4!"&amp;"N"&amp;MATCH($C$2,Sheet4!$A:$A,0)+4)="Água","Água",
IF(INDIRECT("Sheet4!"&amp;"N"&amp;MATCH($C$2,Sheet4!$A:$A,0)+4)="-","-",
IF(_xlfn.NUMBERVALUE(MID(INDIRECT("Sheet4!"&amp;"N"&amp;MATCH($C$2,Sheet4!$A:$A,0)+4),9,2))&lt;=$C$4,
_xlfn.IFNA(VLOOKUP(INDIRECT("Sheet4!"&amp;"N"&amp;MATCH($C$2,Sheet4!$A:$A,0)+4),$C$7:$H$17,1,FALSE)&amp;CHAR(10)&amp;VLOOKUP(INDIRECT("Sheet4!"&amp;"N"&amp;MATCH($C$2,Sheet4!$A:$A,0)+4),$C$7:$H$17,5,FALSE),
VLOOKUP(INDIRECT("Sheet4!"&amp;"N"&amp;MATCH($C$2,Sheet4!$A:$A,0)+4),$I$7:$N$17,1,FALSE)&amp;CHAR(10)&amp;VLOOKUP(INDIRECT("Sheet4!"&amp;"N"&amp;MATCH($C$2,Sheet4!$A:$A,0)+4),$I$7:$N$17,5,FALSE)),"-"))))</f>
        <v>-</v>
      </c>
    </row>
    <row r="25" spans="2:14" ht="15" customHeight="1" x14ac:dyDescent="0.25">
      <c r="B25" s="12" t="s">
        <v>31</v>
      </c>
      <c r="C25" s="8" t="str" cm="1">
        <f t="array" aca="1" ref="C25" ca="1">IF(ISNUMBER(FIND("ctrl",INDIRECT("Sheet4!"&amp;"D"&amp;MATCH($C$2,Sheet4!$A:$A,0)+5))),
INDIRECT("Sheet4!"&amp;"D"&amp;MATCH($C$2,Sheet4!$A:$A,0)+5),IF(INDIRECT("Sheet4!"&amp;"D"&amp;MATCH($C$2,Sheet4!$A:$A,0)+5)="Água","Água",
IF(INDIRECT("Sheet4!"&amp;"D"&amp;MATCH($C$2,Sheet4!$A:$A,0)+5)="-","-",
IF(_xlfn.NUMBERVALUE(MID(INDIRECT("Sheet4!"&amp;"D"&amp;MATCH($C$2,Sheet4!$A:$A,0)+5),9,2))&lt;=$C$4,
_xlfn.IFNA(VLOOKUP(INDIRECT("Sheet4!"&amp;"D"&amp;MATCH($C$2,Sheet4!$A:$A,0)+5),$C$7:$H$17,1,FALSE)&amp;CHAR(10)&amp;VLOOKUP(INDIRECT("Sheet4!"&amp;"D"&amp;MATCH($C$2,Sheet4!$A:$A,0)+5),$C$7:$H$17,5,FALSE),
VLOOKUP(INDIRECT("Sheet4!"&amp;"D"&amp;MATCH($C$2,Sheet4!$A:$A,0)+5),$I$7:$N$17,1,FALSE)&amp;CHAR(10)&amp;VLOOKUP(INDIRECT("Sheet4!"&amp;"D"&amp;MATCH($C$2,Sheet4!$A:$A,0)+5),$I$7:$N$17,5,FALSE)),"-"))))</f>
        <v>-</v>
      </c>
      <c r="D25" s="8" t="str" cm="1">
        <f t="array" aca="1" ref="D25" ca="1">IF(ISNUMBER(FIND("ctrl",INDIRECT("Sheet4!"&amp;"E"&amp;MATCH($C$2,Sheet4!$A:$A,0)+5))),
INDIRECT("Sheet4!"&amp;"E"&amp;MATCH($C$2,Sheet4!$A:$A,0)+5),IF(INDIRECT("Sheet4!"&amp;"E"&amp;MATCH($C$2,Sheet4!$A:$A,0)+5)="Água","Água",
IF(INDIRECT("Sheet4!"&amp;"E"&amp;MATCH($C$2,Sheet4!$A:$A,0)+5)="-","-",
IF(_xlfn.NUMBERVALUE(MID(INDIRECT("Sheet4!"&amp;"E"&amp;MATCH($C$2,Sheet4!$A:$A,0)+5),9,2))&lt;=$C$4,
_xlfn.IFNA(VLOOKUP(INDIRECT("Sheet4!"&amp;"E"&amp;MATCH($C$2,Sheet4!$A:$A,0)+5),$C$7:$H$17,1,FALSE)&amp;CHAR(10)&amp;VLOOKUP(INDIRECT("Sheet4!"&amp;"E"&amp;MATCH($C$2,Sheet4!$A:$A,0)+5),$C$7:$H$17,5,FALSE),
VLOOKUP(INDIRECT("Sheet4!"&amp;"E"&amp;MATCH($C$2,Sheet4!$A:$A,0)+5),$I$7:$N$17,1,FALSE)&amp;CHAR(10)&amp;VLOOKUP(INDIRECT("Sheet4!"&amp;"E"&amp;MATCH($C$2,Sheet4!$A:$A,0)+5),$I$7:$N$17,5,FALSE)),"-"))))</f>
        <v>-</v>
      </c>
      <c r="E25" s="8" t="str" cm="1">
        <f t="array" aca="1" ref="E25" ca="1">IF(ISNUMBER(FIND("ctrl",INDIRECT("Sheet4!"&amp;"F"&amp;MATCH($C$2,Sheet4!$A:$A,0)+5))),
INDIRECT("Sheet4!"&amp;"F"&amp;MATCH($C$2,Sheet4!$A:$A,0)+5),IF(INDIRECT("Sheet4!"&amp;"F"&amp;MATCH($C$2,Sheet4!$A:$A,0)+5)="Água","Água",
IF(INDIRECT("Sheet4!"&amp;"F"&amp;MATCH($C$2,Sheet4!$A:$A,0)+5)="-","-",
IF(_xlfn.NUMBERVALUE(MID(INDIRECT("Sheet4!"&amp;"F"&amp;MATCH($C$2,Sheet4!$A:$A,0)+5),9,2))&lt;=$C$4,
_xlfn.IFNA(VLOOKUP(INDIRECT("Sheet4!"&amp;"F"&amp;MATCH($C$2,Sheet4!$A:$A,0)+5),$C$7:$H$17,1,FALSE)&amp;CHAR(10)&amp;VLOOKUP(INDIRECT("Sheet4!"&amp;"F"&amp;MATCH($C$2,Sheet4!$A:$A,0)+5),$C$7:$H$17,5,FALSE),
VLOOKUP(INDIRECT("Sheet4!"&amp;"F"&amp;MATCH($C$2,Sheet4!$A:$A,0)+5),$I$7:$N$17,1,FALSE)&amp;CHAR(10)&amp;VLOOKUP(INDIRECT("Sheet4!"&amp;"F"&amp;MATCH($C$2,Sheet4!$A:$A,0)+5),$I$7:$N$17,5,FALSE)),"-"))))</f>
        <v>-</v>
      </c>
      <c r="F25" s="8" t="str" cm="1">
        <f t="array" aca="1" ref="F25" ca="1">IF(ISNUMBER(FIND("ctrl",INDIRECT("Sheet4!"&amp;"G"&amp;MATCH($C$2,Sheet4!$A:$A,0)+5))),
INDIRECT("Sheet4!"&amp;"G"&amp;MATCH($C$2,Sheet4!$A:$A,0)+5),IF(INDIRECT("Sheet4!"&amp;"G"&amp;MATCH($C$2,Sheet4!$A:$A,0)+5)="Água","Água",
IF(INDIRECT("Sheet4!"&amp;"G"&amp;MATCH($C$2,Sheet4!$A:$A,0)+5)="-","-",
IF(_xlfn.NUMBERVALUE(MID(INDIRECT("Sheet4!"&amp;"G"&amp;MATCH($C$2,Sheet4!$A:$A,0)+5),9,2))&lt;=$C$4,
_xlfn.IFNA(VLOOKUP(INDIRECT("Sheet4!"&amp;"G"&amp;MATCH($C$2,Sheet4!$A:$A,0)+5),$C$7:$H$17,1,FALSE)&amp;CHAR(10)&amp;VLOOKUP(INDIRECT("Sheet4!"&amp;"G"&amp;MATCH($C$2,Sheet4!$A:$A,0)+5),$C$7:$H$17,5,FALSE),
VLOOKUP(INDIRECT("Sheet4!"&amp;"G"&amp;MATCH($C$2,Sheet4!$A:$A,0)+5),$I$7:$N$17,1,FALSE)&amp;CHAR(10)&amp;VLOOKUP(INDIRECT("Sheet4!"&amp;"G"&amp;MATCH($C$2,Sheet4!$A:$A,0)+5),$I$7:$N$17,5,FALSE)),"-"))))</f>
        <v>-</v>
      </c>
      <c r="G25" s="8" t="str" cm="1">
        <f t="array" aca="1" ref="G25" ca="1">IF(ISNUMBER(FIND("ctrl",INDIRECT("Sheet4!"&amp;"H"&amp;MATCH($C$2,Sheet4!$A:$A,0)+5))),
INDIRECT("Sheet4!"&amp;"H"&amp;MATCH($C$2,Sheet4!$A:$A,0)+5),IF(INDIRECT("Sheet4!"&amp;"H"&amp;MATCH($C$2,Sheet4!$A:$A,0)+5)="Água","Água",
IF(INDIRECT("Sheet4!"&amp;"H"&amp;MATCH($C$2,Sheet4!$A:$A,0)+5)="-","-",
IF(_xlfn.NUMBERVALUE(MID(INDIRECT("Sheet4!"&amp;"H"&amp;MATCH($C$2,Sheet4!$A:$A,0)+5),9,2))&lt;=$C$4,
_xlfn.IFNA(VLOOKUP(INDIRECT("Sheet4!"&amp;"H"&amp;MATCH($C$2,Sheet4!$A:$A,0)+5),$C$7:$H$17,1,FALSE)&amp;CHAR(10)&amp;VLOOKUP(INDIRECT("Sheet4!"&amp;"H"&amp;MATCH($C$2,Sheet4!$A:$A,0)+5),$C$7:$H$17,5,FALSE),
VLOOKUP(INDIRECT("Sheet4!"&amp;"H"&amp;MATCH($C$2,Sheet4!$A:$A,0)+5),$I$7:$N$17,1,FALSE)&amp;CHAR(10)&amp;VLOOKUP(INDIRECT("Sheet4!"&amp;"H"&amp;MATCH($C$2,Sheet4!$A:$A,0)+5),$I$7:$N$17,5,FALSE)),"-"))))</f>
        <v>-</v>
      </c>
      <c r="H25" s="8" t="str" cm="1">
        <f t="array" aca="1" ref="H25" ca="1">IF(ISNUMBER(FIND("ctrl",INDIRECT("Sheet4!"&amp;"I"&amp;MATCH($C$2,Sheet4!$A:$A,0)+5))),
INDIRECT("Sheet4!"&amp;"I"&amp;MATCH($C$2,Sheet4!$A:$A,0)+5),IF(INDIRECT("Sheet4!"&amp;"I"&amp;MATCH($C$2,Sheet4!$A:$A,0)+5)="Água","Água",
IF(INDIRECT("Sheet4!"&amp;"I"&amp;MATCH($C$2,Sheet4!$A:$A,0)+5)="-","-",
IF(_xlfn.NUMBERVALUE(MID(INDIRECT("Sheet4!"&amp;"I"&amp;MATCH($C$2,Sheet4!$A:$A,0)+5),9,2))&lt;=$C$4,
_xlfn.IFNA(VLOOKUP(INDIRECT("Sheet4!"&amp;"I"&amp;MATCH($C$2,Sheet4!$A:$A,0)+5),$C$7:$H$17,1,FALSE)&amp;CHAR(10)&amp;VLOOKUP(INDIRECT("Sheet4!"&amp;"I"&amp;MATCH($C$2,Sheet4!$A:$A,0)+5),$C$7:$H$17,5,FALSE),
VLOOKUP(INDIRECT("Sheet4!"&amp;"I"&amp;MATCH($C$2,Sheet4!$A:$A,0)+5),$I$7:$N$17,1,FALSE)&amp;CHAR(10)&amp;VLOOKUP(INDIRECT("Sheet4!"&amp;"I"&amp;MATCH($C$2,Sheet4!$A:$A,0)+5),$I$7:$N$17,5,FALSE)),"-"))))</f>
        <v>-</v>
      </c>
      <c r="I25" s="8" t="str" cm="1">
        <f t="array" aca="1" ref="I25" ca="1">IF(ISNUMBER(FIND("ctrl",INDIRECT("Sheet4!"&amp;"J"&amp;MATCH($C$2,Sheet4!$A:$A,0)+5))),
INDIRECT("Sheet4!"&amp;"J"&amp;MATCH($C$2,Sheet4!$A:$A,0)+5),IF(INDIRECT("Sheet4!"&amp;"J"&amp;MATCH($C$2,Sheet4!$A:$A,0)+5)="Água","Água",
IF(INDIRECT("Sheet4!"&amp;"J"&amp;MATCH($C$2,Sheet4!$A:$A,0)+5)="-","-",
IF(_xlfn.NUMBERVALUE(MID(INDIRECT("Sheet4!"&amp;"J"&amp;MATCH($C$2,Sheet4!$A:$A,0)+5),9,2))&lt;=$C$4,
_xlfn.IFNA(VLOOKUP(INDIRECT("Sheet4!"&amp;"J"&amp;MATCH($C$2,Sheet4!$A:$A,0)+5),$C$7:$H$17,1,FALSE)&amp;CHAR(10)&amp;VLOOKUP(INDIRECT("Sheet4!"&amp;"J"&amp;MATCH($C$2,Sheet4!$A:$A,0)+5),$C$7:$H$17,5,FALSE),
VLOOKUP(INDIRECT("Sheet4!"&amp;"J"&amp;MATCH($C$2,Sheet4!$A:$A,0)+5),$I$7:$N$17,1,FALSE)&amp;CHAR(10)&amp;VLOOKUP(INDIRECT("Sheet4!"&amp;"J"&amp;MATCH($C$2,Sheet4!$A:$A,0)+5),$I$7:$N$17,5,FALSE)),"-"))))</f>
        <v>-</v>
      </c>
      <c r="J25" s="8" t="str" cm="1">
        <f t="array" aca="1" ref="J25" ca="1">IF(ISNUMBER(FIND("ctrl",INDIRECT("Sheet4!"&amp;"K"&amp;MATCH($C$2,Sheet4!$A:$A,0)+5))),
INDIRECT("Sheet4!"&amp;"K"&amp;MATCH($C$2,Sheet4!$A:$A,0)+5),IF(INDIRECT("Sheet4!"&amp;"K"&amp;MATCH($C$2,Sheet4!$A:$A,0)+5)="Água","Água",
IF(INDIRECT("Sheet4!"&amp;"K"&amp;MATCH($C$2,Sheet4!$A:$A,0)+5)="-","-",
IF(_xlfn.NUMBERVALUE(MID(INDIRECT("Sheet4!"&amp;"K"&amp;MATCH($C$2,Sheet4!$A:$A,0)+5),9,2))&lt;=$C$4,
_xlfn.IFNA(VLOOKUP(INDIRECT("Sheet4!"&amp;"K"&amp;MATCH($C$2,Sheet4!$A:$A,0)+5),$C$7:$H$17,1,FALSE)&amp;CHAR(10)&amp;VLOOKUP(INDIRECT("Sheet4!"&amp;"K"&amp;MATCH($C$2,Sheet4!$A:$A,0)+5),$C$7:$H$17,5,FALSE),
VLOOKUP(INDIRECT("Sheet4!"&amp;"K"&amp;MATCH($C$2,Sheet4!$A:$A,0)+5),$I$7:$N$17,1,FALSE)&amp;CHAR(10)&amp;VLOOKUP(INDIRECT("Sheet4!"&amp;"K"&amp;MATCH($C$2,Sheet4!$A:$A,0)+5),$I$7:$N$17,5,FALSE)),"-"))))</f>
        <v>-</v>
      </c>
      <c r="K25" s="8" t="str" cm="1">
        <f t="array" aca="1" ref="K25" ca="1">IF(ISNUMBER(FIND("ctrl",INDIRECT("Sheet4!"&amp;"L"&amp;MATCH($C$2,Sheet4!$A:$A,0)+5))),
INDIRECT("Sheet4!"&amp;"L"&amp;MATCH($C$2,Sheet4!$A:$A,0)+5),IF(INDIRECT("Sheet4!"&amp;"L"&amp;MATCH($C$2,Sheet4!$A:$A,0)+5)="Água","Água",
IF(INDIRECT("Sheet4!"&amp;"L"&amp;MATCH($C$2,Sheet4!$A:$A,0)+5)="-","-",
IF(_xlfn.NUMBERVALUE(MID(INDIRECT("Sheet4!"&amp;"L"&amp;MATCH($C$2,Sheet4!$A:$A,0)+5),9,2))&lt;=$C$4,
_xlfn.IFNA(VLOOKUP(INDIRECT("Sheet4!"&amp;"L"&amp;MATCH($C$2,Sheet4!$A:$A,0)+5),$C$7:$H$17,1,FALSE)&amp;CHAR(10)&amp;VLOOKUP(INDIRECT("Sheet4!"&amp;"L"&amp;MATCH($C$2,Sheet4!$A:$A,0)+5),$C$7:$H$17,5,FALSE),
VLOOKUP(INDIRECT("Sheet4!"&amp;"L"&amp;MATCH($C$2,Sheet4!$A:$A,0)+5),$I$7:$N$17,1,FALSE)&amp;CHAR(10)&amp;VLOOKUP(INDIRECT("Sheet4!"&amp;"L"&amp;MATCH($C$2,Sheet4!$A:$A,0)+5),$I$7:$N$17,5,FALSE)),"-"))))</f>
        <v>-</v>
      </c>
      <c r="L25" s="8" t="str" cm="1">
        <f t="array" aca="1" ref="L25" ca="1">IF(ISNUMBER(FIND("ctrl",INDIRECT("Sheet4!"&amp;"M"&amp;MATCH($C$2,Sheet4!$A:$A,0)+5))),
INDIRECT("Sheet4!"&amp;"M"&amp;MATCH($C$2,Sheet4!$A:$A,0)+5),IF(INDIRECT("Sheet4!"&amp;"M"&amp;MATCH($C$2,Sheet4!$A:$A,0)+5)="Água","Água",
IF(INDIRECT("Sheet4!"&amp;"M"&amp;MATCH($C$2,Sheet4!$A:$A,0)+5)="-","-",
IF(_xlfn.NUMBERVALUE(MID(INDIRECT("Sheet4!"&amp;"M"&amp;MATCH($C$2,Sheet4!$A:$A,0)+5),9,2))&lt;=$C$4,
_xlfn.IFNA(VLOOKUP(INDIRECT("Sheet4!"&amp;"M"&amp;MATCH($C$2,Sheet4!$A:$A,0)+5),$C$7:$H$17,1,FALSE)&amp;CHAR(10)&amp;VLOOKUP(INDIRECT("Sheet4!"&amp;"M"&amp;MATCH($C$2,Sheet4!$A:$A,0)+5),$C$7:$H$17,5,FALSE),
VLOOKUP(INDIRECT("Sheet4!"&amp;"M"&amp;MATCH($C$2,Sheet4!$A:$A,0)+5),$I$7:$N$17,1,FALSE)&amp;CHAR(10)&amp;VLOOKUP(INDIRECT("Sheet4!"&amp;"M"&amp;MATCH($C$2,Sheet4!$A:$A,0)+5),$I$7:$N$17,5,FALSE)),"-"))))</f>
        <v>-</v>
      </c>
      <c r="M25" s="8" t="str" cm="1">
        <f t="array" aca="1" ref="M25" ca="1">IF(ISNUMBER(FIND("ctrl",INDIRECT("Sheet4!"&amp;"N"&amp;MATCH($C$2,Sheet4!$A:$A,0)+5))),
INDIRECT("Sheet4!"&amp;"N"&amp;MATCH($C$2,Sheet4!$A:$A,0)+5),IF(INDIRECT("Sheet4!"&amp;"N"&amp;MATCH($C$2,Sheet4!$A:$A,0)+5)="Água","Água",
IF(INDIRECT("Sheet4!"&amp;"N"&amp;MATCH($C$2,Sheet4!$A:$A,0)+5)="-","-",
IF(_xlfn.NUMBERVALUE(MID(INDIRECT("Sheet4!"&amp;"N"&amp;MATCH($C$2,Sheet4!$A:$A,0)+5),9,2))&lt;=$C$4,
_xlfn.IFNA(VLOOKUP(INDIRECT("Sheet4!"&amp;"N"&amp;MATCH($C$2,Sheet4!$A:$A,0)+5),$C$7:$H$17,1,FALSE)&amp;CHAR(10)&amp;VLOOKUP(INDIRECT("Sheet4!"&amp;"N"&amp;MATCH($C$2,Sheet4!$A:$A,0)+5),$C$7:$H$17,5,FALSE),
VLOOKUP(INDIRECT("Sheet4!"&amp;"N"&amp;MATCH($C$2,Sheet4!$A:$A,0)+5),$I$7:$N$17,1,FALSE)&amp;CHAR(10)&amp;VLOOKUP(INDIRECT("Sheet4!"&amp;"N"&amp;MATCH($C$2,Sheet4!$A:$A,0)+5),$I$7:$N$17,5,FALSE)),"-"))))</f>
        <v>-</v>
      </c>
      <c r="N25" s="8" t="str" cm="1">
        <f t="array" aca="1" ref="N25" ca="1">IF(ISNUMBER(FIND("ctrl",INDIRECT("Sheet4!"&amp;"N"&amp;MATCH($C$2,Sheet4!$A:$A,0)+5))),
INDIRECT("Sheet4!"&amp;"N"&amp;MATCH($C$2,Sheet4!$A:$A,0)+5),IF(INDIRECT("Sheet4!"&amp;"N"&amp;MATCH($C$2,Sheet4!$A:$A,0)+5)="Água","Água",
IF(INDIRECT("Sheet4!"&amp;"N"&amp;MATCH($C$2,Sheet4!$A:$A,0)+5)="-","-",
IF(_xlfn.NUMBERVALUE(MID(INDIRECT("Sheet4!"&amp;"N"&amp;MATCH($C$2,Sheet4!$A:$A,0)+5),9,2))&lt;=$C$4,
_xlfn.IFNA(VLOOKUP(INDIRECT("Sheet4!"&amp;"N"&amp;MATCH($C$2,Sheet4!$A:$A,0)+5),$C$7:$H$17,1,FALSE)&amp;CHAR(10)&amp;VLOOKUP(INDIRECT("Sheet4!"&amp;"N"&amp;MATCH($C$2,Sheet4!$A:$A,0)+5),$C$7:$H$17,5,FALSE),
VLOOKUP(INDIRECT("Sheet4!"&amp;"N"&amp;MATCH($C$2,Sheet4!$A:$A,0)+5),$I$7:$N$17,1,FALSE)&amp;CHAR(10)&amp;VLOOKUP(INDIRECT("Sheet4!"&amp;"N"&amp;MATCH($C$2,Sheet4!$A:$A,0)+5),$I$7:$N$17,5,FALSE)),"-"))))</f>
        <v>-</v>
      </c>
    </row>
    <row r="26" spans="2:14" ht="15" customHeight="1" x14ac:dyDescent="0.25">
      <c r="B26" s="12" t="s">
        <v>32</v>
      </c>
      <c r="C26" s="8" t="str" cm="1">
        <f t="array" aca="1" ref="C26" ca="1">IF(ISNUMBER(FIND("ctrl",INDIRECT("Sheet4!"&amp;"D"&amp;MATCH($C$2,Sheet4!$A:$A,0)+6))),
INDIRECT("Sheet4!"&amp;"D"&amp;MATCH($C$2,Sheet4!$A:$A,0)+6),IF(INDIRECT("Sheet4!"&amp;"D"&amp;MATCH($C$2,Sheet4!$A:$A,0)+6)="Água","Água",
IF(INDIRECT("Sheet4!"&amp;"D"&amp;MATCH($C$2,Sheet4!$A:$A,0)+6)="-","-",
IF(_xlfn.NUMBERVALUE(MID(INDIRECT("Sheet4!"&amp;"D"&amp;MATCH($C$2,Sheet4!$A:$A,0)+6),9,2))&lt;=$C$4,
_xlfn.IFNA(VLOOKUP(INDIRECT("Sheet4!"&amp;"D"&amp;MATCH($C$2,Sheet4!$A:$A,0)+6),$C$7:$H$17,1,FALSE)&amp;CHAR(10)&amp;VLOOKUP(INDIRECT("Sheet4!"&amp;"D"&amp;MATCH($C$2,Sheet4!$A:$A,0)+6),$C$7:$H$17,5,FALSE),
VLOOKUP(INDIRECT("Sheet4!"&amp;"D"&amp;MATCH($C$2,Sheet4!$A:$A,0)+6),$I$7:$N$17,1,FALSE)&amp;CHAR(10)&amp;VLOOKUP(INDIRECT("Sheet4!"&amp;"D"&amp;MATCH($C$2,Sheet4!$A:$A,0)+6),$I$7:$N$17,5,FALSE)),"-"))))</f>
        <v>-</v>
      </c>
      <c r="D26" s="8" t="str" cm="1">
        <f t="array" aca="1" ref="D26" ca="1">IF(ISNUMBER(FIND("ctrl",INDIRECT("Sheet4!"&amp;"E"&amp;MATCH($C$2,Sheet4!$A:$A,0)+6))),
INDIRECT("Sheet4!"&amp;"E"&amp;MATCH($C$2,Sheet4!$A:$A,0)+6),IF(INDIRECT("Sheet4!"&amp;"E"&amp;MATCH($C$2,Sheet4!$A:$A,0)+6)="Água","Água",
IF(INDIRECT("Sheet4!"&amp;"E"&amp;MATCH($C$2,Sheet4!$A:$A,0)+6)="-","-",
IF(_xlfn.NUMBERVALUE(MID(INDIRECT("Sheet4!"&amp;"E"&amp;MATCH($C$2,Sheet4!$A:$A,0)+6),9,2))&lt;=$C$4,
_xlfn.IFNA(VLOOKUP(INDIRECT("Sheet4!"&amp;"E"&amp;MATCH($C$2,Sheet4!$A:$A,0)+6),$C$7:$H$17,1,FALSE)&amp;CHAR(10)&amp;VLOOKUP(INDIRECT("Sheet4!"&amp;"E"&amp;MATCH($C$2,Sheet4!$A:$A,0)+6),$C$7:$H$17,5,FALSE),
VLOOKUP(INDIRECT("Sheet4!"&amp;"E"&amp;MATCH($C$2,Sheet4!$A:$A,0)+6),$I$7:$N$17,1,FALSE)&amp;CHAR(10)&amp;VLOOKUP(INDIRECT("Sheet4!"&amp;"E"&amp;MATCH($C$2,Sheet4!$A:$A,0)+6),$I$7:$N$17,5,FALSE)),"-"))))</f>
        <v>-</v>
      </c>
      <c r="E26" s="8" t="str" cm="1">
        <f t="array" aca="1" ref="E26" ca="1">IF(ISNUMBER(FIND("ctrl",INDIRECT("Sheet4!"&amp;"F"&amp;MATCH($C$2,Sheet4!$A:$A,0)+6))),
INDIRECT("Sheet4!"&amp;"F"&amp;MATCH($C$2,Sheet4!$A:$A,0)+6),IF(INDIRECT("Sheet4!"&amp;"F"&amp;MATCH($C$2,Sheet4!$A:$A,0)+6)="Água","Água",
IF(INDIRECT("Sheet4!"&amp;"F"&amp;MATCH($C$2,Sheet4!$A:$A,0)+6)="-","-",
IF(_xlfn.NUMBERVALUE(MID(INDIRECT("Sheet4!"&amp;"F"&amp;MATCH($C$2,Sheet4!$A:$A,0)+6),9,2))&lt;=$C$4,
_xlfn.IFNA(VLOOKUP(INDIRECT("Sheet4!"&amp;"F"&amp;MATCH($C$2,Sheet4!$A:$A,0)+6),$C$7:$H$17,1,FALSE)&amp;CHAR(10)&amp;VLOOKUP(INDIRECT("Sheet4!"&amp;"F"&amp;MATCH($C$2,Sheet4!$A:$A,0)+6),$C$7:$H$17,5,FALSE),
VLOOKUP(INDIRECT("Sheet4!"&amp;"F"&amp;MATCH($C$2,Sheet4!$A:$A,0)+6),$I$7:$N$17,1,FALSE)&amp;CHAR(10)&amp;VLOOKUP(INDIRECT("Sheet4!"&amp;"F"&amp;MATCH($C$2,Sheet4!$A:$A,0)+6),$I$7:$N$17,5,FALSE)),"-"))))</f>
        <v>-</v>
      </c>
      <c r="F26" s="8" t="str" cm="1">
        <f t="array" aca="1" ref="F26" ca="1">IF(ISNUMBER(FIND("ctrl",INDIRECT("Sheet4!"&amp;"G"&amp;MATCH($C$2,Sheet4!$A:$A,0)+6))),
INDIRECT("Sheet4!"&amp;"G"&amp;MATCH($C$2,Sheet4!$A:$A,0)+6),IF(INDIRECT("Sheet4!"&amp;"G"&amp;MATCH($C$2,Sheet4!$A:$A,0)+6)="Água","Água",
IF(INDIRECT("Sheet4!"&amp;"G"&amp;MATCH($C$2,Sheet4!$A:$A,0)+6)="-","-",
IF(_xlfn.NUMBERVALUE(MID(INDIRECT("Sheet4!"&amp;"G"&amp;MATCH($C$2,Sheet4!$A:$A,0)+6),9,2))&lt;=$C$4,
_xlfn.IFNA(VLOOKUP(INDIRECT("Sheet4!"&amp;"G"&amp;MATCH($C$2,Sheet4!$A:$A,0)+6),$C$7:$H$17,1,FALSE)&amp;CHAR(10)&amp;VLOOKUP(INDIRECT("Sheet4!"&amp;"G"&amp;MATCH($C$2,Sheet4!$A:$A,0)+6),$C$7:$H$17,5,FALSE),
VLOOKUP(INDIRECT("Sheet4!"&amp;"G"&amp;MATCH($C$2,Sheet4!$A:$A,0)+6),$I$7:$N$17,1,FALSE)&amp;CHAR(10)&amp;VLOOKUP(INDIRECT("Sheet4!"&amp;"G"&amp;MATCH($C$2,Sheet4!$A:$A,0)+6),$I$7:$N$17,5,FALSE)),"-"))))</f>
        <v>-</v>
      </c>
      <c r="G26" s="8" t="str" cm="1">
        <f t="array" aca="1" ref="G26" ca="1">IF(ISNUMBER(FIND("ctrl",INDIRECT("Sheet4!"&amp;"H"&amp;MATCH($C$2,Sheet4!$A:$A,0)+6))),
INDIRECT("Sheet4!"&amp;"H"&amp;MATCH($C$2,Sheet4!$A:$A,0)+6),IF(INDIRECT("Sheet4!"&amp;"H"&amp;MATCH($C$2,Sheet4!$A:$A,0)+6)="Água","Água",
IF(INDIRECT("Sheet4!"&amp;"H"&amp;MATCH($C$2,Sheet4!$A:$A,0)+6)="-","-",
IF(_xlfn.NUMBERVALUE(MID(INDIRECT("Sheet4!"&amp;"H"&amp;MATCH($C$2,Sheet4!$A:$A,0)+6),9,2))&lt;=$C$4,
_xlfn.IFNA(VLOOKUP(INDIRECT("Sheet4!"&amp;"H"&amp;MATCH($C$2,Sheet4!$A:$A,0)+6),$C$7:$H$17,1,FALSE)&amp;CHAR(10)&amp;VLOOKUP(INDIRECT("Sheet4!"&amp;"H"&amp;MATCH($C$2,Sheet4!$A:$A,0)+6),$C$7:$H$17,5,FALSE),
VLOOKUP(INDIRECT("Sheet4!"&amp;"H"&amp;MATCH($C$2,Sheet4!$A:$A,0)+6),$I$7:$N$17,1,FALSE)&amp;CHAR(10)&amp;VLOOKUP(INDIRECT("Sheet4!"&amp;"H"&amp;MATCH($C$2,Sheet4!$A:$A,0)+6),$I$7:$N$17,5,FALSE)),"-"))))</f>
        <v>-</v>
      </c>
      <c r="H26" s="8" t="str" cm="1">
        <f t="array" aca="1" ref="H26" ca="1">IF(ISNUMBER(FIND("ctrl",INDIRECT("Sheet4!"&amp;"I"&amp;MATCH($C$2,Sheet4!$A:$A,0)+6))),
INDIRECT("Sheet4!"&amp;"I"&amp;MATCH($C$2,Sheet4!$A:$A,0)+6),IF(INDIRECT("Sheet4!"&amp;"I"&amp;MATCH($C$2,Sheet4!$A:$A,0)+6)="Água","Água",
IF(INDIRECT("Sheet4!"&amp;"I"&amp;MATCH($C$2,Sheet4!$A:$A,0)+6)="-","-",
IF(_xlfn.NUMBERVALUE(MID(INDIRECT("Sheet4!"&amp;"I"&amp;MATCH($C$2,Sheet4!$A:$A,0)+6),9,2))&lt;=$C$4,
_xlfn.IFNA(VLOOKUP(INDIRECT("Sheet4!"&amp;"I"&amp;MATCH($C$2,Sheet4!$A:$A,0)+6),$C$7:$H$17,1,FALSE)&amp;CHAR(10)&amp;VLOOKUP(INDIRECT("Sheet4!"&amp;"I"&amp;MATCH($C$2,Sheet4!$A:$A,0)+6),$C$7:$H$17,5,FALSE),
VLOOKUP(INDIRECT("Sheet4!"&amp;"I"&amp;MATCH($C$2,Sheet4!$A:$A,0)+6),$I$7:$N$17,1,FALSE)&amp;CHAR(10)&amp;VLOOKUP(INDIRECT("Sheet4!"&amp;"I"&amp;MATCH($C$2,Sheet4!$A:$A,0)+6),$I$7:$N$17,5,FALSE)),"-"))))</f>
        <v>-</v>
      </c>
      <c r="I26" s="8" t="str" cm="1">
        <f t="array" aca="1" ref="I26" ca="1">IF(ISNUMBER(FIND("ctrl",INDIRECT("Sheet4!"&amp;"J"&amp;MATCH($C$2,Sheet4!$A:$A,0)+6))),
INDIRECT("Sheet4!"&amp;"J"&amp;MATCH($C$2,Sheet4!$A:$A,0)+6),IF(INDIRECT("Sheet4!"&amp;"J"&amp;MATCH($C$2,Sheet4!$A:$A,0)+6)="Água","Água",
IF(INDIRECT("Sheet4!"&amp;"J"&amp;MATCH($C$2,Sheet4!$A:$A,0)+6)="-","-",
IF(_xlfn.NUMBERVALUE(MID(INDIRECT("Sheet4!"&amp;"J"&amp;MATCH($C$2,Sheet4!$A:$A,0)+6),9,2))&lt;=$C$4,
_xlfn.IFNA(VLOOKUP(INDIRECT("Sheet4!"&amp;"J"&amp;MATCH($C$2,Sheet4!$A:$A,0)+6),$C$7:$H$17,1,FALSE)&amp;CHAR(10)&amp;VLOOKUP(INDIRECT("Sheet4!"&amp;"J"&amp;MATCH($C$2,Sheet4!$A:$A,0)+6),$C$7:$H$17,5,FALSE),
VLOOKUP(INDIRECT("Sheet4!"&amp;"J"&amp;MATCH($C$2,Sheet4!$A:$A,0)+6),$I$7:$N$17,1,FALSE)&amp;CHAR(10)&amp;VLOOKUP(INDIRECT("Sheet4!"&amp;"J"&amp;MATCH($C$2,Sheet4!$A:$A,0)+6),$I$7:$N$17,5,FALSE)),"-"))))</f>
        <v>-</v>
      </c>
      <c r="J26" s="8" t="str" cm="1">
        <f t="array" aca="1" ref="J26" ca="1">IF(ISNUMBER(FIND("ctrl",INDIRECT("Sheet4!"&amp;"K"&amp;MATCH($C$2,Sheet4!$A:$A,0)+6))),
INDIRECT("Sheet4!"&amp;"K"&amp;MATCH($C$2,Sheet4!$A:$A,0)+6),IF(INDIRECT("Sheet4!"&amp;"K"&amp;MATCH($C$2,Sheet4!$A:$A,0)+6)="Água","Água",
IF(INDIRECT("Sheet4!"&amp;"K"&amp;MATCH($C$2,Sheet4!$A:$A,0)+6)="-","-",
IF(_xlfn.NUMBERVALUE(MID(INDIRECT("Sheet4!"&amp;"K"&amp;MATCH($C$2,Sheet4!$A:$A,0)+6),9,2))&lt;=$C$4,
_xlfn.IFNA(VLOOKUP(INDIRECT("Sheet4!"&amp;"K"&amp;MATCH($C$2,Sheet4!$A:$A,0)+6),$C$7:$H$17,1,FALSE)&amp;CHAR(10)&amp;VLOOKUP(INDIRECT("Sheet4!"&amp;"K"&amp;MATCH($C$2,Sheet4!$A:$A,0)+6),$C$7:$H$17,5,FALSE),
VLOOKUP(INDIRECT("Sheet4!"&amp;"K"&amp;MATCH($C$2,Sheet4!$A:$A,0)+6),$I$7:$N$17,1,FALSE)&amp;CHAR(10)&amp;VLOOKUP(INDIRECT("Sheet4!"&amp;"K"&amp;MATCH($C$2,Sheet4!$A:$A,0)+6),$I$7:$N$17,5,FALSE)),"-"))))</f>
        <v>-</v>
      </c>
      <c r="K26" s="8" t="str" cm="1">
        <f t="array" aca="1" ref="K26" ca="1">IF(ISNUMBER(FIND("ctrl",INDIRECT("Sheet4!"&amp;"L"&amp;MATCH($C$2,Sheet4!$A:$A,0)+6))),
INDIRECT("Sheet4!"&amp;"L"&amp;MATCH($C$2,Sheet4!$A:$A,0)+6),IF(INDIRECT("Sheet4!"&amp;"L"&amp;MATCH($C$2,Sheet4!$A:$A,0)+6)="Água","Água",
IF(INDIRECT("Sheet4!"&amp;"L"&amp;MATCH($C$2,Sheet4!$A:$A,0)+6)="-","-",
IF(_xlfn.NUMBERVALUE(MID(INDIRECT("Sheet4!"&amp;"L"&amp;MATCH($C$2,Sheet4!$A:$A,0)+6),9,2))&lt;=$C$4,
_xlfn.IFNA(VLOOKUP(INDIRECT("Sheet4!"&amp;"L"&amp;MATCH($C$2,Sheet4!$A:$A,0)+6),$C$7:$H$17,1,FALSE)&amp;CHAR(10)&amp;VLOOKUP(INDIRECT("Sheet4!"&amp;"L"&amp;MATCH($C$2,Sheet4!$A:$A,0)+6),$C$7:$H$17,5,FALSE),
VLOOKUP(INDIRECT("Sheet4!"&amp;"L"&amp;MATCH($C$2,Sheet4!$A:$A,0)+6),$I$7:$N$17,1,FALSE)&amp;CHAR(10)&amp;VLOOKUP(INDIRECT("Sheet4!"&amp;"L"&amp;MATCH($C$2,Sheet4!$A:$A,0)+6),$I$7:$N$17,5,FALSE)),"-"))))</f>
        <v>-</v>
      </c>
      <c r="L26" s="8" t="str" cm="1">
        <f t="array" aca="1" ref="L26" ca="1">IF(ISNUMBER(FIND("ctrl",INDIRECT("Sheet4!"&amp;"M"&amp;MATCH($C$2,Sheet4!$A:$A,0)+6))),
INDIRECT("Sheet4!"&amp;"M"&amp;MATCH($C$2,Sheet4!$A:$A,0)+6),IF(INDIRECT("Sheet4!"&amp;"M"&amp;MATCH($C$2,Sheet4!$A:$A,0)+6)="Água","Água",
IF(INDIRECT("Sheet4!"&amp;"M"&amp;MATCH($C$2,Sheet4!$A:$A,0)+6)="-","-",
IF(_xlfn.NUMBERVALUE(MID(INDIRECT("Sheet4!"&amp;"M"&amp;MATCH($C$2,Sheet4!$A:$A,0)+6),9,2))&lt;=$C$4,
_xlfn.IFNA(VLOOKUP(INDIRECT("Sheet4!"&amp;"M"&amp;MATCH($C$2,Sheet4!$A:$A,0)+6),$C$7:$H$17,1,FALSE)&amp;CHAR(10)&amp;VLOOKUP(INDIRECT("Sheet4!"&amp;"M"&amp;MATCH($C$2,Sheet4!$A:$A,0)+6),$C$7:$H$17,5,FALSE),
VLOOKUP(INDIRECT("Sheet4!"&amp;"M"&amp;MATCH($C$2,Sheet4!$A:$A,0)+6),$I$7:$N$17,1,FALSE)&amp;CHAR(10)&amp;VLOOKUP(INDIRECT("Sheet4!"&amp;"M"&amp;MATCH($C$2,Sheet4!$A:$A,0)+6),$I$7:$N$17,5,FALSE)),"-"))))</f>
        <v>-</v>
      </c>
      <c r="M26" s="8" t="str" cm="1">
        <f t="array" aca="1" ref="M26" ca="1">IF(ISNUMBER(FIND("ctrl",INDIRECT("Sheet4!"&amp;"N"&amp;MATCH($C$2,Sheet4!$A:$A,0)+6))),
INDIRECT("Sheet4!"&amp;"N"&amp;MATCH($C$2,Sheet4!$A:$A,0)+6),IF(INDIRECT("Sheet4!"&amp;"N"&amp;MATCH($C$2,Sheet4!$A:$A,0)+6)="Água","Água",
IF(INDIRECT("Sheet4!"&amp;"N"&amp;MATCH($C$2,Sheet4!$A:$A,0)+6)="-","-",
IF(_xlfn.NUMBERVALUE(MID(INDIRECT("Sheet4!"&amp;"N"&amp;MATCH($C$2,Sheet4!$A:$A,0)+6),9,2))&lt;=$C$4,
_xlfn.IFNA(VLOOKUP(INDIRECT("Sheet4!"&amp;"N"&amp;MATCH($C$2,Sheet4!$A:$A,0)+6),$C$7:$H$17,1,FALSE)&amp;CHAR(10)&amp;VLOOKUP(INDIRECT("Sheet4!"&amp;"N"&amp;MATCH($C$2,Sheet4!$A:$A,0)+6),$C$7:$H$17,5,FALSE),
VLOOKUP(INDIRECT("Sheet4!"&amp;"N"&amp;MATCH($C$2,Sheet4!$A:$A,0)+6),$I$7:$N$17,1,FALSE)&amp;CHAR(10)&amp;VLOOKUP(INDIRECT("Sheet4!"&amp;"N"&amp;MATCH($C$2,Sheet4!$A:$A,0)+6),$I$7:$N$17,5,FALSE)),"-"))))</f>
        <v>-</v>
      </c>
      <c r="N26" s="8" t="str" cm="1">
        <f t="array" aca="1" ref="N26" ca="1">IF(ISNUMBER(FIND("ctrl",INDIRECT("Sheet4!"&amp;"N"&amp;MATCH($C$2,Sheet4!$A:$A,0)+6))),
INDIRECT("Sheet4!"&amp;"N"&amp;MATCH($C$2,Sheet4!$A:$A,0)+6),IF(INDIRECT("Sheet4!"&amp;"N"&amp;MATCH($C$2,Sheet4!$A:$A,0)+6)="Água","Água",
IF(INDIRECT("Sheet4!"&amp;"N"&amp;MATCH($C$2,Sheet4!$A:$A,0)+6)="-","-",
IF(_xlfn.NUMBERVALUE(MID(INDIRECT("Sheet4!"&amp;"N"&amp;MATCH($C$2,Sheet4!$A:$A,0)+6),9,2))&lt;=$C$4,
_xlfn.IFNA(VLOOKUP(INDIRECT("Sheet4!"&amp;"N"&amp;MATCH($C$2,Sheet4!$A:$A,0)+6),$C$7:$H$17,1,FALSE)&amp;CHAR(10)&amp;VLOOKUP(INDIRECT("Sheet4!"&amp;"N"&amp;MATCH($C$2,Sheet4!$A:$A,0)+6),$C$7:$H$17,5,FALSE),
VLOOKUP(INDIRECT("Sheet4!"&amp;"N"&amp;MATCH($C$2,Sheet4!$A:$A,0)+6),$I$7:$N$17,1,FALSE)&amp;CHAR(10)&amp;VLOOKUP(INDIRECT("Sheet4!"&amp;"N"&amp;MATCH($C$2,Sheet4!$A:$A,0)+6),$I$7:$N$17,5,FALSE)),"-"))))</f>
        <v>-</v>
      </c>
    </row>
    <row r="27" spans="2:14" ht="15" customHeight="1" x14ac:dyDescent="0.25">
      <c r="B27" s="12" t="s">
        <v>33</v>
      </c>
      <c r="C27" s="8" t="str" cm="1">
        <f t="array" aca="1" ref="C27" ca="1">IF(ISNUMBER(FIND("ctrl",INDIRECT("Sheet4!"&amp;"D"&amp;MATCH($C$2,Sheet4!$A:$A,0)+7))),
INDIRECT("Sheet4!"&amp;"D"&amp;MATCH($C$2,Sheet4!$A:$A,0)+7),IF(INDIRECT("Sheet4!"&amp;"D"&amp;MATCH($C$2,Sheet4!$A:$A,0)+7)="Água","Água",
IF(INDIRECT("Sheet4!"&amp;"D"&amp;MATCH($C$2,Sheet4!$A:$A,0)+7)="-","-",
IF(_xlfn.NUMBERVALUE(MID(INDIRECT("Sheet4!"&amp;"D"&amp;MATCH($C$2,Sheet4!$A:$A,0)+7),9,2))&lt;=$C$4,
_xlfn.IFNA(VLOOKUP(INDIRECT("Sheet4!"&amp;"D"&amp;MATCH($C$2,Sheet4!$A:$A,0)+7),$C$7:$H$17,1,FALSE)&amp;CHAR(10)&amp;VLOOKUP(INDIRECT("Sheet4!"&amp;"D"&amp;MATCH($C$2,Sheet4!$A:$A,0)+7),$C$7:$H$17,5,FALSE),
VLOOKUP(INDIRECT("Sheet4!"&amp;"D"&amp;MATCH($C$2,Sheet4!$A:$A,0)+7),$I$7:$N$17,1,FALSE)&amp;CHAR(10)&amp;VLOOKUP(INDIRECT("Sheet4!"&amp;"D"&amp;MATCH($C$2,Sheet4!$A:$A,0)+7),$I$7:$N$17,5,FALSE)),"-"))))</f>
        <v>-</v>
      </c>
      <c r="D27" s="8" t="str" cm="1">
        <f t="array" aca="1" ref="D27" ca="1">IF(ISNUMBER(FIND("ctrl",INDIRECT("Sheet4!"&amp;"E"&amp;MATCH($C$2,Sheet4!$A:$A,0)+7))),
INDIRECT("Sheet4!"&amp;"E"&amp;MATCH($C$2,Sheet4!$A:$A,0)+7),IF(INDIRECT("Sheet4!"&amp;"E"&amp;MATCH($C$2,Sheet4!$A:$A,0)+7)="Água","Água",
IF(INDIRECT("Sheet4!"&amp;"E"&amp;MATCH($C$2,Sheet4!$A:$A,0)+7)="-","-",
IF(_xlfn.NUMBERVALUE(MID(INDIRECT("Sheet4!"&amp;"E"&amp;MATCH($C$2,Sheet4!$A:$A,0)+7),9,2))&lt;=$C$4,
_xlfn.IFNA(VLOOKUP(INDIRECT("Sheet4!"&amp;"E"&amp;MATCH($C$2,Sheet4!$A:$A,0)+7),$C$7:$H$17,1,FALSE)&amp;CHAR(10)&amp;VLOOKUP(INDIRECT("Sheet4!"&amp;"E"&amp;MATCH($C$2,Sheet4!$A:$A,0)+7),$C$7:$H$17,5,FALSE),
VLOOKUP(INDIRECT("Sheet4!"&amp;"E"&amp;MATCH($C$2,Sheet4!$A:$A,0)+7),$I$7:$N$17,1,FALSE)&amp;CHAR(10)&amp;VLOOKUP(INDIRECT("Sheet4!"&amp;"E"&amp;MATCH($C$2,Sheet4!$A:$A,0)+7),$I$7:$N$17,5,FALSE)),"-"))))</f>
        <v>-</v>
      </c>
      <c r="E27" s="8" t="str" cm="1">
        <f t="array" aca="1" ref="E27" ca="1">IF(ISNUMBER(FIND("ctrl",INDIRECT("Sheet4!"&amp;"F"&amp;MATCH($C$2,Sheet4!$A:$A,0)+7))),
INDIRECT("Sheet4!"&amp;"F"&amp;MATCH($C$2,Sheet4!$A:$A,0)+7),IF(INDIRECT("Sheet4!"&amp;"F"&amp;MATCH($C$2,Sheet4!$A:$A,0)+7)="Água","Água",
IF(INDIRECT("Sheet4!"&amp;"F"&amp;MATCH($C$2,Sheet4!$A:$A,0)+7)="-","-",
IF(_xlfn.NUMBERVALUE(MID(INDIRECT("Sheet4!"&amp;"F"&amp;MATCH($C$2,Sheet4!$A:$A,0)+7),9,2))&lt;=$C$4,
_xlfn.IFNA(VLOOKUP(INDIRECT("Sheet4!"&amp;"F"&amp;MATCH($C$2,Sheet4!$A:$A,0)+7),$C$7:$H$17,1,FALSE)&amp;CHAR(10)&amp;VLOOKUP(INDIRECT("Sheet4!"&amp;"F"&amp;MATCH($C$2,Sheet4!$A:$A,0)+7),$C$7:$H$17,5,FALSE),
VLOOKUP(INDIRECT("Sheet4!"&amp;"F"&amp;MATCH($C$2,Sheet4!$A:$A,0)+7),$I$7:$N$17,1,FALSE)&amp;CHAR(10)&amp;VLOOKUP(INDIRECT("Sheet4!"&amp;"F"&amp;MATCH($C$2,Sheet4!$A:$A,0)+7),$I$7:$N$17,5,FALSE)),"-"))))</f>
        <v>-</v>
      </c>
      <c r="F27" s="8" t="str" cm="1">
        <f t="array" aca="1" ref="F27" ca="1">IF(ISNUMBER(FIND("ctrl",INDIRECT("Sheet4!"&amp;"G"&amp;MATCH($C$2,Sheet4!$A:$A,0)+7))),
INDIRECT("Sheet4!"&amp;"G"&amp;MATCH($C$2,Sheet4!$A:$A,0)+7),IF(INDIRECT("Sheet4!"&amp;"G"&amp;MATCH($C$2,Sheet4!$A:$A,0)+7)="Água","Água",
IF(INDIRECT("Sheet4!"&amp;"G"&amp;MATCH($C$2,Sheet4!$A:$A,0)+7)="-","-",
IF(_xlfn.NUMBERVALUE(MID(INDIRECT("Sheet4!"&amp;"G"&amp;MATCH($C$2,Sheet4!$A:$A,0)+7),9,2))&lt;=$C$4,
_xlfn.IFNA(VLOOKUP(INDIRECT("Sheet4!"&amp;"G"&amp;MATCH($C$2,Sheet4!$A:$A,0)+7),$C$7:$H$17,1,FALSE)&amp;CHAR(10)&amp;VLOOKUP(INDIRECT("Sheet4!"&amp;"G"&amp;MATCH($C$2,Sheet4!$A:$A,0)+7),$C$7:$H$17,5,FALSE),
VLOOKUP(INDIRECT("Sheet4!"&amp;"G"&amp;MATCH($C$2,Sheet4!$A:$A,0)+7),$I$7:$N$17,1,FALSE)&amp;CHAR(10)&amp;VLOOKUP(INDIRECT("Sheet4!"&amp;"G"&amp;MATCH($C$2,Sheet4!$A:$A,0)+7),$I$7:$N$17,5,FALSE)),"-"))))</f>
        <v>-</v>
      </c>
      <c r="G27" s="8" t="str" cm="1">
        <f t="array" aca="1" ref="G27" ca="1">IF(ISNUMBER(FIND("ctrl",INDIRECT("Sheet4!"&amp;"H"&amp;MATCH($C$2,Sheet4!$A:$A,0)+7))),
INDIRECT("Sheet4!"&amp;"H"&amp;MATCH($C$2,Sheet4!$A:$A,0)+7),IF(INDIRECT("Sheet4!"&amp;"H"&amp;MATCH($C$2,Sheet4!$A:$A,0)+7)="Água","Água",
IF(INDIRECT("Sheet4!"&amp;"H"&amp;MATCH($C$2,Sheet4!$A:$A,0)+7)="-","-",
IF(_xlfn.NUMBERVALUE(MID(INDIRECT("Sheet4!"&amp;"H"&amp;MATCH($C$2,Sheet4!$A:$A,0)+7),9,2))&lt;=$C$4,
_xlfn.IFNA(VLOOKUP(INDIRECT("Sheet4!"&amp;"H"&amp;MATCH($C$2,Sheet4!$A:$A,0)+7),$C$7:$H$17,1,FALSE)&amp;CHAR(10)&amp;VLOOKUP(INDIRECT("Sheet4!"&amp;"H"&amp;MATCH($C$2,Sheet4!$A:$A,0)+7),$C$7:$H$17,5,FALSE),
VLOOKUP(INDIRECT("Sheet4!"&amp;"H"&amp;MATCH($C$2,Sheet4!$A:$A,0)+7),$I$7:$N$17,1,FALSE)&amp;CHAR(10)&amp;VLOOKUP(INDIRECT("Sheet4!"&amp;"H"&amp;MATCH($C$2,Sheet4!$A:$A,0)+7),$I$7:$N$17,5,FALSE)),"-"))))</f>
        <v>-</v>
      </c>
      <c r="H27" s="8" t="str" cm="1">
        <f t="array" aca="1" ref="H27" ca="1">IF(ISNUMBER(FIND("ctrl",INDIRECT("Sheet4!"&amp;"I"&amp;MATCH($C$2,Sheet4!$A:$A,0)+7))),
INDIRECT("Sheet4!"&amp;"I"&amp;MATCH($C$2,Sheet4!$A:$A,0)+7),IF(INDIRECT("Sheet4!"&amp;"I"&amp;MATCH($C$2,Sheet4!$A:$A,0)+7)="Água","Água",
IF(INDIRECT("Sheet4!"&amp;"I"&amp;MATCH($C$2,Sheet4!$A:$A,0)+7)="-","-",
IF(_xlfn.NUMBERVALUE(MID(INDIRECT("Sheet4!"&amp;"I"&amp;MATCH($C$2,Sheet4!$A:$A,0)+7),9,2))&lt;=$C$4,
_xlfn.IFNA(VLOOKUP(INDIRECT("Sheet4!"&amp;"I"&amp;MATCH($C$2,Sheet4!$A:$A,0)+7),$C$7:$H$17,1,FALSE)&amp;CHAR(10)&amp;VLOOKUP(INDIRECT("Sheet4!"&amp;"I"&amp;MATCH($C$2,Sheet4!$A:$A,0)+7),$C$7:$H$17,5,FALSE),
VLOOKUP(INDIRECT("Sheet4!"&amp;"I"&amp;MATCH($C$2,Sheet4!$A:$A,0)+7),$I$7:$N$17,1,FALSE)&amp;CHAR(10)&amp;VLOOKUP(INDIRECT("Sheet4!"&amp;"I"&amp;MATCH($C$2,Sheet4!$A:$A,0)+7),$I$7:$N$17,5,FALSE)),"-"))))</f>
        <v>-</v>
      </c>
      <c r="I27" s="8" t="str" cm="1">
        <f t="array" aca="1" ref="I27" ca="1">IF(ISNUMBER(FIND("ctrl",INDIRECT("Sheet4!"&amp;"J"&amp;MATCH($C$2,Sheet4!$A:$A,0)+7))),
INDIRECT("Sheet4!"&amp;"J"&amp;MATCH($C$2,Sheet4!$A:$A,0)+7),IF(INDIRECT("Sheet4!"&amp;"J"&amp;MATCH($C$2,Sheet4!$A:$A,0)+7)="Água","Água",
IF(INDIRECT("Sheet4!"&amp;"J"&amp;MATCH($C$2,Sheet4!$A:$A,0)+7)="-","-",
IF(_xlfn.NUMBERVALUE(MID(INDIRECT("Sheet4!"&amp;"J"&amp;MATCH($C$2,Sheet4!$A:$A,0)+7),9,2))&lt;=$C$4,
_xlfn.IFNA(VLOOKUP(INDIRECT("Sheet4!"&amp;"J"&amp;MATCH($C$2,Sheet4!$A:$A,0)+7),$C$7:$H$17,1,FALSE)&amp;CHAR(10)&amp;VLOOKUP(INDIRECT("Sheet4!"&amp;"J"&amp;MATCH($C$2,Sheet4!$A:$A,0)+7),$C$7:$H$17,5,FALSE),
VLOOKUP(INDIRECT("Sheet4!"&amp;"J"&amp;MATCH($C$2,Sheet4!$A:$A,0)+7),$I$7:$N$17,1,FALSE)&amp;CHAR(10)&amp;VLOOKUP(INDIRECT("Sheet4!"&amp;"J"&amp;MATCH($C$2,Sheet4!$A:$A,0)+7),$I$7:$N$17,5,FALSE)),"-"))))</f>
        <v>-</v>
      </c>
      <c r="J27" s="8" t="str" cm="1">
        <f t="array" aca="1" ref="J27" ca="1">IF(ISNUMBER(FIND("ctrl",INDIRECT("Sheet4!"&amp;"K"&amp;MATCH($C$2,Sheet4!$A:$A,0)+7))),
INDIRECT("Sheet4!"&amp;"K"&amp;MATCH($C$2,Sheet4!$A:$A,0)+7),IF(INDIRECT("Sheet4!"&amp;"K"&amp;MATCH($C$2,Sheet4!$A:$A,0)+7)="Água","Água",
IF(INDIRECT("Sheet4!"&amp;"K"&amp;MATCH($C$2,Sheet4!$A:$A,0)+7)="-","-",
IF(_xlfn.NUMBERVALUE(MID(INDIRECT("Sheet4!"&amp;"K"&amp;MATCH($C$2,Sheet4!$A:$A,0)+7),9,2))&lt;=$C$4,
_xlfn.IFNA(VLOOKUP(INDIRECT("Sheet4!"&amp;"K"&amp;MATCH($C$2,Sheet4!$A:$A,0)+7),$C$7:$H$17,1,FALSE)&amp;CHAR(10)&amp;VLOOKUP(INDIRECT("Sheet4!"&amp;"K"&amp;MATCH($C$2,Sheet4!$A:$A,0)+7),$C$7:$H$17,5,FALSE),
VLOOKUP(INDIRECT("Sheet4!"&amp;"K"&amp;MATCH($C$2,Sheet4!$A:$A,0)+7),$I$7:$N$17,1,FALSE)&amp;CHAR(10)&amp;VLOOKUP(INDIRECT("Sheet4!"&amp;"K"&amp;MATCH($C$2,Sheet4!$A:$A,0)+7),$I$7:$N$17,5,FALSE)),"-"))))</f>
        <v>-</v>
      </c>
      <c r="K27" s="8" t="str" cm="1">
        <f t="array" aca="1" ref="K27" ca="1">IF(ISNUMBER(FIND("ctrl",INDIRECT("Sheet4!"&amp;"L"&amp;MATCH($C$2,Sheet4!$A:$A,0)+7))),
INDIRECT("Sheet4!"&amp;"L"&amp;MATCH($C$2,Sheet4!$A:$A,0)+7),IF(INDIRECT("Sheet4!"&amp;"L"&amp;MATCH($C$2,Sheet4!$A:$A,0)+7)="Água","Água",
IF(INDIRECT("Sheet4!"&amp;"L"&amp;MATCH($C$2,Sheet4!$A:$A,0)+7)="-","-",
IF(_xlfn.NUMBERVALUE(MID(INDIRECT("Sheet4!"&amp;"L"&amp;MATCH($C$2,Sheet4!$A:$A,0)+7),9,2))&lt;=$C$4,
_xlfn.IFNA(VLOOKUP(INDIRECT("Sheet4!"&amp;"L"&amp;MATCH($C$2,Sheet4!$A:$A,0)+7),$C$7:$H$17,1,FALSE)&amp;CHAR(10)&amp;VLOOKUP(INDIRECT("Sheet4!"&amp;"L"&amp;MATCH($C$2,Sheet4!$A:$A,0)+7),$C$7:$H$17,5,FALSE),
VLOOKUP(INDIRECT("Sheet4!"&amp;"L"&amp;MATCH($C$2,Sheet4!$A:$A,0)+7),$I$7:$N$17,1,FALSE)&amp;CHAR(10)&amp;VLOOKUP(INDIRECT("Sheet4!"&amp;"L"&amp;MATCH($C$2,Sheet4!$A:$A,0)+7),$I$7:$N$17,5,FALSE)),"-"))))</f>
        <v>-</v>
      </c>
      <c r="L27" s="8" t="str" cm="1">
        <f t="array" aca="1" ref="L27" ca="1">IF(ISNUMBER(FIND("ctrl",INDIRECT("Sheet4!"&amp;"M"&amp;MATCH($C$2,Sheet4!$A:$A,0)+7))),
INDIRECT("Sheet4!"&amp;"M"&amp;MATCH($C$2,Sheet4!$A:$A,0)+7),IF(INDIRECT("Sheet4!"&amp;"M"&amp;MATCH($C$2,Sheet4!$A:$A,0)+7)="Água","Água",
IF(INDIRECT("Sheet4!"&amp;"M"&amp;MATCH($C$2,Sheet4!$A:$A,0)+7)="-","-",
IF(_xlfn.NUMBERVALUE(MID(INDIRECT("Sheet4!"&amp;"M"&amp;MATCH($C$2,Sheet4!$A:$A,0)+7),9,2))&lt;=$C$4,
_xlfn.IFNA(VLOOKUP(INDIRECT("Sheet4!"&amp;"M"&amp;MATCH($C$2,Sheet4!$A:$A,0)+7),$C$7:$H$17,1,FALSE)&amp;CHAR(10)&amp;VLOOKUP(INDIRECT("Sheet4!"&amp;"M"&amp;MATCH($C$2,Sheet4!$A:$A,0)+7),$C$7:$H$17,5,FALSE),
VLOOKUP(INDIRECT("Sheet4!"&amp;"M"&amp;MATCH($C$2,Sheet4!$A:$A,0)+7),$I$7:$N$17,1,FALSE)&amp;CHAR(10)&amp;VLOOKUP(INDIRECT("Sheet4!"&amp;"M"&amp;MATCH($C$2,Sheet4!$A:$A,0)+7),$I$7:$N$17,5,FALSE)),"-"))))</f>
        <v>-</v>
      </c>
      <c r="M27" s="8" t="str" cm="1">
        <f t="array" aca="1" ref="M27" ca="1">IF(ISNUMBER(FIND("ctrl",INDIRECT("Sheet4!"&amp;"N"&amp;MATCH($C$2,Sheet4!$A:$A,0)+7))),
INDIRECT("Sheet4!"&amp;"N"&amp;MATCH($C$2,Sheet4!$A:$A,0)+7),IF(INDIRECT("Sheet4!"&amp;"N"&amp;MATCH($C$2,Sheet4!$A:$A,0)+7)="Água","Água",
IF(INDIRECT("Sheet4!"&amp;"N"&amp;MATCH($C$2,Sheet4!$A:$A,0)+7)="-","-",
IF(_xlfn.NUMBERVALUE(MID(INDIRECT("Sheet4!"&amp;"N"&amp;MATCH($C$2,Sheet4!$A:$A,0)+7),9,2))&lt;=$C$4,
_xlfn.IFNA(VLOOKUP(INDIRECT("Sheet4!"&amp;"N"&amp;MATCH($C$2,Sheet4!$A:$A,0)+7),$C$7:$H$17,1,FALSE)&amp;CHAR(10)&amp;VLOOKUP(INDIRECT("Sheet4!"&amp;"N"&amp;MATCH($C$2,Sheet4!$A:$A,0)+7),$C$7:$H$17,5,FALSE),
VLOOKUP(INDIRECT("Sheet4!"&amp;"N"&amp;MATCH($C$2,Sheet4!$A:$A,0)+7),$I$7:$N$17,1,FALSE)&amp;CHAR(10)&amp;VLOOKUP(INDIRECT("Sheet4!"&amp;"N"&amp;MATCH($C$2,Sheet4!$A:$A,0)+7),$I$7:$N$17,5,FALSE)),"-"))))</f>
        <v>-</v>
      </c>
      <c r="N27" s="8" t="str" cm="1">
        <f t="array" aca="1" ref="N27" ca="1">IF(ISNUMBER(FIND("ctrl",INDIRECT("Sheet4!"&amp;"N"&amp;MATCH($C$2,Sheet4!$A:$A,0)+7))),
INDIRECT("Sheet4!"&amp;"N"&amp;MATCH($C$2,Sheet4!$A:$A,0)+7),IF(INDIRECT("Sheet4!"&amp;"N"&amp;MATCH($C$2,Sheet4!$A:$A,0)+7)="Água","Água",
IF(INDIRECT("Sheet4!"&amp;"N"&amp;MATCH($C$2,Sheet4!$A:$A,0)+7)="-","-",
IF(_xlfn.NUMBERVALUE(MID(INDIRECT("Sheet4!"&amp;"N"&amp;MATCH($C$2,Sheet4!$A:$A,0)+7),9,2))&lt;=$C$4,
_xlfn.IFNA(VLOOKUP(INDIRECT("Sheet4!"&amp;"N"&amp;MATCH($C$2,Sheet4!$A:$A,0)+7),$C$7:$H$17,1,FALSE)&amp;CHAR(10)&amp;VLOOKUP(INDIRECT("Sheet4!"&amp;"N"&amp;MATCH($C$2,Sheet4!$A:$A,0)+7),$C$7:$H$17,5,FALSE),
VLOOKUP(INDIRECT("Sheet4!"&amp;"N"&amp;MATCH($C$2,Sheet4!$A:$A,0)+7),$I$7:$N$17,1,FALSE)&amp;CHAR(10)&amp;VLOOKUP(INDIRECT("Sheet4!"&amp;"N"&amp;MATCH($C$2,Sheet4!$A:$A,0)+7),$I$7:$N$17,5,FALSE)),"-"))))</f>
        <v>-</v>
      </c>
    </row>
    <row r="28" spans="2:14" ht="15.75" thickBot="1" x14ac:dyDescent="0.3"/>
    <row r="29" spans="2:14" ht="16.5" thickBot="1" x14ac:dyDescent="0.3">
      <c r="C29" s="31" t="s">
        <v>62</v>
      </c>
      <c r="D29" s="33" t="s">
        <v>56</v>
      </c>
      <c r="E29" s="32"/>
      <c r="F29" s="22"/>
      <c r="G29" s="18"/>
      <c r="H29" s="19" t="s">
        <v>57</v>
      </c>
      <c r="I29" s="29" t="s">
        <v>103</v>
      </c>
    </row>
    <row r="30" spans="2:14" ht="16.5" thickBot="1" x14ac:dyDescent="0.3">
      <c r="C30" s="30" t="s">
        <v>61</v>
      </c>
      <c r="D30" s="21" t="s">
        <v>67</v>
      </c>
      <c r="E30" s="32"/>
      <c r="F30" s="22"/>
      <c r="G30" s="18"/>
      <c r="H30" s="19" t="s">
        <v>58</v>
      </c>
      <c r="I30" s="20">
        <v>44957</v>
      </c>
    </row>
    <row r="31" spans="2:14" ht="16.5" thickBot="1" x14ac:dyDescent="0.3">
      <c r="C31" s="30" t="s">
        <v>60</v>
      </c>
      <c r="D31" s="21" t="s">
        <v>64</v>
      </c>
      <c r="E31" s="22"/>
      <c r="F31" s="22"/>
      <c r="G31" s="23"/>
      <c r="H31" s="19" t="s">
        <v>59</v>
      </c>
      <c r="I31" s="20">
        <v>44778</v>
      </c>
    </row>
    <row r="33" spans="2:14" x14ac:dyDescent="0.25">
      <c r="B33" s="24" t="s">
        <v>63</v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2:14" x14ac:dyDescent="0.25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2:14" x14ac:dyDescent="0.25"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</sheetData>
  <sheetProtection selectLockedCells="1"/>
  <conditionalFormatting sqref="B1:N1 I4:N4 B6:N6 J2 I2:I3 K2:N3 I5:J5 M5:N5 B2:D2 B4:D5 B8:F17 H7:N17 B29:B31 I30:N31 B32:N1048576 F2:H2 J29:N29 B7:C7 B18:N28">
    <cfRule type="containsText" dxfId="644" priority="220" operator="containsText" text="Água">
      <formula>NOT(ISERROR(SEARCH("Água",B1)))</formula>
    </cfRule>
    <cfRule type="containsText" dxfId="643" priority="221" operator="containsText" text="WT">
      <formula>NOT(ISERROR(SEARCH("WT",B1)))</formula>
    </cfRule>
    <cfRule type="containsText" dxfId="642" priority="222" operator="containsText" text="pos">
      <formula>NOT(ISERROR(SEARCH("pos",B1)))</formula>
    </cfRule>
    <cfRule type="containsText" dxfId="641" priority="223" operator="containsText" text="Amostra 22">
      <formula>NOT(ISERROR(SEARCH("Amostra 22",B1)))</formula>
    </cfRule>
    <cfRule type="containsText" dxfId="640" priority="224" operator="containsText" text="Amostra 21">
      <formula>NOT(ISERROR(SEARCH("Amostra 21",B1)))</formula>
    </cfRule>
    <cfRule type="containsText" dxfId="639" priority="225" operator="containsText" text="Amostra 20">
      <formula>NOT(ISERROR(SEARCH("Amostra 20",B1)))</formula>
    </cfRule>
    <cfRule type="containsText" dxfId="638" priority="226" operator="containsText" text="Amostra 19">
      <formula>NOT(ISERROR(SEARCH("Amostra 19",B1)))</formula>
    </cfRule>
    <cfRule type="containsText" dxfId="637" priority="227" operator="containsText" text="Amostra 18">
      <formula>NOT(ISERROR(SEARCH("Amostra 18",B1)))</formula>
    </cfRule>
    <cfRule type="containsText" dxfId="636" priority="228" operator="containsText" text="Amostra 17">
      <formula>NOT(ISERROR(SEARCH("Amostra 17",B1)))</formula>
    </cfRule>
    <cfRule type="containsText" dxfId="635" priority="229" operator="containsText" text="Amostra 16">
      <formula>NOT(ISERROR(SEARCH("Amostra 16",B1)))</formula>
    </cfRule>
    <cfRule type="containsText" dxfId="634" priority="230" operator="containsText" text="Amostra 15">
      <formula>NOT(ISERROR(SEARCH("Amostra 15",B1)))</formula>
    </cfRule>
    <cfRule type="containsText" dxfId="633" priority="231" operator="containsText" text="Amostra 14">
      <formula>NOT(ISERROR(SEARCH("Amostra 14",B1)))</formula>
    </cfRule>
    <cfRule type="containsText" dxfId="632" priority="232" operator="containsText" text="Amostra 13">
      <formula>NOT(ISERROR(SEARCH("Amostra 13",B1)))</formula>
    </cfRule>
    <cfRule type="containsText" dxfId="631" priority="233" operator="containsText" text="Amostra 12">
      <formula>NOT(ISERROR(SEARCH("Amostra 12",B1)))</formula>
    </cfRule>
    <cfRule type="containsText" dxfId="630" priority="234" operator="containsText" text="Amostra 11">
      <formula>NOT(ISERROR(SEARCH("Amostra 11",B1)))</formula>
    </cfRule>
    <cfRule type="containsText" dxfId="629" priority="235" operator="containsText" text="Amostra 10">
      <formula>NOT(ISERROR(SEARCH("Amostra 10",B1)))</formula>
    </cfRule>
    <cfRule type="containsText" dxfId="628" priority="236" operator="containsText" text="Amostra 9">
      <formula>NOT(ISERROR(SEARCH("Amostra 9",B1)))</formula>
    </cfRule>
    <cfRule type="containsText" dxfId="627" priority="237" operator="containsText" text="Amostra 8">
      <formula>NOT(ISERROR(SEARCH("Amostra 8",B1)))</formula>
    </cfRule>
    <cfRule type="containsText" dxfId="626" priority="238" operator="containsText" text="Amostra 7">
      <formula>NOT(ISERROR(SEARCH("Amostra 7",B1)))</formula>
    </cfRule>
    <cfRule type="containsText" dxfId="625" priority="239" operator="containsText" text="Amostra 6">
      <formula>NOT(ISERROR(SEARCH("Amostra 6",B1)))</formula>
    </cfRule>
    <cfRule type="containsText" dxfId="624" priority="240" operator="containsText" text="Amostra 5">
      <formula>NOT(ISERROR(SEARCH("Amostra 5",B1)))</formula>
    </cfRule>
    <cfRule type="containsText" dxfId="623" priority="241" operator="containsText" text="Amostra 4">
      <formula>NOT(ISERROR(SEARCH("Amostra 4",B1)))</formula>
    </cfRule>
    <cfRule type="containsText" dxfId="622" priority="242" operator="containsText" text="Amostra 3">
      <formula>NOT(ISERROR(SEARCH("Amostra 3",B1)))</formula>
    </cfRule>
    <cfRule type="containsText" dxfId="621" priority="243" operator="containsText" text="Amostra 2">
      <formula>NOT(ISERROR(SEARCH("Amostra 2",B1)))</formula>
    </cfRule>
    <cfRule type="containsText" dxfId="620" priority="244" operator="containsText" text="Amostra 1">
      <formula>NOT(ISERROR(SEARCH("Amostra 1",B1)))</formula>
    </cfRule>
  </conditionalFormatting>
  <conditionalFormatting sqref="G8:H17 H7">
    <cfRule type="expression" dxfId="619" priority="217">
      <formula>ISNUMBER(FIND("Amostra",$C7))</formula>
    </cfRule>
  </conditionalFormatting>
  <conditionalFormatting sqref="J7:J17">
    <cfRule type="expression" dxfId="618" priority="218">
      <formula>ISNUMBER(FIND("Amostra",$I7))</formula>
    </cfRule>
  </conditionalFormatting>
  <conditionalFormatting sqref="D8:D17">
    <cfRule type="expression" dxfId="617" priority="219">
      <formula>ISNUMBER(FIND("Amostra",$C8))</formula>
    </cfRule>
  </conditionalFormatting>
  <conditionalFormatting sqref="M7:N17">
    <cfRule type="expression" dxfId="616" priority="216">
      <formula>ISNUMBER(FIND("Amostra",$I7))</formula>
    </cfRule>
  </conditionalFormatting>
  <conditionalFormatting sqref="E8:E17">
    <cfRule type="expression" dxfId="615" priority="215">
      <formula>ISNUMBER(FIND("Amostra",$C8))</formula>
    </cfRule>
  </conditionalFormatting>
  <conditionalFormatting sqref="K7:K17">
    <cfRule type="expression" dxfId="614" priority="214">
      <formula>ISNUMBER(FIND("Amostra",$I7))</formula>
    </cfRule>
  </conditionalFormatting>
  <conditionalFormatting sqref="K4">
    <cfRule type="containsText" dxfId="613" priority="189" operator="containsText" text="Agua">
      <formula>NOT(ISERROR(SEARCH("Agua",K4)))</formula>
    </cfRule>
    <cfRule type="containsText" dxfId="612" priority="190" operator="containsText" text="WT">
      <formula>NOT(ISERROR(SEARCH("WT",K4)))</formula>
    </cfRule>
    <cfRule type="containsText" dxfId="611" priority="191" operator="containsText" text="pos">
      <formula>NOT(ISERROR(SEARCH("pos",K4)))</formula>
    </cfRule>
    <cfRule type="containsText" dxfId="610" priority="192" operator="containsText" text="Amostra 22">
      <formula>NOT(ISERROR(SEARCH("Amostra 22",K4)))</formula>
    </cfRule>
    <cfRule type="containsText" dxfId="609" priority="193" operator="containsText" text="Amostra 21">
      <formula>NOT(ISERROR(SEARCH("Amostra 21",K4)))</formula>
    </cfRule>
    <cfRule type="containsText" dxfId="608" priority="194" operator="containsText" text="Amostra 20">
      <formula>NOT(ISERROR(SEARCH("Amostra 20",K4)))</formula>
    </cfRule>
    <cfRule type="containsText" dxfId="607" priority="195" operator="containsText" text="Amostra 19">
      <formula>NOT(ISERROR(SEARCH("Amostra 19",K4)))</formula>
    </cfRule>
    <cfRule type="containsText" dxfId="606" priority="196" operator="containsText" text="Amostra 18">
      <formula>NOT(ISERROR(SEARCH("Amostra 18",K4)))</formula>
    </cfRule>
    <cfRule type="containsText" dxfId="605" priority="197" operator="containsText" text="Amostra 17">
      <formula>NOT(ISERROR(SEARCH("Amostra 17",K4)))</formula>
    </cfRule>
    <cfRule type="containsText" dxfId="604" priority="198" operator="containsText" text="Amostra 16">
      <formula>NOT(ISERROR(SEARCH("Amostra 16",K4)))</formula>
    </cfRule>
    <cfRule type="containsText" dxfId="603" priority="199" operator="containsText" text="Amostra 15">
      <formula>NOT(ISERROR(SEARCH("Amostra 15",K4)))</formula>
    </cfRule>
    <cfRule type="containsText" dxfId="602" priority="200" operator="containsText" text="Amostra 14">
      <formula>NOT(ISERROR(SEARCH("Amostra 14",K4)))</formula>
    </cfRule>
    <cfRule type="containsText" dxfId="601" priority="201" operator="containsText" text="Amostra 13">
      <formula>NOT(ISERROR(SEARCH("Amostra 13",K4)))</formula>
    </cfRule>
    <cfRule type="containsText" dxfId="600" priority="202" operator="containsText" text="Amostra 12">
      <formula>NOT(ISERROR(SEARCH("Amostra 12",K4)))</formula>
    </cfRule>
    <cfRule type="containsText" dxfId="599" priority="203" operator="containsText" text="Amostra 11">
      <formula>NOT(ISERROR(SEARCH("Amostra 11",K4)))</formula>
    </cfRule>
    <cfRule type="containsText" dxfId="598" priority="204" operator="containsText" text="Amostra 10">
      <formula>NOT(ISERROR(SEARCH("Amostra 10",K4)))</formula>
    </cfRule>
    <cfRule type="containsText" dxfId="597" priority="205" operator="containsText" text="Amostra 9">
      <formula>NOT(ISERROR(SEARCH("Amostra 9",K4)))</formula>
    </cfRule>
    <cfRule type="containsText" dxfId="596" priority="206" operator="containsText" text="Amostra 8">
      <formula>NOT(ISERROR(SEARCH("Amostra 8",K4)))</formula>
    </cfRule>
    <cfRule type="containsText" dxfId="595" priority="207" operator="containsText" text="Amostra 7">
      <formula>NOT(ISERROR(SEARCH("Amostra 7",K4)))</formula>
    </cfRule>
    <cfRule type="containsText" dxfId="594" priority="208" operator="containsText" text="Amostra 6">
      <formula>NOT(ISERROR(SEARCH("Amostra 6",K4)))</formula>
    </cfRule>
    <cfRule type="containsText" dxfId="593" priority="209" operator="containsText" text="Amostra 5">
      <formula>NOT(ISERROR(SEARCH("Amostra 5",K4)))</formula>
    </cfRule>
    <cfRule type="containsText" dxfId="592" priority="210" operator="containsText" text="Amostra 4">
      <formula>NOT(ISERROR(SEARCH("Amostra 4",K4)))</formula>
    </cfRule>
    <cfRule type="containsText" dxfId="591" priority="211" operator="containsText" text="Amostra 3">
      <formula>NOT(ISERROR(SEARCH("Amostra 3",K4)))</formula>
    </cfRule>
    <cfRule type="containsText" dxfId="590" priority="212" operator="containsText" text="Amostra 2">
      <formula>NOT(ISERROR(SEARCH("Amostra 2",K4)))</formula>
    </cfRule>
    <cfRule type="containsText" dxfId="589" priority="213" operator="containsText" text="Amostra 1">
      <formula>NOT(ISERROR(SEARCH("Amostra 1",K4)))</formula>
    </cfRule>
  </conditionalFormatting>
  <conditionalFormatting sqref="L4:M4">
    <cfRule type="containsText" dxfId="588" priority="163" operator="containsText" text="Agua">
      <formula>NOT(ISERROR(SEARCH("Agua",L4)))</formula>
    </cfRule>
    <cfRule type="containsText" dxfId="587" priority="164" operator="containsText" text="WT">
      <formula>NOT(ISERROR(SEARCH("WT",L4)))</formula>
    </cfRule>
    <cfRule type="containsText" dxfId="586" priority="165" operator="containsText" text="pos">
      <formula>NOT(ISERROR(SEARCH("pos",L4)))</formula>
    </cfRule>
    <cfRule type="containsText" dxfId="585" priority="166" operator="containsText" text="Amostra 22">
      <formula>NOT(ISERROR(SEARCH("Amostra 22",L4)))</formula>
    </cfRule>
    <cfRule type="containsText" dxfId="584" priority="167" operator="containsText" text="Amostra 21">
      <formula>NOT(ISERROR(SEARCH("Amostra 21",L4)))</formula>
    </cfRule>
    <cfRule type="containsText" dxfId="583" priority="168" operator="containsText" text="Amostra 20">
      <formula>NOT(ISERROR(SEARCH("Amostra 20",L4)))</formula>
    </cfRule>
    <cfRule type="containsText" dxfId="582" priority="169" operator="containsText" text="Amostra 19">
      <formula>NOT(ISERROR(SEARCH("Amostra 19",L4)))</formula>
    </cfRule>
    <cfRule type="containsText" dxfId="581" priority="170" operator="containsText" text="Amostra 18">
      <formula>NOT(ISERROR(SEARCH("Amostra 18",L4)))</formula>
    </cfRule>
    <cfRule type="containsText" dxfId="580" priority="171" operator="containsText" text="Amostra 17">
      <formula>NOT(ISERROR(SEARCH("Amostra 17",L4)))</formula>
    </cfRule>
    <cfRule type="containsText" dxfId="579" priority="172" operator="containsText" text="Amostra 16">
      <formula>NOT(ISERROR(SEARCH("Amostra 16",L4)))</formula>
    </cfRule>
    <cfRule type="containsText" dxfId="578" priority="173" operator="containsText" text="Amostra 15">
      <formula>NOT(ISERROR(SEARCH("Amostra 15",L4)))</formula>
    </cfRule>
    <cfRule type="containsText" dxfId="577" priority="174" operator="containsText" text="Amostra 14">
      <formula>NOT(ISERROR(SEARCH("Amostra 14",L4)))</formula>
    </cfRule>
    <cfRule type="containsText" dxfId="576" priority="175" operator="containsText" text="Amostra 13">
      <formula>NOT(ISERROR(SEARCH("Amostra 13",L4)))</formula>
    </cfRule>
    <cfRule type="containsText" dxfId="575" priority="176" operator="containsText" text="Amostra 12">
      <formula>NOT(ISERROR(SEARCH("Amostra 12",L4)))</formula>
    </cfRule>
    <cfRule type="containsText" dxfId="574" priority="177" operator="containsText" text="Amostra 11">
      <formula>NOT(ISERROR(SEARCH("Amostra 11",L4)))</formula>
    </cfRule>
    <cfRule type="containsText" dxfId="573" priority="178" operator="containsText" text="Amostra 10">
      <formula>NOT(ISERROR(SEARCH("Amostra 10",L4)))</formula>
    </cfRule>
    <cfRule type="containsText" dxfId="572" priority="179" operator="containsText" text="Amostra 9">
      <formula>NOT(ISERROR(SEARCH("Amostra 9",L4)))</formula>
    </cfRule>
    <cfRule type="containsText" dxfId="571" priority="180" operator="containsText" text="Amostra 8">
      <formula>NOT(ISERROR(SEARCH("Amostra 8",L4)))</formula>
    </cfRule>
    <cfRule type="containsText" dxfId="570" priority="181" operator="containsText" text="Amostra 7">
      <formula>NOT(ISERROR(SEARCH("Amostra 7",L4)))</formula>
    </cfRule>
    <cfRule type="containsText" dxfId="569" priority="182" operator="containsText" text="Amostra 6">
      <formula>NOT(ISERROR(SEARCH("Amostra 6",L4)))</formula>
    </cfRule>
    <cfRule type="containsText" dxfId="568" priority="183" operator="containsText" text="Amostra 5">
      <formula>NOT(ISERROR(SEARCH("Amostra 5",L4)))</formula>
    </cfRule>
    <cfRule type="containsText" dxfId="567" priority="184" operator="containsText" text="Amostra 4">
      <formula>NOT(ISERROR(SEARCH("Amostra 4",L4)))</formula>
    </cfRule>
    <cfRule type="containsText" dxfId="566" priority="185" operator="containsText" text="Amostra 3">
      <formula>NOT(ISERROR(SEARCH("Amostra 3",L4)))</formula>
    </cfRule>
    <cfRule type="containsText" dxfId="565" priority="186" operator="containsText" text="Amostra 2">
      <formula>NOT(ISERROR(SEARCH("Amostra 2",L4)))</formula>
    </cfRule>
    <cfRule type="containsText" dxfId="564" priority="187" operator="containsText" text="Amostra 1">
      <formula>NOT(ISERROR(SEARCH("Amostra 1",L4)))</formula>
    </cfRule>
  </conditionalFormatting>
  <conditionalFormatting sqref="K5">
    <cfRule type="containsText" dxfId="563" priority="137" operator="containsText" text="Agua">
      <formula>NOT(ISERROR(SEARCH("Agua",K5)))</formula>
    </cfRule>
    <cfRule type="containsText" dxfId="562" priority="138" operator="containsText" text="WT">
      <formula>NOT(ISERROR(SEARCH("WT",K5)))</formula>
    </cfRule>
    <cfRule type="containsText" dxfId="561" priority="139" operator="containsText" text="pos">
      <formula>NOT(ISERROR(SEARCH("pos",K5)))</formula>
    </cfRule>
    <cfRule type="containsText" dxfId="560" priority="140" operator="containsText" text="Amostra 22">
      <formula>NOT(ISERROR(SEARCH("Amostra 22",K5)))</formula>
    </cfRule>
    <cfRule type="containsText" dxfId="559" priority="141" operator="containsText" text="Amostra 21">
      <formula>NOT(ISERROR(SEARCH("Amostra 21",K5)))</formula>
    </cfRule>
    <cfRule type="containsText" dxfId="558" priority="142" operator="containsText" text="Amostra 20">
      <formula>NOT(ISERROR(SEARCH("Amostra 20",K5)))</formula>
    </cfRule>
    <cfRule type="containsText" dxfId="557" priority="143" operator="containsText" text="Amostra 19">
      <formula>NOT(ISERROR(SEARCH("Amostra 19",K5)))</formula>
    </cfRule>
    <cfRule type="containsText" dxfId="556" priority="144" operator="containsText" text="Amostra 18">
      <formula>NOT(ISERROR(SEARCH("Amostra 18",K5)))</formula>
    </cfRule>
    <cfRule type="containsText" dxfId="555" priority="145" operator="containsText" text="Amostra 17">
      <formula>NOT(ISERROR(SEARCH("Amostra 17",K5)))</formula>
    </cfRule>
    <cfRule type="containsText" dxfId="554" priority="146" operator="containsText" text="Amostra 16">
      <formula>NOT(ISERROR(SEARCH("Amostra 16",K5)))</formula>
    </cfRule>
    <cfRule type="containsText" dxfId="553" priority="147" operator="containsText" text="Amostra 15">
      <formula>NOT(ISERROR(SEARCH("Amostra 15",K5)))</formula>
    </cfRule>
    <cfRule type="containsText" dxfId="552" priority="148" operator="containsText" text="Amostra 14">
      <formula>NOT(ISERROR(SEARCH("Amostra 14",K5)))</formula>
    </cfRule>
    <cfRule type="containsText" dxfId="551" priority="149" operator="containsText" text="Amostra 13">
      <formula>NOT(ISERROR(SEARCH("Amostra 13",K5)))</formula>
    </cfRule>
    <cfRule type="containsText" dxfId="550" priority="150" operator="containsText" text="Amostra 12">
      <formula>NOT(ISERROR(SEARCH("Amostra 12",K5)))</formula>
    </cfRule>
    <cfRule type="containsText" dxfId="549" priority="151" operator="containsText" text="Amostra 11">
      <formula>NOT(ISERROR(SEARCH("Amostra 11",K5)))</formula>
    </cfRule>
    <cfRule type="containsText" dxfId="548" priority="152" operator="containsText" text="Amostra 10">
      <formula>NOT(ISERROR(SEARCH("Amostra 10",K5)))</formula>
    </cfRule>
    <cfRule type="containsText" dxfId="547" priority="153" operator="containsText" text="Amostra 9">
      <formula>NOT(ISERROR(SEARCH("Amostra 9",K5)))</formula>
    </cfRule>
    <cfRule type="containsText" dxfId="546" priority="154" operator="containsText" text="Amostra 8">
      <formula>NOT(ISERROR(SEARCH("Amostra 8",K5)))</formula>
    </cfRule>
    <cfRule type="containsText" dxfId="545" priority="155" operator="containsText" text="Amostra 7">
      <formula>NOT(ISERROR(SEARCH("Amostra 7",K5)))</formula>
    </cfRule>
    <cfRule type="containsText" dxfId="544" priority="156" operator="containsText" text="Amostra 6">
      <formula>NOT(ISERROR(SEARCH("Amostra 6",K5)))</formula>
    </cfRule>
    <cfRule type="containsText" dxfId="543" priority="157" operator="containsText" text="Amostra 5">
      <formula>NOT(ISERROR(SEARCH("Amostra 5",K5)))</formula>
    </cfRule>
    <cfRule type="containsText" dxfId="542" priority="158" operator="containsText" text="Amostra 4">
      <formula>NOT(ISERROR(SEARCH("Amostra 4",K5)))</formula>
    </cfRule>
    <cfRule type="containsText" dxfId="541" priority="159" operator="containsText" text="Amostra 3">
      <formula>NOT(ISERROR(SEARCH("Amostra 3",K5)))</formula>
    </cfRule>
    <cfRule type="containsText" dxfId="540" priority="160" operator="containsText" text="Amostra 2">
      <formula>NOT(ISERROR(SEARCH("Amostra 2",K5)))</formula>
    </cfRule>
    <cfRule type="containsText" dxfId="539" priority="161" operator="containsText" text="Amostra 1">
      <formula>NOT(ISERROR(SEARCH("Amostra 1",K5)))</formula>
    </cfRule>
  </conditionalFormatting>
  <conditionalFormatting sqref="L5">
    <cfRule type="containsText" dxfId="538" priority="111" operator="containsText" text="Agua">
      <formula>NOT(ISERROR(SEARCH("Agua",L5)))</formula>
    </cfRule>
    <cfRule type="containsText" dxfId="537" priority="112" operator="containsText" text="WT">
      <formula>NOT(ISERROR(SEARCH("WT",L5)))</formula>
    </cfRule>
    <cfRule type="containsText" dxfId="536" priority="113" operator="containsText" text="pos">
      <formula>NOT(ISERROR(SEARCH("pos",L5)))</formula>
    </cfRule>
    <cfRule type="containsText" dxfId="535" priority="114" operator="containsText" text="Amostra 22">
      <formula>NOT(ISERROR(SEARCH("Amostra 22",L5)))</formula>
    </cfRule>
    <cfRule type="containsText" dxfId="534" priority="115" operator="containsText" text="Amostra 21">
      <formula>NOT(ISERROR(SEARCH("Amostra 21",L5)))</formula>
    </cfRule>
    <cfRule type="containsText" dxfId="533" priority="116" operator="containsText" text="Amostra 20">
      <formula>NOT(ISERROR(SEARCH("Amostra 20",L5)))</formula>
    </cfRule>
    <cfRule type="containsText" dxfId="532" priority="117" operator="containsText" text="Amostra 19">
      <formula>NOT(ISERROR(SEARCH("Amostra 19",L5)))</formula>
    </cfRule>
    <cfRule type="containsText" dxfId="531" priority="118" operator="containsText" text="Amostra 18">
      <formula>NOT(ISERROR(SEARCH("Amostra 18",L5)))</formula>
    </cfRule>
    <cfRule type="containsText" dxfId="530" priority="119" operator="containsText" text="Amostra 17">
      <formula>NOT(ISERROR(SEARCH("Amostra 17",L5)))</formula>
    </cfRule>
    <cfRule type="containsText" dxfId="529" priority="120" operator="containsText" text="Amostra 16">
      <formula>NOT(ISERROR(SEARCH("Amostra 16",L5)))</formula>
    </cfRule>
    <cfRule type="containsText" dxfId="528" priority="121" operator="containsText" text="Amostra 15">
      <formula>NOT(ISERROR(SEARCH("Amostra 15",L5)))</formula>
    </cfRule>
    <cfRule type="containsText" dxfId="527" priority="122" operator="containsText" text="Amostra 14">
      <formula>NOT(ISERROR(SEARCH("Amostra 14",L5)))</formula>
    </cfRule>
    <cfRule type="containsText" dxfId="526" priority="123" operator="containsText" text="Amostra 13">
      <formula>NOT(ISERROR(SEARCH("Amostra 13",L5)))</formula>
    </cfRule>
    <cfRule type="containsText" dxfId="525" priority="124" operator="containsText" text="Amostra 12">
      <formula>NOT(ISERROR(SEARCH("Amostra 12",L5)))</formula>
    </cfRule>
    <cfRule type="containsText" dxfId="524" priority="125" operator="containsText" text="Amostra 11">
      <formula>NOT(ISERROR(SEARCH("Amostra 11",L5)))</formula>
    </cfRule>
    <cfRule type="containsText" dxfId="523" priority="126" operator="containsText" text="Amostra 10">
      <formula>NOT(ISERROR(SEARCH("Amostra 10",L5)))</formula>
    </cfRule>
    <cfRule type="containsText" dxfId="522" priority="127" operator="containsText" text="Amostra 9">
      <formula>NOT(ISERROR(SEARCH("Amostra 9",L5)))</formula>
    </cfRule>
    <cfRule type="containsText" dxfId="521" priority="128" operator="containsText" text="Amostra 8">
      <formula>NOT(ISERROR(SEARCH("Amostra 8",L5)))</formula>
    </cfRule>
    <cfRule type="containsText" dxfId="520" priority="129" operator="containsText" text="Amostra 7">
      <formula>NOT(ISERROR(SEARCH("Amostra 7",L5)))</formula>
    </cfRule>
    <cfRule type="containsText" dxfId="519" priority="130" operator="containsText" text="Amostra 6">
      <formula>NOT(ISERROR(SEARCH("Amostra 6",L5)))</formula>
    </cfRule>
    <cfRule type="containsText" dxfId="518" priority="131" operator="containsText" text="Amostra 5">
      <formula>NOT(ISERROR(SEARCH("Amostra 5",L5)))</formula>
    </cfRule>
    <cfRule type="containsText" dxfId="517" priority="132" operator="containsText" text="Amostra 4">
      <formula>NOT(ISERROR(SEARCH("Amostra 4",L5)))</formula>
    </cfRule>
    <cfRule type="containsText" dxfId="516" priority="133" operator="containsText" text="Amostra 3">
      <formula>NOT(ISERROR(SEARCH("Amostra 3",L5)))</formula>
    </cfRule>
    <cfRule type="containsText" dxfId="515" priority="134" operator="containsText" text="Amostra 2">
      <formula>NOT(ISERROR(SEARCH("Amostra 2",L5)))</formula>
    </cfRule>
    <cfRule type="containsText" dxfId="514" priority="135" operator="containsText" text="Amostra 1">
      <formula>NOT(ISERROR(SEARCH("Amostra 1",L5)))</formula>
    </cfRule>
  </conditionalFormatting>
  <conditionalFormatting sqref="F8:F17">
    <cfRule type="expression" dxfId="513" priority="109">
      <formula>ISNUMBER(FIND("Amostra",$C8))</formula>
    </cfRule>
  </conditionalFormatting>
  <conditionalFormatting sqref="L7:L17">
    <cfRule type="expression" dxfId="512" priority="108">
      <formula>ISNUMBER(FIND("Amostra",$I7))</formula>
    </cfRule>
  </conditionalFormatting>
  <conditionalFormatting sqref="D4:F4">
    <cfRule type="expression" dxfId="511" priority="107">
      <formula>ISNUMBER(FIND("ERRO",$D$4))</formula>
    </cfRule>
  </conditionalFormatting>
  <conditionalFormatting sqref="D7">
    <cfRule type="containsText" dxfId="510" priority="57" operator="containsText" text="Água">
      <formula>NOT(ISERROR(SEARCH("Água",D7)))</formula>
    </cfRule>
    <cfRule type="containsText" dxfId="509" priority="58" operator="containsText" text="WT">
      <formula>NOT(ISERROR(SEARCH("WT",D7)))</formula>
    </cfRule>
    <cfRule type="containsText" dxfId="508" priority="59" operator="containsText" text="pos">
      <formula>NOT(ISERROR(SEARCH("pos",D7)))</formula>
    </cfRule>
    <cfRule type="containsText" dxfId="507" priority="60" operator="containsText" text="Amostra 22">
      <formula>NOT(ISERROR(SEARCH("Amostra 22",D7)))</formula>
    </cfRule>
    <cfRule type="containsText" dxfId="506" priority="61" operator="containsText" text="Amostra 21">
      <formula>NOT(ISERROR(SEARCH("Amostra 21",D7)))</formula>
    </cfRule>
    <cfRule type="containsText" dxfId="505" priority="62" operator="containsText" text="Amostra 20">
      <formula>NOT(ISERROR(SEARCH("Amostra 20",D7)))</formula>
    </cfRule>
    <cfRule type="containsText" dxfId="504" priority="63" operator="containsText" text="Amostra 19">
      <formula>NOT(ISERROR(SEARCH("Amostra 19",D7)))</formula>
    </cfRule>
    <cfRule type="containsText" dxfId="503" priority="64" operator="containsText" text="Amostra 18">
      <formula>NOT(ISERROR(SEARCH("Amostra 18",D7)))</formula>
    </cfRule>
    <cfRule type="containsText" dxfId="502" priority="65" operator="containsText" text="Amostra 17">
      <formula>NOT(ISERROR(SEARCH("Amostra 17",D7)))</formula>
    </cfRule>
    <cfRule type="containsText" dxfId="501" priority="66" operator="containsText" text="Amostra 16">
      <formula>NOT(ISERROR(SEARCH("Amostra 16",D7)))</formula>
    </cfRule>
    <cfRule type="containsText" dxfId="500" priority="67" operator="containsText" text="Amostra 15">
      <formula>NOT(ISERROR(SEARCH("Amostra 15",D7)))</formula>
    </cfRule>
    <cfRule type="containsText" dxfId="499" priority="68" operator="containsText" text="Amostra 14">
      <formula>NOT(ISERROR(SEARCH("Amostra 14",D7)))</formula>
    </cfRule>
    <cfRule type="containsText" dxfId="498" priority="69" operator="containsText" text="Amostra 13">
      <formula>NOT(ISERROR(SEARCH("Amostra 13",D7)))</formula>
    </cfRule>
    <cfRule type="containsText" dxfId="497" priority="70" operator="containsText" text="Amostra 12">
      <formula>NOT(ISERROR(SEARCH("Amostra 12",D7)))</formula>
    </cfRule>
    <cfRule type="containsText" dxfId="496" priority="71" operator="containsText" text="Amostra 11">
      <formula>NOT(ISERROR(SEARCH("Amostra 11",D7)))</formula>
    </cfRule>
    <cfRule type="containsText" dxfId="495" priority="72" operator="containsText" text="Amostra 10">
      <formula>NOT(ISERROR(SEARCH("Amostra 10",D7)))</formula>
    </cfRule>
    <cfRule type="containsText" dxfId="494" priority="73" operator="containsText" text="Amostra 9">
      <formula>NOT(ISERROR(SEARCH("Amostra 9",D7)))</formula>
    </cfRule>
    <cfRule type="containsText" dxfId="493" priority="74" operator="containsText" text="Amostra 8">
      <formula>NOT(ISERROR(SEARCH("Amostra 8",D7)))</formula>
    </cfRule>
    <cfRule type="containsText" dxfId="492" priority="75" operator="containsText" text="Amostra 7">
      <formula>NOT(ISERROR(SEARCH("Amostra 7",D7)))</formula>
    </cfRule>
    <cfRule type="containsText" dxfId="491" priority="76" operator="containsText" text="Amostra 6">
      <formula>NOT(ISERROR(SEARCH("Amostra 6",D7)))</formula>
    </cfRule>
    <cfRule type="containsText" dxfId="490" priority="77" operator="containsText" text="Amostra 5">
      <formula>NOT(ISERROR(SEARCH("Amostra 5",D7)))</formula>
    </cfRule>
    <cfRule type="containsText" dxfId="489" priority="78" operator="containsText" text="Amostra 4">
      <formula>NOT(ISERROR(SEARCH("Amostra 4",D7)))</formula>
    </cfRule>
    <cfRule type="containsText" dxfId="488" priority="79" operator="containsText" text="Amostra 3">
      <formula>NOT(ISERROR(SEARCH("Amostra 3",D7)))</formula>
    </cfRule>
    <cfRule type="containsText" dxfId="487" priority="80" operator="containsText" text="Amostra 2">
      <formula>NOT(ISERROR(SEARCH("Amostra 2",D7)))</formula>
    </cfRule>
    <cfRule type="containsText" dxfId="486" priority="81" operator="containsText" text="Amostra 1">
      <formula>NOT(ISERROR(SEARCH("Amostra 1",D7)))</formula>
    </cfRule>
  </conditionalFormatting>
  <conditionalFormatting sqref="D7">
    <cfRule type="expression" dxfId="485" priority="56">
      <formula>ISNUMBER(FIND("Amostra",$C7))</formula>
    </cfRule>
  </conditionalFormatting>
  <conditionalFormatting sqref="G7">
    <cfRule type="expression" dxfId="484" priority="53">
      <formula>ISNUMBER(FIND("Amostra",$C7))</formula>
    </cfRule>
  </conditionalFormatting>
  <conditionalFormatting sqref="E7:F7">
    <cfRule type="containsText" dxfId="483" priority="28" operator="containsText" text="Água">
      <formula>NOT(ISERROR(SEARCH("Água",E7)))</formula>
    </cfRule>
    <cfRule type="containsText" dxfId="482" priority="29" operator="containsText" text="WT">
      <formula>NOT(ISERROR(SEARCH("WT",E7)))</formula>
    </cfRule>
    <cfRule type="containsText" dxfId="481" priority="30" operator="containsText" text="pos">
      <formula>NOT(ISERROR(SEARCH("pos",E7)))</formula>
    </cfRule>
    <cfRule type="containsText" dxfId="480" priority="31" operator="containsText" text="Amostra 22">
      <formula>NOT(ISERROR(SEARCH("Amostra 22",E7)))</formula>
    </cfRule>
    <cfRule type="containsText" dxfId="479" priority="32" operator="containsText" text="Amostra 21">
      <formula>NOT(ISERROR(SEARCH("Amostra 21",E7)))</formula>
    </cfRule>
    <cfRule type="containsText" dxfId="478" priority="33" operator="containsText" text="Amostra 20">
      <formula>NOT(ISERROR(SEARCH("Amostra 20",E7)))</formula>
    </cfRule>
    <cfRule type="containsText" dxfId="477" priority="34" operator="containsText" text="Amostra 19">
      <formula>NOT(ISERROR(SEARCH("Amostra 19",E7)))</formula>
    </cfRule>
    <cfRule type="containsText" dxfId="476" priority="35" operator="containsText" text="Amostra 18">
      <formula>NOT(ISERROR(SEARCH("Amostra 18",E7)))</formula>
    </cfRule>
    <cfRule type="containsText" dxfId="475" priority="36" operator="containsText" text="Amostra 17">
      <formula>NOT(ISERROR(SEARCH("Amostra 17",E7)))</formula>
    </cfRule>
    <cfRule type="containsText" dxfId="474" priority="37" operator="containsText" text="Amostra 16">
      <formula>NOT(ISERROR(SEARCH("Amostra 16",E7)))</formula>
    </cfRule>
    <cfRule type="containsText" dxfId="473" priority="38" operator="containsText" text="Amostra 15">
      <formula>NOT(ISERROR(SEARCH("Amostra 15",E7)))</formula>
    </cfRule>
    <cfRule type="containsText" dxfId="472" priority="39" operator="containsText" text="Amostra 14">
      <formula>NOT(ISERROR(SEARCH("Amostra 14",E7)))</formula>
    </cfRule>
    <cfRule type="containsText" dxfId="471" priority="40" operator="containsText" text="Amostra 13">
      <formula>NOT(ISERROR(SEARCH("Amostra 13",E7)))</formula>
    </cfRule>
    <cfRule type="containsText" dxfId="470" priority="41" operator="containsText" text="Amostra 12">
      <formula>NOT(ISERROR(SEARCH("Amostra 12",E7)))</formula>
    </cfRule>
    <cfRule type="containsText" dxfId="469" priority="42" operator="containsText" text="Amostra 11">
      <formula>NOT(ISERROR(SEARCH("Amostra 11",E7)))</formula>
    </cfRule>
    <cfRule type="containsText" dxfId="468" priority="43" operator="containsText" text="Amostra 10">
      <formula>NOT(ISERROR(SEARCH("Amostra 10",E7)))</formula>
    </cfRule>
    <cfRule type="containsText" dxfId="467" priority="44" operator="containsText" text="Amostra 9">
      <formula>NOT(ISERROR(SEARCH("Amostra 9",E7)))</formula>
    </cfRule>
    <cfRule type="containsText" dxfId="466" priority="45" operator="containsText" text="Amostra 8">
      <formula>NOT(ISERROR(SEARCH("Amostra 8",E7)))</formula>
    </cfRule>
    <cfRule type="containsText" dxfId="465" priority="46" operator="containsText" text="Amostra 7">
      <formula>NOT(ISERROR(SEARCH("Amostra 7",E7)))</formula>
    </cfRule>
    <cfRule type="containsText" dxfId="464" priority="47" operator="containsText" text="Amostra 6">
      <formula>NOT(ISERROR(SEARCH("Amostra 6",E7)))</formula>
    </cfRule>
    <cfRule type="containsText" dxfId="463" priority="48" operator="containsText" text="Amostra 5">
      <formula>NOT(ISERROR(SEARCH("Amostra 5",E7)))</formula>
    </cfRule>
    <cfRule type="containsText" dxfId="462" priority="49" operator="containsText" text="Amostra 4">
      <formula>NOT(ISERROR(SEARCH("Amostra 4",E7)))</formula>
    </cfRule>
    <cfRule type="containsText" dxfId="461" priority="50" operator="containsText" text="Amostra 3">
      <formula>NOT(ISERROR(SEARCH("Amostra 3",E7)))</formula>
    </cfRule>
    <cfRule type="containsText" dxfId="460" priority="51" operator="containsText" text="Amostra 2">
      <formula>NOT(ISERROR(SEARCH("Amostra 2",E7)))</formula>
    </cfRule>
    <cfRule type="containsText" dxfId="459" priority="52" operator="containsText" text="Amostra 1">
      <formula>NOT(ISERROR(SEARCH("Amostra 1",E7)))</formula>
    </cfRule>
  </conditionalFormatting>
  <conditionalFormatting sqref="E7">
    <cfRule type="expression" dxfId="458" priority="27">
      <formula>ISNUMBER(FIND("Amostra",$C7))</formula>
    </cfRule>
  </conditionalFormatting>
  <conditionalFormatting sqref="F7">
    <cfRule type="expression" dxfId="457" priority="26">
      <formula>ISNUMBER(FIND("Amostra",$C7))</formula>
    </cfRule>
  </conditionalFormatting>
  <conditionalFormatting sqref="I29">
    <cfRule type="containsText" dxfId="456" priority="1" operator="containsText" text="Água">
      <formula>NOT(ISERROR(SEARCH("Água",I29)))</formula>
    </cfRule>
    <cfRule type="containsText" dxfId="455" priority="2" operator="containsText" text="WT">
      <formula>NOT(ISERROR(SEARCH("WT",I29)))</formula>
    </cfRule>
    <cfRule type="containsText" dxfId="454" priority="3" operator="containsText" text="pos">
      <formula>NOT(ISERROR(SEARCH("pos",I29)))</formula>
    </cfRule>
    <cfRule type="containsText" dxfId="453" priority="4" operator="containsText" text="Amostra 22">
      <formula>NOT(ISERROR(SEARCH("Amostra 22",I29)))</formula>
    </cfRule>
    <cfRule type="containsText" dxfId="452" priority="5" operator="containsText" text="Amostra 21">
      <formula>NOT(ISERROR(SEARCH("Amostra 21",I29)))</formula>
    </cfRule>
    <cfRule type="containsText" dxfId="451" priority="6" operator="containsText" text="Amostra 20">
      <formula>NOT(ISERROR(SEARCH("Amostra 20",I29)))</formula>
    </cfRule>
    <cfRule type="containsText" dxfId="450" priority="7" operator="containsText" text="Amostra 19">
      <formula>NOT(ISERROR(SEARCH("Amostra 19",I29)))</formula>
    </cfRule>
    <cfRule type="containsText" dxfId="449" priority="8" operator="containsText" text="Amostra 18">
      <formula>NOT(ISERROR(SEARCH("Amostra 18",I29)))</formula>
    </cfRule>
    <cfRule type="containsText" dxfId="448" priority="9" operator="containsText" text="Amostra 17">
      <formula>NOT(ISERROR(SEARCH("Amostra 17",I29)))</formula>
    </cfRule>
    <cfRule type="containsText" dxfId="447" priority="10" operator="containsText" text="Amostra 16">
      <formula>NOT(ISERROR(SEARCH("Amostra 16",I29)))</formula>
    </cfRule>
    <cfRule type="containsText" dxfId="446" priority="11" operator="containsText" text="Amostra 15">
      <formula>NOT(ISERROR(SEARCH("Amostra 15",I29)))</formula>
    </cfRule>
    <cfRule type="containsText" dxfId="445" priority="12" operator="containsText" text="Amostra 14">
      <formula>NOT(ISERROR(SEARCH("Amostra 14",I29)))</formula>
    </cfRule>
    <cfRule type="containsText" dxfId="444" priority="13" operator="containsText" text="Amostra 13">
      <formula>NOT(ISERROR(SEARCH("Amostra 13",I29)))</formula>
    </cfRule>
    <cfRule type="containsText" dxfId="443" priority="14" operator="containsText" text="Amostra 12">
      <formula>NOT(ISERROR(SEARCH("Amostra 12",I29)))</formula>
    </cfRule>
    <cfRule type="containsText" dxfId="442" priority="15" operator="containsText" text="Amostra 11">
      <formula>NOT(ISERROR(SEARCH("Amostra 11",I29)))</formula>
    </cfRule>
    <cfRule type="containsText" dxfId="441" priority="16" operator="containsText" text="Amostra 10">
      <formula>NOT(ISERROR(SEARCH("Amostra 10",I29)))</formula>
    </cfRule>
    <cfRule type="containsText" dxfId="440" priority="17" operator="containsText" text="Amostra 9">
      <formula>NOT(ISERROR(SEARCH("Amostra 9",I29)))</formula>
    </cfRule>
    <cfRule type="containsText" dxfId="439" priority="18" operator="containsText" text="Amostra 8">
      <formula>NOT(ISERROR(SEARCH("Amostra 8",I29)))</formula>
    </cfRule>
    <cfRule type="containsText" dxfId="438" priority="19" operator="containsText" text="Amostra 7">
      <formula>NOT(ISERROR(SEARCH("Amostra 7",I29)))</formula>
    </cfRule>
    <cfRule type="containsText" dxfId="437" priority="20" operator="containsText" text="Amostra 6">
      <formula>NOT(ISERROR(SEARCH("Amostra 6",I29)))</formula>
    </cfRule>
    <cfRule type="containsText" dxfId="436" priority="21" operator="containsText" text="Amostra 5">
      <formula>NOT(ISERROR(SEARCH("Amostra 5",I29)))</formula>
    </cfRule>
    <cfRule type="containsText" dxfId="435" priority="22" operator="containsText" text="Amostra 4">
      <formula>NOT(ISERROR(SEARCH("Amostra 4",I29)))</formula>
    </cfRule>
    <cfRule type="containsText" dxfId="434" priority="23" operator="containsText" text="Amostra 3">
      <formula>NOT(ISERROR(SEARCH("Amostra 3",I29)))</formula>
    </cfRule>
    <cfRule type="containsText" dxfId="433" priority="24" operator="containsText" text="Amostra 2">
      <formula>NOT(ISERROR(SEARCH("Amostra 2",I29)))</formula>
    </cfRule>
    <cfRule type="containsText" dxfId="432" priority="25" operator="containsText" text="Amostra 1">
      <formula>NOT(ISERROR(SEARCH("Amostra 1",I29)))</formula>
    </cfRule>
  </conditionalFormatting>
  <dataValidations count="1">
    <dataValidation type="whole" allowBlank="1" showInputMessage="1" showErrorMessage="1" sqref="C4" xr:uid="{218947D9-B838-415B-A994-9A86B0C5BCBA}">
      <formula1>1</formula1>
      <formula2>22</formula2>
    </dataValidation>
  </dataValidations>
  <pageMargins left="0.25" right="0.25" top="0.75" bottom="0.75" header="0.3" footer="0.3"/>
  <pageSetup paperSize="9" scale="60" orientation="landscape" r:id="rId1"/>
  <headerFooter>
    <oddHeader xml:space="preserve">&amp;L&amp;G&amp;RFQX.AA.BB – Formulário diluição de amostras RT-PCR – Revisão 00           </oddHead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5" operator="containsText" id="{2CE48E98-13A7-428A-9477-DA9EF6DC0C45}">
            <xm:f>NOT(ISERROR(SEARCH("-",C20)))</xm:f>
            <xm:f>"-"</xm:f>
            <x14:dxf>
              <fill>
                <patternFill>
                  <bgColor rgb="FFFFC000"/>
                </patternFill>
              </fill>
            </x14:dxf>
          </x14:cfRule>
          <xm:sqref>C20:N27</xm:sqref>
        </x14:conditionalFormatting>
        <x14:conditionalFormatting xmlns:xm="http://schemas.microsoft.com/office/excel/2006/main">
          <x14:cfRule type="containsText" priority="188" operator="containsText" id="{FC127E9A-3935-47F9-96D7-50E2F8CDD43C}">
            <xm:f>NOT(ISERROR(SEARCH("-",K4)))</xm:f>
            <xm:f>"-"</xm:f>
            <x14:dxf>
              <fill>
                <patternFill>
                  <bgColor rgb="FFFFC000"/>
                </patternFill>
              </fill>
            </x14:dxf>
          </x14:cfRule>
          <xm:sqref>K4</xm:sqref>
        </x14:conditionalFormatting>
        <x14:conditionalFormatting xmlns:xm="http://schemas.microsoft.com/office/excel/2006/main">
          <x14:cfRule type="containsText" priority="162" operator="containsText" id="{E3F68263-83EF-4590-8A2D-3DAAEA8F3E57}">
            <xm:f>NOT(ISERROR(SEARCH("-",L4)))</xm:f>
            <xm:f>"-"</xm:f>
            <x14:dxf>
              <fill>
                <patternFill>
                  <bgColor rgb="FFFFC000"/>
                </patternFill>
              </fill>
            </x14:dxf>
          </x14:cfRule>
          <xm:sqref>L4:M4</xm:sqref>
        </x14:conditionalFormatting>
        <x14:conditionalFormatting xmlns:xm="http://schemas.microsoft.com/office/excel/2006/main">
          <x14:cfRule type="containsText" priority="136" operator="containsText" id="{CF4B95C1-ADD0-4A6C-B365-160FB40C3916}">
            <xm:f>NOT(ISERROR(SEARCH("-",K5)))</xm:f>
            <xm:f>"-"</xm:f>
            <x14:dxf>
              <fill>
                <patternFill>
                  <bgColor rgb="FFFFC00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10" operator="containsText" id="{B38FC52F-35E8-4E80-A88D-84D88F6E95A4}">
            <xm:f>NOT(ISERROR(SEARCH("-",L5)))</xm:f>
            <xm:f>"-"</xm:f>
            <x14:dxf>
              <fill>
                <patternFill>
                  <bgColor rgb="FFFFC000"/>
                </patternFill>
              </fill>
            </x14:dxf>
          </x14:cfRule>
          <xm:sqref>L5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26741F-0DDC-40F8-98BF-DBACFEEE1EC2}">
          <x14:formula1>
            <xm:f>'Calculos pré definidos'!$A$2:$A$10</xm:f>
          </x14:formula1>
          <xm:sqref>C2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ABE8-1C13-4C41-BE41-CB24ECBD2254}">
  <sheetPr codeName="Planilha39"/>
  <dimension ref="B1:N35"/>
  <sheetViews>
    <sheetView view="pageBreakPreview" topLeftCell="A2" zoomScaleNormal="40" zoomScaleSheetLayoutView="100" zoomScalePageLayoutView="70" workbookViewId="0">
      <selection activeCell="C33" sqref="C33"/>
    </sheetView>
  </sheetViews>
  <sheetFormatPr defaultColWidth="9.140625" defaultRowHeight="15" x14ac:dyDescent="0.25"/>
  <cols>
    <col min="1" max="1" width="18.140625" style="2" customWidth="1"/>
    <col min="2" max="2" width="10.85546875" style="24" customWidth="1"/>
    <col min="3" max="3" width="15.7109375" style="2" customWidth="1"/>
    <col min="4" max="15" width="15.140625" style="2" customWidth="1"/>
    <col min="16" max="16" width="9.28515625" style="2" customWidth="1"/>
    <col min="17" max="16384" width="9.140625" style="2"/>
  </cols>
  <sheetData>
    <row r="1" spans="2:14" ht="36" customHeight="1" x14ac:dyDescent="0.25">
      <c r="B1" s="35" t="str">
        <f>"Tabela de diluição de amostras para RT-PCR para "&amp;C2</f>
        <v>Tabela de diluição de amostras para RT-PCR para RT022 BRAF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2:14" ht="15.75" x14ac:dyDescent="0.25">
      <c r="B2" s="34" t="s">
        <v>25</v>
      </c>
      <c r="C2" s="14" t="s">
        <v>9</v>
      </c>
      <c r="D2" s="15"/>
      <c r="F2" s="34" t="s">
        <v>55</v>
      </c>
      <c r="G2" s="14" t="s">
        <v>98</v>
      </c>
      <c r="H2" s="15"/>
      <c r="K2" s="6" t="s">
        <v>45</v>
      </c>
      <c r="L2" s="9">
        <v>25</v>
      </c>
      <c r="M2" s="2" t="s">
        <v>47</v>
      </c>
    </row>
    <row r="3" spans="2:14" x14ac:dyDescent="0.25">
      <c r="K3" s="6" t="s">
        <v>51</v>
      </c>
      <c r="L3" s="9">
        <v>120</v>
      </c>
      <c r="M3" s="2" t="s">
        <v>47</v>
      </c>
    </row>
    <row r="4" spans="2:14" x14ac:dyDescent="0.25">
      <c r="B4" s="10" t="s">
        <v>43</v>
      </c>
      <c r="C4" s="16">
        <v>3</v>
      </c>
      <c r="D4" s="2" t="str">
        <f>IF(C4&gt;VLOOKUP($C$2,'Calculos pré definidos'!A1:I10,9),"ERRO! Muitas amostras. Reduza a quantidade.","")</f>
        <v/>
      </c>
      <c r="K4" s="6" t="s">
        <v>46</v>
      </c>
      <c r="L4" s="9">
        <v>25</v>
      </c>
      <c r="M4" s="2" t="s">
        <v>48</v>
      </c>
    </row>
    <row r="5" spans="2:14" x14ac:dyDescent="0.25">
      <c r="K5" s="6" t="s">
        <v>49</v>
      </c>
      <c r="L5" s="9">
        <f>L3/L2*L4/L3</f>
        <v>1</v>
      </c>
      <c r="M5" s="2" t="s">
        <v>50</v>
      </c>
    </row>
    <row r="6" spans="2:14" ht="30" x14ac:dyDescent="0.25">
      <c r="D6" s="7" t="str">
        <f>IF(C4&gt;=1,"Concentração Inicial (C1)","")</f>
        <v>Concentração Inicial (C1)</v>
      </c>
      <c r="E6" s="7" t="str">
        <f>IF(C4&gt;=1,"Volume inicial DNA/RNA (V1)","")</f>
        <v>Volume inicial DNA/RNA (V1)</v>
      </c>
      <c r="F6" s="7" t="str">
        <f>IF(C4&gt;=1,"H20 (V2-V1)","")</f>
        <v>H20 (V2-V1)</v>
      </c>
      <c r="G6" s="7" t="str">
        <f>IF(C4&gt;=1,"ID da Amostra","")</f>
        <v>ID da Amostra</v>
      </c>
      <c r="J6" s="7" t="str">
        <f>IF(C4&gt;=12,"Concentração Inicial (C1)","")</f>
        <v/>
      </c>
      <c r="K6" s="7" t="str">
        <f>IF(C4&gt;=12,"Volume inicial DNA/RNA (V1)","")</f>
        <v/>
      </c>
      <c r="L6" s="7" t="str">
        <f>IF(C4&gt;=12,"H20 (V2-V1)","")</f>
        <v/>
      </c>
      <c r="M6" s="7" t="str">
        <f>IF(C4&gt;=12,"ID da Amostra","")</f>
        <v/>
      </c>
    </row>
    <row r="7" spans="2:14" x14ac:dyDescent="0.25">
      <c r="B7" s="10" t="s">
        <v>44</v>
      </c>
      <c r="C7" s="2" t="str">
        <f t="shared" ref="C7:C17" si="0">IF(ROW(B4)-3&lt;=$C$4,"Amostra "&amp;ROW(B4)-3,"")</f>
        <v>Amostra 1</v>
      </c>
      <c r="D7" s="17">
        <v>118</v>
      </c>
      <c r="E7" s="17">
        <v>2</v>
      </c>
      <c r="F7" s="2">
        <f t="shared" ref="F7:F11" si="1">IF(ISBLANK(D7),"",IF((D7/$L$5*E7)&lt;$L$3,"Aumente o V1",(D7/$L$5*E7)-E7))</f>
        <v>234</v>
      </c>
      <c r="G7" s="17" t="s">
        <v>99</v>
      </c>
      <c r="I7" s="2" t="str">
        <f t="shared" ref="I7:I17" si="2">IF(ROW(B4)+8&lt;=$C$4,"Amostra "&amp;ROW(B4)+8,"")</f>
        <v/>
      </c>
      <c r="J7" s="17"/>
      <c r="K7" s="17"/>
      <c r="L7" s="2" t="str">
        <f t="shared" ref="L7:L17" si="3">IF(ISBLANK(J7),"",IF((J7/$L$5*K7)&lt;$L$3,"Aumente o V1",(J7/$L$5*K7)-K7))</f>
        <v/>
      </c>
      <c r="M7" s="17"/>
    </row>
    <row r="8" spans="2:14" x14ac:dyDescent="0.25">
      <c r="C8" s="2" t="str">
        <f t="shared" si="0"/>
        <v>Amostra 2</v>
      </c>
      <c r="D8" s="17">
        <v>169.5</v>
      </c>
      <c r="E8" s="17">
        <v>3</v>
      </c>
      <c r="F8" s="2">
        <f t="shared" ref="F8:F10" si="4">IF(ISBLANK(D8),"",IF((D8/$L$5*E8)&lt;$L$3,"Aumente o V1",(D8/$L$5*E8)-E8))</f>
        <v>505.5</v>
      </c>
      <c r="G8" s="17" t="s">
        <v>97</v>
      </c>
      <c r="I8" s="2" t="str">
        <f t="shared" si="2"/>
        <v/>
      </c>
      <c r="J8" s="17"/>
      <c r="K8" s="17"/>
      <c r="L8" s="2" t="str">
        <f t="shared" si="3"/>
        <v/>
      </c>
      <c r="M8" s="17"/>
    </row>
    <row r="9" spans="2:14" x14ac:dyDescent="0.25">
      <c r="C9" s="2" t="str">
        <f t="shared" si="0"/>
        <v>Amostra 3</v>
      </c>
      <c r="D9" s="17">
        <v>189.3</v>
      </c>
      <c r="E9" s="17">
        <v>3</v>
      </c>
      <c r="F9" s="2">
        <f>IF(ISBLANK(D9),"",IF((D9/$L$5*E9)&lt;$L$3,"Aumente o V1",(D9/$L$5*E9)-E9))</f>
        <v>564.90000000000009</v>
      </c>
      <c r="G9" s="17" t="s">
        <v>96</v>
      </c>
      <c r="I9" s="2" t="str">
        <f t="shared" si="2"/>
        <v/>
      </c>
      <c r="J9" s="17"/>
      <c r="K9" s="17"/>
      <c r="L9" s="2" t="str">
        <f t="shared" si="3"/>
        <v/>
      </c>
      <c r="M9" s="17"/>
    </row>
    <row r="10" spans="2:14" x14ac:dyDescent="0.25">
      <c r="C10" s="2" t="str">
        <f t="shared" si="0"/>
        <v/>
      </c>
      <c r="D10" s="17"/>
      <c r="E10" s="17"/>
      <c r="F10" s="2" t="str">
        <f t="shared" si="4"/>
        <v/>
      </c>
      <c r="G10" s="17"/>
      <c r="I10" s="2" t="str">
        <f t="shared" si="2"/>
        <v/>
      </c>
      <c r="J10" s="17"/>
      <c r="K10" s="17"/>
      <c r="L10" s="2" t="str">
        <f t="shared" si="3"/>
        <v/>
      </c>
      <c r="M10" s="17"/>
    </row>
    <row r="11" spans="2:14" x14ac:dyDescent="0.25">
      <c r="C11" s="2" t="str">
        <f t="shared" si="0"/>
        <v/>
      </c>
      <c r="D11" s="17"/>
      <c r="E11" s="17"/>
      <c r="F11" s="2" t="str">
        <f t="shared" si="1"/>
        <v/>
      </c>
      <c r="G11" s="17"/>
      <c r="I11" s="2" t="str">
        <f t="shared" si="2"/>
        <v/>
      </c>
      <c r="J11" s="17"/>
      <c r="K11" s="17"/>
      <c r="L11" s="2" t="str">
        <f t="shared" si="3"/>
        <v/>
      </c>
      <c r="M11" s="17"/>
    </row>
    <row r="12" spans="2:14" x14ac:dyDescent="0.25">
      <c r="C12" s="2" t="str">
        <f t="shared" si="0"/>
        <v/>
      </c>
      <c r="D12" s="17"/>
      <c r="E12" s="17"/>
      <c r="F12" s="2" t="str">
        <f>IF(ISBLANK(D12),"",IF((D12/$L$5*E12)&lt;$L$3,"Aumente o V1",(D12/$L$5*E12)-E12))</f>
        <v/>
      </c>
      <c r="G12" s="17"/>
      <c r="I12" s="2" t="str">
        <f t="shared" si="2"/>
        <v/>
      </c>
      <c r="J12" s="17"/>
      <c r="K12" s="17"/>
      <c r="L12" s="2" t="str">
        <f t="shared" si="3"/>
        <v/>
      </c>
      <c r="M12" s="17"/>
    </row>
    <row r="13" spans="2:14" x14ac:dyDescent="0.25">
      <c r="C13" s="2" t="str">
        <f t="shared" si="0"/>
        <v/>
      </c>
      <c r="D13" s="17"/>
      <c r="E13" s="17"/>
      <c r="F13" s="2" t="str">
        <f t="shared" ref="F13:F17" si="5">IF(ISBLANK(D13),"",IF((D13/$L$5*E13)&lt;$L$3,"Aumente o V1",(D13/$L$5*E13)-E13))</f>
        <v/>
      </c>
      <c r="G13" s="17"/>
      <c r="I13" s="2" t="str">
        <f t="shared" si="2"/>
        <v/>
      </c>
      <c r="J13" s="17"/>
      <c r="K13" s="17"/>
      <c r="L13" s="2" t="str">
        <f t="shared" si="3"/>
        <v/>
      </c>
      <c r="M13" s="17"/>
    </row>
    <row r="14" spans="2:14" x14ac:dyDescent="0.25">
      <c r="C14" s="2" t="str">
        <f t="shared" si="0"/>
        <v/>
      </c>
      <c r="D14" s="17"/>
      <c r="E14" s="17"/>
      <c r="F14" s="2" t="str">
        <f t="shared" si="5"/>
        <v/>
      </c>
      <c r="G14" s="17"/>
      <c r="I14" s="2" t="str">
        <f t="shared" si="2"/>
        <v/>
      </c>
      <c r="J14" s="17"/>
      <c r="K14" s="17"/>
      <c r="L14" s="2" t="str">
        <f t="shared" si="3"/>
        <v/>
      </c>
      <c r="M14" s="17"/>
    </row>
    <row r="15" spans="2:14" x14ac:dyDescent="0.25">
      <c r="C15" s="2" t="str">
        <f t="shared" si="0"/>
        <v/>
      </c>
      <c r="D15" s="17"/>
      <c r="E15" s="17"/>
      <c r="F15" s="2" t="str">
        <f t="shared" si="5"/>
        <v/>
      </c>
      <c r="G15" s="17"/>
      <c r="I15" s="2" t="str">
        <f t="shared" si="2"/>
        <v/>
      </c>
      <c r="J15" s="17"/>
      <c r="K15" s="17"/>
      <c r="L15" s="2" t="str">
        <f t="shared" si="3"/>
        <v/>
      </c>
      <c r="M15" s="17"/>
    </row>
    <row r="16" spans="2:14" x14ac:dyDescent="0.25">
      <c r="C16" s="2" t="str">
        <f t="shared" si="0"/>
        <v/>
      </c>
      <c r="D16" s="17"/>
      <c r="E16" s="17"/>
      <c r="F16" s="2" t="str">
        <f t="shared" si="5"/>
        <v/>
      </c>
      <c r="G16" s="17"/>
      <c r="I16" s="2" t="str">
        <f t="shared" si="2"/>
        <v/>
      </c>
      <c r="J16" s="17"/>
      <c r="K16" s="17"/>
      <c r="L16" s="2" t="str">
        <f t="shared" si="3"/>
        <v/>
      </c>
      <c r="M16" s="17"/>
    </row>
    <row r="17" spans="2:14" x14ac:dyDescent="0.25">
      <c r="C17" s="2" t="str">
        <f t="shared" si="0"/>
        <v/>
      </c>
      <c r="D17" s="17"/>
      <c r="E17" s="17"/>
      <c r="F17" s="2" t="str">
        <f t="shared" si="5"/>
        <v/>
      </c>
      <c r="G17" s="17"/>
      <c r="I17" s="2" t="str">
        <f t="shared" si="2"/>
        <v/>
      </c>
      <c r="J17" s="17"/>
      <c r="K17" s="17"/>
      <c r="L17" s="2" t="str">
        <f t="shared" si="3"/>
        <v/>
      </c>
      <c r="M17" s="17"/>
    </row>
    <row r="19" spans="2:14" x14ac:dyDescent="0.25">
      <c r="C19" s="11">
        <v>1</v>
      </c>
      <c r="D19" s="11">
        <v>2</v>
      </c>
      <c r="E19" s="11">
        <v>3</v>
      </c>
      <c r="F19" s="11">
        <v>4</v>
      </c>
      <c r="G19" s="11">
        <v>5</v>
      </c>
      <c r="H19" s="11">
        <v>6</v>
      </c>
      <c r="I19" s="11">
        <v>7</v>
      </c>
      <c r="J19" s="11">
        <v>8</v>
      </c>
      <c r="K19" s="11">
        <v>9</v>
      </c>
      <c r="L19" s="11">
        <v>10</v>
      </c>
      <c r="M19" s="11">
        <v>11</v>
      </c>
      <c r="N19" s="11">
        <v>12</v>
      </c>
    </row>
    <row r="20" spans="2:14" ht="26.25" x14ac:dyDescent="0.25">
      <c r="B20" s="12" t="s">
        <v>26</v>
      </c>
      <c r="C20" s="8" t="str" cm="1">
        <f t="array" aca="1" ref="C20" ca="1">IF(ISNUMBER(FIND("ctrl",INDIRECT("Sheet4!"&amp;"D"&amp;MATCH($C$2,Sheet4!$A:$A,0)+0))),
INDIRECT("Sheet4!"&amp;"D"&amp;MATCH($C$2,Sheet4!$A:$A,0)+0),IF(INDIRECT("Sheet4!"&amp;"D"&amp;MATCH($C$2,Sheet4!$A:$A,0)+0)="Água","Água",
IF(INDIRECT("Sheet4!"&amp;"D"&amp;MATCH($C$2,Sheet4!$A:$A,0)+0)="-","-",
IF(_xlfn.NUMBERVALUE(MID(INDIRECT("Sheet4!"&amp;"D"&amp;MATCH($C$2,Sheet4!$A:$A,0)+0),9,2))&lt;=$C$4,
_xlfn.IFNA(VLOOKUP(INDIRECT("Sheet4!"&amp;"D"&amp;MATCH($C$2,Sheet4!$A:$A,0)+0),$C$7:$H$17,1,FALSE)&amp;CHAR(10)&amp;VLOOKUP(INDIRECT("Sheet4!"&amp;"D"&amp;MATCH($C$2,Sheet4!$A:$A,0)+0),$C$7:$H$17,5,FALSE),
VLOOKUP(INDIRECT("Sheet4!"&amp;"D"&amp;MATCH($C$2,Sheet4!$A:$A,0)+0),$I$7:$N$17,1,FALSE)&amp;CHAR(10)&amp;VLOOKUP(INDIRECT("Sheet4!"&amp;"D"&amp;MATCH($C$2,Sheet4!$A:$A,0)+0),$I$7:$N$17,5,FALSE)),"-"))))</f>
        <v>Amostra 1
38 S F.C.M.</v>
      </c>
      <c r="D20" s="8" t="str" cm="1">
        <f t="array" aca="1" ref="D20" ca="1">IF(ISNUMBER(FIND("ctrl",INDIRECT("Sheet4!"&amp;"E"&amp;MATCH($C$2,Sheet4!$A:$A,0)+0))),
INDIRECT("Sheet4!"&amp;"E"&amp;MATCH($C$2,Sheet4!$A:$A,0)+0),IF(INDIRECT("Sheet4!"&amp;"E"&amp;MATCH($C$2,Sheet4!$A:$A,0)+0)="Água","Água",
IF(INDIRECT("Sheet4!"&amp;"E"&amp;MATCH($C$2,Sheet4!$A:$A,0)+0)="-","-",
IF(_xlfn.NUMBERVALUE(MID(INDIRECT("Sheet4!"&amp;"E"&amp;MATCH($C$2,Sheet4!$A:$A,0)+0),9,2))&lt;=$C$4,
_xlfn.IFNA(VLOOKUP(INDIRECT("Sheet4!"&amp;"E"&amp;MATCH($C$2,Sheet4!$A:$A,0)+0),$C$7:$H$17,1,FALSE)&amp;CHAR(10)&amp;VLOOKUP(INDIRECT("Sheet4!"&amp;"E"&amp;MATCH($C$2,Sheet4!$A:$A,0)+0),$C$7:$H$17,5,FALSE),
VLOOKUP(INDIRECT("Sheet4!"&amp;"E"&amp;MATCH($C$2,Sheet4!$A:$A,0)+0),$I$7:$N$17,1,FALSE)&amp;CHAR(10)&amp;VLOOKUP(INDIRECT("Sheet4!"&amp;"E"&amp;MATCH($C$2,Sheet4!$A:$A,0)+0),$I$7:$N$17,5,FALSE)),"-"))))</f>
        <v>Amostra 3
42S N.F.M.</v>
      </c>
      <c r="E20" s="8" t="str" cm="1">
        <f t="array" aca="1" ref="E20" ca="1">IF(ISNUMBER(FIND("ctrl",INDIRECT("Sheet4!"&amp;"F"&amp;MATCH($C$2,Sheet4!$A:$A,0)+0))),
INDIRECT("Sheet4!"&amp;"F"&amp;MATCH($C$2,Sheet4!$A:$A,0)+0),IF(INDIRECT("Sheet4!"&amp;"F"&amp;MATCH($C$2,Sheet4!$A:$A,0)+0)="Água","Água",
IF(INDIRECT("Sheet4!"&amp;"F"&amp;MATCH($C$2,Sheet4!$A:$A,0)+0)="-","-",
IF(_xlfn.NUMBERVALUE(MID(INDIRECT("Sheet4!"&amp;"F"&amp;MATCH($C$2,Sheet4!$A:$A,0)+0),9,2))&lt;=$C$4,
_xlfn.IFNA(VLOOKUP(INDIRECT("Sheet4!"&amp;"F"&amp;MATCH($C$2,Sheet4!$A:$A,0)+0),$C$7:$H$17,1,FALSE)&amp;CHAR(10)&amp;VLOOKUP(INDIRECT("Sheet4!"&amp;"F"&amp;MATCH($C$2,Sheet4!$A:$A,0)+0),$C$7:$H$17,5,FALSE),
VLOOKUP(INDIRECT("Sheet4!"&amp;"F"&amp;MATCH($C$2,Sheet4!$A:$A,0)+0),$I$7:$N$17,1,FALSE)&amp;CHAR(10)&amp;VLOOKUP(INDIRECT("Sheet4!"&amp;"F"&amp;MATCH($C$2,Sheet4!$A:$A,0)+0),$I$7:$N$17,5,FALSE)),"-"))))</f>
        <v>-</v>
      </c>
      <c r="F20" s="8" t="str" cm="1">
        <f t="array" aca="1" ref="F20" ca="1">IF(ISNUMBER(FIND("ctrl",INDIRECT("Sheet4!"&amp;"G"&amp;MATCH($C$2,Sheet4!$A:$A,0)+0))),
INDIRECT("Sheet4!"&amp;"G"&amp;MATCH($C$2,Sheet4!$A:$A,0)+0),IF(INDIRECT("Sheet4!"&amp;"G"&amp;MATCH($C$2,Sheet4!$A:$A,0)+0)="Água","Água",
IF(INDIRECT("Sheet4!"&amp;"G"&amp;MATCH($C$2,Sheet4!$A:$A,0)+0)="-","-",
IF(_xlfn.NUMBERVALUE(MID(INDIRECT("Sheet4!"&amp;"G"&amp;MATCH($C$2,Sheet4!$A:$A,0)+0),9,2))&lt;=$C$4,
_xlfn.IFNA(VLOOKUP(INDIRECT("Sheet4!"&amp;"G"&amp;MATCH($C$2,Sheet4!$A:$A,0)+0),$C$7:$H$17,1,FALSE)&amp;CHAR(10)&amp;VLOOKUP(INDIRECT("Sheet4!"&amp;"G"&amp;MATCH($C$2,Sheet4!$A:$A,0)+0),$C$7:$H$17,5,FALSE),
VLOOKUP(INDIRECT("Sheet4!"&amp;"G"&amp;MATCH($C$2,Sheet4!$A:$A,0)+0),$I$7:$N$17,1,FALSE)&amp;CHAR(10)&amp;VLOOKUP(INDIRECT("Sheet4!"&amp;"G"&amp;MATCH($C$2,Sheet4!$A:$A,0)+0),$I$7:$N$17,5,FALSE)),"-"))))</f>
        <v>-</v>
      </c>
      <c r="G20" s="8" t="str" cm="1">
        <f t="array" aca="1" ref="G20" ca="1">IF(ISNUMBER(FIND("ctrl",INDIRECT("Sheet4!"&amp;"H"&amp;MATCH($C$2,Sheet4!$A:$A,0)+0))),
INDIRECT("Sheet4!"&amp;"H"&amp;MATCH($C$2,Sheet4!$A:$A,0)+0),IF(INDIRECT("Sheet4!"&amp;"H"&amp;MATCH($C$2,Sheet4!$A:$A,0)+0)="Água","Água",
IF(INDIRECT("Sheet4!"&amp;"H"&amp;MATCH($C$2,Sheet4!$A:$A,0)+0)="-","-",
IF(_xlfn.NUMBERVALUE(MID(INDIRECT("Sheet4!"&amp;"H"&amp;MATCH($C$2,Sheet4!$A:$A,0)+0),9,2))&lt;=$C$4,
_xlfn.IFNA(VLOOKUP(INDIRECT("Sheet4!"&amp;"H"&amp;MATCH($C$2,Sheet4!$A:$A,0)+0),$C$7:$H$17,1,FALSE)&amp;CHAR(10)&amp;VLOOKUP(INDIRECT("Sheet4!"&amp;"H"&amp;MATCH($C$2,Sheet4!$A:$A,0)+0),$C$7:$H$17,5,FALSE),
VLOOKUP(INDIRECT("Sheet4!"&amp;"H"&amp;MATCH($C$2,Sheet4!$A:$A,0)+0),$I$7:$N$17,1,FALSE)&amp;CHAR(10)&amp;VLOOKUP(INDIRECT("Sheet4!"&amp;"H"&amp;MATCH($C$2,Sheet4!$A:$A,0)+0),$I$7:$N$17,5,FALSE)),"-"))))</f>
        <v>-</v>
      </c>
      <c r="H20" s="8" t="str" cm="1">
        <f t="array" aca="1" ref="H20" ca="1">IF(ISNUMBER(FIND("ctrl",INDIRECT("Sheet4!"&amp;"I"&amp;MATCH($C$2,Sheet4!$A:$A,0)+0))),
INDIRECT("Sheet4!"&amp;"I"&amp;MATCH($C$2,Sheet4!$A:$A,0)+0),IF(INDIRECT("Sheet4!"&amp;"I"&amp;MATCH($C$2,Sheet4!$A:$A,0)+0)="Água","Água",
IF(INDIRECT("Sheet4!"&amp;"I"&amp;MATCH($C$2,Sheet4!$A:$A,0)+0)="-","-",
IF(_xlfn.NUMBERVALUE(MID(INDIRECT("Sheet4!"&amp;"I"&amp;MATCH($C$2,Sheet4!$A:$A,0)+0),9,2))&lt;=$C$4,
_xlfn.IFNA(VLOOKUP(INDIRECT("Sheet4!"&amp;"I"&amp;MATCH($C$2,Sheet4!$A:$A,0)+0),$C$7:$H$17,1,FALSE)&amp;CHAR(10)&amp;VLOOKUP(INDIRECT("Sheet4!"&amp;"I"&amp;MATCH($C$2,Sheet4!$A:$A,0)+0),$C$7:$H$17,5,FALSE),
VLOOKUP(INDIRECT("Sheet4!"&amp;"I"&amp;MATCH($C$2,Sheet4!$A:$A,0)+0),$I$7:$N$17,1,FALSE)&amp;CHAR(10)&amp;VLOOKUP(INDIRECT("Sheet4!"&amp;"I"&amp;MATCH($C$2,Sheet4!$A:$A,0)+0),$I$7:$N$17,5,FALSE)),"-"))))</f>
        <v>-</v>
      </c>
      <c r="I20" s="8" t="str" cm="1">
        <f t="array" aca="1" ref="I20" ca="1">IF(ISNUMBER(FIND("ctrl",INDIRECT("Sheet4!"&amp;"J"&amp;MATCH($C$2,Sheet4!$A:$A,0)+0))),
INDIRECT("Sheet4!"&amp;"J"&amp;MATCH($C$2,Sheet4!$A:$A,0)+0),IF(INDIRECT("Sheet4!"&amp;"J"&amp;MATCH($C$2,Sheet4!$A:$A,0)+0)="Água","Água",
IF(INDIRECT("Sheet4!"&amp;"J"&amp;MATCH($C$2,Sheet4!$A:$A,0)+0)="-","-",
IF(_xlfn.NUMBERVALUE(MID(INDIRECT("Sheet4!"&amp;"J"&amp;MATCH($C$2,Sheet4!$A:$A,0)+0),9,2))&lt;=$C$4,
_xlfn.IFNA(VLOOKUP(INDIRECT("Sheet4!"&amp;"J"&amp;MATCH($C$2,Sheet4!$A:$A,0)+0),$C$7:$H$17,1,FALSE)&amp;CHAR(10)&amp;VLOOKUP(INDIRECT("Sheet4!"&amp;"J"&amp;MATCH($C$2,Sheet4!$A:$A,0)+0),$C$7:$H$17,5,FALSE),
VLOOKUP(INDIRECT("Sheet4!"&amp;"J"&amp;MATCH($C$2,Sheet4!$A:$A,0)+0),$I$7:$N$17,1,FALSE)&amp;CHAR(10)&amp;VLOOKUP(INDIRECT("Sheet4!"&amp;"J"&amp;MATCH($C$2,Sheet4!$A:$A,0)+0),$I$7:$N$17,5,FALSE)),"-"))))</f>
        <v>-</v>
      </c>
      <c r="J20" s="8" t="str" cm="1">
        <f t="array" aca="1" ref="J20" ca="1">IF(ISNUMBER(FIND("ctrl",INDIRECT("Sheet4!"&amp;"K"&amp;MATCH($C$2,Sheet4!$A:$A,0)+0))),
INDIRECT("Sheet4!"&amp;"K"&amp;MATCH($C$2,Sheet4!$A:$A,0)+0),IF(INDIRECT("Sheet4!"&amp;"K"&amp;MATCH($C$2,Sheet4!$A:$A,0)+0)="Água","Água",
IF(INDIRECT("Sheet4!"&amp;"K"&amp;MATCH($C$2,Sheet4!$A:$A,0)+0)="-","-",
IF(_xlfn.NUMBERVALUE(MID(INDIRECT("Sheet4!"&amp;"K"&amp;MATCH($C$2,Sheet4!$A:$A,0)+0),9,2))&lt;=$C$4,
_xlfn.IFNA(VLOOKUP(INDIRECT("Sheet4!"&amp;"K"&amp;MATCH($C$2,Sheet4!$A:$A,0)+0),$C$7:$H$17,1,FALSE)&amp;CHAR(10)&amp;VLOOKUP(INDIRECT("Sheet4!"&amp;"K"&amp;MATCH($C$2,Sheet4!$A:$A,0)+0),$C$7:$H$17,5,FALSE),
VLOOKUP(INDIRECT("Sheet4!"&amp;"K"&amp;MATCH($C$2,Sheet4!$A:$A,0)+0),$I$7:$N$17,1,FALSE)&amp;CHAR(10)&amp;VLOOKUP(INDIRECT("Sheet4!"&amp;"K"&amp;MATCH($C$2,Sheet4!$A:$A,0)+0),$I$7:$N$17,5,FALSE)),"-"))))</f>
        <v>-</v>
      </c>
      <c r="K20" s="8" t="str" cm="1">
        <f t="array" aca="1" ref="K20" ca="1">IF(ISNUMBER(FIND("ctrl",INDIRECT("Sheet4!"&amp;"L"&amp;MATCH($C$2,Sheet4!$A:$A,0)+0))),
INDIRECT("Sheet4!"&amp;"L"&amp;MATCH($C$2,Sheet4!$A:$A,0)+0),IF(INDIRECT("Sheet4!"&amp;"L"&amp;MATCH($C$2,Sheet4!$A:$A,0)+0)="Água","Água",
IF(INDIRECT("Sheet4!"&amp;"L"&amp;MATCH($C$2,Sheet4!$A:$A,0)+0)="-","-",
IF(_xlfn.NUMBERVALUE(MID(INDIRECT("Sheet4!"&amp;"L"&amp;MATCH($C$2,Sheet4!$A:$A,0)+0),9,2))&lt;=$C$4,
_xlfn.IFNA(VLOOKUP(INDIRECT("Sheet4!"&amp;"L"&amp;MATCH($C$2,Sheet4!$A:$A,0)+0),$C$7:$H$17,1,FALSE)&amp;CHAR(10)&amp;VLOOKUP(INDIRECT("Sheet4!"&amp;"L"&amp;MATCH($C$2,Sheet4!$A:$A,0)+0),$C$7:$H$17,5,FALSE),
VLOOKUP(INDIRECT("Sheet4!"&amp;"L"&amp;MATCH($C$2,Sheet4!$A:$A,0)+0),$I$7:$N$17,1,FALSE)&amp;CHAR(10)&amp;VLOOKUP(INDIRECT("Sheet4!"&amp;"L"&amp;MATCH($C$2,Sheet4!$A:$A,0)+0),$I$7:$N$17,5,FALSE)),"-"))))</f>
        <v>-</v>
      </c>
      <c r="L20" s="8" t="str" cm="1">
        <f t="array" aca="1" ref="L20" ca="1">IF(ISNUMBER(FIND("ctrl",INDIRECT("Sheet4!"&amp;"M"&amp;MATCH($C$2,Sheet4!$A:$A,0)+0))),
INDIRECT("Sheet4!"&amp;"M"&amp;MATCH($C$2,Sheet4!$A:$A,0)+0),IF(INDIRECT("Sheet4!"&amp;"M"&amp;MATCH($C$2,Sheet4!$A:$A,0)+0)="Água","Água",
IF(INDIRECT("Sheet4!"&amp;"M"&amp;MATCH($C$2,Sheet4!$A:$A,0)+0)="-","-",
IF(_xlfn.NUMBERVALUE(MID(INDIRECT("Sheet4!"&amp;"M"&amp;MATCH($C$2,Sheet4!$A:$A,0)+0),9,2))&lt;=$C$4,
_xlfn.IFNA(VLOOKUP(INDIRECT("Sheet4!"&amp;"M"&amp;MATCH($C$2,Sheet4!$A:$A,0)+0),$C$7:$H$17,1,FALSE)&amp;CHAR(10)&amp;VLOOKUP(INDIRECT("Sheet4!"&amp;"M"&amp;MATCH($C$2,Sheet4!$A:$A,0)+0),$C$7:$H$17,5,FALSE),
VLOOKUP(INDIRECT("Sheet4!"&amp;"M"&amp;MATCH($C$2,Sheet4!$A:$A,0)+0),$I$7:$N$17,1,FALSE)&amp;CHAR(10)&amp;VLOOKUP(INDIRECT("Sheet4!"&amp;"M"&amp;MATCH($C$2,Sheet4!$A:$A,0)+0),$I$7:$N$17,5,FALSE)),"-"))))</f>
        <v>-</v>
      </c>
      <c r="M20" s="8" t="str" cm="1">
        <f t="array" aca="1" ref="M20" ca="1">IF(ISNUMBER(FIND("ctrl",INDIRECT("Sheet4!"&amp;"N"&amp;MATCH($C$2,Sheet4!$A:$A,0)+0))),
INDIRECT("Sheet4!"&amp;"N"&amp;MATCH($C$2,Sheet4!$A:$A,0)+0),IF(INDIRECT("Sheet4!"&amp;"N"&amp;MATCH($C$2,Sheet4!$A:$A,0)+0)="Água","Água",
IF(INDIRECT("Sheet4!"&amp;"N"&amp;MATCH($C$2,Sheet4!$A:$A,0)+0)="-","-",
IF(_xlfn.NUMBERVALUE(MID(INDIRECT("Sheet4!"&amp;"N"&amp;MATCH($C$2,Sheet4!$A:$A,0)+0),9,2))&lt;=$C$4,
_xlfn.IFNA(VLOOKUP(INDIRECT("Sheet4!"&amp;"N"&amp;MATCH($C$2,Sheet4!$A:$A,0)+0),$C$7:$H$17,1,FALSE)&amp;CHAR(10)&amp;VLOOKUP(INDIRECT("Sheet4!"&amp;"N"&amp;MATCH($C$2,Sheet4!$A:$A,0)+0),$C$7:$H$17,5,FALSE),
VLOOKUP(INDIRECT("Sheet4!"&amp;"N"&amp;MATCH($C$2,Sheet4!$A:$A,0)+0),$I$7:$N$17,1,FALSE)&amp;CHAR(10)&amp;VLOOKUP(INDIRECT("Sheet4!"&amp;"N"&amp;MATCH($C$2,Sheet4!$A:$A,0)+0),$I$7:$N$17,5,FALSE)),"-"))))</f>
        <v>-</v>
      </c>
      <c r="N20" s="8" t="str" cm="1">
        <f t="array" aca="1" ref="N20" ca="1">IF(ISNUMBER(FIND("ctrl",INDIRECT("Sheet4!"&amp;"M"&amp;MATCH($C$2,Sheet4!$A:$A,0)+0))),
INDIRECT("Sheet4!"&amp;"M"&amp;MATCH($C$2,Sheet4!$A:$A,0)+0),IF(INDIRECT("Sheet4!"&amp;"M"&amp;MATCH($C$2,Sheet4!$A:$A,0)+0)="Água","Água",
IF(INDIRECT("Sheet4!"&amp;"M"&amp;MATCH($C$2,Sheet4!$A:$A,0)+0)="-","-",
IF(_xlfn.NUMBERVALUE(MID(INDIRECT("Sheet4!"&amp;"M"&amp;MATCH($C$2,Sheet4!$A:$A,0)+0),9,2))&lt;=$C$4,
_xlfn.IFNA(VLOOKUP(INDIRECT("Sheet4!"&amp;"M"&amp;MATCH($C$2,Sheet4!$A:$A,0)+0),$C$7:$H$17,1,FALSE)&amp;CHAR(10)&amp;VLOOKUP(INDIRECT("Sheet4!"&amp;"M"&amp;MATCH($C$2,Sheet4!$A:$A,0)+0),$C$7:$H$17,5,FALSE),
VLOOKUP(INDIRECT("Sheet4!"&amp;"M"&amp;MATCH($C$2,Sheet4!$A:$A,0)+0),$I$7:$N$17,1,FALSE)&amp;CHAR(10)&amp;VLOOKUP(INDIRECT("Sheet4!"&amp;"M"&amp;MATCH($C$2,Sheet4!$A:$A,0)+0),$I$7:$N$17,5,FALSE)),"-"))))</f>
        <v>-</v>
      </c>
    </row>
    <row r="21" spans="2:14" ht="15" customHeight="1" x14ac:dyDescent="0.25">
      <c r="B21" s="12" t="s">
        <v>27</v>
      </c>
      <c r="C21" s="8" t="str" cm="1">
        <f t="array" aca="1" ref="C21" ca="1">IF(ISNUMBER(FIND("ctrl",INDIRECT("Sheet4!"&amp;"D"&amp;MATCH($C$2,Sheet4!$A:$A,0)+1))),
INDIRECT("Sheet4!"&amp;"D"&amp;MATCH($C$2,Sheet4!$A:$A,0)+1),IF(INDIRECT("Sheet4!"&amp;"D"&amp;MATCH($C$2,Sheet4!$A:$A,0)+1)="Água","Água",
IF(INDIRECT("Sheet4!"&amp;"D"&amp;MATCH($C$2,Sheet4!$A:$A,0)+1)="-","-",
IF(_xlfn.NUMBERVALUE(MID(INDIRECT("Sheet4!"&amp;"D"&amp;MATCH($C$2,Sheet4!$A:$A,0)+1),9,2))&lt;=$C$4,
_xlfn.IFNA(VLOOKUP(INDIRECT("Sheet4!"&amp;"D"&amp;MATCH($C$2,Sheet4!$A:$A,0)+1),$C$7:$H$17,1,FALSE)&amp;CHAR(10)&amp;VLOOKUP(INDIRECT("Sheet4!"&amp;"D"&amp;MATCH($C$2,Sheet4!$A:$A,0)+1),$C$7:$H$17,5,FALSE),
VLOOKUP(INDIRECT("Sheet4!"&amp;"D"&amp;MATCH($C$2,Sheet4!$A:$A,0)+1),$I$7:$N$17,1,FALSE)&amp;CHAR(10)&amp;VLOOKUP(INDIRECT("Sheet4!"&amp;"D"&amp;MATCH($C$2,Sheet4!$A:$A,0)+1),$I$7:$N$17,5,FALSE)),"-"))))</f>
        <v>Amostra 1
38 S F.C.M.</v>
      </c>
      <c r="D21" s="8" t="str" cm="1">
        <f t="array" aca="1" ref="D21" ca="1">IF(ISNUMBER(FIND("ctrl",INDIRECT("Sheet4!"&amp;"E"&amp;MATCH($C$2,Sheet4!$A:$A,0)+1))),
INDIRECT("Sheet4!"&amp;"E"&amp;MATCH($C$2,Sheet4!$A:$A,0)+1),IF(INDIRECT("Sheet4!"&amp;"E"&amp;MATCH($C$2,Sheet4!$A:$A,0)+1)="Água","Água",
IF(INDIRECT("Sheet4!"&amp;"E"&amp;MATCH($C$2,Sheet4!$A:$A,0)+1)="-","-",
IF(_xlfn.NUMBERVALUE(MID(INDIRECT("Sheet4!"&amp;"E"&amp;MATCH($C$2,Sheet4!$A:$A,0)+1),9,2))&lt;=$C$4,
_xlfn.IFNA(VLOOKUP(INDIRECT("Sheet4!"&amp;"E"&amp;MATCH($C$2,Sheet4!$A:$A,0)+1),$C$7:$H$17,1,FALSE)&amp;CHAR(10)&amp;VLOOKUP(INDIRECT("Sheet4!"&amp;"E"&amp;MATCH($C$2,Sheet4!$A:$A,0)+1),$C$7:$H$17,5,FALSE),
VLOOKUP(INDIRECT("Sheet4!"&amp;"E"&amp;MATCH($C$2,Sheet4!$A:$A,0)+1),$I$7:$N$17,1,FALSE)&amp;CHAR(10)&amp;VLOOKUP(INDIRECT("Sheet4!"&amp;"E"&amp;MATCH($C$2,Sheet4!$A:$A,0)+1),$I$7:$N$17,5,FALSE)),"-"))))</f>
        <v>Amostra 3
42S N.F.M.</v>
      </c>
      <c r="E21" s="8" t="str" cm="1">
        <f t="array" aca="1" ref="E21" ca="1">IF(ISNUMBER(FIND("ctrl",INDIRECT("Sheet4!"&amp;"F"&amp;MATCH($C$2,Sheet4!$A:$A,0)+1))),
INDIRECT("Sheet4!"&amp;"F"&amp;MATCH($C$2,Sheet4!$A:$A,0)+1),IF(INDIRECT("Sheet4!"&amp;"F"&amp;MATCH($C$2,Sheet4!$A:$A,0)+1)="Água","Água",
IF(INDIRECT("Sheet4!"&amp;"F"&amp;MATCH($C$2,Sheet4!$A:$A,0)+1)="-","-",
IF(_xlfn.NUMBERVALUE(MID(INDIRECT("Sheet4!"&amp;"F"&amp;MATCH($C$2,Sheet4!$A:$A,0)+1),9,2))&lt;=$C$4,
_xlfn.IFNA(VLOOKUP(INDIRECT("Sheet4!"&amp;"F"&amp;MATCH($C$2,Sheet4!$A:$A,0)+1),$C$7:$H$17,1,FALSE)&amp;CHAR(10)&amp;VLOOKUP(INDIRECT("Sheet4!"&amp;"F"&amp;MATCH($C$2,Sheet4!$A:$A,0)+1),$C$7:$H$17,5,FALSE),
VLOOKUP(INDIRECT("Sheet4!"&amp;"F"&amp;MATCH($C$2,Sheet4!$A:$A,0)+1),$I$7:$N$17,1,FALSE)&amp;CHAR(10)&amp;VLOOKUP(INDIRECT("Sheet4!"&amp;"F"&amp;MATCH($C$2,Sheet4!$A:$A,0)+1),$I$7:$N$17,5,FALSE)),"-"))))</f>
        <v>-</v>
      </c>
      <c r="F21" s="8" t="str" cm="1">
        <f t="array" aca="1" ref="F21" ca="1">IF(ISNUMBER(FIND("ctrl",INDIRECT("Sheet4!"&amp;"G"&amp;MATCH($C$2,Sheet4!$A:$A,0)+1))),
INDIRECT("Sheet4!"&amp;"G"&amp;MATCH($C$2,Sheet4!$A:$A,0)+1),IF(INDIRECT("Sheet4!"&amp;"G"&amp;MATCH($C$2,Sheet4!$A:$A,0)+1)="Água","Água",
IF(INDIRECT("Sheet4!"&amp;"G"&amp;MATCH($C$2,Sheet4!$A:$A,0)+1)="-","-",
IF(_xlfn.NUMBERVALUE(MID(INDIRECT("Sheet4!"&amp;"G"&amp;MATCH($C$2,Sheet4!$A:$A,0)+1),9,2))&lt;=$C$4,
_xlfn.IFNA(VLOOKUP(INDIRECT("Sheet4!"&amp;"G"&amp;MATCH($C$2,Sheet4!$A:$A,0)+1),$C$7:$H$17,1,FALSE)&amp;CHAR(10)&amp;VLOOKUP(INDIRECT("Sheet4!"&amp;"G"&amp;MATCH($C$2,Sheet4!$A:$A,0)+1),$C$7:$H$17,5,FALSE),
VLOOKUP(INDIRECT("Sheet4!"&amp;"G"&amp;MATCH($C$2,Sheet4!$A:$A,0)+1),$I$7:$N$17,1,FALSE)&amp;CHAR(10)&amp;VLOOKUP(INDIRECT("Sheet4!"&amp;"G"&amp;MATCH($C$2,Sheet4!$A:$A,0)+1),$I$7:$N$17,5,FALSE)),"-"))))</f>
        <v>-</v>
      </c>
      <c r="G21" s="8" t="str" cm="1">
        <f t="array" aca="1" ref="G21" ca="1">IF(ISNUMBER(FIND("ctrl",INDIRECT("Sheet4!"&amp;"H"&amp;MATCH($C$2,Sheet4!$A:$A,0)+1))),
INDIRECT("Sheet4!"&amp;"H"&amp;MATCH($C$2,Sheet4!$A:$A,0)+1),IF(INDIRECT("Sheet4!"&amp;"H"&amp;MATCH($C$2,Sheet4!$A:$A,0)+1)="Água","Água",
IF(INDIRECT("Sheet4!"&amp;"H"&amp;MATCH($C$2,Sheet4!$A:$A,0)+1)="-","-",
IF(_xlfn.NUMBERVALUE(MID(INDIRECT("Sheet4!"&amp;"H"&amp;MATCH($C$2,Sheet4!$A:$A,0)+1),9,2))&lt;=$C$4,
_xlfn.IFNA(VLOOKUP(INDIRECT("Sheet4!"&amp;"H"&amp;MATCH($C$2,Sheet4!$A:$A,0)+1),$C$7:$H$17,1,FALSE)&amp;CHAR(10)&amp;VLOOKUP(INDIRECT("Sheet4!"&amp;"H"&amp;MATCH($C$2,Sheet4!$A:$A,0)+1),$C$7:$H$17,5,FALSE),
VLOOKUP(INDIRECT("Sheet4!"&amp;"H"&amp;MATCH($C$2,Sheet4!$A:$A,0)+1),$I$7:$N$17,1,FALSE)&amp;CHAR(10)&amp;VLOOKUP(INDIRECT("Sheet4!"&amp;"H"&amp;MATCH($C$2,Sheet4!$A:$A,0)+1),$I$7:$N$17,5,FALSE)),"-"))))</f>
        <v>-</v>
      </c>
      <c r="H21" s="8" t="str" cm="1">
        <f t="array" aca="1" ref="H21" ca="1">IF(ISNUMBER(FIND("ctrl",INDIRECT("Sheet4!"&amp;"I"&amp;MATCH($C$2,Sheet4!$A:$A,0)+1))),
INDIRECT("Sheet4!"&amp;"I"&amp;MATCH($C$2,Sheet4!$A:$A,0)+1),IF(INDIRECT("Sheet4!"&amp;"I"&amp;MATCH($C$2,Sheet4!$A:$A,0)+1)="Água","Água",
IF(INDIRECT("Sheet4!"&amp;"I"&amp;MATCH($C$2,Sheet4!$A:$A,0)+1)="-","-",
IF(_xlfn.NUMBERVALUE(MID(INDIRECT("Sheet4!"&amp;"I"&amp;MATCH($C$2,Sheet4!$A:$A,0)+1),9,2))&lt;=$C$4,
_xlfn.IFNA(VLOOKUP(INDIRECT("Sheet4!"&amp;"I"&amp;MATCH($C$2,Sheet4!$A:$A,0)+1),$C$7:$H$17,1,FALSE)&amp;CHAR(10)&amp;VLOOKUP(INDIRECT("Sheet4!"&amp;"I"&amp;MATCH($C$2,Sheet4!$A:$A,0)+1),$C$7:$H$17,5,FALSE),
VLOOKUP(INDIRECT("Sheet4!"&amp;"I"&amp;MATCH($C$2,Sheet4!$A:$A,0)+1),$I$7:$N$17,1,FALSE)&amp;CHAR(10)&amp;VLOOKUP(INDIRECT("Sheet4!"&amp;"I"&amp;MATCH($C$2,Sheet4!$A:$A,0)+1),$I$7:$N$17,5,FALSE)),"-"))))</f>
        <v>-</v>
      </c>
      <c r="I21" s="8" t="str" cm="1">
        <f t="array" aca="1" ref="I21" ca="1">IF(ISNUMBER(FIND("ctrl",INDIRECT("Sheet4!"&amp;"J"&amp;MATCH($C$2,Sheet4!$A:$A,0)+1))),
INDIRECT("Sheet4!"&amp;"J"&amp;MATCH($C$2,Sheet4!$A:$A,0)+1),IF(INDIRECT("Sheet4!"&amp;"J"&amp;MATCH($C$2,Sheet4!$A:$A,0)+1)="Água","Água",
IF(INDIRECT("Sheet4!"&amp;"J"&amp;MATCH($C$2,Sheet4!$A:$A,0)+1)="-","-",
IF(_xlfn.NUMBERVALUE(MID(INDIRECT("Sheet4!"&amp;"J"&amp;MATCH($C$2,Sheet4!$A:$A,0)+1),9,2))&lt;=$C$4,
_xlfn.IFNA(VLOOKUP(INDIRECT("Sheet4!"&amp;"J"&amp;MATCH($C$2,Sheet4!$A:$A,0)+1),$C$7:$H$17,1,FALSE)&amp;CHAR(10)&amp;VLOOKUP(INDIRECT("Sheet4!"&amp;"J"&amp;MATCH($C$2,Sheet4!$A:$A,0)+1),$C$7:$H$17,5,FALSE),
VLOOKUP(INDIRECT("Sheet4!"&amp;"J"&amp;MATCH($C$2,Sheet4!$A:$A,0)+1),$I$7:$N$17,1,FALSE)&amp;CHAR(10)&amp;VLOOKUP(INDIRECT("Sheet4!"&amp;"J"&amp;MATCH($C$2,Sheet4!$A:$A,0)+1),$I$7:$N$17,5,FALSE)),"-"))))</f>
        <v>-</v>
      </c>
      <c r="J21" s="8" t="str" cm="1">
        <f t="array" aca="1" ref="J21" ca="1">IF(ISNUMBER(FIND("ctrl",INDIRECT("Sheet4!"&amp;"K"&amp;MATCH($C$2,Sheet4!$A:$A,0)+1))),
INDIRECT("Sheet4!"&amp;"K"&amp;MATCH($C$2,Sheet4!$A:$A,0)+1),IF(INDIRECT("Sheet4!"&amp;"K"&amp;MATCH($C$2,Sheet4!$A:$A,0)+1)="Água","Água",
IF(INDIRECT("Sheet4!"&amp;"K"&amp;MATCH($C$2,Sheet4!$A:$A,0)+1)="-","-",
IF(_xlfn.NUMBERVALUE(MID(INDIRECT("Sheet4!"&amp;"K"&amp;MATCH($C$2,Sheet4!$A:$A,0)+1),9,2))&lt;=$C$4,
_xlfn.IFNA(VLOOKUP(INDIRECT("Sheet4!"&amp;"K"&amp;MATCH($C$2,Sheet4!$A:$A,0)+1),$C$7:$H$17,1,FALSE)&amp;CHAR(10)&amp;VLOOKUP(INDIRECT("Sheet4!"&amp;"K"&amp;MATCH($C$2,Sheet4!$A:$A,0)+1),$C$7:$H$17,5,FALSE),
VLOOKUP(INDIRECT("Sheet4!"&amp;"K"&amp;MATCH($C$2,Sheet4!$A:$A,0)+1),$I$7:$N$17,1,FALSE)&amp;CHAR(10)&amp;VLOOKUP(INDIRECT("Sheet4!"&amp;"K"&amp;MATCH($C$2,Sheet4!$A:$A,0)+1),$I$7:$N$17,5,FALSE)),"-"))))</f>
        <v>-</v>
      </c>
      <c r="K21" s="8" t="str" cm="1">
        <f t="array" aca="1" ref="K21" ca="1">IF(ISNUMBER(FIND("ctrl",INDIRECT("Sheet4!"&amp;"L"&amp;MATCH($C$2,Sheet4!$A:$A,0)+1))),
INDIRECT("Sheet4!"&amp;"L"&amp;MATCH($C$2,Sheet4!$A:$A,0)+1),IF(INDIRECT("Sheet4!"&amp;"L"&amp;MATCH($C$2,Sheet4!$A:$A,0)+1)="Água","Água",
IF(INDIRECT("Sheet4!"&amp;"L"&amp;MATCH($C$2,Sheet4!$A:$A,0)+1)="-","-",
IF(_xlfn.NUMBERVALUE(MID(INDIRECT("Sheet4!"&amp;"L"&amp;MATCH($C$2,Sheet4!$A:$A,0)+1),9,2))&lt;=$C$4,
_xlfn.IFNA(VLOOKUP(INDIRECT("Sheet4!"&amp;"L"&amp;MATCH($C$2,Sheet4!$A:$A,0)+1),$C$7:$H$17,1,FALSE)&amp;CHAR(10)&amp;VLOOKUP(INDIRECT("Sheet4!"&amp;"L"&amp;MATCH($C$2,Sheet4!$A:$A,0)+1),$C$7:$H$17,5,FALSE),
VLOOKUP(INDIRECT("Sheet4!"&amp;"L"&amp;MATCH($C$2,Sheet4!$A:$A,0)+1),$I$7:$N$17,1,FALSE)&amp;CHAR(10)&amp;VLOOKUP(INDIRECT("Sheet4!"&amp;"L"&amp;MATCH($C$2,Sheet4!$A:$A,0)+1),$I$7:$N$17,5,FALSE)),"-"))))</f>
        <v>-</v>
      </c>
      <c r="L21" s="8" t="str" cm="1">
        <f t="array" aca="1" ref="L21" ca="1">IF(ISNUMBER(FIND("ctrl",INDIRECT("Sheet4!"&amp;"M"&amp;MATCH($C$2,Sheet4!$A:$A,0)+1))),
INDIRECT("Sheet4!"&amp;"M"&amp;MATCH($C$2,Sheet4!$A:$A,0)+1),IF(INDIRECT("Sheet4!"&amp;"M"&amp;MATCH($C$2,Sheet4!$A:$A,0)+1)="Água","Água",
IF(INDIRECT("Sheet4!"&amp;"M"&amp;MATCH($C$2,Sheet4!$A:$A,0)+1)="-","-",
IF(_xlfn.NUMBERVALUE(MID(INDIRECT("Sheet4!"&amp;"M"&amp;MATCH($C$2,Sheet4!$A:$A,0)+1),9,2))&lt;=$C$4,
_xlfn.IFNA(VLOOKUP(INDIRECT("Sheet4!"&amp;"M"&amp;MATCH($C$2,Sheet4!$A:$A,0)+1),$C$7:$H$17,1,FALSE)&amp;CHAR(10)&amp;VLOOKUP(INDIRECT("Sheet4!"&amp;"M"&amp;MATCH($C$2,Sheet4!$A:$A,0)+1),$C$7:$H$17,5,FALSE),
VLOOKUP(INDIRECT("Sheet4!"&amp;"M"&amp;MATCH($C$2,Sheet4!$A:$A,0)+1),$I$7:$N$17,1,FALSE)&amp;CHAR(10)&amp;VLOOKUP(INDIRECT("Sheet4!"&amp;"M"&amp;MATCH($C$2,Sheet4!$A:$A,0)+1),$I$7:$N$17,5,FALSE)),"-"))))</f>
        <v>-</v>
      </c>
      <c r="M21" s="8" t="str" cm="1">
        <f t="array" aca="1" ref="M21" ca="1">IF(ISNUMBER(FIND("ctrl",INDIRECT("Sheet4!"&amp;"N"&amp;MATCH($C$2,Sheet4!$A:$A,0)+1))),
INDIRECT("Sheet4!"&amp;"N"&amp;MATCH($C$2,Sheet4!$A:$A,0)+1),IF(INDIRECT("Sheet4!"&amp;"N"&amp;MATCH($C$2,Sheet4!$A:$A,0)+1)="Água","Água",
IF(INDIRECT("Sheet4!"&amp;"N"&amp;MATCH($C$2,Sheet4!$A:$A,0)+1)="-","-",
IF(_xlfn.NUMBERVALUE(MID(INDIRECT("Sheet4!"&amp;"N"&amp;MATCH($C$2,Sheet4!$A:$A,0)+1),9,2))&lt;=$C$4,
_xlfn.IFNA(VLOOKUP(INDIRECT("Sheet4!"&amp;"N"&amp;MATCH($C$2,Sheet4!$A:$A,0)+1),$C$7:$H$17,1,FALSE)&amp;CHAR(10)&amp;VLOOKUP(INDIRECT("Sheet4!"&amp;"N"&amp;MATCH($C$2,Sheet4!$A:$A,0)+1),$C$7:$H$17,5,FALSE),
VLOOKUP(INDIRECT("Sheet4!"&amp;"N"&amp;MATCH($C$2,Sheet4!$A:$A,0)+1),$I$7:$N$17,1,FALSE)&amp;CHAR(10)&amp;VLOOKUP(INDIRECT("Sheet4!"&amp;"N"&amp;MATCH($C$2,Sheet4!$A:$A,0)+1),$I$7:$N$17,5,FALSE)),"-"))))</f>
        <v>-</v>
      </c>
      <c r="N21" s="8" t="str" cm="1">
        <f t="array" aca="1" ref="N21" ca="1">IF(ISNUMBER(FIND("ctrl",INDIRECT("Sheet4!"&amp;"M"&amp;MATCH($C$2,Sheet4!$A:$A,0)+1))),
INDIRECT("Sheet4!"&amp;"M"&amp;MATCH($C$2,Sheet4!$A:$A,0)+1),IF(INDIRECT("Sheet4!"&amp;"M"&amp;MATCH($C$2,Sheet4!$A:$A,0)+1)="Água","Água",
IF(INDIRECT("Sheet4!"&amp;"M"&amp;MATCH($C$2,Sheet4!$A:$A,0)+1)="-","-",
IF(_xlfn.NUMBERVALUE(MID(INDIRECT("Sheet4!"&amp;"M"&amp;MATCH($C$2,Sheet4!$A:$A,0)+1),9,2))&lt;=$C$4,
_xlfn.IFNA(VLOOKUP(INDIRECT("Sheet4!"&amp;"M"&amp;MATCH($C$2,Sheet4!$A:$A,0)+1),$C$7:$H$17,1,FALSE)&amp;CHAR(10)&amp;VLOOKUP(INDIRECT("Sheet4!"&amp;"M"&amp;MATCH($C$2,Sheet4!$A:$A,0)+1),$C$7:$H$17,5,FALSE),
VLOOKUP(INDIRECT("Sheet4!"&amp;"M"&amp;MATCH($C$2,Sheet4!$A:$A,0)+1),$I$7:$N$17,1,FALSE)&amp;CHAR(10)&amp;VLOOKUP(INDIRECT("Sheet4!"&amp;"M"&amp;MATCH($C$2,Sheet4!$A:$A,0)+1),$I$7:$N$17,5,FALSE)),"-"))))</f>
        <v>-</v>
      </c>
    </row>
    <row r="22" spans="2:14" ht="15" customHeight="1" x14ac:dyDescent="0.25">
      <c r="B22" s="12" t="s">
        <v>28</v>
      </c>
      <c r="C22" s="8" t="str" cm="1">
        <f t="array" aca="1" ref="C22" ca="1">IF(ISNUMBER(FIND("ctrl",INDIRECT("Sheet4!"&amp;"D"&amp;MATCH($C$2,Sheet4!$A:$A,0)+2))),
INDIRECT("Sheet4!"&amp;"D"&amp;MATCH($C$2,Sheet4!$A:$A,0)+2),IF(INDIRECT("Sheet4!"&amp;"D"&amp;MATCH($C$2,Sheet4!$A:$A,0)+2)="Água","Água",
IF(INDIRECT("Sheet4!"&amp;"D"&amp;MATCH($C$2,Sheet4!$A:$A,0)+2)="-","-",
IF(_xlfn.NUMBERVALUE(MID(INDIRECT("Sheet4!"&amp;"D"&amp;MATCH($C$2,Sheet4!$A:$A,0)+2),9,2))&lt;=$C$4,
_xlfn.IFNA(VLOOKUP(INDIRECT("Sheet4!"&amp;"D"&amp;MATCH($C$2,Sheet4!$A:$A,0)+2),$C$7:$H$17,1,FALSE)&amp;CHAR(10)&amp;VLOOKUP(INDIRECT("Sheet4!"&amp;"D"&amp;MATCH($C$2,Sheet4!$A:$A,0)+2),$C$7:$H$17,5,FALSE),
VLOOKUP(INDIRECT("Sheet4!"&amp;"D"&amp;MATCH($C$2,Sheet4!$A:$A,0)+2),$I$7:$N$17,1,FALSE)&amp;CHAR(10)&amp;VLOOKUP(INDIRECT("Sheet4!"&amp;"D"&amp;MATCH($C$2,Sheet4!$A:$A,0)+2),$I$7:$N$17,5,FALSE)),"-"))))</f>
        <v>Amostra 1
38 S F.C.M.</v>
      </c>
      <c r="D22" s="8" t="str" cm="1">
        <f t="array" aca="1" ref="D22" ca="1">IF(ISNUMBER(FIND("ctrl",INDIRECT("Sheet4!"&amp;"E"&amp;MATCH($C$2,Sheet4!$A:$A,0)+2))),
INDIRECT("Sheet4!"&amp;"E"&amp;MATCH($C$2,Sheet4!$A:$A,0)+2),IF(INDIRECT("Sheet4!"&amp;"E"&amp;MATCH($C$2,Sheet4!$A:$A,0)+2)="Água","Água",
IF(INDIRECT("Sheet4!"&amp;"E"&amp;MATCH($C$2,Sheet4!$A:$A,0)+2)="-","-",
IF(_xlfn.NUMBERVALUE(MID(INDIRECT("Sheet4!"&amp;"E"&amp;MATCH($C$2,Sheet4!$A:$A,0)+2),9,2))&lt;=$C$4,
_xlfn.IFNA(VLOOKUP(INDIRECT("Sheet4!"&amp;"E"&amp;MATCH($C$2,Sheet4!$A:$A,0)+2),$C$7:$H$17,1,FALSE)&amp;CHAR(10)&amp;VLOOKUP(INDIRECT("Sheet4!"&amp;"E"&amp;MATCH($C$2,Sheet4!$A:$A,0)+2),$C$7:$H$17,5,FALSE),
VLOOKUP(INDIRECT("Sheet4!"&amp;"E"&amp;MATCH($C$2,Sheet4!$A:$A,0)+2),$I$7:$N$17,1,FALSE)&amp;CHAR(10)&amp;VLOOKUP(INDIRECT("Sheet4!"&amp;"E"&amp;MATCH($C$2,Sheet4!$A:$A,0)+2),$I$7:$N$17,5,FALSE)),"-"))))</f>
        <v>Amostra 3
42S N.F.M.</v>
      </c>
      <c r="E22" s="8" t="str" cm="1">
        <f t="array" aca="1" ref="E22" ca="1">IF(ISNUMBER(FIND("ctrl",INDIRECT("Sheet4!"&amp;"F"&amp;MATCH($C$2,Sheet4!$A:$A,0)+2))),
INDIRECT("Sheet4!"&amp;"F"&amp;MATCH($C$2,Sheet4!$A:$A,0)+2),IF(INDIRECT("Sheet4!"&amp;"F"&amp;MATCH($C$2,Sheet4!$A:$A,0)+2)="Água","Água",
IF(INDIRECT("Sheet4!"&amp;"F"&amp;MATCH($C$2,Sheet4!$A:$A,0)+2)="-","-",
IF(_xlfn.NUMBERVALUE(MID(INDIRECT("Sheet4!"&amp;"F"&amp;MATCH($C$2,Sheet4!$A:$A,0)+2),9,2))&lt;=$C$4,
_xlfn.IFNA(VLOOKUP(INDIRECT("Sheet4!"&amp;"F"&amp;MATCH($C$2,Sheet4!$A:$A,0)+2),$C$7:$H$17,1,FALSE)&amp;CHAR(10)&amp;VLOOKUP(INDIRECT("Sheet4!"&amp;"F"&amp;MATCH($C$2,Sheet4!$A:$A,0)+2),$C$7:$H$17,5,FALSE),
VLOOKUP(INDIRECT("Sheet4!"&amp;"F"&amp;MATCH($C$2,Sheet4!$A:$A,0)+2),$I$7:$N$17,1,FALSE)&amp;CHAR(10)&amp;VLOOKUP(INDIRECT("Sheet4!"&amp;"F"&amp;MATCH($C$2,Sheet4!$A:$A,0)+2),$I$7:$N$17,5,FALSE)),"-"))))</f>
        <v>-</v>
      </c>
      <c r="F22" s="8" t="str" cm="1">
        <f t="array" aca="1" ref="F22" ca="1">IF(ISNUMBER(FIND("ctrl",INDIRECT("Sheet4!"&amp;"G"&amp;MATCH($C$2,Sheet4!$A:$A,0)+2))),
INDIRECT("Sheet4!"&amp;"G"&amp;MATCH($C$2,Sheet4!$A:$A,0)+2),IF(INDIRECT("Sheet4!"&amp;"G"&amp;MATCH($C$2,Sheet4!$A:$A,0)+2)="Água","Água",
IF(INDIRECT("Sheet4!"&amp;"G"&amp;MATCH($C$2,Sheet4!$A:$A,0)+2)="-","-",
IF(_xlfn.NUMBERVALUE(MID(INDIRECT("Sheet4!"&amp;"G"&amp;MATCH($C$2,Sheet4!$A:$A,0)+2),9,2))&lt;=$C$4,
_xlfn.IFNA(VLOOKUP(INDIRECT("Sheet4!"&amp;"G"&amp;MATCH($C$2,Sheet4!$A:$A,0)+2),$C$7:$H$17,1,FALSE)&amp;CHAR(10)&amp;VLOOKUP(INDIRECT("Sheet4!"&amp;"G"&amp;MATCH($C$2,Sheet4!$A:$A,0)+2),$C$7:$H$17,5,FALSE),
VLOOKUP(INDIRECT("Sheet4!"&amp;"G"&amp;MATCH($C$2,Sheet4!$A:$A,0)+2),$I$7:$N$17,1,FALSE)&amp;CHAR(10)&amp;VLOOKUP(INDIRECT("Sheet4!"&amp;"G"&amp;MATCH($C$2,Sheet4!$A:$A,0)+2),$I$7:$N$17,5,FALSE)),"-"))))</f>
        <v>-</v>
      </c>
      <c r="G22" s="8" t="str" cm="1">
        <f t="array" aca="1" ref="G22" ca="1">IF(ISNUMBER(FIND("ctrl",INDIRECT("Sheet4!"&amp;"H"&amp;MATCH($C$2,Sheet4!$A:$A,0)+2))),
INDIRECT("Sheet4!"&amp;"H"&amp;MATCH($C$2,Sheet4!$A:$A,0)+2),IF(INDIRECT("Sheet4!"&amp;"H"&amp;MATCH($C$2,Sheet4!$A:$A,0)+2)="Água","Água",
IF(INDIRECT("Sheet4!"&amp;"H"&amp;MATCH($C$2,Sheet4!$A:$A,0)+2)="-","-",
IF(_xlfn.NUMBERVALUE(MID(INDIRECT("Sheet4!"&amp;"H"&amp;MATCH($C$2,Sheet4!$A:$A,0)+2),9,2))&lt;=$C$4,
_xlfn.IFNA(VLOOKUP(INDIRECT("Sheet4!"&amp;"H"&amp;MATCH($C$2,Sheet4!$A:$A,0)+2),$C$7:$H$17,1,FALSE)&amp;CHAR(10)&amp;VLOOKUP(INDIRECT("Sheet4!"&amp;"H"&amp;MATCH($C$2,Sheet4!$A:$A,0)+2),$C$7:$H$17,5,FALSE),
VLOOKUP(INDIRECT("Sheet4!"&amp;"H"&amp;MATCH($C$2,Sheet4!$A:$A,0)+2),$I$7:$N$17,1,FALSE)&amp;CHAR(10)&amp;VLOOKUP(INDIRECT("Sheet4!"&amp;"H"&amp;MATCH($C$2,Sheet4!$A:$A,0)+2),$I$7:$N$17,5,FALSE)),"-"))))</f>
        <v>-</v>
      </c>
      <c r="H22" s="8" t="str" cm="1">
        <f t="array" aca="1" ref="H22" ca="1">IF(ISNUMBER(FIND("ctrl",INDIRECT("Sheet4!"&amp;"I"&amp;MATCH($C$2,Sheet4!$A:$A,0)+2))),
INDIRECT("Sheet4!"&amp;"I"&amp;MATCH($C$2,Sheet4!$A:$A,0)+2),IF(INDIRECT("Sheet4!"&amp;"I"&amp;MATCH($C$2,Sheet4!$A:$A,0)+2)="Água","Água",
IF(INDIRECT("Sheet4!"&amp;"I"&amp;MATCH($C$2,Sheet4!$A:$A,0)+2)="-","-",
IF(_xlfn.NUMBERVALUE(MID(INDIRECT("Sheet4!"&amp;"I"&amp;MATCH($C$2,Sheet4!$A:$A,0)+2),9,2))&lt;=$C$4,
_xlfn.IFNA(VLOOKUP(INDIRECT("Sheet4!"&amp;"I"&amp;MATCH($C$2,Sheet4!$A:$A,0)+2),$C$7:$H$17,1,FALSE)&amp;CHAR(10)&amp;VLOOKUP(INDIRECT("Sheet4!"&amp;"I"&amp;MATCH($C$2,Sheet4!$A:$A,0)+2),$C$7:$H$17,5,FALSE),
VLOOKUP(INDIRECT("Sheet4!"&amp;"I"&amp;MATCH($C$2,Sheet4!$A:$A,0)+2),$I$7:$N$17,1,FALSE)&amp;CHAR(10)&amp;VLOOKUP(INDIRECT("Sheet4!"&amp;"I"&amp;MATCH($C$2,Sheet4!$A:$A,0)+2),$I$7:$N$17,5,FALSE)),"-"))))</f>
        <v>-</v>
      </c>
      <c r="I22" s="8" t="str" cm="1">
        <f t="array" aca="1" ref="I22" ca="1">IF(ISNUMBER(FIND("ctrl",INDIRECT("Sheet4!"&amp;"J"&amp;MATCH($C$2,Sheet4!$A:$A,0)+2))),
INDIRECT("Sheet4!"&amp;"J"&amp;MATCH($C$2,Sheet4!$A:$A,0)+2),IF(INDIRECT("Sheet4!"&amp;"J"&amp;MATCH($C$2,Sheet4!$A:$A,0)+2)="Água","Água",
IF(INDIRECT("Sheet4!"&amp;"J"&amp;MATCH($C$2,Sheet4!$A:$A,0)+2)="-","-",
IF(_xlfn.NUMBERVALUE(MID(INDIRECT("Sheet4!"&amp;"J"&amp;MATCH($C$2,Sheet4!$A:$A,0)+2),9,2))&lt;=$C$4,
_xlfn.IFNA(VLOOKUP(INDIRECT("Sheet4!"&amp;"J"&amp;MATCH($C$2,Sheet4!$A:$A,0)+2),$C$7:$H$17,1,FALSE)&amp;CHAR(10)&amp;VLOOKUP(INDIRECT("Sheet4!"&amp;"J"&amp;MATCH($C$2,Sheet4!$A:$A,0)+2),$C$7:$H$17,5,FALSE),
VLOOKUP(INDIRECT("Sheet4!"&amp;"J"&amp;MATCH($C$2,Sheet4!$A:$A,0)+2),$I$7:$N$17,1,FALSE)&amp;CHAR(10)&amp;VLOOKUP(INDIRECT("Sheet4!"&amp;"J"&amp;MATCH($C$2,Sheet4!$A:$A,0)+2),$I$7:$N$17,5,FALSE)),"-"))))</f>
        <v>-</v>
      </c>
      <c r="J22" s="8" t="str" cm="1">
        <f t="array" aca="1" ref="J22" ca="1">IF(ISNUMBER(FIND("ctrl",INDIRECT("Sheet4!"&amp;"K"&amp;MATCH($C$2,Sheet4!$A:$A,0)+2))),
INDIRECT("Sheet4!"&amp;"K"&amp;MATCH($C$2,Sheet4!$A:$A,0)+2),IF(INDIRECT("Sheet4!"&amp;"K"&amp;MATCH($C$2,Sheet4!$A:$A,0)+2)="Água","Água",
IF(INDIRECT("Sheet4!"&amp;"K"&amp;MATCH($C$2,Sheet4!$A:$A,0)+2)="-","-",
IF(_xlfn.NUMBERVALUE(MID(INDIRECT("Sheet4!"&amp;"K"&amp;MATCH($C$2,Sheet4!$A:$A,0)+2),9,2))&lt;=$C$4,
_xlfn.IFNA(VLOOKUP(INDIRECT("Sheet4!"&amp;"K"&amp;MATCH($C$2,Sheet4!$A:$A,0)+2),$C$7:$H$17,1,FALSE)&amp;CHAR(10)&amp;VLOOKUP(INDIRECT("Sheet4!"&amp;"K"&amp;MATCH($C$2,Sheet4!$A:$A,0)+2),$C$7:$H$17,5,FALSE),
VLOOKUP(INDIRECT("Sheet4!"&amp;"K"&amp;MATCH($C$2,Sheet4!$A:$A,0)+2),$I$7:$N$17,1,FALSE)&amp;CHAR(10)&amp;VLOOKUP(INDIRECT("Sheet4!"&amp;"K"&amp;MATCH($C$2,Sheet4!$A:$A,0)+2),$I$7:$N$17,5,FALSE)),"-"))))</f>
        <v>-</v>
      </c>
      <c r="K22" s="8" t="str" cm="1">
        <f t="array" aca="1" ref="K22" ca="1">IF(ISNUMBER(FIND("ctrl",INDIRECT("Sheet4!"&amp;"L"&amp;MATCH($C$2,Sheet4!$A:$A,0)+2))),
INDIRECT("Sheet4!"&amp;"L"&amp;MATCH($C$2,Sheet4!$A:$A,0)+2),IF(INDIRECT("Sheet4!"&amp;"L"&amp;MATCH($C$2,Sheet4!$A:$A,0)+2)="Água","Água",
IF(INDIRECT("Sheet4!"&amp;"L"&amp;MATCH($C$2,Sheet4!$A:$A,0)+2)="-","-",
IF(_xlfn.NUMBERVALUE(MID(INDIRECT("Sheet4!"&amp;"L"&amp;MATCH($C$2,Sheet4!$A:$A,0)+2),9,2))&lt;=$C$4,
_xlfn.IFNA(VLOOKUP(INDIRECT("Sheet4!"&amp;"L"&amp;MATCH($C$2,Sheet4!$A:$A,0)+2),$C$7:$H$17,1,FALSE)&amp;CHAR(10)&amp;VLOOKUP(INDIRECT("Sheet4!"&amp;"L"&amp;MATCH($C$2,Sheet4!$A:$A,0)+2),$C$7:$H$17,5,FALSE),
VLOOKUP(INDIRECT("Sheet4!"&amp;"L"&amp;MATCH($C$2,Sheet4!$A:$A,0)+2),$I$7:$N$17,1,FALSE)&amp;CHAR(10)&amp;VLOOKUP(INDIRECT("Sheet4!"&amp;"L"&amp;MATCH($C$2,Sheet4!$A:$A,0)+2),$I$7:$N$17,5,FALSE)),"-"))))</f>
        <v>-</v>
      </c>
      <c r="L22" s="8" t="str" cm="1">
        <f t="array" aca="1" ref="L22" ca="1">IF(ISNUMBER(FIND("ctrl",INDIRECT("Sheet4!"&amp;"M"&amp;MATCH($C$2,Sheet4!$A:$A,0)+2))),
INDIRECT("Sheet4!"&amp;"M"&amp;MATCH($C$2,Sheet4!$A:$A,0)+2),IF(INDIRECT("Sheet4!"&amp;"M"&amp;MATCH($C$2,Sheet4!$A:$A,0)+2)="Água","Água",
IF(INDIRECT("Sheet4!"&amp;"M"&amp;MATCH($C$2,Sheet4!$A:$A,0)+2)="-","-",
IF(_xlfn.NUMBERVALUE(MID(INDIRECT("Sheet4!"&amp;"M"&amp;MATCH($C$2,Sheet4!$A:$A,0)+2),9,2))&lt;=$C$4,
_xlfn.IFNA(VLOOKUP(INDIRECT("Sheet4!"&amp;"M"&amp;MATCH($C$2,Sheet4!$A:$A,0)+2),$C$7:$H$17,1,FALSE)&amp;CHAR(10)&amp;VLOOKUP(INDIRECT("Sheet4!"&amp;"M"&amp;MATCH($C$2,Sheet4!$A:$A,0)+2),$C$7:$H$17,5,FALSE),
VLOOKUP(INDIRECT("Sheet4!"&amp;"M"&amp;MATCH($C$2,Sheet4!$A:$A,0)+2),$I$7:$N$17,1,FALSE)&amp;CHAR(10)&amp;VLOOKUP(INDIRECT("Sheet4!"&amp;"M"&amp;MATCH($C$2,Sheet4!$A:$A,0)+2),$I$7:$N$17,5,FALSE)),"-"))))</f>
        <v>-</v>
      </c>
      <c r="M22" s="8" t="str" cm="1">
        <f t="array" aca="1" ref="M22" ca="1">IF(ISNUMBER(FIND("ctrl",INDIRECT("Sheet4!"&amp;"N"&amp;MATCH($C$2,Sheet4!$A:$A,0)+2))),
INDIRECT("Sheet4!"&amp;"N"&amp;MATCH($C$2,Sheet4!$A:$A,0)+2),IF(INDIRECT("Sheet4!"&amp;"N"&amp;MATCH($C$2,Sheet4!$A:$A,0)+2)="Água","Água",
IF(INDIRECT("Sheet4!"&amp;"N"&amp;MATCH($C$2,Sheet4!$A:$A,0)+2)="-","-",
IF(_xlfn.NUMBERVALUE(MID(INDIRECT("Sheet4!"&amp;"N"&amp;MATCH($C$2,Sheet4!$A:$A,0)+2),9,2))&lt;=$C$4,
_xlfn.IFNA(VLOOKUP(INDIRECT("Sheet4!"&amp;"N"&amp;MATCH($C$2,Sheet4!$A:$A,0)+2),$C$7:$H$17,1,FALSE)&amp;CHAR(10)&amp;VLOOKUP(INDIRECT("Sheet4!"&amp;"N"&amp;MATCH($C$2,Sheet4!$A:$A,0)+2),$C$7:$H$17,5,FALSE),
VLOOKUP(INDIRECT("Sheet4!"&amp;"N"&amp;MATCH($C$2,Sheet4!$A:$A,0)+2),$I$7:$N$17,1,FALSE)&amp;CHAR(10)&amp;VLOOKUP(INDIRECT("Sheet4!"&amp;"N"&amp;MATCH($C$2,Sheet4!$A:$A,0)+2),$I$7:$N$17,5,FALSE)),"-"))))</f>
        <v>-</v>
      </c>
      <c r="N22" s="8" t="str" cm="1">
        <f t="array" aca="1" ref="N22" ca="1">IF(ISNUMBER(FIND("ctrl",INDIRECT("Sheet4!"&amp;"M"&amp;MATCH($C$2,Sheet4!$A:$A,0)+2))),
INDIRECT("Sheet4!"&amp;"M"&amp;MATCH($C$2,Sheet4!$A:$A,0)+2),IF(INDIRECT("Sheet4!"&amp;"M"&amp;MATCH($C$2,Sheet4!$A:$A,0)+2)="Água","Água",
IF(INDIRECT("Sheet4!"&amp;"M"&amp;MATCH($C$2,Sheet4!$A:$A,0)+2)="-","-",
IF(_xlfn.NUMBERVALUE(MID(INDIRECT("Sheet4!"&amp;"M"&amp;MATCH($C$2,Sheet4!$A:$A,0)+2),9,2))&lt;=$C$4,
_xlfn.IFNA(VLOOKUP(INDIRECT("Sheet4!"&amp;"M"&amp;MATCH($C$2,Sheet4!$A:$A,0)+2),$C$7:$H$17,1,FALSE)&amp;CHAR(10)&amp;VLOOKUP(INDIRECT("Sheet4!"&amp;"M"&amp;MATCH($C$2,Sheet4!$A:$A,0)+2),$C$7:$H$17,5,FALSE),
VLOOKUP(INDIRECT("Sheet4!"&amp;"M"&amp;MATCH($C$2,Sheet4!$A:$A,0)+2),$I$7:$N$17,1,FALSE)&amp;CHAR(10)&amp;VLOOKUP(INDIRECT("Sheet4!"&amp;"M"&amp;MATCH($C$2,Sheet4!$A:$A,0)+2),$I$7:$N$17,5,FALSE)),"-"))))</f>
        <v>-</v>
      </c>
    </row>
    <row r="23" spans="2:14" ht="15" customHeight="1" x14ac:dyDescent="0.25">
      <c r="B23" s="12" t="s">
        <v>29</v>
      </c>
      <c r="C23" s="8" t="str" cm="1">
        <f t="array" aca="1" ref="C23" ca="1">IF(ISNUMBER(FIND("ctrl",INDIRECT("Sheet4!"&amp;"D"&amp;MATCH($C$2,Sheet4!$A:$A,0)+3))),
INDIRECT("Sheet4!"&amp;"D"&amp;MATCH($C$2,Sheet4!$A:$A,0)+3),IF(INDIRECT("Sheet4!"&amp;"D"&amp;MATCH($C$2,Sheet4!$A:$A,0)+3)="Água","Água",
IF(INDIRECT("Sheet4!"&amp;"D"&amp;MATCH($C$2,Sheet4!$A:$A,0)+3)="-","-",
IF(_xlfn.NUMBERVALUE(MID(INDIRECT("Sheet4!"&amp;"D"&amp;MATCH($C$2,Sheet4!$A:$A,0)+3),9,2))&lt;=$C$4,
_xlfn.IFNA(VLOOKUP(INDIRECT("Sheet4!"&amp;"D"&amp;MATCH($C$2,Sheet4!$A:$A,0)+3),$C$7:$H$17,1,FALSE)&amp;CHAR(10)&amp;VLOOKUP(INDIRECT("Sheet4!"&amp;"D"&amp;MATCH($C$2,Sheet4!$A:$A,0)+3),$C$7:$H$17,5,FALSE),
VLOOKUP(INDIRECT("Sheet4!"&amp;"D"&amp;MATCH($C$2,Sheet4!$A:$A,0)+3),$I$7:$N$17,1,FALSE)&amp;CHAR(10)&amp;VLOOKUP(INDIRECT("Sheet4!"&amp;"D"&amp;MATCH($C$2,Sheet4!$A:$A,0)+3),$I$7:$N$17,5,FALSE)),"-"))))</f>
        <v>Amostra 1
38 S F.C.M.</v>
      </c>
      <c r="D23" s="8" t="str" cm="1">
        <f t="array" aca="1" ref="D23" ca="1">IF(ISNUMBER(FIND("ctrl",INDIRECT("Sheet4!"&amp;"E"&amp;MATCH($C$2,Sheet4!$A:$A,0)+3))),
INDIRECT("Sheet4!"&amp;"E"&amp;MATCH($C$2,Sheet4!$A:$A,0)+3),IF(INDIRECT("Sheet4!"&amp;"E"&amp;MATCH($C$2,Sheet4!$A:$A,0)+3)="Água","Água",
IF(INDIRECT("Sheet4!"&amp;"E"&amp;MATCH($C$2,Sheet4!$A:$A,0)+3)="-","-",
IF(_xlfn.NUMBERVALUE(MID(INDIRECT("Sheet4!"&amp;"E"&amp;MATCH($C$2,Sheet4!$A:$A,0)+3),9,2))&lt;=$C$4,
_xlfn.IFNA(VLOOKUP(INDIRECT("Sheet4!"&amp;"E"&amp;MATCH($C$2,Sheet4!$A:$A,0)+3),$C$7:$H$17,1,FALSE)&amp;CHAR(10)&amp;VLOOKUP(INDIRECT("Sheet4!"&amp;"E"&amp;MATCH($C$2,Sheet4!$A:$A,0)+3),$C$7:$H$17,5,FALSE),
VLOOKUP(INDIRECT("Sheet4!"&amp;"E"&amp;MATCH($C$2,Sheet4!$A:$A,0)+3),$I$7:$N$17,1,FALSE)&amp;CHAR(10)&amp;VLOOKUP(INDIRECT("Sheet4!"&amp;"E"&amp;MATCH($C$2,Sheet4!$A:$A,0)+3),$I$7:$N$17,5,FALSE)),"-"))))</f>
        <v>Amostra 3
42S N.F.M.</v>
      </c>
      <c r="E23" s="8" t="str" cm="1">
        <f t="array" aca="1" ref="E23" ca="1">IF(ISNUMBER(FIND("ctrl",INDIRECT("Sheet4!"&amp;"F"&amp;MATCH($C$2,Sheet4!$A:$A,0)+3))),
INDIRECT("Sheet4!"&amp;"F"&amp;MATCH($C$2,Sheet4!$A:$A,0)+3),IF(INDIRECT("Sheet4!"&amp;"F"&amp;MATCH($C$2,Sheet4!$A:$A,0)+3)="Água","Água",
IF(INDIRECT("Sheet4!"&amp;"F"&amp;MATCH($C$2,Sheet4!$A:$A,0)+3)="-","-",
IF(_xlfn.NUMBERVALUE(MID(INDIRECT("Sheet4!"&amp;"F"&amp;MATCH($C$2,Sheet4!$A:$A,0)+3),9,2))&lt;=$C$4,
_xlfn.IFNA(VLOOKUP(INDIRECT("Sheet4!"&amp;"F"&amp;MATCH($C$2,Sheet4!$A:$A,0)+3),$C$7:$H$17,1,FALSE)&amp;CHAR(10)&amp;VLOOKUP(INDIRECT("Sheet4!"&amp;"F"&amp;MATCH($C$2,Sheet4!$A:$A,0)+3),$C$7:$H$17,5,FALSE),
VLOOKUP(INDIRECT("Sheet4!"&amp;"F"&amp;MATCH($C$2,Sheet4!$A:$A,0)+3),$I$7:$N$17,1,FALSE)&amp;CHAR(10)&amp;VLOOKUP(INDIRECT("Sheet4!"&amp;"F"&amp;MATCH($C$2,Sheet4!$A:$A,0)+3),$I$7:$N$17,5,FALSE)),"-"))))</f>
        <v>-</v>
      </c>
      <c r="F23" s="8" t="str" cm="1">
        <f t="array" aca="1" ref="F23" ca="1">IF(ISNUMBER(FIND("ctrl",INDIRECT("Sheet4!"&amp;"G"&amp;MATCH($C$2,Sheet4!$A:$A,0)+3))),
INDIRECT("Sheet4!"&amp;"G"&amp;MATCH($C$2,Sheet4!$A:$A,0)+3),IF(INDIRECT("Sheet4!"&amp;"G"&amp;MATCH($C$2,Sheet4!$A:$A,0)+3)="Água","Água",
IF(INDIRECT("Sheet4!"&amp;"G"&amp;MATCH($C$2,Sheet4!$A:$A,0)+3)="-","-",
IF(_xlfn.NUMBERVALUE(MID(INDIRECT("Sheet4!"&amp;"G"&amp;MATCH($C$2,Sheet4!$A:$A,0)+3),9,2))&lt;=$C$4,
_xlfn.IFNA(VLOOKUP(INDIRECT("Sheet4!"&amp;"G"&amp;MATCH($C$2,Sheet4!$A:$A,0)+3),$C$7:$H$17,1,FALSE)&amp;CHAR(10)&amp;VLOOKUP(INDIRECT("Sheet4!"&amp;"G"&amp;MATCH($C$2,Sheet4!$A:$A,0)+3),$C$7:$H$17,5,FALSE),
VLOOKUP(INDIRECT("Sheet4!"&amp;"G"&amp;MATCH($C$2,Sheet4!$A:$A,0)+3),$I$7:$N$17,1,FALSE)&amp;CHAR(10)&amp;VLOOKUP(INDIRECT("Sheet4!"&amp;"G"&amp;MATCH($C$2,Sheet4!$A:$A,0)+3),$I$7:$N$17,5,FALSE)),"-"))))</f>
        <v>-</v>
      </c>
      <c r="G23" s="8" t="str" cm="1">
        <f t="array" aca="1" ref="G23" ca="1">IF(ISNUMBER(FIND("ctrl",INDIRECT("Sheet4!"&amp;"H"&amp;MATCH($C$2,Sheet4!$A:$A,0)+3))),
INDIRECT("Sheet4!"&amp;"H"&amp;MATCH($C$2,Sheet4!$A:$A,0)+3),IF(INDIRECT("Sheet4!"&amp;"H"&amp;MATCH($C$2,Sheet4!$A:$A,0)+3)="Água","Água",
IF(INDIRECT("Sheet4!"&amp;"H"&amp;MATCH($C$2,Sheet4!$A:$A,0)+3)="-","-",
IF(_xlfn.NUMBERVALUE(MID(INDIRECT("Sheet4!"&amp;"H"&amp;MATCH($C$2,Sheet4!$A:$A,0)+3),9,2))&lt;=$C$4,
_xlfn.IFNA(VLOOKUP(INDIRECT("Sheet4!"&amp;"H"&amp;MATCH($C$2,Sheet4!$A:$A,0)+3),$C$7:$H$17,1,FALSE)&amp;CHAR(10)&amp;VLOOKUP(INDIRECT("Sheet4!"&amp;"H"&amp;MATCH($C$2,Sheet4!$A:$A,0)+3),$C$7:$H$17,5,FALSE),
VLOOKUP(INDIRECT("Sheet4!"&amp;"H"&amp;MATCH($C$2,Sheet4!$A:$A,0)+3),$I$7:$N$17,1,FALSE)&amp;CHAR(10)&amp;VLOOKUP(INDIRECT("Sheet4!"&amp;"H"&amp;MATCH($C$2,Sheet4!$A:$A,0)+3),$I$7:$N$17,5,FALSE)),"-"))))</f>
        <v>-</v>
      </c>
      <c r="H23" s="8" t="str" cm="1">
        <f t="array" aca="1" ref="H23" ca="1">IF(ISNUMBER(FIND("ctrl",INDIRECT("Sheet4!"&amp;"I"&amp;MATCH($C$2,Sheet4!$A:$A,0)+3))),
INDIRECT("Sheet4!"&amp;"I"&amp;MATCH($C$2,Sheet4!$A:$A,0)+3),IF(INDIRECT("Sheet4!"&amp;"I"&amp;MATCH($C$2,Sheet4!$A:$A,0)+3)="Água","Água",
IF(INDIRECT("Sheet4!"&amp;"I"&amp;MATCH($C$2,Sheet4!$A:$A,0)+3)="-","-",
IF(_xlfn.NUMBERVALUE(MID(INDIRECT("Sheet4!"&amp;"I"&amp;MATCH($C$2,Sheet4!$A:$A,0)+3),9,2))&lt;=$C$4,
_xlfn.IFNA(VLOOKUP(INDIRECT("Sheet4!"&amp;"I"&amp;MATCH($C$2,Sheet4!$A:$A,0)+3),$C$7:$H$17,1,FALSE)&amp;CHAR(10)&amp;VLOOKUP(INDIRECT("Sheet4!"&amp;"I"&amp;MATCH($C$2,Sheet4!$A:$A,0)+3),$C$7:$H$17,5,FALSE),
VLOOKUP(INDIRECT("Sheet4!"&amp;"I"&amp;MATCH($C$2,Sheet4!$A:$A,0)+3),$I$7:$N$17,1,FALSE)&amp;CHAR(10)&amp;VLOOKUP(INDIRECT("Sheet4!"&amp;"I"&amp;MATCH($C$2,Sheet4!$A:$A,0)+3),$I$7:$N$17,5,FALSE)),"-"))))</f>
        <v>-</v>
      </c>
      <c r="I23" s="8" t="str" cm="1">
        <f t="array" aca="1" ref="I23" ca="1">IF(ISNUMBER(FIND("ctrl",INDIRECT("Sheet4!"&amp;"J"&amp;MATCH($C$2,Sheet4!$A:$A,0)+3))),
INDIRECT("Sheet4!"&amp;"J"&amp;MATCH($C$2,Sheet4!$A:$A,0)+3),IF(INDIRECT("Sheet4!"&amp;"J"&amp;MATCH($C$2,Sheet4!$A:$A,0)+3)="Água","Água",
IF(INDIRECT("Sheet4!"&amp;"J"&amp;MATCH($C$2,Sheet4!$A:$A,0)+3)="-","-",
IF(_xlfn.NUMBERVALUE(MID(INDIRECT("Sheet4!"&amp;"J"&amp;MATCH($C$2,Sheet4!$A:$A,0)+3),9,2))&lt;=$C$4,
_xlfn.IFNA(VLOOKUP(INDIRECT("Sheet4!"&amp;"J"&amp;MATCH($C$2,Sheet4!$A:$A,0)+3),$C$7:$H$17,1,FALSE)&amp;CHAR(10)&amp;VLOOKUP(INDIRECT("Sheet4!"&amp;"J"&amp;MATCH($C$2,Sheet4!$A:$A,0)+3),$C$7:$H$17,5,FALSE),
VLOOKUP(INDIRECT("Sheet4!"&amp;"J"&amp;MATCH($C$2,Sheet4!$A:$A,0)+3),$I$7:$N$17,1,FALSE)&amp;CHAR(10)&amp;VLOOKUP(INDIRECT("Sheet4!"&amp;"J"&amp;MATCH($C$2,Sheet4!$A:$A,0)+3),$I$7:$N$17,5,FALSE)),"-"))))</f>
        <v>-</v>
      </c>
      <c r="J23" s="8" t="str" cm="1">
        <f t="array" aca="1" ref="J23" ca="1">IF(ISNUMBER(FIND("ctrl",INDIRECT("Sheet4!"&amp;"K"&amp;MATCH($C$2,Sheet4!$A:$A,0)+3))),
INDIRECT("Sheet4!"&amp;"K"&amp;MATCH($C$2,Sheet4!$A:$A,0)+3),IF(INDIRECT("Sheet4!"&amp;"K"&amp;MATCH($C$2,Sheet4!$A:$A,0)+3)="Água","Água",
IF(INDIRECT("Sheet4!"&amp;"K"&amp;MATCH($C$2,Sheet4!$A:$A,0)+3)="-","-",
IF(_xlfn.NUMBERVALUE(MID(INDIRECT("Sheet4!"&amp;"K"&amp;MATCH($C$2,Sheet4!$A:$A,0)+3),9,2))&lt;=$C$4,
_xlfn.IFNA(VLOOKUP(INDIRECT("Sheet4!"&amp;"K"&amp;MATCH($C$2,Sheet4!$A:$A,0)+3),$C$7:$H$17,1,FALSE)&amp;CHAR(10)&amp;VLOOKUP(INDIRECT("Sheet4!"&amp;"K"&amp;MATCH($C$2,Sheet4!$A:$A,0)+3),$C$7:$H$17,5,FALSE),
VLOOKUP(INDIRECT("Sheet4!"&amp;"K"&amp;MATCH($C$2,Sheet4!$A:$A,0)+3),$I$7:$N$17,1,FALSE)&amp;CHAR(10)&amp;VLOOKUP(INDIRECT("Sheet4!"&amp;"K"&amp;MATCH($C$2,Sheet4!$A:$A,0)+3),$I$7:$N$17,5,FALSE)),"-"))))</f>
        <v>-</v>
      </c>
      <c r="K23" s="8" t="str" cm="1">
        <f t="array" aca="1" ref="K23" ca="1">IF(ISNUMBER(FIND("ctrl",INDIRECT("Sheet4!"&amp;"L"&amp;MATCH($C$2,Sheet4!$A:$A,0)+3))),
INDIRECT("Sheet4!"&amp;"L"&amp;MATCH($C$2,Sheet4!$A:$A,0)+3),IF(INDIRECT("Sheet4!"&amp;"L"&amp;MATCH($C$2,Sheet4!$A:$A,0)+3)="Água","Água",
IF(INDIRECT("Sheet4!"&amp;"L"&amp;MATCH($C$2,Sheet4!$A:$A,0)+3)="-","-",
IF(_xlfn.NUMBERVALUE(MID(INDIRECT("Sheet4!"&amp;"L"&amp;MATCH($C$2,Sheet4!$A:$A,0)+3),9,2))&lt;=$C$4,
_xlfn.IFNA(VLOOKUP(INDIRECT("Sheet4!"&amp;"L"&amp;MATCH($C$2,Sheet4!$A:$A,0)+3),$C$7:$H$17,1,FALSE)&amp;CHAR(10)&amp;VLOOKUP(INDIRECT("Sheet4!"&amp;"L"&amp;MATCH($C$2,Sheet4!$A:$A,0)+3),$C$7:$H$17,5,FALSE),
VLOOKUP(INDIRECT("Sheet4!"&amp;"L"&amp;MATCH($C$2,Sheet4!$A:$A,0)+3),$I$7:$N$17,1,FALSE)&amp;CHAR(10)&amp;VLOOKUP(INDIRECT("Sheet4!"&amp;"L"&amp;MATCH($C$2,Sheet4!$A:$A,0)+3),$I$7:$N$17,5,FALSE)),"-"))))</f>
        <v>-</v>
      </c>
      <c r="L23" s="8" t="str" cm="1">
        <f t="array" aca="1" ref="L23" ca="1">IF(ISNUMBER(FIND("ctrl",INDIRECT("Sheet4!"&amp;"M"&amp;MATCH($C$2,Sheet4!$A:$A,0)+3))),
INDIRECT("Sheet4!"&amp;"M"&amp;MATCH($C$2,Sheet4!$A:$A,0)+3),IF(INDIRECT("Sheet4!"&amp;"M"&amp;MATCH($C$2,Sheet4!$A:$A,0)+3)="Água","Água",
IF(INDIRECT("Sheet4!"&amp;"M"&amp;MATCH($C$2,Sheet4!$A:$A,0)+3)="-","-",
IF(_xlfn.NUMBERVALUE(MID(INDIRECT("Sheet4!"&amp;"M"&amp;MATCH($C$2,Sheet4!$A:$A,0)+3),9,2))&lt;=$C$4,
_xlfn.IFNA(VLOOKUP(INDIRECT("Sheet4!"&amp;"M"&amp;MATCH($C$2,Sheet4!$A:$A,0)+3),$C$7:$H$17,1,FALSE)&amp;CHAR(10)&amp;VLOOKUP(INDIRECT("Sheet4!"&amp;"M"&amp;MATCH($C$2,Sheet4!$A:$A,0)+3),$C$7:$H$17,5,FALSE),
VLOOKUP(INDIRECT("Sheet4!"&amp;"M"&amp;MATCH($C$2,Sheet4!$A:$A,0)+3),$I$7:$N$17,1,FALSE)&amp;CHAR(10)&amp;VLOOKUP(INDIRECT("Sheet4!"&amp;"M"&amp;MATCH($C$2,Sheet4!$A:$A,0)+3),$I$7:$N$17,5,FALSE)),"-"))))</f>
        <v>-</v>
      </c>
      <c r="M23" s="8" t="str" cm="1">
        <f t="array" aca="1" ref="M23" ca="1">IF(ISNUMBER(FIND("ctrl",INDIRECT("Sheet4!"&amp;"N"&amp;MATCH($C$2,Sheet4!$A:$A,0)+3))),
INDIRECT("Sheet4!"&amp;"N"&amp;MATCH($C$2,Sheet4!$A:$A,0)+3),IF(INDIRECT("Sheet4!"&amp;"N"&amp;MATCH($C$2,Sheet4!$A:$A,0)+3)="Água","Água",
IF(INDIRECT("Sheet4!"&amp;"N"&amp;MATCH($C$2,Sheet4!$A:$A,0)+3)="-","-",
IF(_xlfn.NUMBERVALUE(MID(INDIRECT("Sheet4!"&amp;"N"&amp;MATCH($C$2,Sheet4!$A:$A,0)+3),9,2))&lt;=$C$4,
_xlfn.IFNA(VLOOKUP(INDIRECT("Sheet4!"&amp;"N"&amp;MATCH($C$2,Sheet4!$A:$A,0)+3),$C$7:$H$17,1,FALSE)&amp;CHAR(10)&amp;VLOOKUP(INDIRECT("Sheet4!"&amp;"N"&amp;MATCH($C$2,Sheet4!$A:$A,0)+3),$C$7:$H$17,5,FALSE),
VLOOKUP(INDIRECT("Sheet4!"&amp;"N"&amp;MATCH($C$2,Sheet4!$A:$A,0)+3),$I$7:$N$17,1,FALSE)&amp;CHAR(10)&amp;VLOOKUP(INDIRECT("Sheet4!"&amp;"N"&amp;MATCH($C$2,Sheet4!$A:$A,0)+3),$I$7:$N$17,5,FALSE)),"-"))))</f>
        <v>-</v>
      </c>
      <c r="N23" s="8" t="str" cm="1">
        <f t="array" aca="1" ref="N23" ca="1">IF(ISNUMBER(FIND("ctrl",INDIRECT("Sheet4!"&amp;"M"&amp;MATCH($C$2,Sheet4!$A:$A,0)+3))),
INDIRECT("Sheet4!"&amp;"M"&amp;MATCH($C$2,Sheet4!$A:$A,0)+3),IF(INDIRECT("Sheet4!"&amp;"M"&amp;MATCH($C$2,Sheet4!$A:$A,0)+3)="Água","Água",
IF(INDIRECT("Sheet4!"&amp;"M"&amp;MATCH($C$2,Sheet4!$A:$A,0)+3)="-","-",
IF(_xlfn.NUMBERVALUE(MID(INDIRECT("Sheet4!"&amp;"M"&amp;MATCH($C$2,Sheet4!$A:$A,0)+3),9,2))&lt;=$C$4,
_xlfn.IFNA(VLOOKUP(INDIRECT("Sheet4!"&amp;"M"&amp;MATCH($C$2,Sheet4!$A:$A,0)+3),$C$7:$H$17,1,FALSE)&amp;CHAR(10)&amp;VLOOKUP(INDIRECT("Sheet4!"&amp;"M"&amp;MATCH($C$2,Sheet4!$A:$A,0)+3),$C$7:$H$17,5,FALSE),
VLOOKUP(INDIRECT("Sheet4!"&amp;"M"&amp;MATCH($C$2,Sheet4!$A:$A,0)+3),$I$7:$N$17,1,FALSE)&amp;CHAR(10)&amp;VLOOKUP(INDIRECT("Sheet4!"&amp;"M"&amp;MATCH($C$2,Sheet4!$A:$A,0)+3),$I$7:$N$17,5,FALSE)),"-"))))</f>
        <v>-</v>
      </c>
    </row>
    <row r="24" spans="2:14" ht="26.25" x14ac:dyDescent="0.25">
      <c r="B24" s="12" t="s">
        <v>30</v>
      </c>
      <c r="C24" s="8" t="str" cm="1">
        <f t="array" aca="1" ref="C24" ca="1">IF(ISNUMBER(FIND("ctrl",INDIRECT("Sheet4!"&amp;"D"&amp;MATCH($C$2,Sheet4!$A:$A,0)+4))),
INDIRECT("Sheet4!"&amp;"D"&amp;MATCH($C$2,Sheet4!$A:$A,0)+4),IF(INDIRECT("Sheet4!"&amp;"D"&amp;MATCH($C$2,Sheet4!$A:$A,0)+4)="Água","Água",
IF(INDIRECT("Sheet4!"&amp;"D"&amp;MATCH($C$2,Sheet4!$A:$A,0)+4)="-","-",
IF(_xlfn.NUMBERVALUE(MID(INDIRECT("Sheet4!"&amp;"D"&amp;MATCH($C$2,Sheet4!$A:$A,0)+4),9,2))&lt;=$C$4,
_xlfn.IFNA(VLOOKUP(INDIRECT("Sheet4!"&amp;"D"&amp;MATCH($C$2,Sheet4!$A:$A,0)+4),$C$7:$H$17,1,FALSE)&amp;CHAR(10)&amp;VLOOKUP(INDIRECT("Sheet4!"&amp;"D"&amp;MATCH($C$2,Sheet4!$A:$A,0)+4),$C$7:$H$17,5,FALSE),
VLOOKUP(INDIRECT("Sheet4!"&amp;"D"&amp;MATCH($C$2,Sheet4!$A:$A,0)+4),$I$7:$N$17,1,FALSE)&amp;CHAR(10)&amp;VLOOKUP(INDIRECT("Sheet4!"&amp;"D"&amp;MATCH($C$2,Sheet4!$A:$A,0)+4),$I$7:$N$17,5,FALSE)),"-"))))</f>
        <v>Amostra 2
40S V.M.M.G.</v>
      </c>
      <c r="D24" s="8" t="str" cm="1">
        <f t="array" aca="1" ref="D24" ca="1">IF(ISNUMBER(FIND("ctrl",INDIRECT("Sheet4!"&amp;"O"&amp;MATCH($C$2,Sheet4!$A:$A,0)+4))),
INDIRECT("Sheet4!"&amp;"O"&amp;MATCH($C$2,Sheet4!$A:$A,0)+4),IF(INDIRECT("Sheet4!"&amp;"O"&amp;MATCH($C$2,Sheet4!$A:$A,0)+4)="Água","Água",
IF(INDIRECT("Sheet4!"&amp;"O"&amp;MATCH($C$2,Sheet4!$A:$A,0)+4)="-","-",
IF(_xlfn.NUMBERVALUE(MID(INDIRECT("Sheet4!"&amp;"O"&amp;MATCH($C$2,Sheet4!$A:$A,0)+4),9,2))&lt;=$C$4,
_xlfn.IFNA(VLOOKUP(INDIRECT("Sheet4!"&amp;"O"&amp;MATCH($C$2,Sheet4!$A:$A,0)+4),$C$7:$H$17,1,FALSE)&amp;CHAR(10)&amp;VLOOKUP(INDIRECT("Sheet4!"&amp;"O"&amp;MATCH($C$2,Sheet4!$A:$A,0)+4),$C$7:$H$17,5,FALSE),
VLOOKUP(INDIRECT("Sheet4!"&amp;"O"&amp;MATCH($C$2,Sheet4!$A:$A,0)+4),$I$7:$N$17,1,FALSE)&amp;CHAR(10)&amp;VLOOKUP(INDIRECT("Sheet4!"&amp;"O"&amp;MATCH($C$2,Sheet4!$A:$A,0)+4),$I$7:$N$17,5,FALSE)),"-"))))</f>
        <v>Água</v>
      </c>
      <c r="E24" s="8" t="str" cm="1">
        <f t="array" aca="1" ref="E24" ca="1">IF(ISNUMBER(FIND("ctrl",INDIRECT("Sheet4!"&amp;"F"&amp;MATCH($C$2,Sheet4!$A:$A,0)+4))),
INDIRECT("Sheet4!"&amp;"F"&amp;MATCH($C$2,Sheet4!$A:$A,0)+4),IF(INDIRECT("Sheet4!"&amp;"F"&amp;MATCH($C$2,Sheet4!$A:$A,0)+4)="Água","Água",
IF(INDIRECT("Sheet4!"&amp;"F"&amp;MATCH($C$2,Sheet4!$A:$A,0)+4)="-","-",
IF(_xlfn.NUMBERVALUE(MID(INDIRECT("Sheet4!"&amp;"F"&amp;MATCH($C$2,Sheet4!$A:$A,0)+4),9,2))&lt;=$C$4,
_xlfn.IFNA(VLOOKUP(INDIRECT("Sheet4!"&amp;"F"&amp;MATCH($C$2,Sheet4!$A:$A,0)+4),$C$7:$H$17,1,FALSE)&amp;CHAR(10)&amp;VLOOKUP(INDIRECT("Sheet4!"&amp;"F"&amp;MATCH($C$2,Sheet4!$A:$A,0)+4),$C$7:$H$17,5,FALSE),
VLOOKUP(INDIRECT("Sheet4!"&amp;"F"&amp;MATCH($C$2,Sheet4!$A:$A,0)+4),$I$7:$N$17,1,FALSE)&amp;CHAR(10)&amp;VLOOKUP(INDIRECT("Sheet4!"&amp;"F"&amp;MATCH($C$2,Sheet4!$A:$A,0)+4),$I$7:$N$17,5,FALSE)),"-"))))</f>
        <v>-</v>
      </c>
      <c r="F24" s="8" t="str" cm="1">
        <f t="array" aca="1" ref="F24" ca="1">IF(ISNUMBER(FIND("ctrl",INDIRECT("Sheet4!"&amp;"G"&amp;MATCH($C$2,Sheet4!$A:$A,0)+4))),
INDIRECT("Sheet4!"&amp;"G"&amp;MATCH($C$2,Sheet4!$A:$A,0)+4),IF(INDIRECT("Sheet4!"&amp;"G"&amp;MATCH($C$2,Sheet4!$A:$A,0)+4)="Água","Água",
IF(INDIRECT("Sheet4!"&amp;"G"&amp;MATCH($C$2,Sheet4!$A:$A,0)+4)="-","-",
IF(_xlfn.NUMBERVALUE(MID(INDIRECT("Sheet4!"&amp;"G"&amp;MATCH($C$2,Sheet4!$A:$A,0)+4),9,2))&lt;=$C$4,
_xlfn.IFNA(VLOOKUP(INDIRECT("Sheet4!"&amp;"G"&amp;MATCH($C$2,Sheet4!$A:$A,0)+4),$C$7:$H$17,1,FALSE)&amp;CHAR(10)&amp;VLOOKUP(INDIRECT("Sheet4!"&amp;"G"&amp;MATCH($C$2,Sheet4!$A:$A,0)+4),$C$7:$H$17,5,FALSE),
VLOOKUP(INDIRECT("Sheet4!"&amp;"G"&amp;MATCH($C$2,Sheet4!$A:$A,0)+4),$I$7:$N$17,1,FALSE)&amp;CHAR(10)&amp;VLOOKUP(INDIRECT("Sheet4!"&amp;"G"&amp;MATCH($C$2,Sheet4!$A:$A,0)+4),$I$7:$N$17,5,FALSE)),"-"))))</f>
        <v>-</v>
      </c>
      <c r="G24" s="8" t="str" cm="1">
        <f t="array" aca="1" ref="G24" ca="1">IF(ISNUMBER(FIND("ctrl",INDIRECT("Sheet4!"&amp;"H"&amp;MATCH($C$2,Sheet4!$A:$A,0)+4))),
INDIRECT("Sheet4!"&amp;"H"&amp;MATCH($C$2,Sheet4!$A:$A,0)+4),IF(INDIRECT("Sheet4!"&amp;"H"&amp;MATCH($C$2,Sheet4!$A:$A,0)+4)="Água","Água",
IF(INDIRECT("Sheet4!"&amp;"H"&amp;MATCH($C$2,Sheet4!$A:$A,0)+4)="-","-",
IF(_xlfn.NUMBERVALUE(MID(INDIRECT("Sheet4!"&amp;"H"&amp;MATCH($C$2,Sheet4!$A:$A,0)+4),9,2))&lt;=$C$4,
_xlfn.IFNA(VLOOKUP(INDIRECT("Sheet4!"&amp;"H"&amp;MATCH($C$2,Sheet4!$A:$A,0)+4),$C$7:$H$17,1,FALSE)&amp;CHAR(10)&amp;VLOOKUP(INDIRECT("Sheet4!"&amp;"H"&amp;MATCH($C$2,Sheet4!$A:$A,0)+4),$C$7:$H$17,5,FALSE),
VLOOKUP(INDIRECT("Sheet4!"&amp;"H"&amp;MATCH($C$2,Sheet4!$A:$A,0)+4),$I$7:$N$17,1,FALSE)&amp;CHAR(10)&amp;VLOOKUP(INDIRECT("Sheet4!"&amp;"H"&amp;MATCH($C$2,Sheet4!$A:$A,0)+4),$I$7:$N$17,5,FALSE)),"-"))))</f>
        <v>-</v>
      </c>
      <c r="H24" s="8" t="str" cm="1">
        <f t="array" aca="1" ref="H24" ca="1">IF(ISNUMBER(FIND("ctrl",INDIRECT("Sheet4!"&amp;"I"&amp;MATCH($C$2,Sheet4!$A:$A,0)+4))),
INDIRECT("Sheet4!"&amp;"I"&amp;MATCH($C$2,Sheet4!$A:$A,0)+4),IF(INDIRECT("Sheet4!"&amp;"I"&amp;MATCH($C$2,Sheet4!$A:$A,0)+4)="Água","Água",
IF(INDIRECT("Sheet4!"&amp;"I"&amp;MATCH($C$2,Sheet4!$A:$A,0)+4)="-","-",
IF(_xlfn.NUMBERVALUE(MID(INDIRECT("Sheet4!"&amp;"I"&amp;MATCH($C$2,Sheet4!$A:$A,0)+4),9,2))&lt;=$C$4,
_xlfn.IFNA(VLOOKUP(INDIRECT("Sheet4!"&amp;"I"&amp;MATCH($C$2,Sheet4!$A:$A,0)+4),$C$7:$H$17,1,FALSE)&amp;CHAR(10)&amp;VLOOKUP(INDIRECT("Sheet4!"&amp;"I"&amp;MATCH($C$2,Sheet4!$A:$A,0)+4),$C$7:$H$17,5,FALSE),
VLOOKUP(INDIRECT("Sheet4!"&amp;"I"&amp;MATCH($C$2,Sheet4!$A:$A,0)+4),$I$7:$N$17,1,FALSE)&amp;CHAR(10)&amp;VLOOKUP(INDIRECT("Sheet4!"&amp;"I"&amp;MATCH($C$2,Sheet4!$A:$A,0)+4),$I$7:$N$17,5,FALSE)),"-"))))</f>
        <v>-</v>
      </c>
      <c r="I24" s="8" t="str" cm="1">
        <f t="array" aca="1" ref="I24" ca="1">IF(ISNUMBER(FIND("ctrl",INDIRECT("Sheet4!"&amp;"J"&amp;MATCH($C$2,Sheet4!$A:$A,0)+4))),
INDIRECT("Sheet4!"&amp;"J"&amp;MATCH($C$2,Sheet4!$A:$A,0)+4),IF(INDIRECT("Sheet4!"&amp;"J"&amp;MATCH($C$2,Sheet4!$A:$A,0)+4)="Água","Água",
IF(INDIRECT("Sheet4!"&amp;"J"&amp;MATCH($C$2,Sheet4!$A:$A,0)+4)="-","-",
IF(_xlfn.NUMBERVALUE(MID(INDIRECT("Sheet4!"&amp;"J"&amp;MATCH($C$2,Sheet4!$A:$A,0)+4),9,2))&lt;=$C$4,
_xlfn.IFNA(VLOOKUP(INDIRECT("Sheet4!"&amp;"J"&amp;MATCH($C$2,Sheet4!$A:$A,0)+4),$C$7:$H$17,1,FALSE)&amp;CHAR(10)&amp;VLOOKUP(INDIRECT("Sheet4!"&amp;"J"&amp;MATCH($C$2,Sheet4!$A:$A,0)+4),$C$7:$H$17,5,FALSE),
VLOOKUP(INDIRECT("Sheet4!"&amp;"J"&amp;MATCH($C$2,Sheet4!$A:$A,0)+4),$I$7:$N$17,1,FALSE)&amp;CHAR(10)&amp;VLOOKUP(INDIRECT("Sheet4!"&amp;"J"&amp;MATCH($C$2,Sheet4!$A:$A,0)+4),$I$7:$N$17,5,FALSE)),"-"))))</f>
        <v>-</v>
      </c>
      <c r="J24" s="8" t="str" cm="1">
        <f t="array" aca="1" ref="J24" ca="1">IF(ISNUMBER(FIND("ctrl",INDIRECT("Sheet4!"&amp;"K"&amp;MATCH($C$2,Sheet4!$A:$A,0)+4))),
INDIRECT("Sheet4!"&amp;"K"&amp;MATCH($C$2,Sheet4!$A:$A,0)+4),IF(INDIRECT("Sheet4!"&amp;"K"&amp;MATCH($C$2,Sheet4!$A:$A,0)+4)="Água","Água",
IF(INDIRECT("Sheet4!"&amp;"K"&amp;MATCH($C$2,Sheet4!$A:$A,0)+4)="-","-",
IF(_xlfn.NUMBERVALUE(MID(INDIRECT("Sheet4!"&amp;"K"&amp;MATCH($C$2,Sheet4!$A:$A,0)+4),9,2))&lt;=$C$4,
_xlfn.IFNA(VLOOKUP(INDIRECT("Sheet4!"&amp;"K"&amp;MATCH($C$2,Sheet4!$A:$A,0)+4),$C$7:$H$17,1,FALSE)&amp;CHAR(10)&amp;VLOOKUP(INDIRECT("Sheet4!"&amp;"K"&amp;MATCH($C$2,Sheet4!$A:$A,0)+4),$C$7:$H$17,5,FALSE),
VLOOKUP(INDIRECT("Sheet4!"&amp;"K"&amp;MATCH($C$2,Sheet4!$A:$A,0)+4),$I$7:$N$17,1,FALSE)&amp;CHAR(10)&amp;VLOOKUP(INDIRECT("Sheet4!"&amp;"K"&amp;MATCH($C$2,Sheet4!$A:$A,0)+4),$I$7:$N$17,5,FALSE)),"-"))))</f>
        <v>-</v>
      </c>
      <c r="K24" s="8" t="str" cm="1">
        <f t="array" aca="1" ref="K24" ca="1">IF(ISNUMBER(FIND("ctrl",INDIRECT("Sheet4!"&amp;"L"&amp;MATCH($C$2,Sheet4!$A:$A,0)+4))),
INDIRECT("Sheet4!"&amp;"L"&amp;MATCH($C$2,Sheet4!$A:$A,0)+4),IF(INDIRECT("Sheet4!"&amp;"L"&amp;MATCH($C$2,Sheet4!$A:$A,0)+4)="Água","Água",
IF(INDIRECT("Sheet4!"&amp;"L"&amp;MATCH($C$2,Sheet4!$A:$A,0)+4)="-","-",
IF(_xlfn.NUMBERVALUE(MID(INDIRECT("Sheet4!"&amp;"L"&amp;MATCH($C$2,Sheet4!$A:$A,0)+4),9,2))&lt;=$C$4,
_xlfn.IFNA(VLOOKUP(INDIRECT("Sheet4!"&amp;"L"&amp;MATCH($C$2,Sheet4!$A:$A,0)+4),$C$7:$H$17,1,FALSE)&amp;CHAR(10)&amp;VLOOKUP(INDIRECT("Sheet4!"&amp;"L"&amp;MATCH($C$2,Sheet4!$A:$A,0)+4),$C$7:$H$17,5,FALSE),
VLOOKUP(INDIRECT("Sheet4!"&amp;"L"&amp;MATCH($C$2,Sheet4!$A:$A,0)+4),$I$7:$N$17,1,FALSE)&amp;CHAR(10)&amp;VLOOKUP(INDIRECT("Sheet4!"&amp;"L"&amp;MATCH($C$2,Sheet4!$A:$A,0)+4),$I$7:$N$17,5,FALSE)),"-"))))</f>
        <v>-</v>
      </c>
      <c r="L24" s="8" t="str" cm="1">
        <f t="array" aca="1" ref="L24" ca="1">IF(ISNUMBER(FIND("ctrl",INDIRECT("Sheet4!"&amp;"M"&amp;MATCH($C$2,Sheet4!$A:$A,0)+4))),
INDIRECT("Sheet4!"&amp;"M"&amp;MATCH($C$2,Sheet4!$A:$A,0)+4),IF(INDIRECT("Sheet4!"&amp;"M"&amp;MATCH($C$2,Sheet4!$A:$A,0)+4)="Água","Água",
IF(INDIRECT("Sheet4!"&amp;"M"&amp;MATCH($C$2,Sheet4!$A:$A,0)+4)="-","-",
IF(_xlfn.NUMBERVALUE(MID(INDIRECT("Sheet4!"&amp;"M"&amp;MATCH($C$2,Sheet4!$A:$A,0)+4),9,2))&lt;=$C$4,
_xlfn.IFNA(VLOOKUP(INDIRECT("Sheet4!"&amp;"M"&amp;MATCH($C$2,Sheet4!$A:$A,0)+4),$C$7:$H$17,1,FALSE)&amp;CHAR(10)&amp;VLOOKUP(INDIRECT("Sheet4!"&amp;"M"&amp;MATCH($C$2,Sheet4!$A:$A,0)+4),$C$7:$H$17,5,FALSE),
VLOOKUP(INDIRECT("Sheet4!"&amp;"M"&amp;MATCH($C$2,Sheet4!$A:$A,0)+4),$I$7:$N$17,1,FALSE)&amp;CHAR(10)&amp;VLOOKUP(INDIRECT("Sheet4!"&amp;"M"&amp;MATCH($C$2,Sheet4!$A:$A,0)+4),$I$7:$N$17,5,FALSE)),"-"))))</f>
        <v>-</v>
      </c>
      <c r="M24" s="8" t="str" cm="1">
        <f t="array" aca="1" ref="M24" ca="1">IF(ISNUMBER(FIND("ctrl",INDIRECT("Sheet4!"&amp;"N"&amp;MATCH($C$2,Sheet4!$A:$A,0)+4))),
INDIRECT("Sheet4!"&amp;"N"&amp;MATCH($C$2,Sheet4!$A:$A,0)+4),IF(INDIRECT("Sheet4!"&amp;"N"&amp;MATCH($C$2,Sheet4!$A:$A,0)+4)="Água","Água",
IF(INDIRECT("Sheet4!"&amp;"N"&amp;MATCH($C$2,Sheet4!$A:$A,0)+4)="-","-",
IF(_xlfn.NUMBERVALUE(MID(INDIRECT("Sheet4!"&amp;"N"&amp;MATCH($C$2,Sheet4!$A:$A,0)+4),9,2))&lt;=$C$4,
_xlfn.IFNA(VLOOKUP(INDIRECT("Sheet4!"&amp;"N"&amp;MATCH($C$2,Sheet4!$A:$A,0)+4),$C$7:$H$17,1,FALSE)&amp;CHAR(10)&amp;VLOOKUP(INDIRECT("Sheet4!"&amp;"N"&amp;MATCH($C$2,Sheet4!$A:$A,0)+4),$C$7:$H$17,5,FALSE),
VLOOKUP(INDIRECT("Sheet4!"&amp;"N"&amp;MATCH($C$2,Sheet4!$A:$A,0)+4),$I$7:$N$17,1,FALSE)&amp;CHAR(10)&amp;VLOOKUP(INDIRECT("Sheet4!"&amp;"N"&amp;MATCH($C$2,Sheet4!$A:$A,0)+4),$I$7:$N$17,5,FALSE)),"-"))))</f>
        <v>-</v>
      </c>
      <c r="N24" s="8" t="str" cm="1">
        <f t="array" aca="1" ref="N24" ca="1">IF(ISNUMBER(FIND("ctrl",INDIRECT("Sheet4!"&amp;"M"&amp;MATCH($C$2,Sheet4!$A:$A,0)+4))),
INDIRECT("Sheet4!"&amp;"M"&amp;MATCH($C$2,Sheet4!$A:$A,0)+4),IF(INDIRECT("Sheet4!"&amp;"M"&amp;MATCH($C$2,Sheet4!$A:$A,0)+4)="Água","Água",
IF(INDIRECT("Sheet4!"&amp;"M"&amp;MATCH($C$2,Sheet4!$A:$A,0)+4)="-","-",
IF(_xlfn.NUMBERVALUE(MID(INDIRECT("Sheet4!"&amp;"M"&amp;MATCH($C$2,Sheet4!$A:$A,0)+4),9,2))&lt;=$C$4,
_xlfn.IFNA(VLOOKUP(INDIRECT("Sheet4!"&amp;"M"&amp;MATCH($C$2,Sheet4!$A:$A,0)+4),$C$7:$H$17,1,FALSE)&amp;CHAR(10)&amp;VLOOKUP(INDIRECT("Sheet4!"&amp;"M"&amp;MATCH($C$2,Sheet4!$A:$A,0)+4),$C$7:$H$17,5,FALSE),
VLOOKUP(INDIRECT("Sheet4!"&amp;"M"&amp;MATCH($C$2,Sheet4!$A:$A,0)+4),$I$7:$N$17,1,FALSE)&amp;CHAR(10)&amp;VLOOKUP(INDIRECT("Sheet4!"&amp;"M"&amp;MATCH($C$2,Sheet4!$A:$A,0)+4),$I$7:$N$17,5,FALSE)),"-"))))</f>
        <v>-</v>
      </c>
    </row>
    <row r="25" spans="2:14" ht="15" customHeight="1" x14ac:dyDescent="0.25">
      <c r="B25" s="12" t="s">
        <v>31</v>
      </c>
      <c r="C25" s="8" t="str" cm="1">
        <f t="array" aca="1" ref="C25" ca="1">IF(ISNUMBER(FIND("ctrl",INDIRECT("Sheet4!"&amp;"D"&amp;MATCH($C$2,Sheet4!$A:$A,0)+5))),
INDIRECT("Sheet4!"&amp;"D"&amp;MATCH($C$2,Sheet4!$A:$A,0)+5),IF(INDIRECT("Sheet4!"&amp;"D"&amp;MATCH($C$2,Sheet4!$A:$A,0)+5)="Água","Água",
IF(INDIRECT("Sheet4!"&amp;"D"&amp;MATCH($C$2,Sheet4!$A:$A,0)+5)="-","-",
IF(_xlfn.NUMBERVALUE(MID(INDIRECT("Sheet4!"&amp;"D"&amp;MATCH($C$2,Sheet4!$A:$A,0)+5),9,2))&lt;=$C$4,
_xlfn.IFNA(VLOOKUP(INDIRECT("Sheet4!"&amp;"D"&amp;MATCH($C$2,Sheet4!$A:$A,0)+5),$C$7:$H$17,1,FALSE)&amp;CHAR(10)&amp;VLOOKUP(INDIRECT("Sheet4!"&amp;"D"&amp;MATCH($C$2,Sheet4!$A:$A,0)+5),$C$7:$H$17,5,FALSE),
VLOOKUP(INDIRECT("Sheet4!"&amp;"D"&amp;MATCH($C$2,Sheet4!$A:$A,0)+5),$I$7:$N$17,1,FALSE)&amp;CHAR(10)&amp;VLOOKUP(INDIRECT("Sheet4!"&amp;"D"&amp;MATCH($C$2,Sheet4!$A:$A,0)+5),$I$7:$N$17,5,FALSE)),"-"))))</f>
        <v>Amostra 2
40S V.M.M.G.</v>
      </c>
      <c r="D25" s="8" t="str" cm="1">
        <f t="array" aca="1" ref="D25" ca="1">IF(ISNUMBER(FIND("ctrl",INDIRECT("Sheet4!"&amp;"O"&amp;MATCH($C$2,Sheet4!$A:$A,0)+5))),
INDIRECT("Sheet4!"&amp;"O"&amp;MATCH($C$2,Sheet4!$A:$A,0)+5),IF(INDIRECT("Sheet4!"&amp;"O"&amp;MATCH($C$2,Sheet4!$A:$A,0)+5)="Água","Água",
IF(INDIRECT("Sheet4!"&amp;"O"&amp;MATCH($C$2,Sheet4!$A:$A,0)+5)="-","-",
IF(_xlfn.NUMBERVALUE(MID(INDIRECT("Sheet4!"&amp;"O"&amp;MATCH($C$2,Sheet4!$A:$A,0)+5),9,2))&lt;=$C$4,
_xlfn.IFNA(VLOOKUP(INDIRECT("Sheet4!"&amp;"O"&amp;MATCH($C$2,Sheet4!$A:$A,0)+5),$C$7:$H$17,1,FALSE)&amp;CHAR(10)&amp;VLOOKUP(INDIRECT("Sheet4!"&amp;"O"&amp;MATCH($C$2,Sheet4!$A:$A,0)+5),$C$7:$H$17,5,FALSE),
VLOOKUP(INDIRECT("Sheet4!"&amp;"O"&amp;MATCH($C$2,Sheet4!$A:$A,0)+5),$I$7:$N$17,1,FALSE)&amp;CHAR(10)&amp;VLOOKUP(INDIRECT("Sheet4!"&amp;"O"&amp;MATCH($C$2,Sheet4!$A:$A,0)+5),$I$7:$N$17,5,FALSE)),"-"))))</f>
        <v>Água</v>
      </c>
      <c r="E25" s="8" t="str" cm="1">
        <f t="array" aca="1" ref="E25" ca="1">IF(ISNUMBER(FIND("ctrl",INDIRECT("Sheet4!"&amp;"F"&amp;MATCH($C$2,Sheet4!$A:$A,0)+5))),
INDIRECT("Sheet4!"&amp;"F"&amp;MATCH($C$2,Sheet4!$A:$A,0)+5),IF(INDIRECT("Sheet4!"&amp;"F"&amp;MATCH($C$2,Sheet4!$A:$A,0)+5)="Água","Água",
IF(INDIRECT("Sheet4!"&amp;"F"&amp;MATCH($C$2,Sheet4!$A:$A,0)+5)="-","-",
IF(_xlfn.NUMBERVALUE(MID(INDIRECT("Sheet4!"&amp;"F"&amp;MATCH($C$2,Sheet4!$A:$A,0)+5),9,2))&lt;=$C$4,
_xlfn.IFNA(VLOOKUP(INDIRECT("Sheet4!"&amp;"F"&amp;MATCH($C$2,Sheet4!$A:$A,0)+5),$C$7:$H$17,1,FALSE)&amp;CHAR(10)&amp;VLOOKUP(INDIRECT("Sheet4!"&amp;"F"&amp;MATCH($C$2,Sheet4!$A:$A,0)+5),$C$7:$H$17,5,FALSE),
VLOOKUP(INDIRECT("Sheet4!"&amp;"F"&amp;MATCH($C$2,Sheet4!$A:$A,0)+5),$I$7:$N$17,1,FALSE)&amp;CHAR(10)&amp;VLOOKUP(INDIRECT("Sheet4!"&amp;"F"&amp;MATCH($C$2,Sheet4!$A:$A,0)+5),$I$7:$N$17,5,FALSE)),"-"))))</f>
        <v>-</v>
      </c>
      <c r="F25" s="8" t="str" cm="1">
        <f t="array" aca="1" ref="F25" ca="1">IF(ISNUMBER(FIND("ctrl",INDIRECT("Sheet4!"&amp;"G"&amp;MATCH($C$2,Sheet4!$A:$A,0)+5))),
INDIRECT("Sheet4!"&amp;"G"&amp;MATCH($C$2,Sheet4!$A:$A,0)+5),IF(INDIRECT("Sheet4!"&amp;"G"&amp;MATCH($C$2,Sheet4!$A:$A,0)+5)="Água","Água",
IF(INDIRECT("Sheet4!"&amp;"G"&amp;MATCH($C$2,Sheet4!$A:$A,0)+5)="-","-",
IF(_xlfn.NUMBERVALUE(MID(INDIRECT("Sheet4!"&amp;"G"&amp;MATCH($C$2,Sheet4!$A:$A,0)+5),9,2))&lt;=$C$4,
_xlfn.IFNA(VLOOKUP(INDIRECT("Sheet4!"&amp;"G"&amp;MATCH($C$2,Sheet4!$A:$A,0)+5),$C$7:$H$17,1,FALSE)&amp;CHAR(10)&amp;VLOOKUP(INDIRECT("Sheet4!"&amp;"G"&amp;MATCH($C$2,Sheet4!$A:$A,0)+5),$C$7:$H$17,5,FALSE),
VLOOKUP(INDIRECT("Sheet4!"&amp;"G"&amp;MATCH($C$2,Sheet4!$A:$A,0)+5),$I$7:$N$17,1,FALSE)&amp;CHAR(10)&amp;VLOOKUP(INDIRECT("Sheet4!"&amp;"G"&amp;MATCH($C$2,Sheet4!$A:$A,0)+5),$I$7:$N$17,5,FALSE)),"-"))))</f>
        <v>-</v>
      </c>
      <c r="G25" s="8" t="str" cm="1">
        <f t="array" aca="1" ref="G25" ca="1">IF(ISNUMBER(FIND("ctrl",INDIRECT("Sheet4!"&amp;"H"&amp;MATCH($C$2,Sheet4!$A:$A,0)+5))),
INDIRECT("Sheet4!"&amp;"H"&amp;MATCH($C$2,Sheet4!$A:$A,0)+5),IF(INDIRECT("Sheet4!"&amp;"H"&amp;MATCH($C$2,Sheet4!$A:$A,0)+5)="Água","Água",
IF(INDIRECT("Sheet4!"&amp;"H"&amp;MATCH($C$2,Sheet4!$A:$A,0)+5)="-","-",
IF(_xlfn.NUMBERVALUE(MID(INDIRECT("Sheet4!"&amp;"H"&amp;MATCH($C$2,Sheet4!$A:$A,0)+5),9,2))&lt;=$C$4,
_xlfn.IFNA(VLOOKUP(INDIRECT("Sheet4!"&amp;"H"&amp;MATCH($C$2,Sheet4!$A:$A,0)+5),$C$7:$H$17,1,FALSE)&amp;CHAR(10)&amp;VLOOKUP(INDIRECT("Sheet4!"&amp;"H"&amp;MATCH($C$2,Sheet4!$A:$A,0)+5),$C$7:$H$17,5,FALSE),
VLOOKUP(INDIRECT("Sheet4!"&amp;"H"&amp;MATCH($C$2,Sheet4!$A:$A,0)+5),$I$7:$N$17,1,FALSE)&amp;CHAR(10)&amp;VLOOKUP(INDIRECT("Sheet4!"&amp;"H"&amp;MATCH($C$2,Sheet4!$A:$A,0)+5),$I$7:$N$17,5,FALSE)),"-"))))</f>
        <v>-</v>
      </c>
      <c r="H25" s="8" t="str" cm="1">
        <f t="array" aca="1" ref="H25" ca="1">IF(ISNUMBER(FIND("ctrl",INDIRECT("Sheet4!"&amp;"I"&amp;MATCH($C$2,Sheet4!$A:$A,0)+5))),
INDIRECT("Sheet4!"&amp;"I"&amp;MATCH($C$2,Sheet4!$A:$A,0)+5),IF(INDIRECT("Sheet4!"&amp;"I"&amp;MATCH($C$2,Sheet4!$A:$A,0)+5)="Água","Água",
IF(INDIRECT("Sheet4!"&amp;"I"&amp;MATCH($C$2,Sheet4!$A:$A,0)+5)="-","-",
IF(_xlfn.NUMBERVALUE(MID(INDIRECT("Sheet4!"&amp;"I"&amp;MATCH($C$2,Sheet4!$A:$A,0)+5),9,2))&lt;=$C$4,
_xlfn.IFNA(VLOOKUP(INDIRECT("Sheet4!"&amp;"I"&amp;MATCH($C$2,Sheet4!$A:$A,0)+5),$C$7:$H$17,1,FALSE)&amp;CHAR(10)&amp;VLOOKUP(INDIRECT("Sheet4!"&amp;"I"&amp;MATCH($C$2,Sheet4!$A:$A,0)+5),$C$7:$H$17,5,FALSE),
VLOOKUP(INDIRECT("Sheet4!"&amp;"I"&amp;MATCH($C$2,Sheet4!$A:$A,0)+5),$I$7:$N$17,1,FALSE)&amp;CHAR(10)&amp;VLOOKUP(INDIRECT("Sheet4!"&amp;"I"&amp;MATCH($C$2,Sheet4!$A:$A,0)+5),$I$7:$N$17,5,FALSE)),"-"))))</f>
        <v>-</v>
      </c>
      <c r="I25" s="8" t="str" cm="1">
        <f t="array" aca="1" ref="I25" ca="1">IF(ISNUMBER(FIND("ctrl",INDIRECT("Sheet4!"&amp;"J"&amp;MATCH($C$2,Sheet4!$A:$A,0)+5))),
INDIRECT("Sheet4!"&amp;"J"&amp;MATCH($C$2,Sheet4!$A:$A,0)+5),IF(INDIRECT("Sheet4!"&amp;"J"&amp;MATCH($C$2,Sheet4!$A:$A,0)+5)="Água","Água",
IF(INDIRECT("Sheet4!"&amp;"J"&amp;MATCH($C$2,Sheet4!$A:$A,0)+5)="-","-",
IF(_xlfn.NUMBERVALUE(MID(INDIRECT("Sheet4!"&amp;"J"&amp;MATCH($C$2,Sheet4!$A:$A,0)+5),9,2))&lt;=$C$4,
_xlfn.IFNA(VLOOKUP(INDIRECT("Sheet4!"&amp;"J"&amp;MATCH($C$2,Sheet4!$A:$A,0)+5),$C$7:$H$17,1,FALSE)&amp;CHAR(10)&amp;VLOOKUP(INDIRECT("Sheet4!"&amp;"J"&amp;MATCH($C$2,Sheet4!$A:$A,0)+5),$C$7:$H$17,5,FALSE),
VLOOKUP(INDIRECT("Sheet4!"&amp;"J"&amp;MATCH($C$2,Sheet4!$A:$A,0)+5),$I$7:$N$17,1,FALSE)&amp;CHAR(10)&amp;VLOOKUP(INDIRECT("Sheet4!"&amp;"J"&amp;MATCH($C$2,Sheet4!$A:$A,0)+5),$I$7:$N$17,5,FALSE)),"-"))))</f>
        <v>-</v>
      </c>
      <c r="J25" s="8" t="str" cm="1">
        <f t="array" aca="1" ref="J25" ca="1">IF(ISNUMBER(FIND("ctrl",INDIRECT("Sheet4!"&amp;"K"&amp;MATCH($C$2,Sheet4!$A:$A,0)+5))),
INDIRECT("Sheet4!"&amp;"K"&amp;MATCH($C$2,Sheet4!$A:$A,0)+5),IF(INDIRECT("Sheet4!"&amp;"K"&amp;MATCH($C$2,Sheet4!$A:$A,0)+5)="Água","Água",
IF(INDIRECT("Sheet4!"&amp;"K"&amp;MATCH($C$2,Sheet4!$A:$A,0)+5)="-","-",
IF(_xlfn.NUMBERVALUE(MID(INDIRECT("Sheet4!"&amp;"K"&amp;MATCH($C$2,Sheet4!$A:$A,0)+5),9,2))&lt;=$C$4,
_xlfn.IFNA(VLOOKUP(INDIRECT("Sheet4!"&amp;"K"&amp;MATCH($C$2,Sheet4!$A:$A,0)+5),$C$7:$H$17,1,FALSE)&amp;CHAR(10)&amp;VLOOKUP(INDIRECT("Sheet4!"&amp;"K"&amp;MATCH($C$2,Sheet4!$A:$A,0)+5),$C$7:$H$17,5,FALSE),
VLOOKUP(INDIRECT("Sheet4!"&amp;"K"&amp;MATCH($C$2,Sheet4!$A:$A,0)+5),$I$7:$N$17,1,FALSE)&amp;CHAR(10)&amp;VLOOKUP(INDIRECT("Sheet4!"&amp;"K"&amp;MATCH($C$2,Sheet4!$A:$A,0)+5),$I$7:$N$17,5,FALSE)),"-"))))</f>
        <v>-</v>
      </c>
      <c r="K25" s="8" t="str" cm="1">
        <f t="array" aca="1" ref="K25" ca="1">IF(ISNUMBER(FIND("ctrl",INDIRECT("Sheet4!"&amp;"L"&amp;MATCH($C$2,Sheet4!$A:$A,0)+5))),
INDIRECT("Sheet4!"&amp;"L"&amp;MATCH($C$2,Sheet4!$A:$A,0)+5),IF(INDIRECT("Sheet4!"&amp;"L"&amp;MATCH($C$2,Sheet4!$A:$A,0)+5)="Água","Água",
IF(INDIRECT("Sheet4!"&amp;"L"&amp;MATCH($C$2,Sheet4!$A:$A,0)+5)="-","-",
IF(_xlfn.NUMBERVALUE(MID(INDIRECT("Sheet4!"&amp;"L"&amp;MATCH($C$2,Sheet4!$A:$A,0)+5),9,2))&lt;=$C$4,
_xlfn.IFNA(VLOOKUP(INDIRECT("Sheet4!"&amp;"L"&amp;MATCH($C$2,Sheet4!$A:$A,0)+5),$C$7:$H$17,1,FALSE)&amp;CHAR(10)&amp;VLOOKUP(INDIRECT("Sheet4!"&amp;"L"&amp;MATCH($C$2,Sheet4!$A:$A,0)+5),$C$7:$H$17,5,FALSE),
VLOOKUP(INDIRECT("Sheet4!"&amp;"L"&amp;MATCH($C$2,Sheet4!$A:$A,0)+5),$I$7:$N$17,1,FALSE)&amp;CHAR(10)&amp;VLOOKUP(INDIRECT("Sheet4!"&amp;"L"&amp;MATCH($C$2,Sheet4!$A:$A,0)+5),$I$7:$N$17,5,FALSE)),"-"))))</f>
        <v>-</v>
      </c>
      <c r="L25" s="8" t="str" cm="1">
        <f t="array" aca="1" ref="L25" ca="1">IF(ISNUMBER(FIND("ctrl",INDIRECT("Sheet4!"&amp;"M"&amp;MATCH($C$2,Sheet4!$A:$A,0)+5))),
INDIRECT("Sheet4!"&amp;"M"&amp;MATCH($C$2,Sheet4!$A:$A,0)+5),IF(INDIRECT("Sheet4!"&amp;"M"&amp;MATCH($C$2,Sheet4!$A:$A,0)+5)="Água","Água",
IF(INDIRECT("Sheet4!"&amp;"M"&amp;MATCH($C$2,Sheet4!$A:$A,0)+5)="-","-",
IF(_xlfn.NUMBERVALUE(MID(INDIRECT("Sheet4!"&amp;"M"&amp;MATCH($C$2,Sheet4!$A:$A,0)+5),9,2))&lt;=$C$4,
_xlfn.IFNA(VLOOKUP(INDIRECT("Sheet4!"&amp;"M"&amp;MATCH($C$2,Sheet4!$A:$A,0)+5),$C$7:$H$17,1,FALSE)&amp;CHAR(10)&amp;VLOOKUP(INDIRECT("Sheet4!"&amp;"M"&amp;MATCH($C$2,Sheet4!$A:$A,0)+5),$C$7:$H$17,5,FALSE),
VLOOKUP(INDIRECT("Sheet4!"&amp;"M"&amp;MATCH($C$2,Sheet4!$A:$A,0)+5),$I$7:$N$17,1,FALSE)&amp;CHAR(10)&amp;VLOOKUP(INDIRECT("Sheet4!"&amp;"M"&amp;MATCH($C$2,Sheet4!$A:$A,0)+5),$I$7:$N$17,5,FALSE)),"-"))))</f>
        <v>-</v>
      </c>
      <c r="M25" s="8" t="str" cm="1">
        <f t="array" aca="1" ref="M25" ca="1">IF(ISNUMBER(FIND("ctrl",INDIRECT("Sheet4!"&amp;"N"&amp;MATCH($C$2,Sheet4!$A:$A,0)+5))),
INDIRECT("Sheet4!"&amp;"N"&amp;MATCH($C$2,Sheet4!$A:$A,0)+5),IF(INDIRECT("Sheet4!"&amp;"N"&amp;MATCH($C$2,Sheet4!$A:$A,0)+5)="Água","Água",
IF(INDIRECT("Sheet4!"&amp;"N"&amp;MATCH($C$2,Sheet4!$A:$A,0)+5)="-","-",
IF(_xlfn.NUMBERVALUE(MID(INDIRECT("Sheet4!"&amp;"N"&amp;MATCH($C$2,Sheet4!$A:$A,0)+5),9,2))&lt;=$C$4,
_xlfn.IFNA(VLOOKUP(INDIRECT("Sheet4!"&amp;"N"&amp;MATCH($C$2,Sheet4!$A:$A,0)+5),$C$7:$H$17,1,FALSE)&amp;CHAR(10)&amp;VLOOKUP(INDIRECT("Sheet4!"&amp;"N"&amp;MATCH($C$2,Sheet4!$A:$A,0)+5),$C$7:$H$17,5,FALSE),
VLOOKUP(INDIRECT("Sheet4!"&amp;"N"&amp;MATCH($C$2,Sheet4!$A:$A,0)+5),$I$7:$N$17,1,FALSE)&amp;CHAR(10)&amp;VLOOKUP(INDIRECT("Sheet4!"&amp;"N"&amp;MATCH($C$2,Sheet4!$A:$A,0)+5),$I$7:$N$17,5,FALSE)),"-"))))</f>
        <v>-</v>
      </c>
      <c r="N25" s="8" t="str" cm="1">
        <f t="array" aca="1" ref="N25" ca="1">IF(ISNUMBER(FIND("ctrl",INDIRECT("Sheet4!"&amp;"M"&amp;MATCH($C$2,Sheet4!$A:$A,0)+5))),
INDIRECT("Sheet4!"&amp;"M"&amp;MATCH($C$2,Sheet4!$A:$A,0)+5),IF(INDIRECT("Sheet4!"&amp;"M"&amp;MATCH($C$2,Sheet4!$A:$A,0)+5)="Água","Água",
IF(INDIRECT("Sheet4!"&amp;"M"&amp;MATCH($C$2,Sheet4!$A:$A,0)+5)="-","-",
IF(_xlfn.NUMBERVALUE(MID(INDIRECT("Sheet4!"&amp;"M"&amp;MATCH($C$2,Sheet4!$A:$A,0)+5),9,2))&lt;=$C$4,
_xlfn.IFNA(VLOOKUP(INDIRECT("Sheet4!"&amp;"M"&amp;MATCH($C$2,Sheet4!$A:$A,0)+5),$C$7:$H$17,1,FALSE)&amp;CHAR(10)&amp;VLOOKUP(INDIRECT("Sheet4!"&amp;"M"&amp;MATCH($C$2,Sheet4!$A:$A,0)+5),$C$7:$H$17,5,FALSE),
VLOOKUP(INDIRECT("Sheet4!"&amp;"M"&amp;MATCH($C$2,Sheet4!$A:$A,0)+5),$I$7:$N$17,1,FALSE)&amp;CHAR(10)&amp;VLOOKUP(INDIRECT("Sheet4!"&amp;"M"&amp;MATCH($C$2,Sheet4!$A:$A,0)+5),$I$7:$N$17,5,FALSE)),"-"))))</f>
        <v>-</v>
      </c>
    </row>
    <row r="26" spans="2:14" ht="15" customHeight="1" x14ac:dyDescent="0.25">
      <c r="B26" s="12" t="s">
        <v>32</v>
      </c>
      <c r="C26" s="8" t="str" cm="1">
        <f t="array" aca="1" ref="C26" ca="1">IF(ISNUMBER(FIND("ctrl",INDIRECT("Sheet4!"&amp;"D"&amp;MATCH($C$2,Sheet4!$A:$A,0)+6))),
INDIRECT("Sheet4!"&amp;"D"&amp;MATCH($C$2,Sheet4!$A:$A,0)+6),IF(INDIRECT("Sheet4!"&amp;"D"&amp;MATCH($C$2,Sheet4!$A:$A,0)+6)="Água","Água",
IF(INDIRECT("Sheet4!"&amp;"D"&amp;MATCH($C$2,Sheet4!$A:$A,0)+6)="-","-",
IF(_xlfn.NUMBERVALUE(MID(INDIRECT("Sheet4!"&amp;"D"&amp;MATCH($C$2,Sheet4!$A:$A,0)+6),9,2))&lt;=$C$4,
_xlfn.IFNA(VLOOKUP(INDIRECT("Sheet4!"&amp;"D"&amp;MATCH($C$2,Sheet4!$A:$A,0)+6),$C$7:$H$17,1,FALSE)&amp;CHAR(10)&amp;VLOOKUP(INDIRECT("Sheet4!"&amp;"D"&amp;MATCH($C$2,Sheet4!$A:$A,0)+6),$C$7:$H$17,5,FALSE),
VLOOKUP(INDIRECT("Sheet4!"&amp;"D"&amp;MATCH($C$2,Sheet4!$A:$A,0)+6),$I$7:$N$17,1,FALSE)&amp;CHAR(10)&amp;VLOOKUP(INDIRECT("Sheet4!"&amp;"D"&amp;MATCH($C$2,Sheet4!$A:$A,0)+6),$I$7:$N$17,5,FALSE)),"-"))))</f>
        <v>Amostra 2
40S V.M.M.G.</v>
      </c>
      <c r="D26" s="8" t="str" cm="1">
        <f t="array" aca="1" ref="D26" ca="1">IF(ISNUMBER(FIND("ctrl",INDIRECT("Sheet4!"&amp;"O"&amp;MATCH($C$2,Sheet4!$A:$A,0)+6))),
INDIRECT("Sheet4!"&amp;"O"&amp;MATCH($C$2,Sheet4!$A:$A,0)+6),IF(INDIRECT("Sheet4!"&amp;"O"&amp;MATCH($C$2,Sheet4!$A:$A,0)+6)="Água","Água",
IF(INDIRECT("Sheet4!"&amp;"O"&amp;MATCH($C$2,Sheet4!$A:$A,0)+6)="-","-",
IF(_xlfn.NUMBERVALUE(MID(INDIRECT("Sheet4!"&amp;"O"&amp;MATCH($C$2,Sheet4!$A:$A,0)+6),9,2))&lt;=$C$4,
_xlfn.IFNA(VLOOKUP(INDIRECT("Sheet4!"&amp;"O"&amp;MATCH($C$2,Sheet4!$A:$A,0)+6),$C$7:$H$17,1,FALSE)&amp;CHAR(10)&amp;VLOOKUP(INDIRECT("Sheet4!"&amp;"O"&amp;MATCH($C$2,Sheet4!$A:$A,0)+6),$C$7:$H$17,5,FALSE),
VLOOKUP(INDIRECT("Sheet4!"&amp;"O"&amp;MATCH($C$2,Sheet4!$A:$A,0)+6),$I$7:$N$17,1,FALSE)&amp;CHAR(10)&amp;VLOOKUP(INDIRECT("Sheet4!"&amp;"O"&amp;MATCH($C$2,Sheet4!$A:$A,0)+6),$I$7:$N$17,5,FALSE)),"-"))))</f>
        <v>Água</v>
      </c>
      <c r="E26" s="8" t="str" cm="1">
        <f t="array" aca="1" ref="E26" ca="1">IF(ISNUMBER(FIND("ctrl",INDIRECT("Sheet4!"&amp;"F"&amp;MATCH($C$2,Sheet4!$A:$A,0)+6))),
INDIRECT("Sheet4!"&amp;"F"&amp;MATCH($C$2,Sheet4!$A:$A,0)+6),IF(INDIRECT("Sheet4!"&amp;"F"&amp;MATCH($C$2,Sheet4!$A:$A,0)+6)="Água","Água",
IF(INDIRECT("Sheet4!"&amp;"F"&amp;MATCH($C$2,Sheet4!$A:$A,0)+6)="-","-",
IF(_xlfn.NUMBERVALUE(MID(INDIRECT("Sheet4!"&amp;"F"&amp;MATCH($C$2,Sheet4!$A:$A,0)+6),9,2))&lt;=$C$4,
_xlfn.IFNA(VLOOKUP(INDIRECT("Sheet4!"&amp;"F"&amp;MATCH($C$2,Sheet4!$A:$A,0)+6),$C$7:$H$17,1,FALSE)&amp;CHAR(10)&amp;VLOOKUP(INDIRECT("Sheet4!"&amp;"F"&amp;MATCH($C$2,Sheet4!$A:$A,0)+6),$C$7:$H$17,5,FALSE),
VLOOKUP(INDIRECT("Sheet4!"&amp;"F"&amp;MATCH($C$2,Sheet4!$A:$A,0)+6),$I$7:$N$17,1,FALSE)&amp;CHAR(10)&amp;VLOOKUP(INDIRECT("Sheet4!"&amp;"F"&amp;MATCH($C$2,Sheet4!$A:$A,0)+6),$I$7:$N$17,5,FALSE)),"-"))))</f>
        <v>-</v>
      </c>
      <c r="F26" s="8" t="str" cm="1">
        <f t="array" aca="1" ref="F26" ca="1">IF(ISNUMBER(FIND("ctrl",INDIRECT("Sheet4!"&amp;"G"&amp;MATCH($C$2,Sheet4!$A:$A,0)+6))),
INDIRECT("Sheet4!"&amp;"G"&amp;MATCH($C$2,Sheet4!$A:$A,0)+6),IF(INDIRECT("Sheet4!"&amp;"G"&amp;MATCH($C$2,Sheet4!$A:$A,0)+6)="Água","Água",
IF(INDIRECT("Sheet4!"&amp;"G"&amp;MATCH($C$2,Sheet4!$A:$A,0)+6)="-","-",
IF(_xlfn.NUMBERVALUE(MID(INDIRECT("Sheet4!"&amp;"G"&amp;MATCH($C$2,Sheet4!$A:$A,0)+6),9,2))&lt;=$C$4,
_xlfn.IFNA(VLOOKUP(INDIRECT("Sheet4!"&amp;"G"&amp;MATCH($C$2,Sheet4!$A:$A,0)+6),$C$7:$H$17,1,FALSE)&amp;CHAR(10)&amp;VLOOKUP(INDIRECT("Sheet4!"&amp;"G"&amp;MATCH($C$2,Sheet4!$A:$A,0)+6),$C$7:$H$17,5,FALSE),
VLOOKUP(INDIRECT("Sheet4!"&amp;"G"&amp;MATCH($C$2,Sheet4!$A:$A,0)+6),$I$7:$N$17,1,FALSE)&amp;CHAR(10)&amp;VLOOKUP(INDIRECT("Sheet4!"&amp;"G"&amp;MATCH($C$2,Sheet4!$A:$A,0)+6),$I$7:$N$17,5,FALSE)),"-"))))</f>
        <v>-</v>
      </c>
      <c r="G26" s="8" t="str" cm="1">
        <f t="array" aca="1" ref="G26" ca="1">IF(ISNUMBER(FIND("ctrl",INDIRECT("Sheet4!"&amp;"H"&amp;MATCH($C$2,Sheet4!$A:$A,0)+6))),
INDIRECT("Sheet4!"&amp;"H"&amp;MATCH($C$2,Sheet4!$A:$A,0)+6),IF(INDIRECT("Sheet4!"&amp;"H"&amp;MATCH($C$2,Sheet4!$A:$A,0)+6)="Água","Água",
IF(INDIRECT("Sheet4!"&amp;"H"&amp;MATCH($C$2,Sheet4!$A:$A,0)+6)="-","-",
IF(_xlfn.NUMBERVALUE(MID(INDIRECT("Sheet4!"&amp;"H"&amp;MATCH($C$2,Sheet4!$A:$A,0)+6),9,2))&lt;=$C$4,
_xlfn.IFNA(VLOOKUP(INDIRECT("Sheet4!"&amp;"H"&amp;MATCH($C$2,Sheet4!$A:$A,0)+6),$C$7:$H$17,1,FALSE)&amp;CHAR(10)&amp;VLOOKUP(INDIRECT("Sheet4!"&amp;"H"&amp;MATCH($C$2,Sheet4!$A:$A,0)+6),$C$7:$H$17,5,FALSE),
VLOOKUP(INDIRECT("Sheet4!"&amp;"H"&amp;MATCH($C$2,Sheet4!$A:$A,0)+6),$I$7:$N$17,1,FALSE)&amp;CHAR(10)&amp;VLOOKUP(INDIRECT("Sheet4!"&amp;"H"&amp;MATCH($C$2,Sheet4!$A:$A,0)+6),$I$7:$N$17,5,FALSE)),"-"))))</f>
        <v>-</v>
      </c>
      <c r="H26" s="8" t="str" cm="1">
        <f t="array" aca="1" ref="H26" ca="1">IF(ISNUMBER(FIND("ctrl",INDIRECT("Sheet4!"&amp;"I"&amp;MATCH($C$2,Sheet4!$A:$A,0)+6))),
INDIRECT("Sheet4!"&amp;"I"&amp;MATCH($C$2,Sheet4!$A:$A,0)+6),IF(INDIRECT("Sheet4!"&amp;"I"&amp;MATCH($C$2,Sheet4!$A:$A,0)+6)="Água","Água",
IF(INDIRECT("Sheet4!"&amp;"I"&amp;MATCH($C$2,Sheet4!$A:$A,0)+6)="-","-",
IF(_xlfn.NUMBERVALUE(MID(INDIRECT("Sheet4!"&amp;"I"&amp;MATCH($C$2,Sheet4!$A:$A,0)+6),9,2))&lt;=$C$4,
_xlfn.IFNA(VLOOKUP(INDIRECT("Sheet4!"&amp;"I"&amp;MATCH($C$2,Sheet4!$A:$A,0)+6),$C$7:$H$17,1,FALSE)&amp;CHAR(10)&amp;VLOOKUP(INDIRECT("Sheet4!"&amp;"I"&amp;MATCH($C$2,Sheet4!$A:$A,0)+6),$C$7:$H$17,5,FALSE),
VLOOKUP(INDIRECT("Sheet4!"&amp;"I"&amp;MATCH($C$2,Sheet4!$A:$A,0)+6),$I$7:$N$17,1,FALSE)&amp;CHAR(10)&amp;VLOOKUP(INDIRECT("Sheet4!"&amp;"I"&amp;MATCH($C$2,Sheet4!$A:$A,0)+6),$I$7:$N$17,5,FALSE)),"-"))))</f>
        <v>-</v>
      </c>
      <c r="I26" s="8" t="str" cm="1">
        <f t="array" aca="1" ref="I26" ca="1">IF(ISNUMBER(FIND("ctrl",INDIRECT("Sheet4!"&amp;"J"&amp;MATCH($C$2,Sheet4!$A:$A,0)+6))),
INDIRECT("Sheet4!"&amp;"J"&amp;MATCH($C$2,Sheet4!$A:$A,0)+6),IF(INDIRECT("Sheet4!"&amp;"J"&amp;MATCH($C$2,Sheet4!$A:$A,0)+6)="Água","Água",
IF(INDIRECT("Sheet4!"&amp;"J"&amp;MATCH($C$2,Sheet4!$A:$A,0)+6)="-","-",
IF(_xlfn.NUMBERVALUE(MID(INDIRECT("Sheet4!"&amp;"J"&amp;MATCH($C$2,Sheet4!$A:$A,0)+6),9,2))&lt;=$C$4,
_xlfn.IFNA(VLOOKUP(INDIRECT("Sheet4!"&amp;"J"&amp;MATCH($C$2,Sheet4!$A:$A,0)+6),$C$7:$H$17,1,FALSE)&amp;CHAR(10)&amp;VLOOKUP(INDIRECT("Sheet4!"&amp;"J"&amp;MATCH($C$2,Sheet4!$A:$A,0)+6),$C$7:$H$17,5,FALSE),
VLOOKUP(INDIRECT("Sheet4!"&amp;"J"&amp;MATCH($C$2,Sheet4!$A:$A,0)+6),$I$7:$N$17,1,FALSE)&amp;CHAR(10)&amp;VLOOKUP(INDIRECT("Sheet4!"&amp;"J"&amp;MATCH($C$2,Sheet4!$A:$A,0)+6),$I$7:$N$17,5,FALSE)),"-"))))</f>
        <v>-</v>
      </c>
      <c r="J26" s="8" t="str" cm="1">
        <f t="array" aca="1" ref="J26" ca="1">IF(ISNUMBER(FIND("ctrl",INDIRECT("Sheet4!"&amp;"K"&amp;MATCH($C$2,Sheet4!$A:$A,0)+6))),
INDIRECT("Sheet4!"&amp;"K"&amp;MATCH($C$2,Sheet4!$A:$A,0)+6),IF(INDIRECT("Sheet4!"&amp;"K"&amp;MATCH($C$2,Sheet4!$A:$A,0)+6)="Água","Água",
IF(INDIRECT("Sheet4!"&amp;"K"&amp;MATCH($C$2,Sheet4!$A:$A,0)+6)="-","-",
IF(_xlfn.NUMBERVALUE(MID(INDIRECT("Sheet4!"&amp;"K"&amp;MATCH($C$2,Sheet4!$A:$A,0)+6),9,2))&lt;=$C$4,
_xlfn.IFNA(VLOOKUP(INDIRECT("Sheet4!"&amp;"K"&amp;MATCH($C$2,Sheet4!$A:$A,0)+6),$C$7:$H$17,1,FALSE)&amp;CHAR(10)&amp;VLOOKUP(INDIRECT("Sheet4!"&amp;"K"&amp;MATCH($C$2,Sheet4!$A:$A,0)+6),$C$7:$H$17,5,FALSE),
VLOOKUP(INDIRECT("Sheet4!"&amp;"K"&amp;MATCH($C$2,Sheet4!$A:$A,0)+6),$I$7:$N$17,1,FALSE)&amp;CHAR(10)&amp;VLOOKUP(INDIRECT("Sheet4!"&amp;"K"&amp;MATCH($C$2,Sheet4!$A:$A,0)+6),$I$7:$N$17,5,FALSE)),"-"))))</f>
        <v>-</v>
      </c>
      <c r="K26" s="8" t="str" cm="1">
        <f t="array" aca="1" ref="K26" ca="1">IF(ISNUMBER(FIND("ctrl",INDIRECT("Sheet4!"&amp;"L"&amp;MATCH($C$2,Sheet4!$A:$A,0)+6))),
INDIRECT("Sheet4!"&amp;"L"&amp;MATCH($C$2,Sheet4!$A:$A,0)+6),IF(INDIRECT("Sheet4!"&amp;"L"&amp;MATCH($C$2,Sheet4!$A:$A,0)+6)="Água","Água",
IF(INDIRECT("Sheet4!"&amp;"L"&amp;MATCH($C$2,Sheet4!$A:$A,0)+6)="-","-",
IF(_xlfn.NUMBERVALUE(MID(INDIRECT("Sheet4!"&amp;"L"&amp;MATCH($C$2,Sheet4!$A:$A,0)+6),9,2))&lt;=$C$4,
_xlfn.IFNA(VLOOKUP(INDIRECT("Sheet4!"&amp;"L"&amp;MATCH($C$2,Sheet4!$A:$A,0)+6),$C$7:$H$17,1,FALSE)&amp;CHAR(10)&amp;VLOOKUP(INDIRECT("Sheet4!"&amp;"L"&amp;MATCH($C$2,Sheet4!$A:$A,0)+6),$C$7:$H$17,5,FALSE),
VLOOKUP(INDIRECT("Sheet4!"&amp;"L"&amp;MATCH($C$2,Sheet4!$A:$A,0)+6),$I$7:$N$17,1,FALSE)&amp;CHAR(10)&amp;VLOOKUP(INDIRECT("Sheet4!"&amp;"L"&amp;MATCH($C$2,Sheet4!$A:$A,0)+6),$I$7:$N$17,5,FALSE)),"-"))))</f>
        <v>-</v>
      </c>
      <c r="L26" s="8" t="str" cm="1">
        <f t="array" aca="1" ref="L26" ca="1">IF(ISNUMBER(FIND("ctrl",INDIRECT("Sheet4!"&amp;"M"&amp;MATCH($C$2,Sheet4!$A:$A,0)+6))),
INDIRECT("Sheet4!"&amp;"M"&amp;MATCH($C$2,Sheet4!$A:$A,0)+6),IF(INDIRECT("Sheet4!"&amp;"M"&amp;MATCH($C$2,Sheet4!$A:$A,0)+6)="Água","Água",
IF(INDIRECT("Sheet4!"&amp;"M"&amp;MATCH($C$2,Sheet4!$A:$A,0)+6)="-","-",
IF(_xlfn.NUMBERVALUE(MID(INDIRECT("Sheet4!"&amp;"M"&amp;MATCH($C$2,Sheet4!$A:$A,0)+6),9,2))&lt;=$C$4,
_xlfn.IFNA(VLOOKUP(INDIRECT("Sheet4!"&amp;"M"&amp;MATCH($C$2,Sheet4!$A:$A,0)+6),$C$7:$H$17,1,FALSE)&amp;CHAR(10)&amp;VLOOKUP(INDIRECT("Sheet4!"&amp;"M"&amp;MATCH($C$2,Sheet4!$A:$A,0)+6),$C$7:$H$17,5,FALSE),
VLOOKUP(INDIRECT("Sheet4!"&amp;"M"&amp;MATCH($C$2,Sheet4!$A:$A,0)+6),$I$7:$N$17,1,FALSE)&amp;CHAR(10)&amp;VLOOKUP(INDIRECT("Sheet4!"&amp;"M"&amp;MATCH($C$2,Sheet4!$A:$A,0)+6),$I$7:$N$17,5,FALSE)),"-"))))</f>
        <v>-</v>
      </c>
      <c r="M26" s="8" t="str" cm="1">
        <f t="array" aca="1" ref="M26" ca="1">IF(ISNUMBER(FIND("ctrl",INDIRECT("Sheet4!"&amp;"N"&amp;MATCH($C$2,Sheet4!$A:$A,0)+6))),
INDIRECT("Sheet4!"&amp;"N"&amp;MATCH($C$2,Sheet4!$A:$A,0)+6),IF(INDIRECT("Sheet4!"&amp;"N"&amp;MATCH($C$2,Sheet4!$A:$A,0)+6)="Água","Água",
IF(INDIRECT("Sheet4!"&amp;"N"&amp;MATCH($C$2,Sheet4!$A:$A,0)+6)="-","-",
IF(_xlfn.NUMBERVALUE(MID(INDIRECT("Sheet4!"&amp;"N"&amp;MATCH($C$2,Sheet4!$A:$A,0)+6),9,2))&lt;=$C$4,
_xlfn.IFNA(VLOOKUP(INDIRECT("Sheet4!"&amp;"N"&amp;MATCH($C$2,Sheet4!$A:$A,0)+6),$C$7:$H$17,1,FALSE)&amp;CHAR(10)&amp;VLOOKUP(INDIRECT("Sheet4!"&amp;"N"&amp;MATCH($C$2,Sheet4!$A:$A,0)+6),$C$7:$H$17,5,FALSE),
VLOOKUP(INDIRECT("Sheet4!"&amp;"N"&amp;MATCH($C$2,Sheet4!$A:$A,0)+6),$I$7:$N$17,1,FALSE)&amp;CHAR(10)&amp;VLOOKUP(INDIRECT("Sheet4!"&amp;"N"&amp;MATCH($C$2,Sheet4!$A:$A,0)+6),$I$7:$N$17,5,FALSE)),"-"))))</f>
        <v>-</v>
      </c>
      <c r="N26" s="8" t="str" cm="1">
        <f t="array" aca="1" ref="N26" ca="1">IF(ISNUMBER(FIND("ctrl",INDIRECT("Sheet4!"&amp;"M"&amp;MATCH($C$2,Sheet4!$A:$A,0)+6))),
INDIRECT("Sheet4!"&amp;"M"&amp;MATCH($C$2,Sheet4!$A:$A,0)+6),IF(INDIRECT("Sheet4!"&amp;"M"&amp;MATCH($C$2,Sheet4!$A:$A,0)+6)="Água","Água",
IF(INDIRECT("Sheet4!"&amp;"M"&amp;MATCH($C$2,Sheet4!$A:$A,0)+6)="-","-",
IF(_xlfn.NUMBERVALUE(MID(INDIRECT("Sheet4!"&amp;"M"&amp;MATCH($C$2,Sheet4!$A:$A,0)+6),9,2))&lt;=$C$4,
_xlfn.IFNA(VLOOKUP(INDIRECT("Sheet4!"&amp;"M"&amp;MATCH($C$2,Sheet4!$A:$A,0)+6),$C$7:$H$17,1,FALSE)&amp;CHAR(10)&amp;VLOOKUP(INDIRECT("Sheet4!"&amp;"M"&amp;MATCH($C$2,Sheet4!$A:$A,0)+6),$C$7:$H$17,5,FALSE),
VLOOKUP(INDIRECT("Sheet4!"&amp;"M"&amp;MATCH($C$2,Sheet4!$A:$A,0)+6),$I$7:$N$17,1,FALSE)&amp;CHAR(10)&amp;VLOOKUP(INDIRECT("Sheet4!"&amp;"M"&amp;MATCH($C$2,Sheet4!$A:$A,0)+6),$I$7:$N$17,5,FALSE)),"-"))))</f>
        <v>-</v>
      </c>
    </row>
    <row r="27" spans="2:14" ht="15" customHeight="1" x14ac:dyDescent="0.25">
      <c r="B27" s="12" t="s">
        <v>33</v>
      </c>
      <c r="C27" s="8" t="str" cm="1">
        <f t="array" aca="1" ref="C27" ca="1">IF(ISNUMBER(FIND("ctrl",INDIRECT("Sheet4!"&amp;"D"&amp;MATCH($C$2,Sheet4!$A:$A,0)+7))),
INDIRECT("Sheet4!"&amp;"D"&amp;MATCH($C$2,Sheet4!$A:$A,0)+7),IF(INDIRECT("Sheet4!"&amp;"D"&amp;MATCH($C$2,Sheet4!$A:$A,0)+7)="Água","Água",
IF(INDIRECT("Sheet4!"&amp;"D"&amp;MATCH($C$2,Sheet4!$A:$A,0)+7)="-","-",
IF(_xlfn.NUMBERVALUE(MID(INDIRECT("Sheet4!"&amp;"D"&amp;MATCH($C$2,Sheet4!$A:$A,0)+7),9,2))&lt;=$C$4,
_xlfn.IFNA(VLOOKUP(INDIRECT("Sheet4!"&amp;"D"&amp;MATCH($C$2,Sheet4!$A:$A,0)+7),$C$7:$H$17,1,FALSE)&amp;CHAR(10)&amp;VLOOKUP(INDIRECT("Sheet4!"&amp;"D"&amp;MATCH($C$2,Sheet4!$A:$A,0)+7),$C$7:$H$17,5,FALSE),
VLOOKUP(INDIRECT("Sheet4!"&amp;"D"&amp;MATCH($C$2,Sheet4!$A:$A,0)+7),$I$7:$N$17,1,FALSE)&amp;CHAR(10)&amp;VLOOKUP(INDIRECT("Sheet4!"&amp;"D"&amp;MATCH($C$2,Sheet4!$A:$A,0)+7),$I$7:$N$17,5,FALSE)),"-"))))</f>
        <v>Amostra 2
40S V.M.M.G.</v>
      </c>
      <c r="D27" s="8" t="str" cm="1">
        <f t="array" aca="1" ref="D27" ca="1">IF(ISNUMBER(FIND("ctrl",INDIRECT("Sheet4!"&amp;"O"&amp;MATCH($C$2,Sheet4!$A:$A,0)+7))),
INDIRECT("Sheet4!"&amp;"O"&amp;MATCH($C$2,Sheet4!$A:$A,0)+7),IF(INDIRECT("Sheet4!"&amp;"O"&amp;MATCH($C$2,Sheet4!$A:$A,0)+7)="Água","Água",
IF(INDIRECT("Sheet4!"&amp;"O"&amp;MATCH($C$2,Sheet4!$A:$A,0)+7)="-","-",
IF(_xlfn.NUMBERVALUE(MID(INDIRECT("Sheet4!"&amp;"O"&amp;MATCH($C$2,Sheet4!$A:$A,0)+7),9,2))&lt;=$C$4,
_xlfn.IFNA(VLOOKUP(INDIRECT("Sheet4!"&amp;"O"&amp;MATCH($C$2,Sheet4!$A:$A,0)+7),$C$7:$H$17,1,FALSE)&amp;CHAR(10)&amp;VLOOKUP(INDIRECT("Sheet4!"&amp;"O"&amp;MATCH($C$2,Sheet4!$A:$A,0)+7),$C$7:$H$17,5,FALSE),
VLOOKUP(INDIRECT("Sheet4!"&amp;"O"&amp;MATCH($C$2,Sheet4!$A:$A,0)+7),$I$7:$N$17,1,FALSE)&amp;CHAR(10)&amp;VLOOKUP(INDIRECT("Sheet4!"&amp;"O"&amp;MATCH($C$2,Sheet4!$A:$A,0)+7),$I$7:$N$17,5,FALSE)),"-"))))</f>
        <v>Água</v>
      </c>
      <c r="E27" s="8" t="str" cm="1">
        <f t="array" aca="1" ref="E27" ca="1">IF(ISNUMBER(FIND("ctrl",INDIRECT("Sheet4!"&amp;"F"&amp;MATCH($C$2,Sheet4!$A:$A,0)+7))),
INDIRECT("Sheet4!"&amp;"F"&amp;MATCH($C$2,Sheet4!$A:$A,0)+7),IF(INDIRECT("Sheet4!"&amp;"F"&amp;MATCH($C$2,Sheet4!$A:$A,0)+7)="Água","Água",
IF(INDIRECT("Sheet4!"&amp;"F"&amp;MATCH($C$2,Sheet4!$A:$A,0)+7)="-","-",
IF(_xlfn.NUMBERVALUE(MID(INDIRECT("Sheet4!"&amp;"F"&amp;MATCH($C$2,Sheet4!$A:$A,0)+7),9,2))&lt;=$C$4,
_xlfn.IFNA(VLOOKUP(INDIRECT("Sheet4!"&amp;"F"&amp;MATCH($C$2,Sheet4!$A:$A,0)+7),$C$7:$H$17,1,FALSE)&amp;CHAR(10)&amp;VLOOKUP(INDIRECT("Sheet4!"&amp;"F"&amp;MATCH($C$2,Sheet4!$A:$A,0)+7),$C$7:$H$17,5,FALSE),
VLOOKUP(INDIRECT("Sheet4!"&amp;"F"&amp;MATCH($C$2,Sheet4!$A:$A,0)+7),$I$7:$N$17,1,FALSE)&amp;CHAR(10)&amp;VLOOKUP(INDIRECT("Sheet4!"&amp;"F"&amp;MATCH($C$2,Sheet4!$A:$A,0)+7),$I$7:$N$17,5,FALSE)),"-"))))</f>
        <v>-</v>
      </c>
      <c r="F27" s="8" t="str" cm="1">
        <f t="array" aca="1" ref="F27" ca="1">IF(ISNUMBER(FIND("ctrl",INDIRECT("Sheet4!"&amp;"G"&amp;MATCH($C$2,Sheet4!$A:$A,0)+7))),
INDIRECT("Sheet4!"&amp;"G"&amp;MATCH($C$2,Sheet4!$A:$A,0)+7),IF(INDIRECT("Sheet4!"&amp;"G"&amp;MATCH($C$2,Sheet4!$A:$A,0)+7)="Água","Água",
IF(INDIRECT("Sheet4!"&amp;"G"&amp;MATCH($C$2,Sheet4!$A:$A,0)+7)="-","-",
IF(_xlfn.NUMBERVALUE(MID(INDIRECT("Sheet4!"&amp;"G"&amp;MATCH($C$2,Sheet4!$A:$A,0)+7),9,2))&lt;=$C$4,
_xlfn.IFNA(VLOOKUP(INDIRECT("Sheet4!"&amp;"G"&amp;MATCH($C$2,Sheet4!$A:$A,0)+7),$C$7:$H$17,1,FALSE)&amp;CHAR(10)&amp;VLOOKUP(INDIRECT("Sheet4!"&amp;"G"&amp;MATCH($C$2,Sheet4!$A:$A,0)+7),$C$7:$H$17,5,FALSE),
VLOOKUP(INDIRECT("Sheet4!"&amp;"G"&amp;MATCH($C$2,Sheet4!$A:$A,0)+7),$I$7:$N$17,1,FALSE)&amp;CHAR(10)&amp;VLOOKUP(INDIRECT("Sheet4!"&amp;"G"&amp;MATCH($C$2,Sheet4!$A:$A,0)+7),$I$7:$N$17,5,FALSE)),"-"))))</f>
        <v>-</v>
      </c>
      <c r="G27" s="8" t="str" cm="1">
        <f t="array" aca="1" ref="G27" ca="1">IF(ISNUMBER(FIND("ctrl",INDIRECT("Sheet4!"&amp;"H"&amp;MATCH($C$2,Sheet4!$A:$A,0)+7))),
INDIRECT("Sheet4!"&amp;"H"&amp;MATCH($C$2,Sheet4!$A:$A,0)+7),IF(INDIRECT("Sheet4!"&amp;"H"&amp;MATCH($C$2,Sheet4!$A:$A,0)+7)="Água","Água",
IF(INDIRECT("Sheet4!"&amp;"H"&amp;MATCH($C$2,Sheet4!$A:$A,0)+7)="-","-",
IF(_xlfn.NUMBERVALUE(MID(INDIRECT("Sheet4!"&amp;"H"&amp;MATCH($C$2,Sheet4!$A:$A,0)+7),9,2))&lt;=$C$4,
_xlfn.IFNA(VLOOKUP(INDIRECT("Sheet4!"&amp;"H"&amp;MATCH($C$2,Sheet4!$A:$A,0)+7),$C$7:$H$17,1,FALSE)&amp;CHAR(10)&amp;VLOOKUP(INDIRECT("Sheet4!"&amp;"H"&amp;MATCH($C$2,Sheet4!$A:$A,0)+7),$C$7:$H$17,5,FALSE),
VLOOKUP(INDIRECT("Sheet4!"&amp;"H"&amp;MATCH($C$2,Sheet4!$A:$A,0)+7),$I$7:$N$17,1,FALSE)&amp;CHAR(10)&amp;VLOOKUP(INDIRECT("Sheet4!"&amp;"H"&amp;MATCH($C$2,Sheet4!$A:$A,0)+7),$I$7:$N$17,5,FALSE)),"-"))))</f>
        <v>-</v>
      </c>
      <c r="H27" s="8" t="str" cm="1">
        <f t="array" aca="1" ref="H27" ca="1">IF(ISNUMBER(FIND("ctrl",INDIRECT("Sheet4!"&amp;"I"&amp;MATCH($C$2,Sheet4!$A:$A,0)+7))),
INDIRECT("Sheet4!"&amp;"I"&amp;MATCH($C$2,Sheet4!$A:$A,0)+7),IF(INDIRECT("Sheet4!"&amp;"I"&amp;MATCH($C$2,Sheet4!$A:$A,0)+7)="Água","Água",
IF(INDIRECT("Sheet4!"&amp;"I"&amp;MATCH($C$2,Sheet4!$A:$A,0)+7)="-","-",
IF(_xlfn.NUMBERVALUE(MID(INDIRECT("Sheet4!"&amp;"I"&amp;MATCH($C$2,Sheet4!$A:$A,0)+7),9,2))&lt;=$C$4,
_xlfn.IFNA(VLOOKUP(INDIRECT("Sheet4!"&amp;"I"&amp;MATCH($C$2,Sheet4!$A:$A,0)+7),$C$7:$H$17,1,FALSE)&amp;CHAR(10)&amp;VLOOKUP(INDIRECT("Sheet4!"&amp;"I"&amp;MATCH($C$2,Sheet4!$A:$A,0)+7),$C$7:$H$17,5,FALSE),
VLOOKUP(INDIRECT("Sheet4!"&amp;"I"&amp;MATCH($C$2,Sheet4!$A:$A,0)+7),$I$7:$N$17,1,FALSE)&amp;CHAR(10)&amp;VLOOKUP(INDIRECT("Sheet4!"&amp;"I"&amp;MATCH($C$2,Sheet4!$A:$A,0)+7),$I$7:$N$17,5,FALSE)),"-"))))</f>
        <v>-</v>
      </c>
      <c r="I27" s="8" t="str" cm="1">
        <f t="array" aca="1" ref="I27" ca="1">IF(ISNUMBER(FIND("ctrl",INDIRECT("Sheet4!"&amp;"J"&amp;MATCH($C$2,Sheet4!$A:$A,0)+7))),
INDIRECT("Sheet4!"&amp;"J"&amp;MATCH($C$2,Sheet4!$A:$A,0)+7),IF(INDIRECT("Sheet4!"&amp;"J"&amp;MATCH($C$2,Sheet4!$A:$A,0)+7)="Água","Água",
IF(INDIRECT("Sheet4!"&amp;"J"&amp;MATCH($C$2,Sheet4!$A:$A,0)+7)="-","-",
IF(_xlfn.NUMBERVALUE(MID(INDIRECT("Sheet4!"&amp;"J"&amp;MATCH($C$2,Sheet4!$A:$A,0)+7),9,2))&lt;=$C$4,
_xlfn.IFNA(VLOOKUP(INDIRECT("Sheet4!"&amp;"J"&amp;MATCH($C$2,Sheet4!$A:$A,0)+7),$C$7:$H$17,1,FALSE)&amp;CHAR(10)&amp;VLOOKUP(INDIRECT("Sheet4!"&amp;"J"&amp;MATCH($C$2,Sheet4!$A:$A,0)+7),$C$7:$H$17,5,FALSE),
VLOOKUP(INDIRECT("Sheet4!"&amp;"J"&amp;MATCH($C$2,Sheet4!$A:$A,0)+7),$I$7:$N$17,1,FALSE)&amp;CHAR(10)&amp;VLOOKUP(INDIRECT("Sheet4!"&amp;"J"&amp;MATCH($C$2,Sheet4!$A:$A,0)+7),$I$7:$N$17,5,FALSE)),"-"))))</f>
        <v>-</v>
      </c>
      <c r="J27" s="8" t="str" cm="1">
        <f t="array" aca="1" ref="J27" ca="1">IF(ISNUMBER(FIND("ctrl",INDIRECT("Sheet4!"&amp;"K"&amp;MATCH($C$2,Sheet4!$A:$A,0)+7))),
INDIRECT("Sheet4!"&amp;"K"&amp;MATCH($C$2,Sheet4!$A:$A,0)+7),IF(INDIRECT("Sheet4!"&amp;"K"&amp;MATCH($C$2,Sheet4!$A:$A,0)+7)="Água","Água",
IF(INDIRECT("Sheet4!"&amp;"K"&amp;MATCH($C$2,Sheet4!$A:$A,0)+7)="-","-",
IF(_xlfn.NUMBERVALUE(MID(INDIRECT("Sheet4!"&amp;"K"&amp;MATCH($C$2,Sheet4!$A:$A,0)+7),9,2))&lt;=$C$4,
_xlfn.IFNA(VLOOKUP(INDIRECT("Sheet4!"&amp;"K"&amp;MATCH($C$2,Sheet4!$A:$A,0)+7),$C$7:$H$17,1,FALSE)&amp;CHAR(10)&amp;VLOOKUP(INDIRECT("Sheet4!"&amp;"K"&amp;MATCH($C$2,Sheet4!$A:$A,0)+7),$C$7:$H$17,5,FALSE),
VLOOKUP(INDIRECT("Sheet4!"&amp;"K"&amp;MATCH($C$2,Sheet4!$A:$A,0)+7),$I$7:$N$17,1,FALSE)&amp;CHAR(10)&amp;VLOOKUP(INDIRECT("Sheet4!"&amp;"K"&amp;MATCH($C$2,Sheet4!$A:$A,0)+7),$I$7:$N$17,5,FALSE)),"-"))))</f>
        <v>-</v>
      </c>
      <c r="K27" s="8" t="str" cm="1">
        <f t="array" aca="1" ref="K27" ca="1">IF(ISNUMBER(FIND("ctrl",INDIRECT("Sheet4!"&amp;"L"&amp;MATCH($C$2,Sheet4!$A:$A,0)+7))),
INDIRECT("Sheet4!"&amp;"L"&amp;MATCH($C$2,Sheet4!$A:$A,0)+7),IF(INDIRECT("Sheet4!"&amp;"L"&amp;MATCH($C$2,Sheet4!$A:$A,0)+7)="Água","Água",
IF(INDIRECT("Sheet4!"&amp;"L"&amp;MATCH($C$2,Sheet4!$A:$A,0)+7)="-","-",
IF(_xlfn.NUMBERVALUE(MID(INDIRECT("Sheet4!"&amp;"L"&amp;MATCH($C$2,Sheet4!$A:$A,0)+7),9,2))&lt;=$C$4,
_xlfn.IFNA(VLOOKUP(INDIRECT("Sheet4!"&amp;"L"&amp;MATCH($C$2,Sheet4!$A:$A,0)+7),$C$7:$H$17,1,FALSE)&amp;CHAR(10)&amp;VLOOKUP(INDIRECT("Sheet4!"&amp;"L"&amp;MATCH($C$2,Sheet4!$A:$A,0)+7),$C$7:$H$17,5,FALSE),
VLOOKUP(INDIRECT("Sheet4!"&amp;"L"&amp;MATCH($C$2,Sheet4!$A:$A,0)+7),$I$7:$N$17,1,FALSE)&amp;CHAR(10)&amp;VLOOKUP(INDIRECT("Sheet4!"&amp;"L"&amp;MATCH($C$2,Sheet4!$A:$A,0)+7),$I$7:$N$17,5,FALSE)),"-"))))</f>
        <v>-</v>
      </c>
      <c r="L27" s="8" t="str" cm="1">
        <f t="array" aca="1" ref="L27" ca="1">IF(ISNUMBER(FIND("ctrl",INDIRECT("Sheet4!"&amp;"M"&amp;MATCH($C$2,Sheet4!$A:$A,0)+7))),
INDIRECT("Sheet4!"&amp;"M"&amp;MATCH($C$2,Sheet4!$A:$A,0)+7),IF(INDIRECT("Sheet4!"&amp;"M"&amp;MATCH($C$2,Sheet4!$A:$A,0)+7)="Água","Água",
IF(INDIRECT("Sheet4!"&amp;"M"&amp;MATCH($C$2,Sheet4!$A:$A,0)+7)="-","-",
IF(_xlfn.NUMBERVALUE(MID(INDIRECT("Sheet4!"&amp;"M"&amp;MATCH($C$2,Sheet4!$A:$A,0)+7),9,2))&lt;=$C$4,
_xlfn.IFNA(VLOOKUP(INDIRECT("Sheet4!"&amp;"M"&amp;MATCH($C$2,Sheet4!$A:$A,0)+7),$C$7:$H$17,1,FALSE)&amp;CHAR(10)&amp;VLOOKUP(INDIRECT("Sheet4!"&amp;"M"&amp;MATCH($C$2,Sheet4!$A:$A,0)+7),$C$7:$H$17,5,FALSE),
VLOOKUP(INDIRECT("Sheet4!"&amp;"M"&amp;MATCH($C$2,Sheet4!$A:$A,0)+7),$I$7:$N$17,1,FALSE)&amp;CHAR(10)&amp;VLOOKUP(INDIRECT("Sheet4!"&amp;"M"&amp;MATCH($C$2,Sheet4!$A:$A,0)+7),$I$7:$N$17,5,FALSE)),"-"))))</f>
        <v>-</v>
      </c>
      <c r="M27" s="8" t="str" cm="1">
        <f t="array" aca="1" ref="M27" ca="1">IF(ISNUMBER(FIND("ctrl",INDIRECT("Sheet4!"&amp;"N"&amp;MATCH($C$2,Sheet4!$A:$A,0)+7))),
INDIRECT("Sheet4!"&amp;"N"&amp;MATCH($C$2,Sheet4!$A:$A,0)+7),IF(INDIRECT("Sheet4!"&amp;"N"&amp;MATCH($C$2,Sheet4!$A:$A,0)+7)="Água","Água",
IF(INDIRECT("Sheet4!"&amp;"N"&amp;MATCH($C$2,Sheet4!$A:$A,0)+7)="-","-",
IF(_xlfn.NUMBERVALUE(MID(INDIRECT("Sheet4!"&amp;"N"&amp;MATCH($C$2,Sheet4!$A:$A,0)+7),9,2))&lt;=$C$4,
_xlfn.IFNA(VLOOKUP(INDIRECT("Sheet4!"&amp;"N"&amp;MATCH($C$2,Sheet4!$A:$A,0)+7),$C$7:$H$17,1,FALSE)&amp;CHAR(10)&amp;VLOOKUP(INDIRECT("Sheet4!"&amp;"N"&amp;MATCH($C$2,Sheet4!$A:$A,0)+7),$C$7:$H$17,5,FALSE),
VLOOKUP(INDIRECT("Sheet4!"&amp;"N"&amp;MATCH($C$2,Sheet4!$A:$A,0)+7),$I$7:$N$17,1,FALSE)&amp;CHAR(10)&amp;VLOOKUP(INDIRECT("Sheet4!"&amp;"N"&amp;MATCH($C$2,Sheet4!$A:$A,0)+7),$I$7:$N$17,5,FALSE)),"-"))))</f>
        <v>-</v>
      </c>
      <c r="N27" s="8" t="str" cm="1">
        <f t="array" aca="1" ref="N27" ca="1">IF(ISNUMBER(FIND("ctrl",INDIRECT("Sheet4!"&amp;"M"&amp;MATCH($C$2,Sheet4!$A:$A,0)+7))),
INDIRECT("Sheet4!"&amp;"M"&amp;MATCH($C$2,Sheet4!$A:$A,0)+7),IF(INDIRECT("Sheet4!"&amp;"M"&amp;MATCH($C$2,Sheet4!$A:$A,0)+7)="Água","Água",
IF(INDIRECT("Sheet4!"&amp;"M"&amp;MATCH($C$2,Sheet4!$A:$A,0)+7)="-","-",
IF(_xlfn.NUMBERVALUE(MID(INDIRECT("Sheet4!"&amp;"M"&amp;MATCH($C$2,Sheet4!$A:$A,0)+7),9,2))&lt;=$C$4,
_xlfn.IFNA(VLOOKUP(INDIRECT("Sheet4!"&amp;"M"&amp;MATCH($C$2,Sheet4!$A:$A,0)+7),$C$7:$H$17,1,FALSE)&amp;CHAR(10)&amp;VLOOKUP(INDIRECT("Sheet4!"&amp;"M"&amp;MATCH($C$2,Sheet4!$A:$A,0)+7),$C$7:$H$17,5,FALSE),
VLOOKUP(INDIRECT("Sheet4!"&amp;"M"&amp;MATCH($C$2,Sheet4!$A:$A,0)+7),$I$7:$N$17,1,FALSE)&amp;CHAR(10)&amp;VLOOKUP(INDIRECT("Sheet4!"&amp;"M"&amp;MATCH($C$2,Sheet4!$A:$A,0)+7),$I$7:$N$17,5,FALSE)),"-"))))</f>
        <v>-</v>
      </c>
    </row>
    <row r="28" spans="2:14" ht="15.75" thickBot="1" x14ac:dyDescent="0.3"/>
    <row r="29" spans="2:14" ht="16.5" thickBot="1" x14ac:dyDescent="0.3">
      <c r="C29" s="31" t="s">
        <v>62</v>
      </c>
      <c r="D29" s="33" t="s">
        <v>56</v>
      </c>
      <c r="E29" s="32"/>
      <c r="F29" s="22"/>
      <c r="G29" s="18"/>
      <c r="H29" s="19" t="s">
        <v>57</v>
      </c>
      <c r="I29" s="29" t="s">
        <v>103</v>
      </c>
    </row>
    <row r="30" spans="2:14" ht="16.5" thickBot="1" x14ac:dyDescent="0.3">
      <c r="C30" s="30" t="s">
        <v>61</v>
      </c>
      <c r="D30" s="21" t="s">
        <v>67</v>
      </c>
      <c r="E30" s="32"/>
      <c r="F30" s="22"/>
      <c r="G30" s="18"/>
      <c r="H30" s="19" t="s">
        <v>58</v>
      </c>
      <c r="I30" s="20">
        <v>44957</v>
      </c>
    </row>
    <row r="31" spans="2:14" ht="16.5" thickBot="1" x14ac:dyDescent="0.3">
      <c r="C31" s="30" t="s">
        <v>60</v>
      </c>
      <c r="D31" s="21" t="s">
        <v>64</v>
      </c>
      <c r="E31" s="22"/>
      <c r="F31" s="22"/>
      <c r="G31" s="23"/>
      <c r="H31" s="19" t="s">
        <v>59</v>
      </c>
      <c r="I31" s="20">
        <v>44788</v>
      </c>
    </row>
    <row r="33" spans="2:14" x14ac:dyDescent="0.25">
      <c r="B33" s="24" t="s">
        <v>63</v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2:14" x14ac:dyDescent="0.25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2:14" x14ac:dyDescent="0.25"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</sheetData>
  <sheetProtection selectLockedCells="1"/>
  <conditionalFormatting sqref="B1:N1 I4:N4 B6:N6 B18:N19 J2 I2:I3 K2:N3 I5:J5 M5:N5 B2:D2 B4:D5 H7:N17 B29:B31 B32:N1048576 F2:H2 B7:F17 J29:N31 B28:N28 B20:M23 B24:C27 E24:M27">
    <cfRule type="containsText" dxfId="426" priority="267" operator="containsText" text="Água">
      <formula>NOT(ISERROR(SEARCH("Água",B1)))</formula>
    </cfRule>
    <cfRule type="containsText" dxfId="425" priority="268" operator="containsText" text="WT">
      <formula>NOT(ISERROR(SEARCH("WT",B1)))</formula>
    </cfRule>
    <cfRule type="containsText" dxfId="424" priority="269" operator="containsText" text="pos">
      <formula>NOT(ISERROR(SEARCH("pos",B1)))</formula>
    </cfRule>
    <cfRule type="containsText" dxfId="423" priority="270" operator="containsText" text="Amostra 22">
      <formula>NOT(ISERROR(SEARCH("Amostra 22",B1)))</formula>
    </cfRule>
    <cfRule type="containsText" dxfId="422" priority="271" operator="containsText" text="Amostra 21">
      <formula>NOT(ISERROR(SEARCH("Amostra 21",B1)))</formula>
    </cfRule>
    <cfRule type="containsText" dxfId="421" priority="272" operator="containsText" text="Amostra 20">
      <formula>NOT(ISERROR(SEARCH("Amostra 20",B1)))</formula>
    </cfRule>
    <cfRule type="containsText" dxfId="420" priority="273" operator="containsText" text="Amostra 19">
      <formula>NOT(ISERROR(SEARCH("Amostra 19",B1)))</formula>
    </cfRule>
    <cfRule type="containsText" dxfId="419" priority="274" operator="containsText" text="Amostra 18">
      <formula>NOT(ISERROR(SEARCH("Amostra 18",B1)))</formula>
    </cfRule>
    <cfRule type="containsText" dxfId="418" priority="275" operator="containsText" text="Amostra 17">
      <formula>NOT(ISERROR(SEARCH("Amostra 17",B1)))</formula>
    </cfRule>
    <cfRule type="containsText" dxfId="417" priority="276" operator="containsText" text="Amostra 16">
      <formula>NOT(ISERROR(SEARCH("Amostra 16",B1)))</formula>
    </cfRule>
    <cfRule type="containsText" dxfId="416" priority="277" operator="containsText" text="Amostra 15">
      <formula>NOT(ISERROR(SEARCH("Amostra 15",B1)))</formula>
    </cfRule>
    <cfRule type="containsText" dxfId="415" priority="278" operator="containsText" text="Amostra 14">
      <formula>NOT(ISERROR(SEARCH("Amostra 14",B1)))</formula>
    </cfRule>
    <cfRule type="containsText" dxfId="414" priority="279" operator="containsText" text="Amostra 13">
      <formula>NOT(ISERROR(SEARCH("Amostra 13",B1)))</formula>
    </cfRule>
    <cfRule type="containsText" dxfId="413" priority="280" operator="containsText" text="Amostra 12">
      <formula>NOT(ISERROR(SEARCH("Amostra 12",B1)))</formula>
    </cfRule>
    <cfRule type="containsText" dxfId="412" priority="281" operator="containsText" text="Amostra 11">
      <formula>NOT(ISERROR(SEARCH("Amostra 11",B1)))</formula>
    </cfRule>
    <cfRule type="containsText" dxfId="411" priority="282" operator="containsText" text="Amostra 10">
      <formula>NOT(ISERROR(SEARCH("Amostra 10",B1)))</formula>
    </cfRule>
    <cfRule type="containsText" dxfId="410" priority="283" operator="containsText" text="Amostra 9">
      <formula>NOT(ISERROR(SEARCH("Amostra 9",B1)))</formula>
    </cfRule>
    <cfRule type="containsText" dxfId="409" priority="284" operator="containsText" text="Amostra 8">
      <formula>NOT(ISERROR(SEARCH("Amostra 8",B1)))</formula>
    </cfRule>
    <cfRule type="containsText" dxfId="408" priority="285" operator="containsText" text="Amostra 7">
      <formula>NOT(ISERROR(SEARCH("Amostra 7",B1)))</formula>
    </cfRule>
    <cfRule type="containsText" dxfId="407" priority="286" operator="containsText" text="Amostra 6">
      <formula>NOT(ISERROR(SEARCH("Amostra 6",B1)))</formula>
    </cfRule>
    <cfRule type="containsText" dxfId="406" priority="287" operator="containsText" text="Amostra 5">
      <formula>NOT(ISERROR(SEARCH("Amostra 5",B1)))</formula>
    </cfRule>
    <cfRule type="containsText" dxfId="405" priority="288" operator="containsText" text="Amostra 4">
      <formula>NOT(ISERROR(SEARCH("Amostra 4",B1)))</formula>
    </cfRule>
    <cfRule type="containsText" dxfId="404" priority="289" operator="containsText" text="Amostra 3">
      <formula>NOT(ISERROR(SEARCH("Amostra 3",B1)))</formula>
    </cfRule>
    <cfRule type="containsText" dxfId="403" priority="290" operator="containsText" text="Amostra 2">
      <formula>NOT(ISERROR(SEARCH("Amostra 2",B1)))</formula>
    </cfRule>
    <cfRule type="containsText" dxfId="402" priority="291" operator="containsText" text="Amostra 1">
      <formula>NOT(ISERROR(SEARCH("Amostra 1",B1)))</formula>
    </cfRule>
  </conditionalFormatting>
  <conditionalFormatting sqref="G10:H17 H7:H9">
    <cfRule type="expression" dxfId="401" priority="264">
      <formula>ISNUMBER(FIND("Amostra",$C7))</formula>
    </cfRule>
  </conditionalFormatting>
  <conditionalFormatting sqref="J7:J17">
    <cfRule type="expression" dxfId="400" priority="265">
      <formula>ISNUMBER(FIND("Amostra",$I7))</formula>
    </cfRule>
  </conditionalFormatting>
  <conditionalFormatting sqref="D7:D17">
    <cfRule type="expression" dxfId="399" priority="266">
      <formula>ISNUMBER(FIND("Amostra",$C7))</formula>
    </cfRule>
  </conditionalFormatting>
  <conditionalFormatting sqref="M7:N17">
    <cfRule type="expression" dxfId="398" priority="263">
      <formula>ISNUMBER(FIND("Amostra",$I7))</formula>
    </cfRule>
  </conditionalFormatting>
  <conditionalFormatting sqref="E7:E17">
    <cfRule type="expression" dxfId="397" priority="262">
      <formula>ISNUMBER(FIND("Amostra",$C7))</formula>
    </cfRule>
  </conditionalFormatting>
  <conditionalFormatting sqref="K7:K17">
    <cfRule type="expression" dxfId="396" priority="261">
      <formula>ISNUMBER(FIND("Amostra",$I7))</formula>
    </cfRule>
  </conditionalFormatting>
  <conditionalFormatting sqref="K4">
    <cfRule type="containsText" dxfId="395" priority="236" operator="containsText" text="Agua">
      <formula>NOT(ISERROR(SEARCH("Agua",K4)))</formula>
    </cfRule>
    <cfRule type="containsText" dxfId="394" priority="237" operator="containsText" text="WT">
      <formula>NOT(ISERROR(SEARCH("WT",K4)))</formula>
    </cfRule>
    <cfRule type="containsText" dxfId="393" priority="238" operator="containsText" text="pos">
      <formula>NOT(ISERROR(SEARCH("pos",K4)))</formula>
    </cfRule>
    <cfRule type="containsText" dxfId="392" priority="239" operator="containsText" text="Amostra 22">
      <formula>NOT(ISERROR(SEARCH("Amostra 22",K4)))</formula>
    </cfRule>
    <cfRule type="containsText" dxfId="391" priority="240" operator="containsText" text="Amostra 21">
      <formula>NOT(ISERROR(SEARCH("Amostra 21",K4)))</formula>
    </cfRule>
    <cfRule type="containsText" dxfId="390" priority="241" operator="containsText" text="Amostra 20">
      <formula>NOT(ISERROR(SEARCH("Amostra 20",K4)))</formula>
    </cfRule>
    <cfRule type="containsText" dxfId="389" priority="242" operator="containsText" text="Amostra 19">
      <formula>NOT(ISERROR(SEARCH("Amostra 19",K4)))</formula>
    </cfRule>
    <cfRule type="containsText" dxfId="388" priority="243" operator="containsText" text="Amostra 18">
      <formula>NOT(ISERROR(SEARCH("Amostra 18",K4)))</formula>
    </cfRule>
    <cfRule type="containsText" dxfId="387" priority="244" operator="containsText" text="Amostra 17">
      <formula>NOT(ISERROR(SEARCH("Amostra 17",K4)))</formula>
    </cfRule>
    <cfRule type="containsText" dxfId="386" priority="245" operator="containsText" text="Amostra 16">
      <formula>NOT(ISERROR(SEARCH("Amostra 16",K4)))</formula>
    </cfRule>
    <cfRule type="containsText" dxfId="385" priority="246" operator="containsText" text="Amostra 15">
      <formula>NOT(ISERROR(SEARCH("Amostra 15",K4)))</formula>
    </cfRule>
    <cfRule type="containsText" dxfId="384" priority="247" operator="containsText" text="Amostra 14">
      <formula>NOT(ISERROR(SEARCH("Amostra 14",K4)))</formula>
    </cfRule>
    <cfRule type="containsText" dxfId="383" priority="248" operator="containsText" text="Amostra 13">
      <formula>NOT(ISERROR(SEARCH("Amostra 13",K4)))</formula>
    </cfRule>
    <cfRule type="containsText" dxfId="382" priority="249" operator="containsText" text="Amostra 12">
      <formula>NOT(ISERROR(SEARCH("Amostra 12",K4)))</formula>
    </cfRule>
    <cfRule type="containsText" dxfId="381" priority="250" operator="containsText" text="Amostra 11">
      <formula>NOT(ISERROR(SEARCH("Amostra 11",K4)))</formula>
    </cfRule>
    <cfRule type="containsText" dxfId="380" priority="251" operator="containsText" text="Amostra 10">
      <formula>NOT(ISERROR(SEARCH("Amostra 10",K4)))</formula>
    </cfRule>
    <cfRule type="containsText" dxfId="379" priority="252" operator="containsText" text="Amostra 9">
      <formula>NOT(ISERROR(SEARCH("Amostra 9",K4)))</formula>
    </cfRule>
    <cfRule type="containsText" dxfId="378" priority="253" operator="containsText" text="Amostra 8">
      <formula>NOT(ISERROR(SEARCH("Amostra 8",K4)))</formula>
    </cfRule>
    <cfRule type="containsText" dxfId="377" priority="254" operator="containsText" text="Amostra 7">
      <formula>NOT(ISERROR(SEARCH("Amostra 7",K4)))</formula>
    </cfRule>
    <cfRule type="containsText" dxfId="376" priority="255" operator="containsText" text="Amostra 6">
      <formula>NOT(ISERROR(SEARCH("Amostra 6",K4)))</formula>
    </cfRule>
    <cfRule type="containsText" dxfId="375" priority="256" operator="containsText" text="Amostra 5">
      <formula>NOT(ISERROR(SEARCH("Amostra 5",K4)))</formula>
    </cfRule>
    <cfRule type="containsText" dxfId="374" priority="257" operator="containsText" text="Amostra 4">
      <formula>NOT(ISERROR(SEARCH("Amostra 4",K4)))</formula>
    </cfRule>
    <cfRule type="containsText" dxfId="373" priority="258" operator="containsText" text="Amostra 3">
      <formula>NOT(ISERROR(SEARCH("Amostra 3",K4)))</formula>
    </cfRule>
    <cfRule type="containsText" dxfId="372" priority="259" operator="containsText" text="Amostra 2">
      <formula>NOT(ISERROR(SEARCH("Amostra 2",K4)))</formula>
    </cfRule>
    <cfRule type="containsText" dxfId="371" priority="260" operator="containsText" text="Amostra 1">
      <formula>NOT(ISERROR(SEARCH("Amostra 1",K4)))</formula>
    </cfRule>
  </conditionalFormatting>
  <conditionalFormatting sqref="L4:M4">
    <cfRule type="containsText" dxfId="370" priority="210" operator="containsText" text="Agua">
      <formula>NOT(ISERROR(SEARCH("Agua",L4)))</formula>
    </cfRule>
    <cfRule type="containsText" dxfId="369" priority="211" operator="containsText" text="WT">
      <formula>NOT(ISERROR(SEARCH("WT",L4)))</formula>
    </cfRule>
    <cfRule type="containsText" dxfId="368" priority="212" operator="containsText" text="pos">
      <formula>NOT(ISERROR(SEARCH("pos",L4)))</formula>
    </cfRule>
    <cfRule type="containsText" dxfId="367" priority="213" operator="containsText" text="Amostra 22">
      <formula>NOT(ISERROR(SEARCH("Amostra 22",L4)))</formula>
    </cfRule>
    <cfRule type="containsText" dxfId="366" priority="214" operator="containsText" text="Amostra 21">
      <formula>NOT(ISERROR(SEARCH("Amostra 21",L4)))</formula>
    </cfRule>
    <cfRule type="containsText" dxfId="365" priority="215" operator="containsText" text="Amostra 20">
      <formula>NOT(ISERROR(SEARCH("Amostra 20",L4)))</formula>
    </cfRule>
    <cfRule type="containsText" dxfId="364" priority="216" operator="containsText" text="Amostra 19">
      <formula>NOT(ISERROR(SEARCH("Amostra 19",L4)))</formula>
    </cfRule>
    <cfRule type="containsText" dxfId="363" priority="217" operator="containsText" text="Amostra 18">
      <formula>NOT(ISERROR(SEARCH("Amostra 18",L4)))</formula>
    </cfRule>
    <cfRule type="containsText" dxfId="362" priority="218" operator="containsText" text="Amostra 17">
      <formula>NOT(ISERROR(SEARCH("Amostra 17",L4)))</formula>
    </cfRule>
    <cfRule type="containsText" dxfId="361" priority="219" operator="containsText" text="Amostra 16">
      <formula>NOT(ISERROR(SEARCH("Amostra 16",L4)))</formula>
    </cfRule>
    <cfRule type="containsText" dxfId="360" priority="220" operator="containsText" text="Amostra 15">
      <formula>NOT(ISERROR(SEARCH("Amostra 15",L4)))</formula>
    </cfRule>
    <cfRule type="containsText" dxfId="359" priority="221" operator="containsText" text="Amostra 14">
      <formula>NOT(ISERROR(SEARCH("Amostra 14",L4)))</formula>
    </cfRule>
    <cfRule type="containsText" dxfId="358" priority="222" operator="containsText" text="Amostra 13">
      <formula>NOT(ISERROR(SEARCH("Amostra 13",L4)))</formula>
    </cfRule>
    <cfRule type="containsText" dxfId="357" priority="223" operator="containsText" text="Amostra 12">
      <formula>NOT(ISERROR(SEARCH("Amostra 12",L4)))</formula>
    </cfRule>
    <cfRule type="containsText" dxfId="356" priority="224" operator="containsText" text="Amostra 11">
      <formula>NOT(ISERROR(SEARCH("Amostra 11",L4)))</formula>
    </cfRule>
    <cfRule type="containsText" dxfId="355" priority="225" operator="containsText" text="Amostra 10">
      <formula>NOT(ISERROR(SEARCH("Amostra 10",L4)))</formula>
    </cfRule>
    <cfRule type="containsText" dxfId="354" priority="226" operator="containsText" text="Amostra 9">
      <formula>NOT(ISERROR(SEARCH("Amostra 9",L4)))</formula>
    </cfRule>
    <cfRule type="containsText" dxfId="353" priority="227" operator="containsText" text="Amostra 8">
      <formula>NOT(ISERROR(SEARCH("Amostra 8",L4)))</formula>
    </cfRule>
    <cfRule type="containsText" dxfId="352" priority="228" operator="containsText" text="Amostra 7">
      <formula>NOT(ISERROR(SEARCH("Amostra 7",L4)))</formula>
    </cfRule>
    <cfRule type="containsText" dxfId="351" priority="229" operator="containsText" text="Amostra 6">
      <formula>NOT(ISERROR(SEARCH("Amostra 6",L4)))</formula>
    </cfRule>
    <cfRule type="containsText" dxfId="350" priority="230" operator="containsText" text="Amostra 5">
      <formula>NOT(ISERROR(SEARCH("Amostra 5",L4)))</formula>
    </cfRule>
    <cfRule type="containsText" dxfId="349" priority="231" operator="containsText" text="Amostra 4">
      <formula>NOT(ISERROR(SEARCH("Amostra 4",L4)))</formula>
    </cfRule>
    <cfRule type="containsText" dxfId="348" priority="232" operator="containsText" text="Amostra 3">
      <formula>NOT(ISERROR(SEARCH("Amostra 3",L4)))</formula>
    </cfRule>
    <cfRule type="containsText" dxfId="347" priority="233" operator="containsText" text="Amostra 2">
      <formula>NOT(ISERROR(SEARCH("Amostra 2",L4)))</formula>
    </cfRule>
    <cfRule type="containsText" dxfId="346" priority="234" operator="containsText" text="Amostra 1">
      <formula>NOT(ISERROR(SEARCH("Amostra 1",L4)))</formula>
    </cfRule>
  </conditionalFormatting>
  <conditionalFormatting sqref="K5">
    <cfRule type="containsText" dxfId="345" priority="184" operator="containsText" text="Agua">
      <formula>NOT(ISERROR(SEARCH("Agua",K5)))</formula>
    </cfRule>
    <cfRule type="containsText" dxfId="344" priority="185" operator="containsText" text="WT">
      <formula>NOT(ISERROR(SEARCH("WT",K5)))</formula>
    </cfRule>
    <cfRule type="containsText" dxfId="343" priority="186" operator="containsText" text="pos">
      <formula>NOT(ISERROR(SEARCH("pos",K5)))</formula>
    </cfRule>
    <cfRule type="containsText" dxfId="342" priority="187" operator="containsText" text="Amostra 22">
      <formula>NOT(ISERROR(SEARCH("Amostra 22",K5)))</formula>
    </cfRule>
    <cfRule type="containsText" dxfId="341" priority="188" operator="containsText" text="Amostra 21">
      <formula>NOT(ISERROR(SEARCH("Amostra 21",K5)))</formula>
    </cfRule>
    <cfRule type="containsText" dxfId="340" priority="189" operator="containsText" text="Amostra 20">
      <formula>NOT(ISERROR(SEARCH("Amostra 20",K5)))</formula>
    </cfRule>
    <cfRule type="containsText" dxfId="339" priority="190" operator="containsText" text="Amostra 19">
      <formula>NOT(ISERROR(SEARCH("Amostra 19",K5)))</formula>
    </cfRule>
    <cfRule type="containsText" dxfId="338" priority="191" operator="containsText" text="Amostra 18">
      <formula>NOT(ISERROR(SEARCH("Amostra 18",K5)))</formula>
    </cfRule>
    <cfRule type="containsText" dxfId="337" priority="192" operator="containsText" text="Amostra 17">
      <formula>NOT(ISERROR(SEARCH("Amostra 17",K5)))</formula>
    </cfRule>
    <cfRule type="containsText" dxfId="336" priority="193" operator="containsText" text="Amostra 16">
      <formula>NOT(ISERROR(SEARCH("Amostra 16",K5)))</formula>
    </cfRule>
    <cfRule type="containsText" dxfId="335" priority="194" operator="containsText" text="Amostra 15">
      <formula>NOT(ISERROR(SEARCH("Amostra 15",K5)))</formula>
    </cfRule>
    <cfRule type="containsText" dxfId="334" priority="195" operator="containsText" text="Amostra 14">
      <formula>NOT(ISERROR(SEARCH("Amostra 14",K5)))</formula>
    </cfRule>
    <cfRule type="containsText" dxfId="333" priority="196" operator="containsText" text="Amostra 13">
      <formula>NOT(ISERROR(SEARCH("Amostra 13",K5)))</formula>
    </cfRule>
    <cfRule type="containsText" dxfId="332" priority="197" operator="containsText" text="Amostra 12">
      <formula>NOT(ISERROR(SEARCH("Amostra 12",K5)))</formula>
    </cfRule>
    <cfRule type="containsText" dxfId="331" priority="198" operator="containsText" text="Amostra 11">
      <formula>NOT(ISERROR(SEARCH("Amostra 11",K5)))</formula>
    </cfRule>
    <cfRule type="containsText" dxfId="330" priority="199" operator="containsText" text="Amostra 10">
      <formula>NOT(ISERROR(SEARCH("Amostra 10",K5)))</formula>
    </cfRule>
    <cfRule type="containsText" dxfId="329" priority="200" operator="containsText" text="Amostra 9">
      <formula>NOT(ISERROR(SEARCH("Amostra 9",K5)))</formula>
    </cfRule>
    <cfRule type="containsText" dxfId="328" priority="201" operator="containsText" text="Amostra 8">
      <formula>NOT(ISERROR(SEARCH("Amostra 8",K5)))</formula>
    </cfRule>
    <cfRule type="containsText" dxfId="327" priority="202" operator="containsText" text="Amostra 7">
      <formula>NOT(ISERROR(SEARCH("Amostra 7",K5)))</formula>
    </cfRule>
    <cfRule type="containsText" dxfId="326" priority="203" operator="containsText" text="Amostra 6">
      <formula>NOT(ISERROR(SEARCH("Amostra 6",K5)))</formula>
    </cfRule>
    <cfRule type="containsText" dxfId="325" priority="204" operator="containsText" text="Amostra 5">
      <formula>NOT(ISERROR(SEARCH("Amostra 5",K5)))</formula>
    </cfRule>
    <cfRule type="containsText" dxfId="324" priority="205" operator="containsText" text="Amostra 4">
      <formula>NOT(ISERROR(SEARCH("Amostra 4",K5)))</formula>
    </cfRule>
    <cfRule type="containsText" dxfId="323" priority="206" operator="containsText" text="Amostra 3">
      <formula>NOT(ISERROR(SEARCH("Amostra 3",K5)))</formula>
    </cfRule>
    <cfRule type="containsText" dxfId="322" priority="207" operator="containsText" text="Amostra 2">
      <formula>NOT(ISERROR(SEARCH("Amostra 2",K5)))</formula>
    </cfRule>
    <cfRule type="containsText" dxfId="321" priority="208" operator="containsText" text="Amostra 1">
      <formula>NOT(ISERROR(SEARCH("Amostra 1",K5)))</formula>
    </cfRule>
  </conditionalFormatting>
  <conditionalFormatting sqref="L5">
    <cfRule type="containsText" dxfId="320" priority="158" operator="containsText" text="Agua">
      <formula>NOT(ISERROR(SEARCH("Agua",L5)))</formula>
    </cfRule>
    <cfRule type="containsText" dxfId="319" priority="159" operator="containsText" text="WT">
      <formula>NOT(ISERROR(SEARCH("WT",L5)))</formula>
    </cfRule>
    <cfRule type="containsText" dxfId="318" priority="160" operator="containsText" text="pos">
      <formula>NOT(ISERROR(SEARCH("pos",L5)))</formula>
    </cfRule>
    <cfRule type="containsText" dxfId="317" priority="161" operator="containsText" text="Amostra 22">
      <formula>NOT(ISERROR(SEARCH("Amostra 22",L5)))</formula>
    </cfRule>
    <cfRule type="containsText" dxfId="316" priority="162" operator="containsText" text="Amostra 21">
      <formula>NOT(ISERROR(SEARCH("Amostra 21",L5)))</formula>
    </cfRule>
    <cfRule type="containsText" dxfId="315" priority="163" operator="containsText" text="Amostra 20">
      <formula>NOT(ISERROR(SEARCH("Amostra 20",L5)))</formula>
    </cfRule>
    <cfRule type="containsText" dxfId="314" priority="164" operator="containsText" text="Amostra 19">
      <formula>NOT(ISERROR(SEARCH("Amostra 19",L5)))</formula>
    </cfRule>
    <cfRule type="containsText" dxfId="313" priority="165" operator="containsText" text="Amostra 18">
      <formula>NOT(ISERROR(SEARCH("Amostra 18",L5)))</formula>
    </cfRule>
    <cfRule type="containsText" dxfId="312" priority="166" operator="containsText" text="Amostra 17">
      <formula>NOT(ISERROR(SEARCH("Amostra 17",L5)))</formula>
    </cfRule>
    <cfRule type="containsText" dxfId="311" priority="167" operator="containsText" text="Amostra 16">
      <formula>NOT(ISERROR(SEARCH("Amostra 16",L5)))</formula>
    </cfRule>
    <cfRule type="containsText" dxfId="310" priority="168" operator="containsText" text="Amostra 15">
      <formula>NOT(ISERROR(SEARCH("Amostra 15",L5)))</formula>
    </cfRule>
    <cfRule type="containsText" dxfId="309" priority="169" operator="containsText" text="Amostra 14">
      <formula>NOT(ISERROR(SEARCH("Amostra 14",L5)))</formula>
    </cfRule>
    <cfRule type="containsText" dxfId="308" priority="170" operator="containsText" text="Amostra 13">
      <formula>NOT(ISERROR(SEARCH("Amostra 13",L5)))</formula>
    </cfRule>
    <cfRule type="containsText" dxfId="307" priority="171" operator="containsText" text="Amostra 12">
      <formula>NOT(ISERROR(SEARCH("Amostra 12",L5)))</formula>
    </cfRule>
    <cfRule type="containsText" dxfId="306" priority="172" operator="containsText" text="Amostra 11">
      <formula>NOT(ISERROR(SEARCH("Amostra 11",L5)))</formula>
    </cfRule>
    <cfRule type="containsText" dxfId="305" priority="173" operator="containsText" text="Amostra 10">
      <formula>NOT(ISERROR(SEARCH("Amostra 10",L5)))</formula>
    </cfRule>
    <cfRule type="containsText" dxfId="304" priority="174" operator="containsText" text="Amostra 9">
      <formula>NOT(ISERROR(SEARCH("Amostra 9",L5)))</formula>
    </cfRule>
    <cfRule type="containsText" dxfId="303" priority="175" operator="containsText" text="Amostra 8">
      <formula>NOT(ISERROR(SEARCH("Amostra 8",L5)))</formula>
    </cfRule>
    <cfRule type="containsText" dxfId="302" priority="176" operator="containsText" text="Amostra 7">
      <formula>NOT(ISERROR(SEARCH("Amostra 7",L5)))</formula>
    </cfRule>
    <cfRule type="containsText" dxfId="301" priority="177" operator="containsText" text="Amostra 6">
      <formula>NOT(ISERROR(SEARCH("Amostra 6",L5)))</formula>
    </cfRule>
    <cfRule type="containsText" dxfId="300" priority="178" operator="containsText" text="Amostra 5">
      <formula>NOT(ISERROR(SEARCH("Amostra 5",L5)))</formula>
    </cfRule>
    <cfRule type="containsText" dxfId="299" priority="179" operator="containsText" text="Amostra 4">
      <formula>NOT(ISERROR(SEARCH("Amostra 4",L5)))</formula>
    </cfRule>
    <cfRule type="containsText" dxfId="298" priority="180" operator="containsText" text="Amostra 3">
      <formula>NOT(ISERROR(SEARCH("Amostra 3",L5)))</formula>
    </cfRule>
    <cfRule type="containsText" dxfId="297" priority="181" operator="containsText" text="Amostra 2">
      <formula>NOT(ISERROR(SEARCH("Amostra 2",L5)))</formula>
    </cfRule>
    <cfRule type="containsText" dxfId="296" priority="182" operator="containsText" text="Amostra 1">
      <formula>NOT(ISERROR(SEARCH("Amostra 1",L5)))</formula>
    </cfRule>
  </conditionalFormatting>
  <conditionalFormatting sqref="F7:F17">
    <cfRule type="expression" dxfId="295" priority="156">
      <formula>ISNUMBER(FIND("Amostra",$C7))</formula>
    </cfRule>
  </conditionalFormatting>
  <conditionalFormatting sqref="L7:L17">
    <cfRule type="expression" dxfId="294" priority="155">
      <formula>ISNUMBER(FIND("Amostra",$I7))</formula>
    </cfRule>
  </conditionalFormatting>
  <conditionalFormatting sqref="D4:F4">
    <cfRule type="expression" dxfId="293" priority="154">
      <formula>ISNUMBER(FIND("ERRO",$D$4))</formula>
    </cfRule>
  </conditionalFormatting>
  <conditionalFormatting sqref="G7:G10">
    <cfRule type="expression" dxfId="292" priority="128">
      <formula>ISNUMBER(FIND("Amostra",$C7))</formula>
    </cfRule>
  </conditionalFormatting>
  <conditionalFormatting sqref="I30">
    <cfRule type="containsText" dxfId="291" priority="103" operator="containsText" text="Água">
      <formula>NOT(ISERROR(SEARCH("Água",I30)))</formula>
    </cfRule>
    <cfRule type="containsText" dxfId="290" priority="104" operator="containsText" text="WT">
      <formula>NOT(ISERROR(SEARCH("WT",I30)))</formula>
    </cfRule>
    <cfRule type="containsText" dxfId="289" priority="105" operator="containsText" text="pos">
      <formula>NOT(ISERROR(SEARCH("pos",I30)))</formula>
    </cfRule>
    <cfRule type="containsText" dxfId="288" priority="106" operator="containsText" text="Amostra 22">
      <formula>NOT(ISERROR(SEARCH("Amostra 22",I30)))</formula>
    </cfRule>
    <cfRule type="containsText" dxfId="287" priority="107" operator="containsText" text="Amostra 21">
      <formula>NOT(ISERROR(SEARCH("Amostra 21",I30)))</formula>
    </cfRule>
    <cfRule type="containsText" dxfId="286" priority="108" operator="containsText" text="Amostra 20">
      <formula>NOT(ISERROR(SEARCH("Amostra 20",I30)))</formula>
    </cfRule>
    <cfRule type="containsText" dxfId="285" priority="109" operator="containsText" text="Amostra 19">
      <formula>NOT(ISERROR(SEARCH("Amostra 19",I30)))</formula>
    </cfRule>
    <cfRule type="containsText" dxfId="284" priority="110" operator="containsText" text="Amostra 18">
      <formula>NOT(ISERROR(SEARCH("Amostra 18",I30)))</formula>
    </cfRule>
    <cfRule type="containsText" dxfId="283" priority="111" operator="containsText" text="Amostra 17">
      <formula>NOT(ISERROR(SEARCH("Amostra 17",I30)))</formula>
    </cfRule>
    <cfRule type="containsText" dxfId="282" priority="112" operator="containsText" text="Amostra 16">
      <formula>NOT(ISERROR(SEARCH("Amostra 16",I30)))</formula>
    </cfRule>
    <cfRule type="containsText" dxfId="281" priority="113" operator="containsText" text="Amostra 15">
      <formula>NOT(ISERROR(SEARCH("Amostra 15",I30)))</formula>
    </cfRule>
    <cfRule type="containsText" dxfId="280" priority="114" operator="containsText" text="Amostra 14">
      <formula>NOT(ISERROR(SEARCH("Amostra 14",I30)))</formula>
    </cfRule>
    <cfRule type="containsText" dxfId="279" priority="115" operator="containsText" text="Amostra 13">
      <formula>NOT(ISERROR(SEARCH("Amostra 13",I30)))</formula>
    </cfRule>
    <cfRule type="containsText" dxfId="278" priority="116" operator="containsText" text="Amostra 12">
      <formula>NOT(ISERROR(SEARCH("Amostra 12",I30)))</formula>
    </cfRule>
    <cfRule type="containsText" dxfId="277" priority="117" operator="containsText" text="Amostra 11">
      <formula>NOT(ISERROR(SEARCH("Amostra 11",I30)))</formula>
    </cfRule>
    <cfRule type="containsText" dxfId="276" priority="118" operator="containsText" text="Amostra 10">
      <formula>NOT(ISERROR(SEARCH("Amostra 10",I30)))</formula>
    </cfRule>
    <cfRule type="containsText" dxfId="275" priority="119" operator="containsText" text="Amostra 9">
      <formula>NOT(ISERROR(SEARCH("Amostra 9",I30)))</formula>
    </cfRule>
    <cfRule type="containsText" dxfId="274" priority="120" operator="containsText" text="Amostra 8">
      <formula>NOT(ISERROR(SEARCH("Amostra 8",I30)))</formula>
    </cfRule>
    <cfRule type="containsText" dxfId="273" priority="121" operator="containsText" text="Amostra 7">
      <formula>NOT(ISERROR(SEARCH("Amostra 7",I30)))</formula>
    </cfRule>
    <cfRule type="containsText" dxfId="272" priority="122" operator="containsText" text="Amostra 6">
      <formula>NOT(ISERROR(SEARCH("Amostra 6",I30)))</formula>
    </cfRule>
    <cfRule type="containsText" dxfId="271" priority="123" operator="containsText" text="Amostra 5">
      <formula>NOT(ISERROR(SEARCH("Amostra 5",I30)))</formula>
    </cfRule>
    <cfRule type="containsText" dxfId="270" priority="124" operator="containsText" text="Amostra 4">
      <formula>NOT(ISERROR(SEARCH("Amostra 4",I30)))</formula>
    </cfRule>
    <cfRule type="containsText" dxfId="269" priority="125" operator="containsText" text="Amostra 3">
      <formula>NOT(ISERROR(SEARCH("Amostra 3",I30)))</formula>
    </cfRule>
    <cfRule type="containsText" dxfId="268" priority="126" operator="containsText" text="Amostra 2">
      <formula>NOT(ISERROR(SEARCH("Amostra 2",I30)))</formula>
    </cfRule>
    <cfRule type="containsText" dxfId="267" priority="127" operator="containsText" text="Amostra 1">
      <formula>NOT(ISERROR(SEARCH("Amostra 1",I30)))</formula>
    </cfRule>
  </conditionalFormatting>
  <conditionalFormatting sqref="I31">
    <cfRule type="containsText" dxfId="266" priority="78" operator="containsText" text="Água">
      <formula>NOT(ISERROR(SEARCH("Água",I31)))</formula>
    </cfRule>
    <cfRule type="containsText" dxfId="265" priority="79" operator="containsText" text="WT">
      <formula>NOT(ISERROR(SEARCH("WT",I31)))</formula>
    </cfRule>
    <cfRule type="containsText" dxfId="264" priority="80" operator="containsText" text="pos">
      <formula>NOT(ISERROR(SEARCH("pos",I31)))</formula>
    </cfRule>
    <cfRule type="containsText" dxfId="263" priority="81" operator="containsText" text="Amostra 22">
      <formula>NOT(ISERROR(SEARCH("Amostra 22",I31)))</formula>
    </cfRule>
    <cfRule type="containsText" dxfId="262" priority="82" operator="containsText" text="Amostra 21">
      <formula>NOT(ISERROR(SEARCH("Amostra 21",I31)))</formula>
    </cfRule>
    <cfRule type="containsText" dxfId="261" priority="83" operator="containsText" text="Amostra 20">
      <formula>NOT(ISERROR(SEARCH("Amostra 20",I31)))</formula>
    </cfRule>
    <cfRule type="containsText" dxfId="260" priority="84" operator="containsText" text="Amostra 19">
      <formula>NOT(ISERROR(SEARCH("Amostra 19",I31)))</formula>
    </cfRule>
    <cfRule type="containsText" dxfId="259" priority="85" operator="containsText" text="Amostra 18">
      <formula>NOT(ISERROR(SEARCH("Amostra 18",I31)))</formula>
    </cfRule>
    <cfRule type="containsText" dxfId="258" priority="86" operator="containsText" text="Amostra 17">
      <formula>NOT(ISERROR(SEARCH("Amostra 17",I31)))</formula>
    </cfRule>
    <cfRule type="containsText" dxfId="257" priority="87" operator="containsText" text="Amostra 16">
      <formula>NOT(ISERROR(SEARCH("Amostra 16",I31)))</formula>
    </cfRule>
    <cfRule type="containsText" dxfId="256" priority="88" operator="containsText" text="Amostra 15">
      <formula>NOT(ISERROR(SEARCH("Amostra 15",I31)))</formula>
    </cfRule>
    <cfRule type="containsText" dxfId="255" priority="89" operator="containsText" text="Amostra 14">
      <formula>NOT(ISERROR(SEARCH("Amostra 14",I31)))</formula>
    </cfRule>
    <cfRule type="containsText" dxfId="254" priority="90" operator="containsText" text="Amostra 13">
      <formula>NOT(ISERROR(SEARCH("Amostra 13",I31)))</formula>
    </cfRule>
    <cfRule type="containsText" dxfId="253" priority="91" operator="containsText" text="Amostra 12">
      <formula>NOT(ISERROR(SEARCH("Amostra 12",I31)))</formula>
    </cfRule>
    <cfRule type="containsText" dxfId="252" priority="92" operator="containsText" text="Amostra 11">
      <formula>NOT(ISERROR(SEARCH("Amostra 11",I31)))</formula>
    </cfRule>
    <cfRule type="containsText" dxfId="251" priority="93" operator="containsText" text="Amostra 10">
      <formula>NOT(ISERROR(SEARCH("Amostra 10",I31)))</formula>
    </cfRule>
    <cfRule type="containsText" dxfId="250" priority="94" operator="containsText" text="Amostra 9">
      <formula>NOT(ISERROR(SEARCH("Amostra 9",I31)))</formula>
    </cfRule>
    <cfRule type="containsText" dxfId="249" priority="95" operator="containsText" text="Amostra 8">
      <formula>NOT(ISERROR(SEARCH("Amostra 8",I31)))</formula>
    </cfRule>
    <cfRule type="containsText" dxfId="248" priority="96" operator="containsText" text="Amostra 7">
      <formula>NOT(ISERROR(SEARCH("Amostra 7",I31)))</formula>
    </cfRule>
    <cfRule type="containsText" dxfId="247" priority="97" operator="containsText" text="Amostra 6">
      <formula>NOT(ISERROR(SEARCH("Amostra 6",I31)))</formula>
    </cfRule>
    <cfRule type="containsText" dxfId="246" priority="98" operator="containsText" text="Amostra 5">
      <formula>NOT(ISERROR(SEARCH("Amostra 5",I31)))</formula>
    </cfRule>
    <cfRule type="containsText" dxfId="245" priority="99" operator="containsText" text="Amostra 4">
      <formula>NOT(ISERROR(SEARCH("Amostra 4",I31)))</formula>
    </cfRule>
    <cfRule type="containsText" dxfId="244" priority="100" operator="containsText" text="Amostra 3">
      <formula>NOT(ISERROR(SEARCH("Amostra 3",I31)))</formula>
    </cfRule>
    <cfRule type="containsText" dxfId="243" priority="101" operator="containsText" text="Amostra 2">
      <formula>NOT(ISERROR(SEARCH("Amostra 2",I31)))</formula>
    </cfRule>
    <cfRule type="containsText" dxfId="242" priority="102" operator="containsText" text="Amostra 1">
      <formula>NOT(ISERROR(SEARCH("Amostra 1",I31)))</formula>
    </cfRule>
  </conditionalFormatting>
  <conditionalFormatting sqref="N20:N27">
    <cfRule type="containsText" dxfId="241" priority="52" operator="containsText" text="Água">
      <formula>NOT(ISERROR(SEARCH("Água",N20)))</formula>
    </cfRule>
    <cfRule type="containsText" dxfId="240" priority="53" operator="containsText" text="WT">
      <formula>NOT(ISERROR(SEARCH("WT",N20)))</formula>
    </cfRule>
    <cfRule type="containsText" dxfId="239" priority="54" operator="containsText" text="pos">
      <formula>NOT(ISERROR(SEARCH("pos",N20)))</formula>
    </cfRule>
    <cfRule type="containsText" dxfId="238" priority="55" operator="containsText" text="Amostra 22">
      <formula>NOT(ISERROR(SEARCH("Amostra 22",N20)))</formula>
    </cfRule>
    <cfRule type="containsText" dxfId="237" priority="56" operator="containsText" text="Amostra 21">
      <formula>NOT(ISERROR(SEARCH("Amostra 21",N20)))</formula>
    </cfRule>
    <cfRule type="containsText" dxfId="236" priority="57" operator="containsText" text="Amostra 20">
      <formula>NOT(ISERROR(SEARCH("Amostra 20",N20)))</formula>
    </cfRule>
    <cfRule type="containsText" dxfId="235" priority="58" operator="containsText" text="Amostra 19">
      <formula>NOT(ISERROR(SEARCH("Amostra 19",N20)))</formula>
    </cfRule>
    <cfRule type="containsText" dxfId="234" priority="59" operator="containsText" text="Amostra 18">
      <formula>NOT(ISERROR(SEARCH("Amostra 18",N20)))</formula>
    </cfRule>
    <cfRule type="containsText" dxfId="233" priority="60" operator="containsText" text="Amostra 17">
      <formula>NOT(ISERROR(SEARCH("Amostra 17",N20)))</formula>
    </cfRule>
    <cfRule type="containsText" dxfId="232" priority="61" operator="containsText" text="Amostra 16">
      <formula>NOT(ISERROR(SEARCH("Amostra 16",N20)))</formula>
    </cfRule>
    <cfRule type="containsText" dxfId="231" priority="62" operator="containsText" text="Amostra 15">
      <formula>NOT(ISERROR(SEARCH("Amostra 15",N20)))</formula>
    </cfRule>
    <cfRule type="containsText" dxfId="230" priority="63" operator="containsText" text="Amostra 14">
      <formula>NOT(ISERROR(SEARCH("Amostra 14",N20)))</formula>
    </cfRule>
    <cfRule type="containsText" dxfId="229" priority="64" operator="containsText" text="Amostra 13">
      <formula>NOT(ISERROR(SEARCH("Amostra 13",N20)))</formula>
    </cfRule>
    <cfRule type="containsText" dxfId="228" priority="65" operator="containsText" text="Amostra 12">
      <formula>NOT(ISERROR(SEARCH("Amostra 12",N20)))</formula>
    </cfRule>
    <cfRule type="containsText" dxfId="227" priority="66" operator="containsText" text="Amostra 11">
      <formula>NOT(ISERROR(SEARCH("Amostra 11",N20)))</formula>
    </cfRule>
    <cfRule type="containsText" dxfId="226" priority="67" operator="containsText" text="Amostra 10">
      <formula>NOT(ISERROR(SEARCH("Amostra 10",N20)))</formula>
    </cfRule>
    <cfRule type="containsText" dxfId="225" priority="68" operator="containsText" text="Amostra 9">
      <formula>NOT(ISERROR(SEARCH("Amostra 9",N20)))</formula>
    </cfRule>
    <cfRule type="containsText" dxfId="224" priority="69" operator="containsText" text="Amostra 8">
      <formula>NOT(ISERROR(SEARCH("Amostra 8",N20)))</formula>
    </cfRule>
    <cfRule type="containsText" dxfId="223" priority="70" operator="containsText" text="Amostra 7">
      <formula>NOT(ISERROR(SEARCH("Amostra 7",N20)))</formula>
    </cfRule>
    <cfRule type="containsText" dxfId="222" priority="71" operator="containsText" text="Amostra 6">
      <formula>NOT(ISERROR(SEARCH("Amostra 6",N20)))</formula>
    </cfRule>
    <cfRule type="containsText" dxfId="221" priority="72" operator="containsText" text="Amostra 5">
      <formula>NOT(ISERROR(SEARCH("Amostra 5",N20)))</formula>
    </cfRule>
    <cfRule type="containsText" dxfId="220" priority="73" operator="containsText" text="Amostra 4">
      <formula>NOT(ISERROR(SEARCH("Amostra 4",N20)))</formula>
    </cfRule>
    <cfRule type="containsText" dxfId="219" priority="74" operator="containsText" text="Amostra 3">
      <formula>NOT(ISERROR(SEARCH("Amostra 3",N20)))</formula>
    </cfRule>
    <cfRule type="containsText" dxfId="218" priority="75" operator="containsText" text="Amostra 2">
      <formula>NOT(ISERROR(SEARCH("Amostra 2",N20)))</formula>
    </cfRule>
    <cfRule type="containsText" dxfId="217" priority="76" operator="containsText" text="Amostra 1">
      <formula>NOT(ISERROR(SEARCH("Amostra 1",N20)))</formula>
    </cfRule>
  </conditionalFormatting>
  <conditionalFormatting sqref="D24:D27">
    <cfRule type="containsText" dxfId="216" priority="26" operator="containsText" text="Água">
      <formula>NOT(ISERROR(SEARCH("Água",D24)))</formula>
    </cfRule>
    <cfRule type="containsText" dxfId="215" priority="27" operator="containsText" text="WT">
      <formula>NOT(ISERROR(SEARCH("WT",D24)))</formula>
    </cfRule>
    <cfRule type="containsText" dxfId="214" priority="28" operator="containsText" text="pos">
      <formula>NOT(ISERROR(SEARCH("pos",D24)))</formula>
    </cfRule>
    <cfRule type="containsText" dxfId="213" priority="29" operator="containsText" text="Amostra 22">
      <formula>NOT(ISERROR(SEARCH("Amostra 22",D24)))</formula>
    </cfRule>
    <cfRule type="containsText" dxfId="212" priority="30" operator="containsText" text="Amostra 21">
      <formula>NOT(ISERROR(SEARCH("Amostra 21",D24)))</formula>
    </cfRule>
    <cfRule type="containsText" dxfId="211" priority="31" operator="containsText" text="Amostra 20">
      <formula>NOT(ISERROR(SEARCH("Amostra 20",D24)))</formula>
    </cfRule>
    <cfRule type="containsText" dxfId="210" priority="32" operator="containsText" text="Amostra 19">
      <formula>NOT(ISERROR(SEARCH("Amostra 19",D24)))</formula>
    </cfRule>
    <cfRule type="containsText" dxfId="209" priority="33" operator="containsText" text="Amostra 18">
      <formula>NOT(ISERROR(SEARCH("Amostra 18",D24)))</formula>
    </cfRule>
    <cfRule type="containsText" dxfId="208" priority="34" operator="containsText" text="Amostra 17">
      <formula>NOT(ISERROR(SEARCH("Amostra 17",D24)))</formula>
    </cfRule>
    <cfRule type="containsText" dxfId="207" priority="35" operator="containsText" text="Amostra 16">
      <formula>NOT(ISERROR(SEARCH("Amostra 16",D24)))</formula>
    </cfRule>
    <cfRule type="containsText" dxfId="206" priority="36" operator="containsText" text="Amostra 15">
      <formula>NOT(ISERROR(SEARCH("Amostra 15",D24)))</formula>
    </cfRule>
    <cfRule type="containsText" dxfId="205" priority="37" operator="containsText" text="Amostra 14">
      <formula>NOT(ISERROR(SEARCH("Amostra 14",D24)))</formula>
    </cfRule>
    <cfRule type="containsText" dxfId="204" priority="38" operator="containsText" text="Amostra 13">
      <formula>NOT(ISERROR(SEARCH("Amostra 13",D24)))</formula>
    </cfRule>
    <cfRule type="containsText" dxfId="203" priority="39" operator="containsText" text="Amostra 12">
      <formula>NOT(ISERROR(SEARCH("Amostra 12",D24)))</formula>
    </cfRule>
    <cfRule type="containsText" dxfId="202" priority="40" operator="containsText" text="Amostra 11">
      <formula>NOT(ISERROR(SEARCH("Amostra 11",D24)))</formula>
    </cfRule>
    <cfRule type="containsText" dxfId="201" priority="41" operator="containsText" text="Amostra 10">
      <formula>NOT(ISERROR(SEARCH("Amostra 10",D24)))</formula>
    </cfRule>
    <cfRule type="containsText" dxfId="200" priority="42" operator="containsText" text="Amostra 9">
      <formula>NOT(ISERROR(SEARCH("Amostra 9",D24)))</formula>
    </cfRule>
    <cfRule type="containsText" dxfId="199" priority="43" operator="containsText" text="Amostra 8">
      <formula>NOT(ISERROR(SEARCH("Amostra 8",D24)))</formula>
    </cfRule>
    <cfRule type="containsText" dxfId="198" priority="44" operator="containsText" text="Amostra 7">
      <formula>NOT(ISERROR(SEARCH("Amostra 7",D24)))</formula>
    </cfRule>
    <cfRule type="containsText" dxfId="197" priority="45" operator="containsText" text="Amostra 6">
      <formula>NOT(ISERROR(SEARCH("Amostra 6",D24)))</formula>
    </cfRule>
    <cfRule type="containsText" dxfId="196" priority="46" operator="containsText" text="Amostra 5">
      <formula>NOT(ISERROR(SEARCH("Amostra 5",D24)))</formula>
    </cfRule>
    <cfRule type="containsText" dxfId="195" priority="47" operator="containsText" text="Amostra 4">
      <formula>NOT(ISERROR(SEARCH("Amostra 4",D24)))</formula>
    </cfRule>
    <cfRule type="containsText" dxfId="194" priority="48" operator="containsText" text="Amostra 3">
      <formula>NOT(ISERROR(SEARCH("Amostra 3",D24)))</formula>
    </cfRule>
    <cfRule type="containsText" dxfId="193" priority="49" operator="containsText" text="Amostra 2">
      <formula>NOT(ISERROR(SEARCH("Amostra 2",D24)))</formula>
    </cfRule>
    <cfRule type="containsText" dxfId="192" priority="50" operator="containsText" text="Amostra 1">
      <formula>NOT(ISERROR(SEARCH("Amostra 1",D24)))</formula>
    </cfRule>
  </conditionalFormatting>
  <conditionalFormatting sqref="I29">
    <cfRule type="containsText" dxfId="191" priority="1" operator="containsText" text="Água">
      <formula>NOT(ISERROR(SEARCH("Água",I29)))</formula>
    </cfRule>
    <cfRule type="containsText" dxfId="190" priority="2" operator="containsText" text="WT">
      <formula>NOT(ISERROR(SEARCH("WT",I29)))</formula>
    </cfRule>
    <cfRule type="containsText" dxfId="189" priority="3" operator="containsText" text="pos">
      <formula>NOT(ISERROR(SEARCH("pos",I29)))</formula>
    </cfRule>
    <cfRule type="containsText" dxfId="188" priority="4" operator="containsText" text="Amostra 22">
      <formula>NOT(ISERROR(SEARCH("Amostra 22",I29)))</formula>
    </cfRule>
    <cfRule type="containsText" dxfId="187" priority="5" operator="containsText" text="Amostra 21">
      <formula>NOT(ISERROR(SEARCH("Amostra 21",I29)))</formula>
    </cfRule>
    <cfRule type="containsText" dxfId="186" priority="6" operator="containsText" text="Amostra 20">
      <formula>NOT(ISERROR(SEARCH("Amostra 20",I29)))</formula>
    </cfRule>
    <cfRule type="containsText" dxfId="185" priority="7" operator="containsText" text="Amostra 19">
      <formula>NOT(ISERROR(SEARCH("Amostra 19",I29)))</formula>
    </cfRule>
    <cfRule type="containsText" dxfId="184" priority="8" operator="containsText" text="Amostra 18">
      <formula>NOT(ISERROR(SEARCH("Amostra 18",I29)))</formula>
    </cfRule>
    <cfRule type="containsText" dxfId="183" priority="9" operator="containsText" text="Amostra 17">
      <formula>NOT(ISERROR(SEARCH("Amostra 17",I29)))</formula>
    </cfRule>
    <cfRule type="containsText" dxfId="182" priority="10" operator="containsText" text="Amostra 16">
      <formula>NOT(ISERROR(SEARCH("Amostra 16",I29)))</formula>
    </cfRule>
    <cfRule type="containsText" dxfId="181" priority="11" operator="containsText" text="Amostra 15">
      <formula>NOT(ISERROR(SEARCH("Amostra 15",I29)))</formula>
    </cfRule>
    <cfRule type="containsText" dxfId="180" priority="12" operator="containsText" text="Amostra 14">
      <formula>NOT(ISERROR(SEARCH("Amostra 14",I29)))</formula>
    </cfRule>
    <cfRule type="containsText" dxfId="179" priority="13" operator="containsText" text="Amostra 13">
      <formula>NOT(ISERROR(SEARCH("Amostra 13",I29)))</formula>
    </cfRule>
    <cfRule type="containsText" dxfId="178" priority="14" operator="containsText" text="Amostra 12">
      <formula>NOT(ISERROR(SEARCH("Amostra 12",I29)))</formula>
    </cfRule>
    <cfRule type="containsText" dxfId="177" priority="15" operator="containsText" text="Amostra 11">
      <formula>NOT(ISERROR(SEARCH("Amostra 11",I29)))</formula>
    </cfRule>
    <cfRule type="containsText" dxfId="176" priority="16" operator="containsText" text="Amostra 10">
      <formula>NOT(ISERROR(SEARCH("Amostra 10",I29)))</formula>
    </cfRule>
    <cfRule type="containsText" dxfId="175" priority="17" operator="containsText" text="Amostra 9">
      <formula>NOT(ISERROR(SEARCH("Amostra 9",I29)))</formula>
    </cfRule>
    <cfRule type="containsText" dxfId="174" priority="18" operator="containsText" text="Amostra 8">
      <formula>NOT(ISERROR(SEARCH("Amostra 8",I29)))</formula>
    </cfRule>
    <cfRule type="containsText" dxfId="173" priority="19" operator="containsText" text="Amostra 7">
      <formula>NOT(ISERROR(SEARCH("Amostra 7",I29)))</formula>
    </cfRule>
    <cfRule type="containsText" dxfId="172" priority="20" operator="containsText" text="Amostra 6">
      <formula>NOT(ISERROR(SEARCH("Amostra 6",I29)))</formula>
    </cfRule>
    <cfRule type="containsText" dxfId="171" priority="21" operator="containsText" text="Amostra 5">
      <formula>NOT(ISERROR(SEARCH("Amostra 5",I29)))</formula>
    </cfRule>
    <cfRule type="containsText" dxfId="170" priority="22" operator="containsText" text="Amostra 4">
      <formula>NOT(ISERROR(SEARCH("Amostra 4",I29)))</formula>
    </cfRule>
    <cfRule type="containsText" dxfId="169" priority="23" operator="containsText" text="Amostra 3">
      <formula>NOT(ISERROR(SEARCH("Amostra 3",I29)))</formula>
    </cfRule>
    <cfRule type="containsText" dxfId="168" priority="24" operator="containsText" text="Amostra 2">
      <formula>NOT(ISERROR(SEARCH("Amostra 2",I29)))</formula>
    </cfRule>
    <cfRule type="containsText" dxfId="167" priority="25" operator="containsText" text="Amostra 1">
      <formula>NOT(ISERROR(SEARCH("Amostra 1",I29)))</formula>
    </cfRule>
  </conditionalFormatting>
  <dataValidations disablePrompts="1" count="1">
    <dataValidation type="whole" allowBlank="1" showInputMessage="1" showErrorMessage="1" sqref="C4" xr:uid="{394A99CF-D5EC-4380-A5A6-BA38FCDE1D58}">
      <formula1>1</formula1>
      <formula2>22</formula2>
    </dataValidation>
  </dataValidations>
  <printOptions headings="1"/>
  <pageMargins left="0.25" right="0.25" top="0.75" bottom="0.75" header="0.3" footer="0.3"/>
  <pageSetup paperSize="9" scale="60" orientation="landscape" r:id="rId1"/>
  <headerFooter>
    <oddHeader xml:space="preserve">&amp;L&amp;G&amp;RFQX.AA.BB – Formulário diluição de amostras RT-PCR – Revisão 00           </oddHead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2" operator="containsText" id="{067D1AB4-0E04-4494-837C-930DF6D7FC98}">
            <xm:f>NOT(ISERROR(SEARCH("-",C20)))</xm:f>
            <xm:f>"-"</xm:f>
            <x14:dxf>
              <fill>
                <patternFill>
                  <bgColor rgb="FFFFC000"/>
                </patternFill>
              </fill>
            </x14:dxf>
          </x14:cfRule>
          <xm:sqref>C20:M23 C24:C27 E24:M27</xm:sqref>
        </x14:conditionalFormatting>
        <x14:conditionalFormatting xmlns:xm="http://schemas.microsoft.com/office/excel/2006/main">
          <x14:cfRule type="containsText" priority="235" operator="containsText" id="{2F239DDA-FA88-4EF9-8283-357FA459806B}">
            <xm:f>NOT(ISERROR(SEARCH("-",K4)))</xm:f>
            <xm:f>"-"</xm:f>
            <x14:dxf>
              <fill>
                <patternFill>
                  <bgColor rgb="FFFFC000"/>
                </patternFill>
              </fill>
            </x14:dxf>
          </x14:cfRule>
          <xm:sqref>K4</xm:sqref>
        </x14:conditionalFormatting>
        <x14:conditionalFormatting xmlns:xm="http://schemas.microsoft.com/office/excel/2006/main">
          <x14:cfRule type="containsText" priority="209" operator="containsText" id="{95499DAF-EE16-496C-AE95-128FBFE938E5}">
            <xm:f>NOT(ISERROR(SEARCH("-",L4)))</xm:f>
            <xm:f>"-"</xm:f>
            <x14:dxf>
              <fill>
                <patternFill>
                  <bgColor rgb="FFFFC000"/>
                </patternFill>
              </fill>
            </x14:dxf>
          </x14:cfRule>
          <xm:sqref>L4:M4</xm:sqref>
        </x14:conditionalFormatting>
        <x14:conditionalFormatting xmlns:xm="http://schemas.microsoft.com/office/excel/2006/main">
          <x14:cfRule type="containsText" priority="183" operator="containsText" id="{E143F5BB-254D-4870-B236-09398A167499}">
            <xm:f>NOT(ISERROR(SEARCH("-",K5)))</xm:f>
            <xm:f>"-"</xm:f>
            <x14:dxf>
              <fill>
                <patternFill>
                  <bgColor rgb="FFFFC00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57" operator="containsText" id="{0B497017-AF78-455E-8CB7-BE94C6F73BDF}">
            <xm:f>NOT(ISERROR(SEARCH("-",L5)))</xm:f>
            <xm:f>"-"</xm:f>
            <x14:dxf>
              <fill>
                <patternFill>
                  <bgColor rgb="FFFFC000"/>
                </patternFill>
              </fill>
            </x14:dxf>
          </x14:cfRule>
          <xm:sqref>L5</xm:sqref>
        </x14:conditionalFormatting>
        <x14:conditionalFormatting xmlns:xm="http://schemas.microsoft.com/office/excel/2006/main">
          <x14:cfRule type="containsText" priority="77" operator="containsText" id="{4C43592B-D260-4498-9DA0-681D388478DE}">
            <xm:f>NOT(ISERROR(SEARCH("-",N20)))</xm:f>
            <xm:f>"-"</xm:f>
            <x14:dxf>
              <fill>
                <patternFill>
                  <bgColor rgb="FFFFC000"/>
                </patternFill>
              </fill>
            </x14:dxf>
          </x14:cfRule>
          <xm:sqref>N20:N27</xm:sqref>
        </x14:conditionalFormatting>
        <x14:conditionalFormatting xmlns:xm="http://schemas.microsoft.com/office/excel/2006/main">
          <x14:cfRule type="containsText" priority="51" operator="containsText" id="{23D2EFE2-0171-44D5-AD33-7F0B3E2C2B25}">
            <xm:f>NOT(ISERROR(SEARCH("-",D24)))</xm:f>
            <xm:f>"-"</xm:f>
            <x14:dxf>
              <fill>
                <patternFill>
                  <bgColor rgb="FFFFC000"/>
                </patternFill>
              </fill>
            </x14:dxf>
          </x14:cfRule>
          <xm:sqref>D24:D27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3BDDED7-0B49-485A-BBDF-5944918BC772}">
          <x14:formula1>
            <xm:f>'Calculos pré definidos'!$A$2:$A$10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Calculos pré definidos</vt:lpstr>
      <vt:lpstr>MODELO PLACA</vt:lpstr>
      <vt:lpstr>Tabela reagentes e lotes em uso</vt:lpstr>
      <vt:lpstr>PLACA-0031</vt:lpstr>
      <vt:lpstr>PLACA-0032</vt:lpstr>
      <vt:lpstr>PLACA-0033</vt:lpstr>
      <vt:lpstr>PLACA-0034</vt:lpstr>
      <vt:lpstr>PLACA-0035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Bertollo de Alexandre</dc:creator>
  <cp:lastModifiedBy>Rodrigo Bertollo de Alexandre</cp:lastModifiedBy>
  <cp:lastPrinted>2023-07-18T18:50:05Z</cp:lastPrinted>
  <dcterms:created xsi:type="dcterms:W3CDTF">2022-04-12T13:38:58Z</dcterms:created>
  <dcterms:modified xsi:type="dcterms:W3CDTF">2023-07-20T00:49:43Z</dcterms:modified>
</cp:coreProperties>
</file>