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isas trabalho X-Mol\Lab managing\"/>
    </mc:Choice>
  </mc:AlternateContent>
  <xr:revisionPtr revIDLastSave="0" documentId="13_ncr:1_{021B38BF-657B-47D8-9EAC-C7C6BDE77FE0}" xr6:coauthVersionLast="47" xr6:coauthVersionMax="47" xr10:uidLastSave="{00000000-0000-0000-0000-000000000000}"/>
  <bookViews>
    <workbookView xWindow="-120" yWindow="-120" windowWidth="29040" windowHeight="15720" tabRatio="982" activeTab="2" xr2:uid="{C523E456-2B6C-4844-ABB4-DDD3050A6470}"/>
  </bookViews>
  <sheets>
    <sheet name="Database" sheetId="2" r:id="rId1"/>
    <sheet name="SampleSheet Generator" sheetId="62" r:id="rId2"/>
    <sheet name="Controle de Preparo" sheetId="8" r:id="rId3"/>
    <sheet name="Modelo Run Illumina" sheetId="63" r:id="rId4"/>
    <sheet name="Folha de trabalho modelo" sheetId="9" r:id="rId5"/>
    <sheet name="20220812" sheetId="42" r:id="rId6"/>
    <sheet name="20220830" sheetId="41" r:id="rId7"/>
    <sheet name="20220912" sheetId="40" r:id="rId8"/>
    <sheet name="20221014-QiaSeq" sheetId="35" r:id="rId9"/>
    <sheet name="20221014-AmpliSeq" sheetId="36" r:id="rId10"/>
    <sheet name="20220929-QiaSeq V4" sheetId="17" r:id="rId11"/>
    <sheet name="20220802-AmpliSeq DNA" sheetId="10" r:id="rId12"/>
    <sheet name="20220810-AmpliSeq RNA" sheetId="12" r:id="rId13"/>
    <sheet name="20220810-AmpliSeq DNA" sheetId="11" r:id="rId14"/>
    <sheet name="20220824-QiaSeq V4" sheetId="14" r:id="rId15"/>
    <sheet name="20220826-AmpliSeq RNA" sheetId="16" r:id="rId16"/>
    <sheet name="20220826-AmpliSeq DNA" sheetId="15" r:id="rId17"/>
    <sheet name="20220822-QiaSeq V4" sheetId="13" r:id="rId18"/>
    <sheet name="20220906-QiaSeqV4" sheetId="7" r:id="rId19"/>
  </sheets>
  <externalReferences>
    <externalReference r:id="rId20"/>
  </externalReferences>
  <definedNames>
    <definedName name="_xlnm._FilterDatabase" localSheetId="2" hidden="1">'Controle de Preparo'!$A$1:$S$48</definedName>
    <definedName name="_xlnm._FilterDatabase" localSheetId="0" hidden="1">Database!$B$15:$F$110</definedName>
    <definedName name="MultiReplace">_xlfn.LAMBDA(_xlpm.text,_xlpm.old,_xlpm.new, IF(_xlpm.old&lt;&gt;"", MultiReplace(SUBSTITUTE(_xlpm.text, _xlpm.old, _xlpm.new), OFFSET(_xlpm.old, 1, 0), OFFSET(_xlpm.new, 1, 0)), _xlpm.text))</definedName>
    <definedName name="_xlnm.Print_Area" localSheetId="18">'20220906-QiaSeqV4'!$A$1:$M$77</definedName>
    <definedName name="_xlnm.Print_Area" localSheetId="9">'20221014-AmpliSeq'!$A$1:$AD$46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5" i="8" l="1" a="1"/>
  <c r="B39" i="8" a="1"/>
  <c r="B37" i="8" a="1"/>
  <c r="B35" i="8" a="1"/>
  <c r="B23" i="8" a="1"/>
  <c r="B17" i="8" a="1"/>
  <c r="B10" i="8" a="1"/>
  <c r="B5" i="8" a="1"/>
  <c r="B2" i="8" a="1"/>
  <c r="P47" i="8" l="1"/>
  <c r="O47" i="8"/>
  <c r="N47" i="8"/>
  <c r="Q46" i="8"/>
  <c r="N45" i="8"/>
  <c r="P46" i="8"/>
  <c r="O46" i="8"/>
  <c r="N46" i="8"/>
  <c r="Q48" i="8"/>
  <c r="S48" i="8" s="1"/>
  <c r="Q45" i="8"/>
  <c r="S45" i="8" s="1"/>
  <c r="N48" i="8"/>
  <c r="P48" i="8"/>
  <c r="P45" i="8"/>
  <c r="O48" i="8"/>
  <c r="O45" i="8"/>
  <c r="Q47" i="8"/>
  <c r="S47" i="8" s="1"/>
  <c r="B45" i="8"/>
  <c r="P44" i="8"/>
  <c r="Q41" i="8"/>
  <c r="S41" i="8" s="1"/>
  <c r="O44" i="8"/>
  <c r="P41" i="8"/>
  <c r="N44" i="8"/>
  <c r="O41" i="8"/>
  <c r="Q43" i="8"/>
  <c r="S43" i="8" s="1"/>
  <c r="N41" i="8"/>
  <c r="P43" i="8"/>
  <c r="Q40" i="8"/>
  <c r="S40" i="8" s="1"/>
  <c r="O43" i="8"/>
  <c r="P40" i="8"/>
  <c r="N43" i="8"/>
  <c r="O40" i="8"/>
  <c r="R40" i="8" s="1"/>
  <c r="N40" i="8"/>
  <c r="O42" i="8"/>
  <c r="Q42" i="8"/>
  <c r="S42" i="8" s="1"/>
  <c r="Q39" i="8"/>
  <c r="S39" i="8" s="1"/>
  <c r="P39" i="8"/>
  <c r="O39" i="8"/>
  <c r="P42" i="8"/>
  <c r="Q44" i="8"/>
  <c r="S44" i="8" s="1"/>
  <c r="N42" i="8"/>
  <c r="N39" i="8"/>
  <c r="B39" i="8"/>
  <c r="B37" i="8"/>
  <c r="Q38" i="8"/>
  <c r="S38" i="8" s="1"/>
  <c r="P38" i="8"/>
  <c r="O38" i="8"/>
  <c r="R38" i="8" s="1"/>
  <c r="N38" i="8"/>
  <c r="Q37" i="8"/>
  <c r="S37" i="8" s="1"/>
  <c r="P37" i="8"/>
  <c r="O37" i="8"/>
  <c r="N37" i="8"/>
  <c r="Q35" i="8"/>
  <c r="S35" i="8" s="1"/>
  <c r="P35" i="8"/>
  <c r="O35" i="8"/>
  <c r="N35" i="8"/>
  <c r="Q36" i="8"/>
  <c r="S36" i="8" s="1"/>
  <c r="O36" i="8"/>
  <c r="P36" i="8"/>
  <c r="N36" i="8"/>
  <c r="B35" i="8"/>
  <c r="Q32" i="8"/>
  <c r="S32" i="8" s="1"/>
  <c r="Q29" i="8"/>
  <c r="S29" i="8" s="1"/>
  <c r="Q26" i="8"/>
  <c r="S26" i="8" s="1"/>
  <c r="Q23" i="8"/>
  <c r="S23" i="8" s="1"/>
  <c r="O28" i="8"/>
  <c r="N27" i="8"/>
  <c r="P32" i="8"/>
  <c r="P29" i="8"/>
  <c r="P26" i="8"/>
  <c r="P23" i="8"/>
  <c r="P25" i="8"/>
  <c r="O34" i="8"/>
  <c r="O32" i="8"/>
  <c r="O29" i="8"/>
  <c r="R29" i="8" s="1"/>
  <c r="O26" i="8"/>
  <c r="O23" i="8"/>
  <c r="R23" i="8" s="1"/>
  <c r="P31" i="8"/>
  <c r="O31" i="8"/>
  <c r="N32" i="8"/>
  <c r="N29" i="8"/>
  <c r="N26" i="8"/>
  <c r="N23" i="8"/>
  <c r="O25" i="8"/>
  <c r="Q34" i="8"/>
  <c r="S34" i="8" s="1"/>
  <c r="Q31" i="8"/>
  <c r="S31" i="8" s="1"/>
  <c r="Q28" i="8"/>
  <c r="S28" i="8" s="1"/>
  <c r="Q25" i="8"/>
  <c r="S25" i="8" s="1"/>
  <c r="P28" i="8"/>
  <c r="P34" i="8"/>
  <c r="N34" i="8"/>
  <c r="N31" i="8"/>
  <c r="N28" i="8"/>
  <c r="N25" i="8"/>
  <c r="N24" i="8"/>
  <c r="Q33" i="8"/>
  <c r="S33" i="8" s="1"/>
  <c r="Q30" i="8"/>
  <c r="S30" i="8" s="1"/>
  <c r="Q27" i="8"/>
  <c r="S27" i="8" s="1"/>
  <c r="Q24" i="8"/>
  <c r="S24" i="8" s="1"/>
  <c r="P30" i="8"/>
  <c r="P27" i="8"/>
  <c r="P24" i="8"/>
  <c r="O30" i="8"/>
  <c r="O27" i="8"/>
  <c r="O24" i="8"/>
  <c r="P33" i="8"/>
  <c r="N33" i="8"/>
  <c r="O33" i="8"/>
  <c r="N30" i="8"/>
  <c r="B23" i="8"/>
  <c r="Q20" i="8"/>
  <c r="S20" i="8" s="1"/>
  <c r="Q17" i="8"/>
  <c r="S17" i="8" s="1"/>
  <c r="O19" i="8"/>
  <c r="P20" i="8"/>
  <c r="P17" i="8"/>
  <c r="O20" i="8"/>
  <c r="O17" i="8"/>
  <c r="N20" i="8"/>
  <c r="N17" i="8"/>
  <c r="Q22" i="8"/>
  <c r="S22" i="8" s="1"/>
  <c r="Q19" i="8"/>
  <c r="S19" i="8" s="1"/>
  <c r="N18" i="8"/>
  <c r="P22" i="8"/>
  <c r="P19" i="8"/>
  <c r="O22" i="8"/>
  <c r="N22" i="8"/>
  <c r="N19" i="8"/>
  <c r="Q21" i="8"/>
  <c r="S21" i="8" s="1"/>
  <c r="Q18" i="8"/>
  <c r="S18" i="8" s="1"/>
  <c r="N21" i="8"/>
  <c r="P21" i="8"/>
  <c r="P18" i="8"/>
  <c r="O18" i="8"/>
  <c r="O21" i="8"/>
  <c r="B17" i="8"/>
  <c r="R48" i="8"/>
  <c r="R47" i="8"/>
  <c r="O15" i="8"/>
  <c r="O12" i="8"/>
  <c r="N15" i="8"/>
  <c r="N12" i="8"/>
  <c r="Q14" i="8"/>
  <c r="S14" i="8" s="1"/>
  <c r="Q11" i="8"/>
  <c r="S11" i="8" s="1"/>
  <c r="P14" i="8"/>
  <c r="P11" i="8"/>
  <c r="O14" i="8"/>
  <c r="O11" i="8"/>
  <c r="Q16" i="8"/>
  <c r="S16" i="8" s="1"/>
  <c r="N14" i="8"/>
  <c r="N11" i="8"/>
  <c r="Q15" i="8"/>
  <c r="S15" i="8" s="1"/>
  <c r="P16" i="8"/>
  <c r="Q13" i="8"/>
  <c r="S13" i="8" s="1"/>
  <c r="Q10" i="8"/>
  <c r="S10" i="8" s="1"/>
  <c r="Q12" i="8"/>
  <c r="S12" i="8" s="1"/>
  <c r="O16" i="8"/>
  <c r="P13" i="8"/>
  <c r="P10" i="8"/>
  <c r="N16" i="8"/>
  <c r="O13" i="8"/>
  <c r="O10" i="8"/>
  <c r="N13" i="8"/>
  <c r="N10" i="8"/>
  <c r="P15" i="8"/>
  <c r="P12" i="8"/>
  <c r="B10" i="8"/>
  <c r="O9" i="8"/>
  <c r="P6" i="8"/>
  <c r="N9" i="8"/>
  <c r="O6" i="8"/>
  <c r="N6" i="8"/>
  <c r="O7" i="8"/>
  <c r="N7" i="8"/>
  <c r="Q8" i="8"/>
  <c r="S8" i="8" s="1"/>
  <c r="Q5" i="8"/>
  <c r="S5" i="8" s="1"/>
  <c r="P8" i="8"/>
  <c r="P5" i="8"/>
  <c r="O8" i="8"/>
  <c r="O5" i="8"/>
  <c r="N8" i="8"/>
  <c r="N5" i="8"/>
  <c r="Q7" i="8"/>
  <c r="S7" i="8" s="1"/>
  <c r="P7" i="8"/>
  <c r="Q9" i="8"/>
  <c r="S9" i="8" s="1"/>
  <c r="P9" i="8"/>
  <c r="Q6" i="8"/>
  <c r="S6" i="8" s="1"/>
  <c r="B5" i="8"/>
  <c r="P3" i="8"/>
  <c r="Q3" i="8"/>
  <c r="S3" i="8" s="1"/>
  <c r="O3" i="8"/>
  <c r="N3" i="8"/>
  <c r="Q2" i="8"/>
  <c r="S2" i="8" s="1"/>
  <c r="P2" i="8"/>
  <c r="O2" i="8"/>
  <c r="N2" i="8"/>
  <c r="Q4" i="8"/>
  <c r="S4" i="8" s="1"/>
  <c r="P4" i="8"/>
  <c r="O4" i="8"/>
  <c r="N4" i="8"/>
  <c r="B2" i="8"/>
  <c r="S46" i="8"/>
  <c r="R32" i="8"/>
  <c r="R46" i="8" l="1"/>
  <c r="R44" i="8"/>
  <c r="R43" i="8"/>
  <c r="R33" i="8"/>
  <c r="R18" i="8"/>
  <c r="R41" i="8"/>
  <c r="R36" i="8"/>
  <c r="R45" i="8"/>
  <c r="R42" i="8"/>
  <c r="R39" i="8"/>
  <c r="R22" i="8"/>
  <c r="R37" i="8"/>
  <c r="R35" i="8"/>
  <c r="R26" i="8"/>
  <c r="R25" i="8"/>
  <c r="R31" i="8"/>
  <c r="R13" i="8"/>
  <c r="R28" i="8"/>
  <c r="R20" i="8"/>
  <c r="R27" i="8"/>
  <c r="R14" i="8"/>
  <c r="R5" i="8"/>
  <c r="R34" i="8"/>
  <c r="R24" i="8"/>
  <c r="R30" i="8"/>
  <c r="R17" i="8"/>
  <c r="R19" i="8"/>
  <c r="R7" i="8"/>
  <c r="R21" i="8"/>
  <c r="R11" i="8"/>
  <c r="R10" i="8"/>
  <c r="R16" i="8"/>
  <c r="R12" i="8"/>
  <c r="R15" i="8"/>
  <c r="R3" i="8"/>
  <c r="R8" i="8"/>
  <c r="R6" i="8"/>
  <c r="R9" i="8"/>
  <c r="R4" i="8"/>
  <c r="R2" i="8"/>
  <c r="F11" i="9" l="1"/>
  <c r="F10" i="9"/>
  <c r="F9" i="9"/>
  <c r="Y41" i="63" l="1"/>
  <c r="Y42" i="63"/>
  <c r="Y43" i="63"/>
  <c r="Y35" i="63" l="1"/>
  <c r="AF24" i="63" l="1"/>
  <c r="AH24" i="63" s="1"/>
  <c r="AH25" i="63" s="1"/>
  <c r="Y24" i="63"/>
  <c r="AA24" i="63" s="1"/>
  <c r="AA25" i="63" s="1"/>
  <c r="R24" i="63"/>
  <c r="T24" i="63" s="1"/>
  <c r="T25" i="63" s="1"/>
  <c r="AF15" i="63"/>
  <c r="AH15" i="63" s="1"/>
  <c r="AH16" i="63" s="1"/>
  <c r="Y15" i="63"/>
  <c r="AA15" i="63" s="1"/>
  <c r="AA16" i="63" s="1"/>
  <c r="R15" i="63"/>
  <c r="T15" i="63" s="1"/>
  <c r="T16" i="63" s="1"/>
  <c r="AF6" i="63"/>
  <c r="AH6" i="63" s="1"/>
  <c r="AH7" i="63" s="1"/>
  <c r="Y6" i="63"/>
  <c r="AA6" i="63" s="1"/>
  <c r="AA7" i="63" s="1"/>
  <c r="R6" i="63"/>
  <c r="T6" i="63" s="1"/>
  <c r="T7" i="63" s="1"/>
  <c r="B6" i="2"/>
  <c r="B5" i="62"/>
  <c r="D59" i="9" l="1"/>
  <c r="B11" i="2"/>
  <c r="B10" i="2"/>
  <c r="B9" i="2"/>
  <c r="B8" i="2"/>
  <c r="B7" i="2"/>
  <c r="C58" i="9" a="1"/>
  <c r="B60" i="9" a="1"/>
  <c r="C59" i="9" a="1"/>
  <c r="B58" i="9" a="1"/>
  <c r="B59" i="9" a="1"/>
  <c r="D58" i="9" a="1"/>
  <c r="D60" i="9" a="1"/>
  <c r="B61" i="9" a="1"/>
  <c r="D61" i="9" a="1"/>
  <c r="B65" i="9" a="1"/>
  <c r="B66" i="9" a="1"/>
  <c r="C60" i="9" a="1"/>
  <c r="C61" i="9" a="1"/>
  <c r="C65" i="9" a="1"/>
  <c r="D65" i="9" a="1"/>
  <c r="C58" i="9" l="1"/>
  <c r="B59" i="9"/>
  <c r="B66" i="9"/>
  <c r="C59" i="9"/>
  <c r="B60" i="9"/>
  <c r="C60" i="9"/>
  <c r="D60" i="9"/>
  <c r="B61" i="9"/>
  <c r="B62" i="9" s="1"/>
  <c r="C61" i="9"/>
  <c r="D61" i="9"/>
  <c r="B58" i="9"/>
  <c r="B65" i="9"/>
  <c r="C65" i="9"/>
  <c r="D58" i="9"/>
  <c r="D65" i="9"/>
  <c r="D62" i="9" l="1"/>
  <c r="C62" i="9"/>
  <c r="L51" i="9" a="1"/>
  <c r="L50" i="9" a="1"/>
  <c r="K51" i="9" a="1"/>
  <c r="J51" i="9" a="1"/>
  <c r="K50" i="9" a="1"/>
  <c r="J50" i="9" a="1"/>
  <c r="K51" i="9" l="1"/>
  <c r="L51" i="9"/>
  <c r="J51" i="9"/>
  <c r="J52" i="9" s="1"/>
  <c r="K50" i="9"/>
  <c r="L50" i="9"/>
  <c r="J50" i="9"/>
  <c r="F45" i="9" a="1"/>
  <c r="G45" i="9" a="1"/>
  <c r="H45" i="9" a="1"/>
  <c r="K52" i="9" l="1"/>
  <c r="L52" i="9"/>
  <c r="H45" i="9"/>
  <c r="F45" i="9"/>
  <c r="G45" i="9"/>
  <c r="F46" i="9" l="1"/>
  <c r="G46" i="9"/>
  <c r="L31" i="9" l="1"/>
  <c r="L30" i="9"/>
  <c r="L29" i="9"/>
  <c r="L28" i="9"/>
  <c r="L27" i="9"/>
  <c r="L26" i="9"/>
  <c r="L25" i="9"/>
  <c r="L24" i="9"/>
  <c r="L23" i="9"/>
  <c r="L22" i="9"/>
  <c r="L21" i="9"/>
  <c r="L20" i="9"/>
  <c r="L19" i="9"/>
  <c r="L18" i="9"/>
  <c r="L17" i="9"/>
  <c r="L16" i="9"/>
  <c r="L15" i="9"/>
  <c r="L14" i="9"/>
  <c r="L13" i="9"/>
  <c r="L12" i="9"/>
  <c r="L11" i="9"/>
  <c r="L10" i="9"/>
  <c r="L9" i="9"/>
  <c r="L8" i="9"/>
  <c r="I31" i="9"/>
  <c r="I30" i="9"/>
  <c r="I29" i="9"/>
  <c r="I28" i="9"/>
  <c r="I27" i="9"/>
  <c r="I26" i="9"/>
  <c r="I25" i="9"/>
  <c r="I24" i="9"/>
  <c r="I23" i="9"/>
  <c r="I22" i="9"/>
  <c r="I21" i="9"/>
  <c r="I20" i="9"/>
  <c r="I19" i="9"/>
  <c r="I18" i="9"/>
  <c r="I17" i="9"/>
  <c r="I16" i="9"/>
  <c r="I15" i="9"/>
  <c r="I14" i="9"/>
  <c r="I13" i="9"/>
  <c r="I12" i="9"/>
  <c r="I11" i="9"/>
  <c r="I10" i="9"/>
  <c r="I9" i="9"/>
  <c r="AB35" i="63"/>
  <c r="C68" i="9" a="1"/>
  <c r="D68" i="9" a="1"/>
  <c r="D66" i="9" a="1"/>
  <c r="C67" i="9" a="1"/>
  <c r="C66" i="9" a="1"/>
  <c r="B68" i="9" a="1"/>
  <c r="B67" i="9" a="1"/>
  <c r="D67" i="9" a="1"/>
  <c r="C66" i="9" l="1"/>
  <c r="D66" i="9"/>
  <c r="B67" i="9"/>
  <c r="C67" i="9"/>
  <c r="D67" i="9"/>
  <c r="B68" i="9"/>
  <c r="C68" i="9"/>
  <c r="D68" i="9"/>
  <c r="AB44" i="63"/>
  <c r="T37" i="63"/>
  <c r="T38" i="63" s="1"/>
  <c r="T43" i="63"/>
  <c r="T44" i="63" s="1"/>
  <c r="Y44" i="63"/>
  <c r="A11" i="62" l="1"/>
  <c r="A12" i="62"/>
  <c r="D64" i="9" l="1"/>
  <c r="C64" i="9"/>
  <c r="B64" i="9"/>
  <c r="G57" i="9"/>
  <c r="F57" i="9"/>
  <c r="D57" i="9"/>
  <c r="C57" i="9"/>
  <c r="B57" i="9"/>
  <c r="J44" i="9" a="1"/>
  <c r="H38" i="9" a="1"/>
  <c r="G38" i="9" a="1"/>
  <c r="H37" i="9" a="1"/>
  <c r="K44" i="9" a="1"/>
  <c r="F37" i="9" a="1"/>
  <c r="F38" i="9" a="1"/>
  <c r="L44" i="9" a="1"/>
  <c r="G37" i="9" a="1"/>
  <c r="K44" i="9" l="1"/>
  <c r="H37" i="9"/>
  <c r="G37" i="9"/>
  <c r="F38" i="9"/>
  <c r="G39" i="9" s="1"/>
  <c r="F37" i="9"/>
  <c r="G38" i="9"/>
  <c r="F39" i="9" s="1"/>
  <c r="H38" i="9"/>
  <c r="J44" i="9"/>
  <c r="J45" i="9" s="1"/>
  <c r="L44" i="9"/>
  <c r="L49" i="9"/>
  <c r="K49" i="9"/>
  <c r="J49" i="9"/>
  <c r="A21" i="62"/>
  <c r="H43" i="9" a="1"/>
  <c r="G44" i="9" a="1"/>
  <c r="L43" i="9" a="1"/>
  <c r="G43" i="9" a="1"/>
  <c r="H44" i="9" a="1"/>
  <c r="J43" i="9" a="1"/>
  <c r="A20" i="62"/>
  <c r="F43" i="9" a="1"/>
  <c r="A15" i="62"/>
  <c r="K43" i="9" a="1"/>
  <c r="F44" i="9" a="1"/>
  <c r="H44" i="9" l="1"/>
  <c r="F43" i="9"/>
  <c r="G43" i="9"/>
  <c r="H43" i="9"/>
  <c r="G44" i="9"/>
  <c r="L43" i="9"/>
  <c r="F44" i="9"/>
  <c r="K43" i="9"/>
  <c r="J43" i="9"/>
  <c r="K45" i="9"/>
  <c r="L45" i="9"/>
  <c r="H39" i="9"/>
  <c r="L42" i="9"/>
  <c r="K42" i="9"/>
  <c r="J42" i="9"/>
  <c r="H42" i="9"/>
  <c r="G42" i="9"/>
  <c r="F42" i="9"/>
  <c r="H46" i="9" l="1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499" i="2"/>
  <c r="R500" i="2"/>
  <c r="R501" i="2"/>
  <c r="R502" i="2"/>
  <c r="R503" i="2"/>
  <c r="R504" i="2"/>
  <c r="R505" i="2"/>
  <c r="R506" i="2"/>
  <c r="R507" i="2"/>
  <c r="R508" i="2"/>
  <c r="R509" i="2"/>
  <c r="R510" i="2"/>
  <c r="R511" i="2"/>
  <c r="R512" i="2"/>
  <c r="R513" i="2"/>
  <c r="R514" i="2"/>
  <c r="R515" i="2"/>
  <c r="R516" i="2"/>
  <c r="R517" i="2"/>
  <c r="R518" i="2"/>
  <c r="R519" i="2"/>
  <c r="R520" i="2"/>
  <c r="R521" i="2"/>
  <c r="R522" i="2"/>
  <c r="R523" i="2"/>
  <c r="R524" i="2"/>
  <c r="R525" i="2"/>
  <c r="R526" i="2"/>
  <c r="R527" i="2"/>
  <c r="R528" i="2"/>
  <c r="R529" i="2"/>
  <c r="R530" i="2"/>
  <c r="R531" i="2"/>
  <c r="R532" i="2"/>
  <c r="R533" i="2"/>
  <c r="R534" i="2"/>
  <c r="R535" i="2"/>
  <c r="R536" i="2"/>
  <c r="R537" i="2"/>
  <c r="R538" i="2"/>
  <c r="R539" i="2"/>
  <c r="R540" i="2"/>
  <c r="R541" i="2"/>
  <c r="R542" i="2"/>
  <c r="R543" i="2"/>
  <c r="R544" i="2"/>
  <c r="R545" i="2"/>
  <c r="R546" i="2"/>
  <c r="R547" i="2"/>
  <c r="R548" i="2"/>
  <c r="R549" i="2"/>
  <c r="R550" i="2"/>
  <c r="R551" i="2"/>
  <c r="R552" i="2"/>
  <c r="R553" i="2"/>
  <c r="R554" i="2"/>
  <c r="R555" i="2"/>
  <c r="R556" i="2"/>
  <c r="R557" i="2"/>
  <c r="R558" i="2"/>
  <c r="R559" i="2"/>
  <c r="R560" i="2"/>
  <c r="R561" i="2"/>
  <c r="R562" i="2"/>
  <c r="R563" i="2"/>
  <c r="R564" i="2"/>
  <c r="R565" i="2"/>
  <c r="R566" i="2"/>
  <c r="R567" i="2"/>
  <c r="R568" i="2"/>
  <c r="R569" i="2"/>
  <c r="R570" i="2"/>
  <c r="R571" i="2"/>
  <c r="R572" i="2"/>
  <c r="R573" i="2"/>
  <c r="R574" i="2"/>
  <c r="R575" i="2"/>
  <c r="R576" i="2"/>
  <c r="R577" i="2"/>
  <c r="R578" i="2"/>
  <c r="R579" i="2"/>
  <c r="R580" i="2"/>
  <c r="R581" i="2"/>
  <c r="R582" i="2"/>
  <c r="R583" i="2"/>
  <c r="R584" i="2"/>
  <c r="R585" i="2"/>
  <c r="R586" i="2"/>
  <c r="R587" i="2"/>
  <c r="R588" i="2"/>
  <c r="R589" i="2"/>
  <c r="R590" i="2"/>
  <c r="R591" i="2"/>
  <c r="R592" i="2"/>
  <c r="R593" i="2"/>
  <c r="R594" i="2"/>
  <c r="R595" i="2"/>
  <c r="R596" i="2"/>
  <c r="R597" i="2"/>
  <c r="R598" i="2"/>
  <c r="R599" i="2"/>
  <c r="R600" i="2"/>
  <c r="R601" i="2"/>
  <c r="R602" i="2"/>
  <c r="R603" i="2"/>
  <c r="R604" i="2"/>
  <c r="R605" i="2"/>
  <c r="R606" i="2"/>
  <c r="R607" i="2"/>
  <c r="R608" i="2"/>
  <c r="R609" i="2"/>
  <c r="R610" i="2"/>
  <c r="R611" i="2"/>
  <c r="R612" i="2"/>
  <c r="R613" i="2"/>
  <c r="R614" i="2"/>
  <c r="R615" i="2"/>
  <c r="R616" i="2"/>
  <c r="R617" i="2"/>
  <c r="R618" i="2"/>
  <c r="R619" i="2"/>
  <c r="R620" i="2"/>
  <c r="R621" i="2"/>
  <c r="R622" i="2"/>
  <c r="R623" i="2"/>
  <c r="R624" i="2"/>
  <c r="R625" i="2"/>
  <c r="R626" i="2"/>
  <c r="R627" i="2"/>
  <c r="R628" i="2"/>
  <c r="R629" i="2"/>
  <c r="R630" i="2"/>
  <c r="R631" i="2"/>
  <c r="R632" i="2"/>
  <c r="R633" i="2"/>
  <c r="R634" i="2"/>
  <c r="R635" i="2"/>
  <c r="R636" i="2"/>
  <c r="R637" i="2"/>
  <c r="R638" i="2"/>
  <c r="R639" i="2"/>
  <c r="R640" i="2"/>
  <c r="R641" i="2"/>
  <c r="R642" i="2"/>
  <c r="R643" i="2"/>
  <c r="R644" i="2"/>
  <c r="R645" i="2"/>
  <c r="R646" i="2"/>
  <c r="R647" i="2"/>
  <c r="R648" i="2"/>
  <c r="R649" i="2"/>
  <c r="R650" i="2"/>
  <c r="R651" i="2"/>
  <c r="R652" i="2"/>
  <c r="R653" i="2"/>
  <c r="R654" i="2"/>
  <c r="R655" i="2"/>
  <c r="R656" i="2"/>
  <c r="R657" i="2"/>
  <c r="R658" i="2"/>
  <c r="R659" i="2"/>
  <c r="R660" i="2"/>
  <c r="R661" i="2"/>
  <c r="R662" i="2"/>
  <c r="R663" i="2"/>
  <c r="R664" i="2"/>
  <c r="R665" i="2"/>
  <c r="R666" i="2"/>
  <c r="R667" i="2"/>
  <c r="R668" i="2"/>
  <c r="R669" i="2"/>
  <c r="R670" i="2"/>
  <c r="R671" i="2"/>
  <c r="R672" i="2"/>
  <c r="R673" i="2"/>
  <c r="R674" i="2"/>
  <c r="R675" i="2"/>
  <c r="R676" i="2"/>
  <c r="R677" i="2"/>
  <c r="R678" i="2"/>
  <c r="R679" i="2"/>
  <c r="R680" i="2"/>
  <c r="R681" i="2"/>
  <c r="R682" i="2"/>
  <c r="R683" i="2"/>
  <c r="R684" i="2"/>
  <c r="R685" i="2"/>
  <c r="R686" i="2"/>
  <c r="R687" i="2"/>
  <c r="R688" i="2"/>
  <c r="R689" i="2"/>
  <c r="R690" i="2"/>
  <c r="R691" i="2"/>
  <c r="R692" i="2"/>
  <c r="R693" i="2"/>
  <c r="R694" i="2"/>
  <c r="R695" i="2"/>
  <c r="R696" i="2"/>
  <c r="R697" i="2"/>
  <c r="R698" i="2"/>
  <c r="R699" i="2"/>
  <c r="R700" i="2"/>
  <c r="R701" i="2"/>
  <c r="R702" i="2"/>
  <c r="R703" i="2"/>
  <c r="R704" i="2"/>
  <c r="R705" i="2"/>
  <c r="R706" i="2"/>
  <c r="R707" i="2"/>
  <c r="R708" i="2"/>
  <c r="R709" i="2"/>
  <c r="R710" i="2"/>
  <c r="R711" i="2"/>
  <c r="R712" i="2"/>
  <c r="R713" i="2"/>
  <c r="R714" i="2"/>
  <c r="R715" i="2"/>
  <c r="R716" i="2"/>
  <c r="R717" i="2"/>
  <c r="R718" i="2"/>
  <c r="R719" i="2"/>
  <c r="R720" i="2"/>
  <c r="R721" i="2"/>
  <c r="R722" i="2"/>
  <c r="R723" i="2"/>
  <c r="R724" i="2"/>
  <c r="R725" i="2"/>
  <c r="R726" i="2"/>
  <c r="R727" i="2"/>
  <c r="R728" i="2"/>
  <c r="R729" i="2"/>
  <c r="R730" i="2"/>
  <c r="R731" i="2"/>
  <c r="R732" i="2"/>
  <c r="R733" i="2"/>
  <c r="R734" i="2"/>
  <c r="R735" i="2"/>
  <c r="R736" i="2"/>
  <c r="R737" i="2"/>
  <c r="R738" i="2"/>
  <c r="R739" i="2"/>
  <c r="R740" i="2"/>
  <c r="R741" i="2"/>
  <c r="R742" i="2"/>
  <c r="R743" i="2"/>
  <c r="R744" i="2"/>
  <c r="R745" i="2"/>
  <c r="R746" i="2"/>
  <c r="R747" i="2"/>
  <c r="R748" i="2"/>
  <c r="R749" i="2"/>
  <c r="R750" i="2"/>
  <c r="R751" i="2"/>
  <c r="R752" i="2"/>
  <c r="R753" i="2"/>
  <c r="R754" i="2"/>
  <c r="R755" i="2"/>
  <c r="R756" i="2"/>
  <c r="R757" i="2"/>
  <c r="R758" i="2"/>
  <c r="R759" i="2"/>
  <c r="R760" i="2"/>
  <c r="R761" i="2"/>
  <c r="R762" i="2"/>
  <c r="R763" i="2"/>
  <c r="R764" i="2"/>
  <c r="R765" i="2"/>
  <c r="R766" i="2"/>
  <c r="R767" i="2"/>
  <c r="R768" i="2"/>
  <c r="R769" i="2"/>
  <c r="R770" i="2"/>
  <c r="R771" i="2"/>
  <c r="R772" i="2"/>
  <c r="R773" i="2"/>
  <c r="R774" i="2"/>
  <c r="R775" i="2"/>
  <c r="R776" i="2"/>
  <c r="R777" i="2"/>
  <c r="R778" i="2"/>
  <c r="R779" i="2"/>
  <c r="R780" i="2"/>
  <c r="R781" i="2"/>
  <c r="R782" i="2"/>
  <c r="R783" i="2"/>
  <c r="R784" i="2"/>
  <c r="R785" i="2"/>
  <c r="R786" i="2"/>
  <c r="R787" i="2"/>
  <c r="R788" i="2"/>
  <c r="R789" i="2"/>
  <c r="R790" i="2"/>
  <c r="R791" i="2"/>
  <c r="R792" i="2"/>
  <c r="R793" i="2"/>
  <c r="R794" i="2"/>
  <c r="R795" i="2"/>
  <c r="R796" i="2"/>
  <c r="R797" i="2"/>
  <c r="R798" i="2"/>
  <c r="R799" i="2"/>
  <c r="R800" i="2"/>
  <c r="R801" i="2"/>
  <c r="R802" i="2"/>
  <c r="R803" i="2"/>
  <c r="R804" i="2"/>
  <c r="R805" i="2"/>
  <c r="R806" i="2"/>
  <c r="R807" i="2"/>
  <c r="R808" i="2"/>
  <c r="R809" i="2"/>
  <c r="R810" i="2"/>
  <c r="R811" i="2"/>
  <c r="R812" i="2"/>
  <c r="R813" i="2"/>
  <c r="R814" i="2"/>
  <c r="R815" i="2"/>
  <c r="R816" i="2"/>
  <c r="R817" i="2"/>
  <c r="R818" i="2"/>
  <c r="R819" i="2"/>
  <c r="R820" i="2"/>
  <c r="R821" i="2"/>
  <c r="R822" i="2"/>
  <c r="R823" i="2"/>
  <c r="R824" i="2"/>
  <c r="R825" i="2"/>
  <c r="R826" i="2"/>
  <c r="R827" i="2"/>
  <c r="R828" i="2"/>
  <c r="R829" i="2"/>
  <c r="R830" i="2"/>
  <c r="R831" i="2"/>
  <c r="R832" i="2"/>
  <c r="R833" i="2"/>
  <c r="R834" i="2"/>
  <c r="R835" i="2"/>
  <c r="R836" i="2"/>
  <c r="R837" i="2"/>
  <c r="R838" i="2"/>
  <c r="R839" i="2"/>
  <c r="R840" i="2"/>
  <c r="R841" i="2"/>
  <c r="R842" i="2"/>
  <c r="R843" i="2"/>
  <c r="R844" i="2"/>
  <c r="R845" i="2"/>
  <c r="R846" i="2"/>
  <c r="R847" i="2"/>
  <c r="R848" i="2"/>
  <c r="R849" i="2"/>
  <c r="R850" i="2"/>
  <c r="R851" i="2"/>
  <c r="R852" i="2"/>
  <c r="R853" i="2"/>
  <c r="R854" i="2"/>
  <c r="R855" i="2"/>
  <c r="R856" i="2"/>
  <c r="R857" i="2"/>
  <c r="R858" i="2"/>
  <c r="R859" i="2"/>
  <c r="R860" i="2"/>
  <c r="R861" i="2"/>
  <c r="R862" i="2"/>
  <c r="R863" i="2"/>
  <c r="R864" i="2"/>
  <c r="B7" i="9"/>
  <c r="M7" i="9" l="1"/>
  <c r="C33" i="9" a="1"/>
  <c r="C33" i="9" s="1"/>
  <c r="B33" i="9"/>
  <c r="D31" i="9"/>
  <c r="B31" i="9"/>
  <c r="C31" i="9" s="1"/>
  <c r="D30" i="9"/>
  <c r="B30" i="9"/>
  <c r="C30" i="9" s="1"/>
  <c r="D29" i="9"/>
  <c r="B29" i="9"/>
  <c r="C29" i="9" s="1"/>
  <c r="D28" i="9"/>
  <c r="B28" i="9"/>
  <c r="C28" i="9" s="1"/>
  <c r="D27" i="9"/>
  <c r="B27" i="9"/>
  <c r="C27" i="9" s="1"/>
  <c r="D26" i="9"/>
  <c r="B26" i="9"/>
  <c r="C26" i="9" s="1"/>
  <c r="D25" i="9"/>
  <c r="B25" i="9"/>
  <c r="C25" i="9" s="1"/>
  <c r="D24" i="9"/>
  <c r="B24" i="9"/>
  <c r="C24" i="9" s="1"/>
  <c r="D23" i="9"/>
  <c r="B23" i="9"/>
  <c r="C23" i="9" s="1"/>
  <c r="D22" i="9"/>
  <c r="B22" i="9"/>
  <c r="C22" i="9" s="1"/>
  <c r="D21" i="9"/>
  <c r="B21" i="9"/>
  <c r="C21" i="9" s="1"/>
  <c r="D20" i="9"/>
  <c r="B20" i="9"/>
  <c r="C20" i="9" s="1"/>
  <c r="D19" i="9"/>
  <c r="B19" i="9"/>
  <c r="C19" i="9" s="1"/>
  <c r="D18" i="9"/>
  <c r="B18" i="9"/>
  <c r="C18" i="9" s="1"/>
  <c r="D17" i="9"/>
  <c r="B17" i="9"/>
  <c r="C17" i="9" s="1"/>
  <c r="D16" i="9"/>
  <c r="B16" i="9"/>
  <c r="C16" i="9" s="1"/>
  <c r="D15" i="9"/>
  <c r="B15" i="9"/>
  <c r="C15" i="9" s="1"/>
  <c r="D14" i="9"/>
  <c r="B14" i="9"/>
  <c r="C14" i="9" s="1"/>
  <c r="D13" i="9"/>
  <c r="B13" i="9"/>
  <c r="C13" i="9" s="1"/>
  <c r="D12" i="9"/>
  <c r="B12" i="9"/>
  <c r="C12" i="9" s="1"/>
  <c r="D11" i="9"/>
  <c r="B11" i="9"/>
  <c r="C11" i="9" s="1"/>
  <c r="D10" i="9"/>
  <c r="B10" i="9"/>
  <c r="C10" i="9" s="1"/>
  <c r="D9" i="9"/>
  <c r="B9" i="9"/>
  <c r="C9" i="9" s="1"/>
  <c r="D8" i="9"/>
  <c r="B8" i="9"/>
  <c r="C8" i="9" s="1"/>
  <c r="K7" i="9"/>
  <c r="J7" i="9"/>
  <c r="I7" i="9"/>
  <c r="H7" i="9"/>
  <c r="G7" i="9"/>
  <c r="F7" i="9"/>
  <c r="E7" i="9"/>
  <c r="D7" i="9"/>
  <c r="J72" i="9" l="1"/>
  <c r="M78" i="9"/>
  <c r="C72" i="9"/>
  <c r="M65" i="9"/>
  <c r="M62" i="9"/>
  <c r="M60" i="9"/>
  <c r="L65" i="9"/>
  <c r="L62" i="9"/>
  <c r="L60" i="9"/>
  <c r="L59" i="9"/>
  <c r="K65" i="9"/>
  <c r="K62" i="9"/>
  <c r="K60" i="9"/>
  <c r="L64" i="9"/>
  <c r="M61" i="9"/>
  <c r="L61" i="9"/>
  <c r="K61" i="9"/>
  <c r="M63" i="9"/>
  <c r="M58" i="9"/>
  <c r="L63" i="9"/>
  <c r="L58" i="9"/>
  <c r="K63" i="9"/>
  <c r="K58" i="9"/>
  <c r="M64" i="9"/>
  <c r="M59" i="9"/>
  <c r="K64" i="9"/>
  <c r="K59" i="9"/>
  <c r="C71" i="9"/>
  <c r="B71" i="9"/>
  <c r="B72" i="9"/>
  <c r="B73" i="9"/>
  <c r="B74" i="9"/>
  <c r="B75" i="9"/>
  <c r="B76" i="9"/>
  <c r="B77" i="9"/>
  <c r="B78" i="9"/>
  <c r="C78" i="9"/>
  <c r="D71" i="9"/>
  <c r="D72" i="9"/>
  <c r="D73" i="9"/>
  <c r="D74" i="9"/>
  <c r="D75" i="9"/>
  <c r="D76" i="9"/>
  <c r="D77" i="9"/>
  <c r="D78" i="9"/>
  <c r="C77" i="9"/>
  <c r="E71" i="9"/>
  <c r="E72" i="9"/>
  <c r="E73" i="9"/>
  <c r="E74" i="9"/>
  <c r="E75" i="9"/>
  <c r="E76" i="9"/>
  <c r="E77" i="9"/>
  <c r="E78" i="9"/>
  <c r="C76" i="9"/>
  <c r="F71" i="9"/>
  <c r="F72" i="9"/>
  <c r="F73" i="9"/>
  <c r="F74" i="9"/>
  <c r="F75" i="9"/>
  <c r="F76" i="9"/>
  <c r="F77" i="9"/>
  <c r="F78" i="9"/>
  <c r="C75" i="9"/>
  <c r="G71" i="9"/>
  <c r="G72" i="9"/>
  <c r="G73" i="9"/>
  <c r="G74" i="9"/>
  <c r="G75" i="9"/>
  <c r="G76" i="9"/>
  <c r="G77" i="9"/>
  <c r="G78" i="9"/>
  <c r="C73" i="9"/>
  <c r="H71" i="9"/>
  <c r="H72" i="9"/>
  <c r="H73" i="9"/>
  <c r="H74" i="9"/>
  <c r="H75" i="9"/>
  <c r="H76" i="9"/>
  <c r="H77" i="9"/>
  <c r="H78" i="9"/>
  <c r="C74" i="9"/>
  <c r="I71" i="9"/>
  <c r="I72" i="9"/>
  <c r="I73" i="9"/>
  <c r="I74" i="9"/>
  <c r="I75" i="9"/>
  <c r="I76" i="9"/>
  <c r="I77" i="9"/>
  <c r="I78" i="9"/>
  <c r="J71" i="9"/>
  <c r="J73" i="9"/>
  <c r="J74" i="9"/>
  <c r="J75" i="9"/>
  <c r="J76" i="9"/>
  <c r="J77" i="9"/>
  <c r="J78" i="9"/>
  <c r="K71" i="9"/>
  <c r="K72" i="9"/>
  <c r="K73" i="9"/>
  <c r="K74" i="9"/>
  <c r="K75" i="9"/>
  <c r="K76" i="9"/>
  <c r="K77" i="9"/>
  <c r="K78" i="9"/>
  <c r="L71" i="9"/>
  <c r="L72" i="9"/>
  <c r="L73" i="9"/>
  <c r="L74" i="9"/>
  <c r="L75" i="9"/>
  <c r="L76" i="9"/>
  <c r="L77" i="9"/>
  <c r="L78" i="9"/>
  <c r="M71" i="9"/>
  <c r="M72" i="9"/>
  <c r="M73" i="9"/>
  <c r="M74" i="9"/>
  <c r="M75" i="9"/>
  <c r="M76" i="9"/>
  <c r="M77" i="9"/>
  <c r="I8" i="9" l="1"/>
  <c r="E4" i="9" l="1"/>
  <c r="F23" i="9" l="1"/>
  <c r="F22" i="9"/>
  <c r="F29" i="9"/>
  <c r="F28" i="9"/>
  <c r="G10" i="9"/>
  <c r="F18" i="9"/>
  <c r="G30" i="9"/>
  <c r="G15" i="9"/>
  <c r="F25" i="9"/>
  <c r="F24" i="9"/>
  <c r="F20" i="9"/>
  <c r="F14" i="9"/>
  <c r="G26" i="9"/>
  <c r="G13" i="9"/>
  <c r="F21" i="9"/>
  <c r="G19" i="9"/>
  <c r="F13" i="9"/>
  <c r="G22" i="9"/>
  <c r="G29" i="9"/>
  <c r="G17" i="9"/>
  <c r="F17" i="9"/>
  <c r="G16" i="9"/>
  <c r="G25" i="9"/>
  <c r="G28" i="9"/>
  <c r="G31" i="9"/>
  <c r="F15" i="9"/>
  <c r="G8" i="9"/>
  <c r="G21" i="9"/>
  <c r="G24" i="9"/>
  <c r="G27" i="9"/>
  <c r="F16" i="9"/>
  <c r="F31" i="9"/>
  <c r="F30" i="9"/>
  <c r="G14" i="9"/>
  <c r="G20" i="9"/>
  <c r="G23" i="9"/>
  <c r="F12" i="9"/>
  <c r="F27" i="9"/>
  <c r="F26" i="9"/>
  <c r="G12" i="9"/>
  <c r="G9" i="9"/>
  <c r="G18" i="9"/>
  <c r="F19" i="9"/>
  <c r="C51" i="9" a="1"/>
  <c r="F58" i="9" a="1"/>
  <c r="G58" i="9" a="1"/>
  <c r="F36" i="9" l="1" a="1"/>
  <c r="F36" i="9" s="1"/>
  <c r="D43" i="9" a="1"/>
  <c r="D43" i="9" s="1"/>
  <c r="H36" i="9" a="1"/>
  <c r="H36" i="9" s="1"/>
  <c r="C37" i="9" a="1"/>
  <c r="C37" i="9" s="1"/>
  <c r="D36" i="9" a="1"/>
  <c r="D36" i="9" s="1"/>
  <c r="C39" i="9" s="1"/>
  <c r="C43" i="9" a="1"/>
  <c r="C43" i="9" s="1"/>
  <c r="B44" i="9" a="1"/>
  <c r="B44" i="9" s="1"/>
  <c r="B45" i="9" a="1"/>
  <c r="B45" i="9" s="1"/>
  <c r="B37" i="9" a="1"/>
  <c r="B37" i="9" s="1"/>
  <c r="C36" i="9" a="1"/>
  <c r="C36" i="9" s="1"/>
  <c r="C45" i="9" a="1"/>
  <c r="C45" i="9" s="1"/>
  <c r="B43" i="9" a="1"/>
  <c r="B43" i="9" s="1"/>
  <c r="D45" i="9" a="1"/>
  <c r="D45" i="9" s="1"/>
  <c r="D37" i="9" a="1"/>
  <c r="D37" i="9" s="1"/>
  <c r="C44" i="9" a="1"/>
  <c r="C44" i="9" s="1"/>
  <c r="B36" i="9" a="1"/>
  <c r="B36" i="9" s="1"/>
  <c r="G36" i="9" a="1"/>
  <c r="G36" i="9" s="1"/>
  <c r="C51" i="9"/>
  <c r="F58" i="9"/>
  <c r="G58" i="9"/>
  <c r="C46" i="9"/>
  <c r="D46" i="9"/>
  <c r="B46" i="9"/>
  <c r="J38" i="9"/>
  <c r="L38" i="9"/>
  <c r="K38" i="9"/>
  <c r="H53" i="9" a="1"/>
  <c r="H53" i="9" s="1"/>
  <c r="G53" i="9" a="1"/>
  <c r="G53" i="9" s="1"/>
  <c r="F54" i="9" a="1"/>
  <c r="F54" i="9" s="1"/>
  <c r="F53" i="9" a="1"/>
  <c r="F53" i="9" s="1"/>
  <c r="D44" i="9" a="1"/>
  <c r="D44" i="9" s="1"/>
  <c r="G54" i="9" a="1"/>
  <c r="G54" i="9" s="1"/>
  <c r="H54" i="9" a="1"/>
  <c r="H54" i="9" s="1"/>
  <c r="D38" i="9" a="1"/>
  <c r="D38" i="9" s="1"/>
  <c r="B38" i="9" a="1"/>
  <c r="B38" i="9" s="1"/>
  <c r="C38" i="9" a="1"/>
  <c r="C38" i="9" s="1"/>
  <c r="F52" i="9" a="1"/>
  <c r="F52" i="9" s="1"/>
  <c r="G52" i="9" a="1"/>
  <c r="G52" i="9" s="1"/>
  <c r="H52" i="9" a="1"/>
  <c r="H52" i="9" s="1"/>
  <c r="H51" i="9" a="1"/>
  <c r="H51" i="9" s="1"/>
  <c r="G51" i="9" a="1"/>
  <c r="G51" i="9" s="1"/>
  <c r="F51" i="9" a="1"/>
  <c r="F51" i="9" s="1"/>
  <c r="F50" i="9" a="1"/>
  <c r="F50" i="9" s="1"/>
  <c r="H50" i="9" a="1"/>
  <c r="H50" i="9" s="1"/>
  <c r="G50" i="9" a="1"/>
  <c r="G50" i="9" s="1"/>
  <c r="D49" i="9"/>
  <c r="H49" i="9"/>
  <c r="C49" i="9"/>
  <c r="G49" i="9"/>
  <c r="F49" i="9"/>
  <c r="B49" i="9"/>
  <c r="G35" i="9"/>
  <c r="C42" i="9"/>
  <c r="D35" i="9"/>
  <c r="H35" i="9"/>
  <c r="D42" i="9"/>
  <c r="B39" i="9"/>
  <c r="B42" i="9"/>
  <c r="C35" i="9"/>
  <c r="B35" i="9"/>
  <c r="D39" i="9"/>
  <c r="J35" i="9"/>
  <c r="L35" i="9"/>
  <c r="F35" i="9"/>
  <c r="K35" i="9"/>
  <c r="D52" i="9" a="1"/>
  <c r="D51" i="9" a="1"/>
  <c r="J36" i="9" a="1"/>
  <c r="K36" i="9" a="1"/>
  <c r="D54" i="9" a="1"/>
  <c r="K37" i="9" a="1"/>
  <c r="C50" i="9" a="1"/>
  <c r="D50" i="9" a="1"/>
  <c r="B51" i="9" a="1"/>
  <c r="C53" i="9" a="1"/>
  <c r="B50" i="9" a="1"/>
  <c r="B54" i="9" a="1"/>
  <c r="C54" i="9" a="1"/>
  <c r="C52" i="9" a="1"/>
  <c r="L36" i="9" a="1"/>
  <c r="B53" i="9" a="1"/>
  <c r="J37" i="9" a="1"/>
  <c r="B52" i="9" a="1"/>
  <c r="D53" i="9" a="1"/>
  <c r="L37" i="9" a="1"/>
  <c r="C52" i="9" l="1"/>
  <c r="B51" i="9"/>
  <c r="B54" i="9"/>
  <c r="C55" i="9" s="1"/>
  <c r="J36" i="9"/>
  <c r="J37" i="9"/>
  <c r="D53" i="9"/>
  <c r="L36" i="9"/>
  <c r="D51" i="9"/>
  <c r="L37" i="9"/>
  <c r="C50" i="9"/>
  <c r="B50" i="9"/>
  <c r="K36" i="9"/>
  <c r="C53" i="9"/>
  <c r="K37" i="9"/>
  <c r="B52" i="9"/>
  <c r="D52" i="9"/>
  <c r="C54" i="9"/>
  <c r="D50" i="9"/>
  <c r="B53" i="9"/>
  <c r="D54" i="9"/>
  <c r="H55" i="9"/>
  <c r="K39" i="9"/>
  <c r="J39" i="9"/>
  <c r="C40" i="9"/>
  <c r="B40" i="9"/>
  <c r="D40" i="9"/>
  <c r="B55" i="9"/>
  <c r="G55" i="9"/>
  <c r="F55" i="9"/>
  <c r="C47" i="9"/>
  <c r="B47" i="9"/>
  <c r="D47" i="9"/>
  <c r="L39" i="9" l="1"/>
  <c r="D55" i="9"/>
  <c r="H8" i="63" l="1"/>
  <c r="G9" i="63"/>
  <c r="H12" i="63"/>
  <c r="H16" i="63"/>
  <c r="G17" i="63"/>
  <c r="G13" i="63"/>
  <c r="H9" i="63"/>
  <c r="G10" i="63"/>
  <c r="H17" i="63"/>
  <c r="G18" i="63"/>
  <c r="H13" i="63"/>
  <c r="G14" i="63"/>
  <c r="G7" i="63"/>
  <c r="H10" i="63"/>
  <c r="H18" i="63"/>
  <c r="H14" i="63"/>
  <c r="G19" i="63"/>
  <c r="G15" i="63"/>
  <c r="G11" i="63"/>
  <c r="G8" i="63"/>
  <c r="H7" i="63"/>
  <c r="H11" i="63"/>
  <c r="H15" i="63"/>
  <c r="H19" i="63"/>
  <c r="G12" i="63"/>
  <c r="G16" i="63"/>
  <c r="E7" i="63"/>
  <c r="E19" i="63"/>
  <c r="E15" i="63"/>
  <c r="I8" i="63"/>
  <c r="M8" i="63" s="1"/>
  <c r="F12" i="63"/>
  <c r="F16" i="63"/>
  <c r="I9" i="63"/>
  <c r="M9" i="63" s="1"/>
  <c r="F13" i="63"/>
  <c r="I7" i="63"/>
  <c r="M7" i="63" s="1"/>
  <c r="I19" i="63"/>
  <c r="M19" i="63" s="1"/>
  <c r="I15" i="63"/>
  <c r="M15" i="63" s="1"/>
  <c r="F11" i="63"/>
  <c r="F8" i="63"/>
  <c r="F10" i="63"/>
  <c r="E12" i="63"/>
  <c r="I17" i="63"/>
  <c r="M17" i="63" s="1"/>
  <c r="E11" i="63"/>
  <c r="I12" i="63"/>
  <c r="M12" i="63" s="1"/>
  <c r="E18" i="63"/>
  <c r="I11" i="63"/>
  <c r="M11" i="63" s="1"/>
  <c r="F17" i="63"/>
  <c r="I14" i="63"/>
  <c r="M14" i="63" s="1"/>
  <c r="E9" i="63"/>
  <c r="E17" i="63"/>
  <c r="E10" i="63"/>
  <c r="I18" i="63"/>
  <c r="M18" i="63" s="1"/>
  <c r="E14" i="63"/>
  <c r="F7" i="63"/>
  <c r="I16" i="63"/>
  <c r="M16" i="63" s="1"/>
  <c r="F15" i="63"/>
  <c r="E13" i="63"/>
  <c r="F9" i="63"/>
  <c r="F18" i="63"/>
  <c r="F14" i="63"/>
  <c r="E8" i="63"/>
  <c r="F19" i="63"/>
  <c r="E16" i="63"/>
  <c r="I13" i="63"/>
  <c r="M13" i="63" s="1"/>
  <c r="I10" i="63"/>
  <c r="M10" i="63" s="1"/>
  <c r="H6" i="63"/>
  <c r="H5" i="63"/>
  <c r="G6" i="63"/>
  <c r="G4" i="63"/>
  <c r="H4" i="63"/>
  <c r="H2" i="63"/>
  <c r="G5" i="63"/>
  <c r="H3" i="63"/>
  <c r="G3" i="63"/>
  <c r="G2" i="63"/>
  <c r="N2" i="63"/>
  <c r="I3" i="63"/>
  <c r="M3" i="63" s="1"/>
  <c r="F5" i="63"/>
  <c r="N3" i="63"/>
  <c r="F2" i="63"/>
  <c r="E4" i="63"/>
  <c r="I2" i="63"/>
  <c r="M2" i="63" s="1"/>
  <c r="I5" i="63"/>
  <c r="M5" i="63" s="1"/>
  <c r="N7" i="63"/>
  <c r="N6" i="63"/>
  <c r="E5" i="63"/>
  <c r="E6" i="63"/>
  <c r="I4" i="63"/>
  <c r="M4" i="63" s="1"/>
  <c r="F6" i="63"/>
  <c r="N5" i="63"/>
  <c r="E2" i="63"/>
  <c r="E3" i="63"/>
  <c r="N4" i="63"/>
  <c r="I6" i="63"/>
  <c r="M6" i="63" s="1"/>
  <c r="F3" i="63"/>
  <c r="F4" i="63"/>
  <c r="N18" i="63"/>
  <c r="N17" i="63"/>
  <c r="N14" i="63"/>
  <c r="N12" i="63"/>
  <c r="N13" i="63"/>
  <c r="N16" i="63"/>
  <c r="N15" i="63"/>
  <c r="N10" i="63"/>
  <c r="N9" i="63"/>
  <c r="N19" i="63"/>
  <c r="N11" i="63"/>
  <c r="N8" i="63"/>
  <c r="O4" i="63" l="1"/>
  <c r="O2" i="63"/>
  <c r="O7" i="63"/>
  <c r="O3" i="63"/>
  <c r="O6" i="63"/>
  <c r="O5" i="63"/>
  <c r="O19" i="63"/>
  <c r="O9" i="63"/>
  <c r="O8" i="63"/>
  <c r="O14" i="63"/>
  <c r="O15" i="63"/>
  <c r="O12" i="63"/>
  <c r="O17" i="63"/>
  <c r="O18" i="63"/>
  <c r="O10" i="63"/>
  <c r="O16" i="63"/>
  <c r="O11" i="63"/>
  <c r="O13" i="63"/>
  <c r="H28" i="63" l="1"/>
  <c r="G27" i="63"/>
  <c r="G38" i="63"/>
  <c r="E42" i="63"/>
  <c r="H50" i="63"/>
  <c r="E52" i="63"/>
  <c r="G47" i="63"/>
  <c r="F57" i="63"/>
  <c r="G54" i="63"/>
  <c r="E23" i="63"/>
  <c r="G29" i="63"/>
  <c r="H24" i="63"/>
  <c r="I42" i="63"/>
  <c r="M42" i="63" s="1"/>
  <c r="F20" i="63"/>
  <c r="I35" i="63"/>
  <c r="M35" i="63" s="1"/>
  <c r="H57" i="63"/>
  <c r="E29" i="63"/>
  <c r="G42" i="63"/>
  <c r="E20" i="63"/>
  <c r="G20" i="63"/>
  <c r="G48" i="63"/>
  <c r="I46" i="63"/>
  <c r="M46" i="63" s="1"/>
  <c r="H42" i="63"/>
  <c r="E39" i="63"/>
  <c r="F41" i="63"/>
  <c r="I32" i="63"/>
  <c r="M32" i="63" s="1"/>
  <c r="G25" i="63"/>
  <c r="I52" i="63"/>
  <c r="M52" i="63" s="1"/>
  <c r="E49" i="63"/>
  <c r="F42" i="63"/>
  <c r="I30" i="63"/>
  <c r="M30" i="63" s="1"/>
  <c r="H23" i="63"/>
  <c r="E40" i="63"/>
  <c r="H33" i="63"/>
  <c r="I34" i="63"/>
  <c r="M34" i="63" s="1"/>
  <c r="E26" i="63"/>
  <c r="F38" i="63"/>
  <c r="I57" i="63"/>
  <c r="M57" i="63" s="1"/>
  <c r="H26" i="63"/>
  <c r="H37" i="63"/>
  <c r="N46" i="63"/>
  <c r="E35" i="63"/>
  <c r="E54" i="63"/>
  <c r="I53" i="63"/>
  <c r="M53" i="63" s="1"/>
  <c r="F52" i="63"/>
  <c r="I43" i="63"/>
  <c r="M43" i="63" s="1"/>
  <c r="G49" i="63"/>
  <c r="I38" i="63"/>
  <c r="M38" i="63" s="1"/>
  <c r="E55" i="63"/>
  <c r="E50" i="63"/>
  <c r="G21" i="63"/>
  <c r="G34" i="63"/>
  <c r="G51" i="63"/>
  <c r="E44" i="63"/>
  <c r="F49" i="63"/>
  <c r="G33" i="63"/>
  <c r="E41" i="63"/>
  <c r="H39" i="63"/>
  <c r="E21" i="63"/>
  <c r="F45" i="63"/>
  <c r="N49" i="63"/>
  <c r="H31" i="63"/>
  <c r="F28" i="63"/>
  <c r="I29" i="63"/>
  <c r="M29" i="63" s="1"/>
  <c r="E33" i="63"/>
  <c r="H44" i="63"/>
  <c r="H38" i="63"/>
  <c r="I21" i="63"/>
  <c r="M21" i="63" s="1"/>
  <c r="E25" i="63"/>
  <c r="G23" i="63"/>
  <c r="H53" i="63"/>
  <c r="F22" i="63"/>
  <c r="H51" i="63"/>
  <c r="E30" i="63"/>
  <c r="I28" i="63"/>
  <c r="M28" i="63" s="1"/>
  <c r="E32" i="63"/>
  <c r="H34" i="63"/>
  <c r="H20" i="63"/>
  <c r="E57" i="63"/>
  <c r="H21" i="63"/>
  <c r="F29" i="63"/>
  <c r="I25" i="63"/>
  <c r="M25" i="63" s="1"/>
  <c r="F34" i="63"/>
  <c r="I54" i="63"/>
  <c r="M54" i="63" s="1"/>
  <c r="G45" i="63"/>
  <c r="G32" i="63"/>
  <c r="G57" i="63"/>
  <c r="F53" i="63"/>
  <c r="E28" i="63"/>
  <c r="G35" i="63"/>
  <c r="H54" i="63"/>
  <c r="G46" i="63"/>
  <c r="G50" i="63"/>
  <c r="I33" i="63"/>
  <c r="M33" i="63" s="1"/>
  <c r="G41" i="63"/>
  <c r="I49" i="63"/>
  <c r="M49" i="63" s="1"/>
  <c r="H27" i="63"/>
  <c r="I41" i="63"/>
  <c r="M41" i="63" s="1"/>
  <c r="E46" i="63"/>
  <c r="E45" i="63"/>
  <c r="F23" i="63"/>
  <c r="F36" i="63"/>
  <c r="I45" i="63"/>
  <c r="M45" i="63" s="1"/>
  <c r="G24" i="63"/>
  <c r="I20" i="63"/>
  <c r="M20" i="63" s="1"/>
  <c r="F39" i="63"/>
  <c r="F30" i="63"/>
  <c r="H43" i="63"/>
  <c r="F50" i="63"/>
  <c r="E24" i="63"/>
  <c r="I31" i="63"/>
  <c r="M31" i="63" s="1"/>
  <c r="G43" i="63"/>
  <c r="G40" i="63"/>
  <c r="G53" i="63"/>
  <c r="F54" i="63"/>
  <c r="E31" i="63"/>
  <c r="I55" i="63"/>
  <c r="M55" i="63" s="1"/>
  <c r="H46" i="63"/>
  <c r="E36" i="63"/>
  <c r="G30" i="63"/>
  <c r="E51" i="63"/>
  <c r="H36" i="63"/>
  <c r="H30" i="63"/>
  <c r="H29" i="63"/>
  <c r="I44" i="63"/>
  <c r="M44" i="63" s="1"/>
  <c r="F44" i="63"/>
  <c r="F47" i="63"/>
  <c r="I51" i="63"/>
  <c r="M51" i="63" s="1"/>
  <c r="I22" i="63"/>
  <c r="M22" i="63" s="1"/>
  <c r="H25" i="63"/>
  <c r="H22" i="63"/>
  <c r="F56" i="63"/>
  <c r="E27" i="63"/>
  <c r="G44" i="63"/>
  <c r="F26" i="63"/>
  <c r="E47" i="63"/>
  <c r="E34" i="63"/>
  <c r="I26" i="63"/>
  <c r="M26" i="63" s="1"/>
  <c r="F48" i="63"/>
  <c r="F31" i="63"/>
  <c r="H55" i="63"/>
  <c r="G28" i="63"/>
  <c r="N56" i="63"/>
  <c r="F32" i="63"/>
  <c r="I37" i="63"/>
  <c r="M37" i="63" s="1"/>
  <c r="I23" i="63"/>
  <c r="M23" i="63" s="1"/>
  <c r="G26" i="63"/>
  <c r="H32" i="63"/>
  <c r="H47" i="63"/>
  <c r="F21" i="63"/>
  <c r="I40" i="63"/>
  <c r="M40" i="63" s="1"/>
  <c r="E38" i="63"/>
  <c r="F40" i="63"/>
  <c r="F27" i="63"/>
  <c r="I48" i="63"/>
  <c r="M48" i="63" s="1"/>
  <c r="H48" i="63"/>
  <c r="G52" i="63"/>
  <c r="F46" i="63"/>
  <c r="G56" i="63"/>
  <c r="G37" i="63"/>
  <c r="F25" i="63"/>
  <c r="G31" i="63"/>
  <c r="E37" i="63"/>
  <c r="F43" i="63"/>
  <c r="H52" i="63"/>
  <c r="H35" i="63"/>
  <c r="E22" i="63"/>
  <c r="I36" i="63"/>
  <c r="M36" i="63" s="1"/>
  <c r="I27" i="63"/>
  <c r="M27" i="63" s="1"/>
  <c r="F37" i="63"/>
  <c r="N44" i="63"/>
  <c r="G39" i="63"/>
  <c r="F33" i="63"/>
  <c r="I56" i="63"/>
  <c r="M56" i="63" s="1"/>
  <c r="H40" i="63"/>
  <c r="I39" i="63"/>
  <c r="M39" i="63" s="1"/>
  <c r="I24" i="63"/>
  <c r="M24" i="63" s="1"/>
  <c r="E53" i="63"/>
  <c r="E43" i="63"/>
  <c r="H45" i="63"/>
  <c r="I47" i="63"/>
  <c r="M47" i="63" s="1"/>
  <c r="E56" i="63"/>
  <c r="G36" i="63"/>
  <c r="N42" i="63"/>
  <c r="N45" i="63"/>
  <c r="N50" i="63"/>
  <c r="F51" i="63"/>
  <c r="F24" i="63"/>
  <c r="E48" i="63"/>
  <c r="F35" i="63"/>
  <c r="G22" i="63"/>
  <c r="H49" i="63"/>
  <c r="H56" i="63"/>
  <c r="N54" i="63"/>
  <c r="H41" i="63"/>
  <c r="N51" i="63"/>
  <c r="N52" i="63"/>
  <c r="N57" i="63"/>
  <c r="I50" i="63"/>
  <c r="M50" i="63" s="1"/>
  <c r="N48" i="63"/>
  <c r="G55" i="63"/>
  <c r="N53" i="63"/>
  <c r="F55" i="63"/>
  <c r="N55" i="63"/>
  <c r="N47" i="63"/>
  <c r="N43" i="63"/>
  <c r="N38" i="63" l="1"/>
  <c r="N29" i="63"/>
  <c r="N39" i="63"/>
  <c r="N24" i="63"/>
  <c r="N23" i="63"/>
  <c r="N36" i="63"/>
  <c r="N34" i="63"/>
  <c r="N30" i="63"/>
  <c r="N37" i="63"/>
  <c r="N31" i="63"/>
  <c r="N26" i="63"/>
  <c r="N32" i="63"/>
  <c r="N21" i="63"/>
  <c r="N27" i="63"/>
  <c r="O36" i="63"/>
  <c r="O39" i="63"/>
  <c r="O55" i="63"/>
  <c r="N22" i="63"/>
  <c r="N33" i="63"/>
  <c r="N25" i="63"/>
  <c r="N35" i="63"/>
  <c r="O20" i="63"/>
  <c r="O27" i="63"/>
  <c r="O26" i="63"/>
  <c r="O40" i="63"/>
  <c r="O33" i="63"/>
  <c r="O21" i="63"/>
  <c r="N28" i="63"/>
  <c r="N20" i="63"/>
  <c r="O22" i="63"/>
  <c r="O44" i="63"/>
  <c r="O43" i="63"/>
  <c r="O50" i="63"/>
  <c r="O34" i="63"/>
  <c r="O31" i="63"/>
  <c r="O37" i="63"/>
  <c r="N41" i="63"/>
  <c r="O46" i="63"/>
  <c r="O49" i="63"/>
  <c r="O42" i="63"/>
  <c r="O24" i="63"/>
  <c r="O30" i="63"/>
  <c r="O35" i="63"/>
  <c r="O54" i="63"/>
  <c r="N40" i="63"/>
  <c r="O28" i="63"/>
  <c r="O57" i="63"/>
  <c r="O48" i="63"/>
  <c r="O47" i="63"/>
  <c r="O52" i="63"/>
  <c r="O32" i="63"/>
  <c r="Z42" i="63"/>
  <c r="AA42" i="63" s="1"/>
  <c r="Z41" i="63"/>
  <c r="AA41" i="63" s="1"/>
  <c r="Z44" i="63"/>
  <c r="X37" i="63" a="1"/>
  <c r="Z40" i="63" s="1"/>
  <c r="Z43" i="63"/>
  <c r="AA43" i="63" s="1"/>
  <c r="O56" i="63"/>
  <c r="O41" i="63"/>
  <c r="O23" i="63"/>
  <c r="O38" i="63"/>
  <c r="O53" i="63"/>
  <c r="O45" i="63"/>
  <c r="O25" i="63"/>
  <c r="O29" i="63"/>
  <c r="O51" i="63"/>
  <c r="Z39" i="63" l="1"/>
  <c r="Y39" i="63"/>
  <c r="Y40" i="63"/>
  <c r="AA40" i="63" s="1"/>
  <c r="Y38" i="63"/>
  <c r="Z38" i="63"/>
  <c r="X37" i="63"/>
  <c r="B1" i="63" a="1"/>
  <c r="B1" i="63" s="1"/>
  <c r="AA39" i="63" l="1"/>
  <c r="AA38" i="63"/>
  <c r="Z37" i="63"/>
  <c r="Y37" i="63"/>
  <c r="AA37" i="63" l="1"/>
  <c r="AB39" i="63" l="1"/>
  <c r="AB38" i="63"/>
  <c r="AB40" i="63"/>
  <c r="AB37" i="63"/>
  <c r="AA45" i="63"/>
  <c r="AB41" i="63"/>
  <c r="AB42" i="63"/>
  <c r="AB43" i="63"/>
  <c r="A28" i="62" a="1"/>
  <c r="A28" i="6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<sst xmlns="http://schemas.openxmlformats.org/spreadsheetml/2006/main" count="12269" uniqueCount="2256">
  <si>
    <t>Nome Placa</t>
  </si>
  <si>
    <t>Posção placa PCR</t>
  </si>
  <si>
    <t>Nome do Pool</t>
  </si>
  <si>
    <t>Cdg. de Amostra</t>
  </si>
  <si>
    <t>Procedimento</t>
  </si>
  <si>
    <t>Quibit Iniicial</t>
  </si>
  <si>
    <t>DNA</t>
  </si>
  <si>
    <t>Eluente</t>
  </si>
  <si>
    <t>Placa de Index</t>
  </si>
  <si>
    <t>Posção na placa de Index</t>
  </si>
  <si>
    <t>Segunda Quantificação</t>
  </si>
  <si>
    <t>Index N7-</t>
  </si>
  <si>
    <t>Index S5-</t>
  </si>
  <si>
    <t>Index Validation</t>
  </si>
  <si>
    <t>Index S5- (Iseq)</t>
  </si>
  <si>
    <t>20220802-AmpliSeq DNA</t>
  </si>
  <si>
    <t>20220810-AmpliSeq DNA</t>
  </si>
  <si>
    <t>20220810-AmpliSeq RNA</t>
  </si>
  <si>
    <t>20220822-QiaSeq V4</t>
  </si>
  <si>
    <t>20220824-QiaSeq V4</t>
  </si>
  <si>
    <t>20220826-AmpliSeq DNA</t>
  </si>
  <si>
    <t>20220826-AmpliSeq RNA</t>
  </si>
  <si>
    <t>20220906-QiaSeqV4</t>
  </si>
  <si>
    <t>20220929-QiaSeq V4</t>
  </si>
  <si>
    <t>20221013-AmpliSeq DNA</t>
  </si>
  <si>
    <t>20221013-AmpliSeq RNA</t>
  </si>
  <si>
    <t>Id Corrida</t>
  </si>
  <si>
    <t>Data da corrida</t>
  </si>
  <si>
    <t>Nome do Arquivo TXT:</t>
  </si>
  <si>
    <t>[Header]</t>
  </si>
  <si>
    <t>IEMFileVersion,5</t>
  </si>
  <si>
    <t>Workflow,GenerateFASTQ</t>
  </si>
  <si>
    <t>Application,FASTQ Only</t>
  </si>
  <si>
    <t>Assay,Amplicon</t>
  </si>
  <si>
    <t>Chemistry,Amplicon</t>
  </si>
  <si>
    <t>[Reads]</t>
  </si>
  <si>
    <t>[Settings]</t>
  </si>
  <si>
    <t>ReverseComplement,0</t>
  </si>
  <si>
    <t>Adapter,CTGTCTCTTATACACATCT</t>
  </si>
  <si>
    <t>[Data]</t>
  </si>
  <si>
    <t>Sample_ID,Sample_Plate,Sample_Well,Index_Plate,Index_Plate_Well,I7_Index_ID,index,I5_Index_ID,index2,Sample_Project,Description</t>
  </si>
  <si>
    <t>Validação de Conflito de Index</t>
  </si>
  <si>
    <t>Requanti-ficação</t>
  </si>
  <si>
    <t>Concentração desejada</t>
  </si>
  <si>
    <t>HT1</t>
  </si>
  <si>
    <t>Validação de Index</t>
  </si>
  <si>
    <t>Sample Sheet data</t>
  </si>
  <si>
    <t>Pool Final Verificação 2nM Biblioteca 1</t>
  </si>
  <si>
    <t>Pool Final Verificação 2nM Biblioteca 2</t>
  </si>
  <si>
    <t>Equipamento</t>
  </si>
  <si>
    <t>MiSeq</t>
  </si>
  <si>
    <t>Quantificação:</t>
  </si>
  <si>
    <t>Index size</t>
  </si>
  <si>
    <t>Sequence Size</t>
  </si>
  <si>
    <t>Tamanho do frag.:</t>
  </si>
  <si>
    <t>Diluição:</t>
  </si>
  <si>
    <t>pM amostra:</t>
  </si>
  <si>
    <t>pM Final:</t>
  </si>
  <si>
    <t>Tipo de Flowcell</t>
  </si>
  <si>
    <t>MiniSeq Mid</t>
  </si>
  <si>
    <t>Volume Final (V2):</t>
  </si>
  <si>
    <t>ID cartucho</t>
  </si>
  <si>
    <t>Lote cartucho</t>
  </si>
  <si>
    <t>Lote FlowCell</t>
  </si>
  <si>
    <t>Pool Final Diluição 2nM Biblioteca 2</t>
  </si>
  <si>
    <t>Diluição Final (Pós NaOH)</t>
  </si>
  <si>
    <t>ESPAÇO FLOWCELL</t>
  </si>
  <si>
    <t>Gb</t>
  </si>
  <si>
    <t>Volume</t>
  </si>
  <si>
    <t>Painel</t>
  </si>
  <si>
    <t>Dedicado Gb</t>
  </si>
  <si>
    <t>N. Amostra</t>
  </si>
  <si>
    <t>Ocupação</t>
  </si>
  <si>
    <t>μl</t>
  </si>
  <si>
    <t>Diluição do PhiX</t>
  </si>
  <si>
    <t>PhiX</t>
  </si>
  <si>
    <t>Total:</t>
  </si>
  <si>
    <t>Posição na placa</t>
  </si>
  <si>
    <t>Focus</t>
  </si>
  <si>
    <t>A</t>
  </si>
  <si>
    <t>A01</t>
  </si>
  <si>
    <t>GTGAATAT</t>
  </si>
  <si>
    <t>AGCGCTAG</t>
  </si>
  <si>
    <t>Nano V2</t>
  </si>
  <si>
    <t>Focus_FFPE-gDNA</t>
  </si>
  <si>
    <t>DB</t>
  </si>
  <si>
    <t>B01</t>
  </si>
  <si>
    <t>ACAGGCGC</t>
  </si>
  <si>
    <t>GATATCGA</t>
  </si>
  <si>
    <t>Micro V2</t>
  </si>
  <si>
    <t>Focus_FFPE-RNA</t>
  </si>
  <si>
    <t>Iseq</t>
  </si>
  <si>
    <t>BRCSM (BRCA+MLPA)</t>
  </si>
  <si>
    <t>MAMA_gDNA</t>
  </si>
  <si>
    <t>C01</t>
  </si>
  <si>
    <t>CTCTCGTC</t>
  </si>
  <si>
    <t>ACATAGCG</t>
  </si>
  <si>
    <t>Standard V2</t>
  </si>
  <si>
    <t>MiniSeq</t>
  </si>
  <si>
    <t>BRC1S</t>
  </si>
  <si>
    <r>
      <t>Concentração ng/</t>
    </r>
    <r>
      <rPr>
        <sz val="7"/>
        <color theme="1"/>
        <rFont val="Calibri"/>
        <family val="2"/>
      </rPr>
      <t>µL</t>
    </r>
  </si>
  <si>
    <t>Volume reação</t>
  </si>
  <si>
    <t>Ciclos</t>
  </si>
  <si>
    <t>D01</t>
  </si>
  <si>
    <t>TCTCTACT</t>
  </si>
  <si>
    <t>GTGCGATA</t>
  </si>
  <si>
    <t>Standard V3</t>
  </si>
  <si>
    <t>MAMA_FFPE-gDNA</t>
  </si>
  <si>
    <t>BRC2S</t>
  </si>
  <si>
    <t>E01</t>
  </si>
  <si>
    <t>CCAAGTCT</t>
  </si>
  <si>
    <t>CCAACAGA</t>
  </si>
  <si>
    <t>Onco_FFPE-gDNA</t>
  </si>
  <si>
    <t>BRCTP (BRCA+TP+CNV)</t>
  </si>
  <si>
    <t>F01</t>
  </si>
  <si>
    <t>TTGGACTC</t>
  </si>
  <si>
    <t>TTGGTGAG</t>
  </si>
  <si>
    <t>iSeq 100</t>
  </si>
  <si>
    <t>Onco_ctDNA</t>
  </si>
  <si>
    <t>BRCNG (BRCA+CNV)</t>
  </si>
  <si>
    <t>G01</t>
  </si>
  <si>
    <t>GTCGGAGC</t>
  </si>
  <si>
    <t>AACCGCGG</t>
  </si>
  <si>
    <t>Onco_gDNA</t>
  </si>
  <si>
    <t>TP53</t>
  </si>
  <si>
    <t>H01</t>
  </si>
  <si>
    <t>ACTAAGAT</t>
  </si>
  <si>
    <t>GGTTATAA</t>
  </si>
  <si>
    <t>NTRKNG</t>
  </si>
  <si>
    <t>A02</t>
  </si>
  <si>
    <t>FOCUS</t>
  </si>
  <si>
    <t>?</t>
  </si>
  <si>
    <t>B02</t>
  </si>
  <si>
    <t>MINITNG</t>
  </si>
  <si>
    <t>C02</t>
  </si>
  <si>
    <t>TGCGAGAC</t>
  </si>
  <si>
    <t>GISTNG</t>
  </si>
  <si>
    <t>D02</t>
  </si>
  <si>
    <t>CATAGAGT</t>
  </si>
  <si>
    <t>PIK3NG</t>
  </si>
  <si>
    <t>E02</t>
  </si>
  <si>
    <t>EGFRNG</t>
  </si>
  <si>
    <t>F02</t>
  </si>
  <si>
    <t>RASNG</t>
  </si>
  <si>
    <t>G02</t>
  </si>
  <si>
    <t>ATGAGGCC</t>
  </si>
  <si>
    <t>MELAN</t>
  </si>
  <si>
    <t>AmpliSeq DNA</t>
  </si>
  <si>
    <t>H02</t>
  </si>
  <si>
    <t>GCAGAATT</t>
  </si>
  <si>
    <t>KITNG</t>
  </si>
  <si>
    <t>AmpliSeq RNA</t>
  </si>
  <si>
    <t>B</t>
  </si>
  <si>
    <t>A03</t>
  </si>
  <si>
    <t>PDGFNG</t>
  </si>
  <si>
    <t>QiaSeq V4</t>
  </si>
  <si>
    <t>C</t>
  </si>
  <si>
    <t>B03</t>
  </si>
  <si>
    <t>BRCSOM</t>
  </si>
  <si>
    <t>QiaSeq V4 1/2</t>
  </si>
  <si>
    <t>D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</si>
  <si>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</si>
  <si>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</si>
  <si>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</si>
  <si>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</si>
  <si>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</si>
  <si>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</si>
  <si>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</si>
  <si>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</si>
  <si>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</si>
  <si>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N. Amostra (Min)</t>
  </si>
  <si>
    <t>N. Amostra (Max)</t>
  </si>
  <si>
    <t>Reações extra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</si>
  <si>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</si>
  <si>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</si>
  <si>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</si>
  <si>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</si>
  <si>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</si>
  <si>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</si>
  <si>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</si>
  <si>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</si>
  <si>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</si>
  <si>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</si>
  <si>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5X AmpliSeq cDNA Reac. Mix</t>
  </si>
  <si>
    <t>F05</t>
  </si>
  <si>
    <t>10X AmpliSeq RT Enzyme Mix</t>
  </si>
  <si>
    <t>G05</t>
  </si>
  <si>
    <t>5X AmpliSeq HiFi Mix</t>
  </si>
  <si>
    <t>H05</t>
  </si>
  <si>
    <t>5X AmpliSeq Focus RNA P. Mix</t>
  </si>
  <si>
    <t>A06</t>
  </si>
  <si>
    <t>Nuclease-free water</t>
  </si>
  <si>
    <t>B06</t>
  </si>
  <si>
    <t>FuPa</t>
  </si>
  <si>
    <t>C06</t>
  </si>
  <si>
    <t>Switch Solution</t>
  </si>
  <si>
    <t>D06</t>
  </si>
  <si>
    <t>AmpliSeq Index for Illumina</t>
  </si>
  <si>
    <t>E06</t>
  </si>
  <si>
    <t>DNA Ligase</t>
  </si>
  <si>
    <t>F06</t>
  </si>
  <si>
    <t>Bead Promega</t>
  </si>
  <si>
    <t>G06</t>
  </si>
  <si>
    <t>Etanol 70%</t>
  </si>
  <si>
    <t>H06</t>
  </si>
  <si>
    <t>1X Lib Amp Mix</t>
  </si>
  <si>
    <t>A07</t>
  </si>
  <si>
    <t>10X Library Amp Primers</t>
  </si>
  <si>
    <t>B07</t>
  </si>
  <si>
    <t>1ª Bead Promega</t>
  </si>
  <si>
    <t>C07</t>
  </si>
  <si>
    <t>2ª Bead Promega</t>
  </si>
  <si>
    <t>D07</t>
  </si>
  <si>
    <t>E07</t>
  </si>
  <si>
    <t>Low TE</t>
  </si>
  <si>
    <t>F07</t>
  </si>
  <si>
    <t>RNA</t>
  </si>
  <si>
    <t>G07</t>
  </si>
  <si>
    <t>H07</t>
  </si>
  <si>
    <t>A08</t>
  </si>
  <si>
    <t>B08</t>
  </si>
  <si>
    <t>C08</t>
  </si>
  <si>
    <t>D08</t>
  </si>
  <si>
    <t>E08</t>
  </si>
  <si>
    <t>5X AmpliSeq Focus DNA P. Mix</t>
  </si>
  <si>
    <t>F08</t>
  </si>
  <si>
    <t>G08</t>
  </si>
  <si>
    <t>H08</t>
  </si>
  <si>
    <t>A09</t>
  </si>
  <si>
    <t>B09</t>
  </si>
  <si>
    <t>C09</t>
  </si>
  <si>
    <t>Beads Promega</t>
  </si>
  <si>
    <t>D09</t>
  </si>
  <si>
    <t>2x Etanol 70%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</si>
  <si>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</si>
  <si>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</si>
  <si>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</si>
  <si>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</si>
  <si>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</si>
  <si>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</si>
  <si>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</si>
  <si>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</si>
  <si>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</si>
  <si>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</si>
  <si>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</si>
  <si>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10X FX Buffer</t>
  </si>
  <si>
    <t>H10</t>
  </si>
  <si>
    <t>FFPE Repair Reagent</t>
  </si>
  <si>
    <t>A11</t>
  </si>
  <si>
    <t>FFPE Repair Enzyme</t>
  </si>
  <si>
    <t>B11</t>
  </si>
  <si>
    <t>5X WGS FX Mix</t>
  </si>
  <si>
    <t>C11</t>
  </si>
  <si>
    <t>FG Solution</t>
  </si>
  <si>
    <t>D11</t>
  </si>
  <si>
    <t>UPH Ligation Buffer, 2.5X</t>
  </si>
  <si>
    <t>E11</t>
  </si>
  <si>
    <t>AdP-IL5-Phased Adapter</t>
  </si>
  <si>
    <t>F11</t>
  </si>
  <si>
    <t>G11</t>
  </si>
  <si>
    <t>Ligation Cleanup Reagent</t>
  </si>
  <si>
    <t>H11</t>
  </si>
  <si>
    <t>TEPCR Buffer, 5X</t>
  </si>
  <si>
    <t>A12</t>
  </si>
  <si>
    <t>QIAseq Target DNA Pro Panel</t>
  </si>
  <si>
    <t>B12</t>
  </si>
  <si>
    <t>SmP-IL5 TEPCR-F Primer</t>
  </si>
  <si>
    <t>C12</t>
  </si>
  <si>
    <t>TEPCR modifier</t>
  </si>
  <si>
    <t>D12</t>
  </si>
  <si>
    <t>QN Taq Polymerase</t>
  </si>
  <si>
    <t>E12</t>
  </si>
  <si>
    <t>Target Enriched DNA</t>
  </si>
  <si>
    <t>F12</t>
  </si>
  <si>
    <t>TEPCR Cleanup Reagent</t>
  </si>
  <si>
    <t>G12</t>
  </si>
  <si>
    <t>UPCR Buffer, 5X</t>
  </si>
  <si>
    <t>H12</t>
  </si>
  <si>
    <t>UDI Index Plate (A, B, C or D)</t>
  </si>
  <si>
    <t>MAMA</t>
  </si>
  <si>
    <t>Proi7UDI-001</t>
  </si>
  <si>
    <t>ACAACGTTCA</t>
  </si>
  <si>
    <t>Proi5UDI-001</t>
  </si>
  <si>
    <t>ATGGCCGACT</t>
  </si>
  <si>
    <t>Proi7UDI-002</t>
  </si>
  <si>
    <t>CAAGTCTGGT</t>
  </si>
  <si>
    <t>Proi5UDI-002</t>
  </si>
  <si>
    <t>CGATGAGCAC</t>
  </si>
  <si>
    <t>Proi7UDI-003</t>
  </si>
  <si>
    <t>GTTCGCCAGT</t>
  </si>
  <si>
    <t>Proi5UDI-003</t>
  </si>
  <si>
    <t>GATAAGTCGA</t>
  </si>
  <si>
    <t>QIAseq Beads</t>
  </si>
  <si>
    <t>Proi7UDI-004</t>
  </si>
  <si>
    <t>TGCCTAACGC</t>
  </si>
  <si>
    <t>Proi5UDI-004</t>
  </si>
  <si>
    <t>TCACGCCTTG</t>
  </si>
  <si>
    <t>Proi7UDI-005</t>
  </si>
  <si>
    <t>AGGCCGATAA</t>
  </si>
  <si>
    <t>Proi5UDI-005</t>
  </si>
  <si>
    <t>AGGAACACAA</t>
  </si>
  <si>
    <t>QIAseq Bead Binding Buffer</t>
  </si>
  <si>
    <t>Proi7UDI-006</t>
  </si>
  <si>
    <t>CTTATACCTC</t>
  </si>
  <si>
    <t>Proi5UDI-006</t>
  </si>
  <si>
    <t>CTCAGTAGGC</t>
  </si>
  <si>
    <t>2x Etanol 80%</t>
  </si>
  <si>
    <t>Proi7UDI-007</t>
  </si>
  <si>
    <t>GAATCCTTGA</t>
  </si>
  <si>
    <t>Proi5UDI-007</t>
  </si>
  <si>
    <t>GAAGTGCCTG</t>
  </si>
  <si>
    <t>Proi7UDI-008</t>
  </si>
  <si>
    <t>TCTCGGTTCG</t>
  </si>
  <si>
    <t>Proi5UDI-008</t>
  </si>
  <si>
    <t>TCTCTCGCCT</t>
  </si>
  <si>
    <t>Proi7UDI-009</t>
  </si>
  <si>
    <t>AACTTGGCTC</t>
  </si>
  <si>
    <t>Proi5UDI-009</t>
  </si>
  <si>
    <t>AGGCACCTTC</t>
  </si>
  <si>
    <t>Proi7UDI-010</t>
  </si>
  <si>
    <t>CTACGGCCTT</t>
  </si>
  <si>
    <t>Proi5UDI-010</t>
  </si>
  <si>
    <t>CTGTTGGTAA</t>
  </si>
  <si>
    <t>Proi7UDI-011</t>
  </si>
  <si>
    <t>GCTTCTCTAA</t>
  </si>
  <si>
    <t>Proi5UDI-011</t>
  </si>
  <si>
    <t>GCTGGTACCT</t>
  </si>
  <si>
    <t>Proi7UDI-012</t>
  </si>
  <si>
    <t>TGGTCTTAGA</t>
  </si>
  <si>
    <t>Proi5UDI-012</t>
  </si>
  <si>
    <t>TAAGGAGCGG</t>
  </si>
  <si>
    <t>Proi7UDI-013</t>
  </si>
  <si>
    <t>AGTGGTTACA</t>
  </si>
  <si>
    <t>Proi5UDI-013</t>
  </si>
  <si>
    <t>AATCGCTCCA</t>
  </si>
  <si>
    <t>Proi7UDI-014</t>
  </si>
  <si>
    <t>CTTGTGTCGG</t>
  </si>
  <si>
    <t>Proi5UDI-014</t>
  </si>
  <si>
    <t>CTCCTAATTG</t>
  </si>
  <si>
    <t>Proi7UDI-015</t>
  </si>
  <si>
    <t>GCCATCAGAG</t>
  </si>
  <si>
    <t>Proi5UDI-015</t>
  </si>
  <si>
    <t>GCCTCATAAT</t>
  </si>
  <si>
    <t>Proi7UDI-016</t>
  </si>
  <si>
    <t>TAACAGGCCG</t>
  </si>
  <si>
    <t>Proi5UDI-016</t>
  </si>
  <si>
    <t>TGTATTGAGC</t>
  </si>
  <si>
    <t>Proi7UDI-017</t>
  </si>
  <si>
    <t>AAGCTATGCA</t>
  </si>
  <si>
    <t>Proi5UDI-017</t>
  </si>
  <si>
    <t>AGCCATAACA</t>
  </si>
  <si>
    <t>Proi7UDI-018</t>
  </si>
  <si>
    <t>CGAGAAGGTT</t>
  </si>
  <si>
    <t>Proi5UDI-018</t>
  </si>
  <si>
    <t>CCACAAGTGG</t>
  </si>
  <si>
    <t>Proi7UDI-019</t>
  </si>
  <si>
    <t>GTGATCTCTT</t>
  </si>
  <si>
    <t>Proi5UDI-019</t>
  </si>
  <si>
    <t>GTTATCACAC</t>
  </si>
  <si>
    <t>Proi7UDI-020</t>
  </si>
  <si>
    <t>TCCTTCAGGC</t>
  </si>
  <si>
    <t>Proi5UDI-020</t>
  </si>
  <si>
    <t>TACCGTTCTT</t>
  </si>
  <si>
    <t>Proi7UDI-021</t>
  </si>
  <si>
    <t>AAGGCACAAT</t>
  </si>
  <si>
    <t>Proi5UDI-021</t>
  </si>
  <si>
    <t>AGGCGTTAGG</t>
  </si>
  <si>
    <t>Proi7UDI-022</t>
  </si>
  <si>
    <t>CGGTAGAGGA</t>
  </si>
  <si>
    <t>Proi5UDI-022</t>
  </si>
  <si>
    <t>CCGTAACGTC</t>
  </si>
  <si>
    <t>Proi7UDI-023</t>
  </si>
  <si>
    <t>GTTCATGGTA</t>
  </si>
  <si>
    <t>Proi5UDI-023</t>
  </si>
  <si>
    <t>GTAATAGCCA</t>
  </si>
  <si>
    <t>Proi7UDI-024</t>
  </si>
  <si>
    <t>TCTGCCAATG</t>
  </si>
  <si>
    <t>Proi5UDI-024</t>
  </si>
  <si>
    <t>TAGCGCCGAT</t>
  </si>
  <si>
    <t>Proi7UDI-025</t>
  </si>
  <si>
    <t>AATAGCAGTG</t>
  </si>
  <si>
    <t>Proi5UDI-025</t>
  </si>
  <si>
    <t>CATTCTTGGA</t>
  </si>
  <si>
    <t>Proi7UDI-026</t>
  </si>
  <si>
    <t>ACCTACCATT</t>
  </si>
  <si>
    <t>Proi5UDI-026</t>
  </si>
  <si>
    <t>ATGCAAGGTT</t>
  </si>
  <si>
    <t>Proi7UDI-027</t>
  </si>
  <si>
    <t>CATAGGTATC</t>
  </si>
  <si>
    <t>Proi5UDI-027</t>
  </si>
  <si>
    <t>CGCCAGACAA</t>
  </si>
  <si>
    <t>Proi7UDI-028</t>
  </si>
  <si>
    <t>GTACCTAGTG</t>
  </si>
  <si>
    <t>Proi5UDI-028</t>
  </si>
  <si>
    <t>GAAGGTTGGC</t>
  </si>
  <si>
    <t>Proi7UDI-029</t>
  </si>
  <si>
    <t>TGAACGAGCT</t>
  </si>
  <si>
    <t>Proi5UDI-029</t>
  </si>
  <si>
    <t>TCGCATCACG</t>
  </si>
  <si>
    <t>Proi7UDI-030</t>
  </si>
  <si>
    <t>AAGACTGACA</t>
  </si>
  <si>
    <t>Proi5UDI-030</t>
  </si>
  <si>
    <t>CCGGTCATGA</t>
  </si>
  <si>
    <t>Proi7UDI-031</t>
  </si>
  <si>
    <t>ACTGTTCATC</t>
  </si>
  <si>
    <t>Proi5UDI-031</t>
  </si>
  <si>
    <t>ATTCACAAGC</t>
  </si>
  <si>
    <t>Proi7UDI-032</t>
  </si>
  <si>
    <t>CGCCGATTGT</t>
  </si>
  <si>
    <t>Proi5UDI-032</t>
  </si>
  <si>
    <t>CAACCTGTAA</t>
  </si>
  <si>
    <t>Proi7UDI-033</t>
  </si>
  <si>
    <t>GAACTCAATC</t>
  </si>
  <si>
    <t>Proi5UDI-033</t>
  </si>
  <si>
    <t>GCCAGTCGTT</t>
  </si>
  <si>
    <t>Proi7UDI-034</t>
  </si>
  <si>
    <t>TTGGCATTAC</t>
  </si>
  <si>
    <t>Proi5UDI-034</t>
  </si>
  <si>
    <t>TGCCTTGTCG</t>
  </si>
  <si>
    <t>Proi7UDI-035</t>
  </si>
  <si>
    <t>AGCGCAACGA</t>
  </si>
  <si>
    <t>Proi5UDI-035</t>
  </si>
  <si>
    <t>CTATCCGCTG</t>
  </si>
  <si>
    <t>Proi7UDI-036</t>
  </si>
  <si>
    <t>ATACTCACCT</t>
  </si>
  <si>
    <t>Proi5UDI-036</t>
  </si>
  <si>
    <t>AATGCCGGAA</t>
  </si>
  <si>
    <t>Proi7UDI-037</t>
  </si>
  <si>
    <t>CCATTATCGA</t>
  </si>
  <si>
    <t>Proi5UDI-037</t>
  </si>
  <si>
    <t>CGGTTATCCG</t>
  </si>
  <si>
    <t>Proi7UDI-038</t>
  </si>
  <si>
    <t>GAAGAGACGC</t>
  </si>
  <si>
    <t>Proi5UDI-038</t>
  </si>
  <si>
    <t>GCGGAAGAGT</t>
  </si>
  <si>
    <t>Proi7UDI-039</t>
  </si>
  <si>
    <t>TGCAGGAGAC</t>
  </si>
  <si>
    <t>Proi5UDI-039</t>
  </si>
  <si>
    <t>TTGGTTAGTC</t>
  </si>
  <si>
    <t>Proi7UDI-040</t>
  </si>
  <si>
    <t>AATGAAGCTC</t>
  </si>
  <si>
    <t>Proi5UDI-040</t>
  </si>
  <si>
    <t>TTCAGTGTGA</t>
  </si>
  <si>
    <t>Proi7UDI-041</t>
  </si>
  <si>
    <t>ATGTAGGCCT</t>
  </si>
  <si>
    <t>Proi5UDI-041</t>
  </si>
  <si>
    <t>AGAATTCTGG</t>
  </si>
  <si>
    <t>Proi7UDI-042</t>
  </si>
  <si>
    <t>CGGTTCCACA</t>
  </si>
  <si>
    <t>Proi5UDI-042</t>
  </si>
  <si>
    <t>CATTGACTCT</t>
  </si>
  <si>
    <t>Proi7UDI-043</t>
  </si>
  <si>
    <t>GCTTAATACG</t>
  </si>
  <si>
    <t>Proi5UDI-043</t>
  </si>
  <si>
    <t>GCGGCTTCAA</t>
  </si>
  <si>
    <t>Proi7UDI-044</t>
  </si>
  <si>
    <t>TAACCACTGG</t>
  </si>
  <si>
    <t>Proi5UDI-044</t>
  </si>
  <si>
    <t>TTATGGTCTC</t>
  </si>
  <si>
    <t>Proi7UDI-045</t>
  </si>
  <si>
    <t>ACTCGAACGC</t>
  </si>
  <si>
    <t>Proi5UDI-045</t>
  </si>
  <si>
    <t>CGTAACCAGG</t>
  </si>
  <si>
    <t>Proi7UDI-046</t>
  </si>
  <si>
    <t>AACCGGAAGG</t>
  </si>
  <si>
    <t>Proi5UDI-046</t>
  </si>
  <si>
    <t>AGCTCAGATA</t>
  </si>
  <si>
    <t>Proi7UDI-047</t>
  </si>
  <si>
    <t>CCGTCTTGTG</t>
  </si>
  <si>
    <t>Proi5UDI-047</t>
  </si>
  <si>
    <t>CCGGTGTTAC</t>
  </si>
  <si>
    <t>Proi7UDI-048</t>
  </si>
  <si>
    <t>GTGTGTAAGC</t>
  </si>
  <si>
    <t>Proi5UDI-048</t>
  </si>
  <si>
    <t>GACCTAACCT</t>
  </si>
  <si>
    <t>Proi7UDI-049</t>
  </si>
  <si>
    <t>TGGACATCCT</t>
  </si>
  <si>
    <t>Proi5UDI-049</t>
  </si>
  <si>
    <t>TTGTAGAAGG</t>
  </si>
  <si>
    <t>Proi7UDI-050</t>
  </si>
  <si>
    <t>ACATAAGGTG</t>
  </si>
  <si>
    <t>Proi5UDI-050</t>
  </si>
  <si>
    <t>CCTAGCACTA</t>
  </si>
  <si>
    <t>Proi7UDI-051</t>
  </si>
  <si>
    <t>ACAGCCGCTT</t>
  </si>
  <si>
    <t>Proi5UDI-051</t>
  </si>
  <si>
    <t>ATCGTGTTCT</t>
  </si>
  <si>
    <t>Proi7UDI-052</t>
  </si>
  <si>
    <t>CTCACAGGAA</t>
  </si>
  <si>
    <t>Proi5UDI-052</t>
  </si>
  <si>
    <t>CCAACTTATC</t>
  </si>
  <si>
    <t>Proi7UDI-053</t>
  </si>
  <si>
    <t>GAACTGTACT</t>
  </si>
  <si>
    <t>Proi5UDI-053</t>
  </si>
  <si>
    <t>GAAGCCAAGG</t>
  </si>
  <si>
    <t>Proi7UDI-054</t>
  </si>
  <si>
    <t>TGAGGCTGTA</t>
  </si>
  <si>
    <t>Proi5UDI-054</t>
  </si>
  <si>
    <t>TGGAGTTCAA</t>
  </si>
  <si>
    <t>Proi7UDI-055</t>
  </si>
  <si>
    <t>CCAATAGAAC</t>
  </si>
  <si>
    <t>Proi5UDI-055</t>
  </si>
  <si>
    <t>CTTCAATCCT</t>
  </si>
  <si>
    <t>Proi7UDI-056</t>
  </si>
  <si>
    <t>ACCGGTATAT</t>
  </si>
  <si>
    <t>Proi5UDI-056</t>
  </si>
  <si>
    <t>ATCTTGCGTG</t>
  </si>
  <si>
    <t>Proi7UDI-057</t>
  </si>
  <si>
    <t>CATTCCGAGG</t>
  </si>
  <si>
    <t>Proi5UDI-057</t>
  </si>
  <si>
    <t>CGTCTAAGGT</t>
  </si>
  <si>
    <t>Proi7UDI-058</t>
  </si>
  <si>
    <t>GTTCCAGAAC</t>
  </si>
  <si>
    <t>Proi5UDI-058</t>
  </si>
  <si>
    <t>GAGGTGAACA</t>
  </si>
  <si>
    <t>Proi7UDI-059</t>
  </si>
  <si>
    <t>TGGTGAATCT</t>
  </si>
  <si>
    <t>Proi5UDI-059</t>
  </si>
  <si>
    <t>TCAGAACTAC</t>
  </si>
  <si>
    <t>Proi7UDI-060</t>
  </si>
  <si>
    <t>ATCTGACCGA</t>
  </si>
  <si>
    <t>Proi5UDI-060</t>
  </si>
  <si>
    <t>CGGATATTGA</t>
  </si>
  <si>
    <t>Proi7UDI-061</t>
  </si>
  <si>
    <t>AGCGAGAGTG</t>
  </si>
  <si>
    <t>Proi5UDI-061</t>
  </si>
  <si>
    <t>AGGAGTAGAT</t>
  </si>
  <si>
    <t>Proi7UDI-062</t>
  </si>
  <si>
    <t>CTGGACCAAC</t>
  </si>
  <si>
    <t>Proi5UDI-062</t>
  </si>
  <si>
    <t>CCGCCGAATA</t>
  </si>
  <si>
    <t>Proi7UDI-063</t>
  </si>
  <si>
    <t>GCTTCGAGCT</t>
  </si>
  <si>
    <t>Proi5UDI-063</t>
  </si>
  <si>
    <t>GAGTCTATAC</t>
  </si>
  <si>
    <t>Proi7UDI-064</t>
  </si>
  <si>
    <t>TAGAACCTCT</t>
  </si>
  <si>
    <t>Proi5UDI-064</t>
  </si>
  <si>
    <t>TTATTACCGG</t>
  </si>
  <si>
    <t>Proi7UDI-065</t>
  </si>
  <si>
    <t>TTCGAGTCAT</t>
  </si>
  <si>
    <t>Proi5UDI-065</t>
  </si>
  <si>
    <t>CGCTCGTTAG</t>
  </si>
  <si>
    <t>Proi7UDI-066</t>
  </si>
  <si>
    <t>AGGATTGTTC</t>
  </si>
  <si>
    <t>Proi5UDI-066</t>
  </si>
  <si>
    <t>AACAACGCTG</t>
  </si>
  <si>
    <t>Proi7UDI-067</t>
  </si>
  <si>
    <t>CTCCTTGCCA</t>
  </si>
  <si>
    <t>Proi5UDI-067</t>
  </si>
  <si>
    <t>CGCGGCTATT</t>
  </si>
  <si>
    <t>Proi7UDI-068</t>
  </si>
  <si>
    <t>GCCAATATTC</t>
  </si>
  <si>
    <t>Proi5UDI-068</t>
  </si>
  <si>
    <t>GCTCGACACA</t>
  </si>
  <si>
    <t>Proi7UDI-069</t>
  </si>
  <si>
    <t>TAGGTTCCGG</t>
  </si>
  <si>
    <t>Proi5UDI-069</t>
  </si>
  <si>
    <t>TTCTTCCAAC</t>
  </si>
  <si>
    <t>Proi7UDI-070</t>
  </si>
  <si>
    <t>CCGAACAAGT</t>
  </si>
  <si>
    <t>Proi5UDI-070</t>
  </si>
  <si>
    <t>TTGGCGGTTG</t>
  </si>
  <si>
    <t>Proi7UDI-071</t>
  </si>
  <si>
    <t>ATTGGACTTG</t>
  </si>
  <si>
    <t>Proi5UDI-071</t>
  </si>
  <si>
    <t>AACAGGCAAT</t>
  </si>
  <si>
    <t>Proi7UDI-072</t>
  </si>
  <si>
    <t>CCTTGCGGTT</t>
  </si>
  <si>
    <t>Proi5UDI-072</t>
  </si>
  <si>
    <t>CAGAATGGCG</t>
  </si>
  <si>
    <t>Proi7UDI-073</t>
  </si>
  <si>
    <t>GAGTCAACGT</t>
  </si>
  <si>
    <t>Proi5UDI-073</t>
  </si>
  <si>
    <t>GTTGAGATTC</t>
  </si>
  <si>
    <t>Proi7UDI-074</t>
  </si>
  <si>
    <t>TGTTAAGTGG</t>
  </si>
  <si>
    <t>Proi5UDI-074</t>
  </si>
  <si>
    <t>TGTGTGCGGA</t>
  </si>
  <si>
    <t>Proi7UDI-075</t>
  </si>
  <si>
    <t>AGGAACTGCT</t>
  </si>
  <si>
    <t>Proi5UDI-075</t>
  </si>
  <si>
    <t>GTTCGGCGAA</t>
  </si>
  <si>
    <t>Proi7UDI-076</t>
  </si>
  <si>
    <t>ACGAAGGCGA</t>
  </si>
  <si>
    <t>Proi5UDI-076</t>
  </si>
  <si>
    <t>AGCTGTATTG</t>
  </si>
  <si>
    <t>Proi7UDI-077</t>
  </si>
  <si>
    <t>CGCAGTCCTA</t>
  </si>
  <si>
    <t>Proi5UDI-077</t>
  </si>
  <si>
    <t>CAGCGGATGA</t>
  </si>
  <si>
    <t>Proi7UDI-078</t>
  </si>
  <si>
    <t>TTCGCTCGGA</t>
  </si>
  <si>
    <t>Proi5UDI-078</t>
  </si>
  <si>
    <t>GTCCTTGGAT</t>
  </si>
  <si>
    <t>Proi7UDI-079</t>
  </si>
  <si>
    <t>AACAACCGAA</t>
  </si>
  <si>
    <t>Proi5UDI-079</t>
  </si>
  <si>
    <t>TCTAGATGCT</t>
  </si>
  <si>
    <t>Proi7UDI-080</t>
  </si>
  <si>
    <t>TTCCTCCTGT</t>
  </si>
  <si>
    <t>Proi5UDI-080</t>
  </si>
  <si>
    <t>CGAGCCACAT</t>
  </si>
  <si>
    <t>Proi7UDI-081</t>
  </si>
  <si>
    <t>TTAATGGAGG</t>
  </si>
  <si>
    <t>Proi5UDI-081</t>
  </si>
  <si>
    <t>ATGGAATGGA</t>
  </si>
  <si>
    <t>Proi7UDI-082</t>
  </si>
  <si>
    <t>AACCGCGACT</t>
  </si>
  <si>
    <t>Proi5UDI-082</t>
  </si>
  <si>
    <t>CATTCCTCAC</t>
  </si>
  <si>
    <t>Proi7UDI-083</t>
  </si>
  <si>
    <t>CCTGGATGAG</t>
  </si>
  <si>
    <t>Proi5UDI-083</t>
  </si>
  <si>
    <t>GCATAGGAAG</t>
  </si>
  <si>
    <t>Proi7UDI-084</t>
  </si>
  <si>
    <t>TTCAACCACA</t>
  </si>
  <si>
    <t>Proi5UDI-084</t>
  </si>
  <si>
    <t>TGTTCGTGTT</t>
  </si>
  <si>
    <t>Proi7UDI-085</t>
  </si>
  <si>
    <t>CCACGCATAA</t>
  </si>
  <si>
    <t>Proi5UDI-085</t>
  </si>
  <si>
    <t>TAAGACCGTT</t>
  </si>
  <si>
    <t>Proi7UDI-086</t>
  </si>
  <si>
    <t>ATACATTCGC</t>
  </si>
  <si>
    <t>Proi5UDI-086</t>
  </si>
  <si>
    <t>ATGGTACCAG</t>
  </si>
  <si>
    <t>Proi7UDI-087</t>
  </si>
  <si>
    <t>CGAGCTTGAC</t>
  </si>
  <si>
    <t>Proi5UDI-087</t>
  </si>
  <si>
    <t>CCGACAGCTT</t>
  </si>
  <si>
    <t>Proi7UDI-088</t>
  </si>
  <si>
    <t>TCCAACTCTA</t>
  </si>
  <si>
    <t>Proi5UDI-088</t>
  </si>
  <si>
    <t>GACGATATGA</t>
  </si>
  <si>
    <t>Proi7UDI-089</t>
  </si>
  <si>
    <t>AGATCATCAG</t>
  </si>
  <si>
    <t>Proi5UDI-089</t>
  </si>
  <si>
    <t>TTGTACTCCA</t>
  </si>
  <si>
    <t>Proi7UDI-090</t>
  </si>
  <si>
    <t>AACACCTAGT</t>
  </si>
  <si>
    <t>Proi5UDI-090</t>
  </si>
  <si>
    <t>GTGCACATAA</t>
  </si>
  <si>
    <t>Proi7UDI-091</t>
  </si>
  <si>
    <t>CCGCTAACAG</t>
  </si>
  <si>
    <t>Proi5UDI-091</t>
  </si>
  <si>
    <t>AGGACAAGTA</t>
  </si>
  <si>
    <t>Proi7UDI-092</t>
  </si>
  <si>
    <t>TTGGTGCGAT</t>
  </si>
  <si>
    <t>Proi5UDI-092</t>
  </si>
  <si>
    <t>CCGATTCGAG</t>
  </si>
  <si>
    <t>Proi7UDI-093</t>
  </si>
  <si>
    <t>ACCAAGTAAG</t>
  </si>
  <si>
    <t>Proi5UDI-093</t>
  </si>
  <si>
    <t>GTAGGAACTT</t>
  </si>
  <si>
    <t>Proi7UDI-094</t>
  </si>
  <si>
    <t>CGCATTAAGG</t>
  </si>
  <si>
    <t>Proi5UDI-094</t>
  </si>
  <si>
    <t>TACACTACGA</t>
  </si>
  <si>
    <t>Proi7UDI-095</t>
  </si>
  <si>
    <t>CTAGGCGAGA</t>
  </si>
  <si>
    <t>Proi5UDI-095</t>
  </si>
  <si>
    <t>ATGACCTTGA</t>
  </si>
  <si>
    <t>Proi7UDI-096</t>
  </si>
  <si>
    <t>TCTCTGAAGA</t>
  </si>
  <si>
    <t>Proi5UDI-096</t>
  </si>
  <si>
    <t>CTACGTGACG</t>
  </si>
  <si>
    <t>A1</t>
  </si>
  <si>
    <t>Proi7UDI-097</t>
  </si>
  <si>
    <t>ACCACCGGTA</t>
  </si>
  <si>
    <t>Proi5UDI-097</t>
  </si>
  <si>
    <t>AACAATCAGG</t>
  </si>
  <si>
    <t>B1</t>
  </si>
  <si>
    <t>Proi7UDI-098</t>
  </si>
  <si>
    <t>CGTAACACCT</t>
  </si>
  <si>
    <t>Proi5UDI-098</t>
  </si>
  <si>
    <t>CTGGTGTGCA</t>
  </si>
  <si>
    <t>C1</t>
  </si>
  <si>
    <t>Proi7UDI-099</t>
  </si>
  <si>
    <t>GTCGGTCTGT</t>
  </si>
  <si>
    <t>Proi5UDI-099</t>
  </si>
  <si>
    <t>GCATATCCTT</t>
  </si>
  <si>
    <t>D1</t>
  </si>
  <si>
    <t>Proi7UDI-100</t>
  </si>
  <si>
    <t>TACGTATTCG</t>
  </si>
  <si>
    <t>Proi5UDI-100</t>
  </si>
  <si>
    <t>TGTCCTGTAC</t>
  </si>
  <si>
    <t>E1</t>
  </si>
  <si>
    <t>Proi7UDI-101</t>
  </si>
  <si>
    <t>ATCGATGCTA</t>
  </si>
  <si>
    <t>Proi5UDI-101</t>
  </si>
  <si>
    <t>AGAACGTCGC</t>
  </si>
  <si>
    <t>F1</t>
  </si>
  <si>
    <t>Proi7UDI-102</t>
  </si>
  <si>
    <t>CGACTCATGG</t>
  </si>
  <si>
    <t>Proi5UDI-102</t>
  </si>
  <si>
    <t>CACGGACTAG</t>
  </si>
  <si>
    <t>G1</t>
  </si>
  <si>
    <t>Proi7UDI-103</t>
  </si>
  <si>
    <t>GCATGTTAGT</t>
  </si>
  <si>
    <t>Proi5UDI-103</t>
  </si>
  <si>
    <t>GTTGAACACT</t>
  </si>
  <si>
    <t>H1</t>
  </si>
  <si>
    <t>Proi7UDI-104</t>
  </si>
  <si>
    <t>TAGAGAGTGT</t>
  </si>
  <si>
    <t>Proi5UDI-104</t>
  </si>
  <si>
    <t>TCGCGTGGTA</t>
  </si>
  <si>
    <t>A2</t>
  </si>
  <si>
    <t>Proi7UDI-105</t>
  </si>
  <si>
    <t>AGGCAAGAGC</t>
  </si>
  <si>
    <t>Proi5UDI-105</t>
  </si>
  <si>
    <t>AGCCACTATG</t>
  </si>
  <si>
    <t>B2</t>
  </si>
  <si>
    <t>Proi7UDI-106</t>
  </si>
  <si>
    <t>CCTCAAGATT</t>
  </si>
  <si>
    <t>Proi5UDI-106</t>
  </si>
  <si>
    <t>CCACCTACCA</t>
  </si>
  <si>
    <t>C2</t>
  </si>
  <si>
    <t>Proi7UDI-107</t>
  </si>
  <si>
    <t>GACCGTTAAG</t>
  </si>
  <si>
    <t>Proi5UDI-107</t>
  </si>
  <si>
    <t>GTTCCGGTGT</t>
  </si>
  <si>
    <t>D2</t>
  </si>
  <si>
    <t>Proi7UDI-108</t>
  </si>
  <si>
    <t>TTGGTCACAA</t>
  </si>
  <si>
    <t>Proi5UDI-108</t>
  </si>
  <si>
    <t>TAGGTCTGAC</t>
  </si>
  <si>
    <t>E2</t>
  </si>
  <si>
    <t>Proi7UDI-109</t>
  </si>
  <si>
    <t>AGGTGTGTGA</t>
  </si>
  <si>
    <t>Proi5UDI-109</t>
  </si>
  <si>
    <t>AGGAAGCATT</t>
  </si>
  <si>
    <t>F2</t>
  </si>
  <si>
    <t>Proi7UDI-110</t>
  </si>
  <si>
    <t>CTAATTGCAG</t>
  </si>
  <si>
    <t>Proi5UDI-110</t>
  </si>
  <si>
    <t>CCTTAGTTGG</t>
  </si>
  <si>
    <t>G2</t>
  </si>
  <si>
    <t>Proi7UDI-111</t>
  </si>
  <si>
    <t>GAGTAAGGAG</t>
  </si>
  <si>
    <t>Proi5UDI-111</t>
  </si>
  <si>
    <t>GTCCTATTCA</t>
  </si>
  <si>
    <t>H2</t>
  </si>
  <si>
    <t>Proi7UDI-112</t>
  </si>
  <si>
    <t>TCTGCGTTGC</t>
  </si>
  <si>
    <t>Proi5UDI-112</t>
  </si>
  <si>
    <t>TAAGATGGAC</t>
  </si>
  <si>
    <t>A3</t>
  </si>
  <si>
    <t>Proi7UDI-113</t>
  </si>
  <si>
    <t>ATTGGTAAGG</t>
  </si>
  <si>
    <t>Proi5UDI-113</t>
  </si>
  <si>
    <t>AGGCCATGGT</t>
  </si>
  <si>
    <t>B3</t>
  </si>
  <si>
    <t>Proi7UDI-114</t>
  </si>
  <si>
    <t>CGAGGATTAA</t>
  </si>
  <si>
    <t>Proi5UDI-114</t>
  </si>
  <si>
    <t>CATTGGCCAA</t>
  </si>
  <si>
    <t>C3</t>
  </si>
  <si>
    <t>Proi7UDI-115</t>
  </si>
  <si>
    <t>GAACTCGGAA</t>
  </si>
  <si>
    <t>Proi5UDI-115</t>
  </si>
  <si>
    <t>GCTATGAATC</t>
  </si>
  <si>
    <t>D3</t>
  </si>
  <si>
    <t>Proi7UDI-116</t>
  </si>
  <si>
    <t>TCCTCTCGAG</t>
  </si>
  <si>
    <t>Proi5UDI-116</t>
  </si>
  <si>
    <t>TTGGTCCTCG</t>
  </si>
  <si>
    <t>E3</t>
  </si>
  <si>
    <t>Proi7UDI-117</t>
  </si>
  <si>
    <t>ACAGCCAACA</t>
  </si>
  <si>
    <t>Proi5UDI-117</t>
  </si>
  <si>
    <t>AGCGACATAC</t>
  </si>
  <si>
    <t>F3</t>
  </si>
  <si>
    <t>Proi7UDI-118</t>
  </si>
  <si>
    <t>CGCAGATACG</t>
  </si>
  <si>
    <t>Proi5UDI-118</t>
  </si>
  <si>
    <t>CAAGTAGTCT</t>
  </si>
  <si>
    <t>G3</t>
  </si>
  <si>
    <t>Proi7UDI-119</t>
  </si>
  <si>
    <t>GATACTATGG</t>
  </si>
  <si>
    <t>Proi5UDI-119</t>
  </si>
  <si>
    <t>GTCAAGAAGA</t>
  </si>
  <si>
    <t>H3</t>
  </si>
  <si>
    <t>Proi7UDI-120</t>
  </si>
  <si>
    <t>TTACTGTCCA</t>
  </si>
  <si>
    <t>Proi5UDI-120</t>
  </si>
  <si>
    <t>TCCTGTTATG</t>
  </si>
  <si>
    <t>A4</t>
  </si>
  <si>
    <t>Proi7UDI-121</t>
  </si>
  <si>
    <t>AACAAGGTAC</t>
  </si>
  <si>
    <t>Proi5UDI-121</t>
  </si>
  <si>
    <t>AAGTGCGATA</t>
  </si>
  <si>
    <t>B4</t>
  </si>
  <si>
    <t>Proi7UDI-122</t>
  </si>
  <si>
    <t>AGAGGCACTC</t>
  </si>
  <si>
    <t>Proi5UDI-122</t>
  </si>
  <si>
    <t>AGGCTACACG</t>
  </si>
  <si>
    <t>C4</t>
  </si>
  <si>
    <t>Proi7UDI-123</t>
  </si>
  <si>
    <t>CCGCTACTTA</t>
  </si>
  <si>
    <t>Proi5UDI-123</t>
  </si>
  <si>
    <t>CTATATCGGC</t>
  </si>
  <si>
    <t>D4</t>
  </si>
  <si>
    <t>Proi7UDI-124</t>
  </si>
  <si>
    <t>GAACACCACG</t>
  </si>
  <si>
    <t>Proi5UDI-124</t>
  </si>
  <si>
    <t>GCTAAGGTAA</t>
  </si>
  <si>
    <t>E4</t>
  </si>
  <si>
    <t>Proi7UDI-125</t>
  </si>
  <si>
    <t>TTCAGGAATG</t>
  </si>
  <si>
    <t>Proi5UDI-125</t>
  </si>
  <si>
    <t>TAACCTGGTT</t>
  </si>
  <si>
    <t>F4</t>
  </si>
  <si>
    <t>Proi7UDI-126</t>
  </si>
  <si>
    <t>CATGCATCTT</t>
  </si>
  <si>
    <t>Proi5UDI-126</t>
  </si>
  <si>
    <t>AGTTGGTCTA</t>
  </si>
  <si>
    <t>G4</t>
  </si>
  <si>
    <t>Proi7UDI-127</t>
  </si>
  <si>
    <t>AGCTCCAAGG</t>
  </si>
  <si>
    <t>Proi5UDI-127</t>
  </si>
  <si>
    <t>ATGCAGCTGG</t>
  </si>
  <si>
    <t>H4</t>
  </si>
  <si>
    <t>Proi7UDI-128</t>
  </si>
  <si>
    <t>CTGTTCCGGT</t>
  </si>
  <si>
    <t>Proi5UDI-128</t>
  </si>
  <si>
    <t>CGTTGCCTTC</t>
  </si>
  <si>
    <t>A5</t>
  </si>
  <si>
    <t>Proi7UDI-129</t>
  </si>
  <si>
    <t>GCTTCCATTC</t>
  </si>
  <si>
    <t>Proi5UDI-129</t>
  </si>
  <si>
    <t>GCGTGGAGAA</t>
  </si>
  <si>
    <t>B5</t>
  </si>
  <si>
    <t>Proi7UDI-130</t>
  </si>
  <si>
    <t>TATGGAGAAC</t>
  </si>
  <si>
    <t>Proi5UDI-130</t>
  </si>
  <si>
    <t>TACGCCTCCT</t>
  </si>
  <si>
    <t>C5</t>
  </si>
  <si>
    <t>Proi7UDI-131</t>
  </si>
  <si>
    <t>ACATAGTGAC</t>
  </si>
  <si>
    <t>Proi5UDI-131</t>
  </si>
  <si>
    <t>AATTCGGTAG</t>
  </si>
  <si>
    <t>D5</t>
  </si>
  <si>
    <t>Proi7UDI-132</t>
  </si>
  <si>
    <t>AGTTCTACCA</t>
  </si>
  <si>
    <t>Proi5UDI-132</t>
  </si>
  <si>
    <t>ATTGTCGAAC</t>
  </si>
  <si>
    <t>E5</t>
  </si>
  <si>
    <t>Proi7UDI-133</t>
  </si>
  <si>
    <t>CCATAGGCGT</t>
  </si>
  <si>
    <t>Proi5UDI-133</t>
  </si>
  <si>
    <t>CAACCTTGCG</t>
  </si>
  <si>
    <t>F5</t>
  </si>
  <si>
    <t>Proi7UDI-134</t>
  </si>
  <si>
    <t>GTAACGGATT</t>
  </si>
  <si>
    <t>Proi5UDI-134</t>
  </si>
  <si>
    <t>GCACTGCGTA</t>
  </si>
  <si>
    <t>G5</t>
  </si>
  <si>
    <t>Proi7UDI-135</t>
  </si>
  <si>
    <t>TAGCCTCAAC</t>
  </si>
  <si>
    <t>Proi5UDI-135</t>
  </si>
  <si>
    <t>TGCTAGTAGT</t>
  </si>
  <si>
    <t>H5</t>
  </si>
  <si>
    <t>Proi7UDI-136</t>
  </si>
  <si>
    <t>CCAGTTGATA</t>
  </si>
  <si>
    <t>Proi5UDI-136</t>
  </si>
  <si>
    <t>AAGTCACGGA</t>
  </si>
  <si>
    <t>A6</t>
  </si>
  <si>
    <t>Proi7UDI-137</t>
  </si>
  <si>
    <t>ATCTCCTCTT</t>
  </si>
  <si>
    <t>Proi5UDI-137</t>
  </si>
  <si>
    <t>AGCGATTGAA</t>
  </si>
  <si>
    <t>B6</t>
  </si>
  <si>
    <t>Proi7UDI-138</t>
  </si>
  <si>
    <t>CCGAGAAGAC</t>
  </si>
  <si>
    <t>Proi5UDI-138</t>
  </si>
  <si>
    <t>CTACCTCTCT</t>
  </si>
  <si>
    <t>C6</t>
  </si>
  <si>
    <t>Proi7UDI-139</t>
  </si>
  <si>
    <t>GTGCCATTGG</t>
  </si>
  <si>
    <t>Proi5UDI-139</t>
  </si>
  <si>
    <t>TTCTTGGCAG</t>
  </si>
  <si>
    <t>D6</t>
  </si>
  <si>
    <t>Proi7UDI-140</t>
  </si>
  <si>
    <t>TGTGTCCTAC</t>
  </si>
  <si>
    <t>Proi5UDI-140</t>
  </si>
  <si>
    <t>TCCATTGCGG</t>
  </si>
  <si>
    <t>E6</t>
  </si>
  <si>
    <t>Proi7UDI-141</t>
  </si>
  <si>
    <t>ATACGAGGAG</t>
  </si>
  <si>
    <t>Proi5UDI-141</t>
  </si>
  <si>
    <t>AGCCTCGCAA</t>
  </si>
  <si>
    <t>F6</t>
  </si>
  <si>
    <t>Proi7UDI-142</t>
  </si>
  <si>
    <t>AATCATGTGG</t>
  </si>
  <si>
    <t>Proi5UDI-142</t>
  </si>
  <si>
    <t>AATACAGGCT</t>
  </si>
  <si>
    <t>G6</t>
  </si>
  <si>
    <t>Proi7UDI-143</t>
  </si>
  <si>
    <t>CCAACCGTCT</t>
  </si>
  <si>
    <t>Proi5UDI-143</t>
  </si>
  <si>
    <t>CGGACCGTTA</t>
  </si>
  <si>
    <t>H6</t>
  </si>
  <si>
    <t>Proi7UDI-144</t>
  </si>
  <si>
    <t>GTCAACCTAG</t>
  </si>
  <si>
    <t>Proi5UDI-144</t>
  </si>
  <si>
    <t>GCGCTTATGC</t>
  </si>
  <si>
    <t>A7</t>
  </si>
  <si>
    <t>Proi7UDI-145</t>
  </si>
  <si>
    <t>TGGTACGCTT</t>
  </si>
  <si>
    <t>Proi5UDI-145</t>
  </si>
  <si>
    <t>TTAACACGAG</t>
  </si>
  <si>
    <t>B7</t>
  </si>
  <si>
    <t>Proi7UDI-146</t>
  </si>
  <si>
    <t>ACCAACATGA</t>
  </si>
  <si>
    <t>Proi5UDI-146</t>
  </si>
  <si>
    <t>CGCCTCTAGA</t>
  </si>
  <si>
    <t>C7</t>
  </si>
  <si>
    <t>Proi7UDI-147</t>
  </si>
  <si>
    <t>ACCATTCCAA</t>
  </si>
  <si>
    <t>Proi5UDI-147</t>
  </si>
  <si>
    <t>AATCGACCTT</t>
  </si>
  <si>
    <t>D7</t>
  </si>
  <si>
    <t>Proi7UDI-148</t>
  </si>
  <si>
    <t>CAACATACAC</t>
  </si>
  <si>
    <t>Proi5UDI-148</t>
  </si>
  <si>
    <t>CCGCAATAAC</t>
  </si>
  <si>
    <t>E7</t>
  </si>
  <si>
    <t>Proi7UDI-149</t>
  </si>
  <si>
    <t>GTTGACAGGA</t>
  </si>
  <si>
    <t>Proi5UDI-149</t>
  </si>
  <si>
    <t>GTTCCAACGA</t>
  </si>
  <si>
    <t>F7</t>
  </si>
  <si>
    <t>Proi7UDI-150</t>
  </si>
  <si>
    <t>TGCCTGATTA</t>
  </si>
  <si>
    <t>Proi5UDI-150</t>
  </si>
  <si>
    <t>TGTTAGACCG</t>
  </si>
  <si>
    <t>G7</t>
  </si>
  <si>
    <t>Proi7UDI-151</t>
  </si>
  <si>
    <t>AATCCACTAC</t>
  </si>
  <si>
    <t>Proi5UDI-151</t>
  </si>
  <si>
    <t>AACCTCATAG</t>
  </si>
  <si>
    <t>H7</t>
  </si>
  <si>
    <t>Proi7UDI-152</t>
  </si>
  <si>
    <t>ATGCGCAATT</t>
  </si>
  <si>
    <t>Proi5UDI-152</t>
  </si>
  <si>
    <t>ATGAATCCAC</t>
  </si>
  <si>
    <t>A8</t>
  </si>
  <si>
    <t>Proi7UDI-153</t>
  </si>
  <si>
    <t>CGTTATTGTC</t>
  </si>
  <si>
    <t>Proi5UDI-153</t>
  </si>
  <si>
    <t>CGGCTTAATT</t>
  </si>
  <si>
    <t>B8</t>
  </si>
  <si>
    <t>Proi7UDI-154</t>
  </si>
  <si>
    <t>GCTTAACTGT</t>
  </si>
  <si>
    <t>Proi5UDI-154</t>
  </si>
  <si>
    <t>GAGTTGCAGG</t>
  </si>
  <si>
    <t>C8</t>
  </si>
  <si>
    <t>Proi7UDI-155</t>
  </si>
  <si>
    <t>TAGTGTGGCT</t>
  </si>
  <si>
    <t>Proi5UDI-155</t>
  </si>
  <si>
    <t>TCCACGAACA</t>
  </si>
  <si>
    <t>D8</t>
  </si>
  <si>
    <t>Proi7UDI-156</t>
  </si>
  <si>
    <t>AAGACGATTG</t>
  </si>
  <si>
    <t>Proi5UDI-156</t>
  </si>
  <si>
    <t>TGACGGAGGA</t>
  </si>
  <si>
    <t>E8</t>
  </si>
  <si>
    <t>Proi7UDI-157</t>
  </si>
  <si>
    <t>ACAAGCTCCT</t>
  </si>
  <si>
    <t>Proi5UDI-157</t>
  </si>
  <si>
    <t>AATGAGTACG</t>
  </si>
  <si>
    <t>F8</t>
  </si>
  <si>
    <t>Proi7UDI-158</t>
  </si>
  <si>
    <t>CTCCGCTCAA</t>
  </si>
  <si>
    <t>Proi5UDI-158</t>
  </si>
  <si>
    <t>CGTCTTCCGA</t>
  </si>
  <si>
    <t>G8</t>
  </si>
  <si>
    <t>Proi7UDI-159</t>
  </si>
  <si>
    <t>GAGAGCTACT</t>
  </si>
  <si>
    <t>Proi5UDI-159</t>
  </si>
  <si>
    <t>GACAGAGATT</t>
  </si>
  <si>
    <t>H8</t>
  </si>
  <si>
    <t>Proi7UDI-160</t>
  </si>
  <si>
    <t>TGACAGCGTG</t>
  </si>
  <si>
    <t>Proi5UDI-160</t>
  </si>
  <si>
    <t>TTACGCTAAC</t>
  </si>
  <si>
    <t>A9</t>
  </si>
  <si>
    <t>Proi7UDI-161</t>
  </si>
  <si>
    <t>AAGAGGTCTT</t>
  </si>
  <si>
    <t>Proi5UDI-161</t>
  </si>
  <si>
    <t>CTCCTCGAAG</t>
  </si>
  <si>
    <t>B9</t>
  </si>
  <si>
    <t>Proi7UDI-162</t>
  </si>
  <si>
    <t>AGAAGAGGTC</t>
  </si>
  <si>
    <t>Proi5UDI-162</t>
  </si>
  <si>
    <t>ATACCGCAGA</t>
  </si>
  <si>
    <t>C9</t>
  </si>
  <si>
    <t>Proi7UDI-163</t>
  </si>
  <si>
    <t>CAAGGAAGTA</t>
  </si>
  <si>
    <t>Proi5UDI-163</t>
  </si>
  <si>
    <t>CCTATCTGAT</t>
  </si>
  <si>
    <t>D9</t>
  </si>
  <si>
    <t>Proi7UDI-164</t>
  </si>
  <si>
    <t>GCGTATCGCA</t>
  </si>
  <si>
    <t>Proi5UDI-164</t>
  </si>
  <si>
    <t>GATCGGTTAC</t>
  </si>
  <si>
    <t>E9</t>
  </si>
  <si>
    <t>Proi7UDI-165</t>
  </si>
  <si>
    <t>TTAAGCCTGC</t>
  </si>
  <si>
    <t>Proi5UDI-165</t>
  </si>
  <si>
    <t>TGGTGAGGTG</t>
  </si>
  <si>
    <t>F9</t>
  </si>
  <si>
    <t>Proi7UDI-166</t>
  </si>
  <si>
    <t>CACAAGCTTA</t>
  </si>
  <si>
    <t>Proi5UDI-166</t>
  </si>
  <si>
    <t>AACCGGCGTA</t>
  </si>
  <si>
    <t>G9</t>
  </si>
  <si>
    <t>Proi7UDI-167</t>
  </si>
  <si>
    <t>AGCGGACCAT</t>
  </si>
  <si>
    <t>Proi5UDI-167</t>
  </si>
  <si>
    <t>AATACCGATC</t>
  </si>
  <si>
    <t>H9</t>
  </si>
  <si>
    <t>Proi7UDI-168</t>
  </si>
  <si>
    <t>CTTCTGACAT</t>
  </si>
  <si>
    <t>Proi5UDI-168</t>
  </si>
  <si>
    <t>CGATACTCAA</t>
  </si>
  <si>
    <t>Proi7UDI-169</t>
  </si>
  <si>
    <t>GACCTTCGTC</t>
  </si>
  <si>
    <t>Proi5UDI-169</t>
  </si>
  <si>
    <t>GTAAGGCGGT</t>
  </si>
  <si>
    <t>Proi7UDI-170</t>
  </si>
  <si>
    <t>TCACGGTGAT</t>
  </si>
  <si>
    <t>Proi5UDI-170</t>
  </si>
  <si>
    <t>TTCAAGGTCG</t>
  </si>
  <si>
    <t>Proi7UDI-171</t>
  </si>
  <si>
    <t>ACACTGTAGC</t>
  </si>
  <si>
    <t>Proi5UDI-171</t>
  </si>
  <si>
    <t>TATCCGAGTA</t>
  </si>
  <si>
    <t>Proi7UDI-172</t>
  </si>
  <si>
    <t>ATATTCGACG</t>
  </si>
  <si>
    <t>Proi5UDI-172</t>
  </si>
  <si>
    <t>AGCGCGCTTA</t>
  </si>
  <si>
    <t>Proi7UDI-173</t>
  </si>
  <si>
    <t>CCGATGGTTG</t>
  </si>
  <si>
    <t>Proi5UDI-173</t>
  </si>
  <si>
    <t>CCGGAGACAT</t>
  </si>
  <si>
    <t>Proi7UDI-174</t>
  </si>
  <si>
    <t>GAATGGACCG</t>
  </si>
  <si>
    <t>Proi5UDI-174</t>
  </si>
  <si>
    <t>GAGATAACTG</t>
  </si>
  <si>
    <t>Proi7UDI-175</t>
  </si>
  <si>
    <t>TGGCTCTTCT</t>
  </si>
  <si>
    <t>Proi5UDI-175</t>
  </si>
  <si>
    <t>TTGTAAGCGC</t>
  </si>
  <si>
    <t>Proi7UDI-176</t>
  </si>
  <si>
    <t>CATTGCATAG</t>
  </si>
  <si>
    <t>Proi5UDI-176</t>
  </si>
  <si>
    <t>CAAGAGGAGG</t>
  </si>
  <si>
    <t>Proi7UDI-177</t>
  </si>
  <si>
    <t>CGGTTCAGTG</t>
  </si>
  <si>
    <t>Proi5UDI-177</t>
  </si>
  <si>
    <t>AACCTTAGGA</t>
  </si>
  <si>
    <t>Proi7UDI-178</t>
  </si>
  <si>
    <t>TCACACAGTA</t>
  </si>
  <si>
    <t>Proi5UDI-178</t>
  </si>
  <si>
    <t>CTGGCAACTC</t>
  </si>
  <si>
    <t>Proi7UDI-179</t>
  </si>
  <si>
    <t>AACAGAATGC</t>
  </si>
  <si>
    <t>Proi5UDI-179</t>
  </si>
  <si>
    <t>GAACTTGTTG</t>
  </si>
  <si>
    <t>Proi7UDI-180</t>
  </si>
  <si>
    <t>CTTAGCGGAG</t>
  </si>
  <si>
    <t>Proi5UDI-180</t>
  </si>
  <si>
    <t>TGTGCAAGAT</t>
  </si>
  <si>
    <t>Proi7UDI-181</t>
  </si>
  <si>
    <t>TCTCAAGCGA</t>
  </si>
  <si>
    <t>Proi5UDI-181</t>
  </si>
  <si>
    <t>AATCGAGAGA</t>
  </si>
  <si>
    <t>Proi7UDI-182</t>
  </si>
  <si>
    <t>AAGGCTAGTT</t>
  </si>
  <si>
    <t>Proi5UDI-182</t>
  </si>
  <si>
    <t>AGCGTGTCAG</t>
  </si>
  <si>
    <t>Proi7UDI-183</t>
  </si>
  <si>
    <t>CCTGAGCGAA</t>
  </si>
  <si>
    <t>Proi5UDI-183</t>
  </si>
  <si>
    <t>CTTGGTGATT</t>
  </si>
  <si>
    <t>Proi7UDI-184</t>
  </si>
  <si>
    <t>TGTTGTAGAG</t>
  </si>
  <si>
    <t>Proi5UDI-184</t>
  </si>
  <si>
    <t>GAAGCAGCAA</t>
  </si>
  <si>
    <t>Proi7UDI-185</t>
  </si>
  <si>
    <t>AACACACTCA</t>
  </si>
  <si>
    <t>Proi5UDI-185</t>
  </si>
  <si>
    <t>TTCCGTCGAC</t>
  </si>
  <si>
    <t>Proi7UDI-186</t>
  </si>
  <si>
    <t>CGACTAACTA</t>
  </si>
  <si>
    <t>Proi5UDI-186</t>
  </si>
  <si>
    <t>CGAGATGCCA</t>
  </si>
  <si>
    <t>Proi7UDI-187</t>
  </si>
  <si>
    <t>AGGATCAGGC</t>
  </si>
  <si>
    <t>Proi5UDI-187</t>
  </si>
  <si>
    <t>AAGTTCGTGC</t>
  </si>
  <si>
    <t>Proi7UDI-188</t>
  </si>
  <si>
    <t>CCTGTACTCG</t>
  </si>
  <si>
    <t>Proi5UDI-188</t>
  </si>
  <si>
    <t>CGTCCATAAG</t>
  </si>
  <si>
    <t>Proi7UDI-189</t>
  </si>
  <si>
    <t>TAATCTAGGC</t>
  </si>
  <si>
    <t>Proi5UDI-189</t>
  </si>
  <si>
    <t>TTGTGGCATA</t>
  </si>
  <si>
    <t>Proi7UDI-190</t>
  </si>
  <si>
    <t>ACAGTGCCGA</t>
  </si>
  <si>
    <t>Proi5UDI-190</t>
  </si>
  <si>
    <t>AGATCGGAAT</t>
  </si>
  <si>
    <t>Proi7UDI-191</t>
  </si>
  <si>
    <t>TCTTGCACGG</t>
  </si>
  <si>
    <t>Proi5UDI-191</t>
  </si>
  <si>
    <t>CATTCTACTG</t>
  </si>
  <si>
    <t>Proi7UDI-192</t>
  </si>
  <si>
    <t>AACCAGCCAG</t>
  </si>
  <si>
    <t>Proi5UDI-192</t>
  </si>
  <si>
    <t>ATCGCCGTAG</t>
  </si>
  <si>
    <t>Proi7UDI-193</t>
  </si>
  <si>
    <t>AATCCTAACG</t>
  </si>
  <si>
    <t>Proi5UDI-193</t>
  </si>
  <si>
    <t>ATCCTTACAC</t>
  </si>
  <si>
    <t>Proi7UDI-194</t>
  </si>
  <si>
    <t>CGTAATGGAA</t>
  </si>
  <si>
    <t>Proi5UDI-194</t>
  </si>
  <si>
    <t>CGCAAGGACT</t>
  </si>
  <si>
    <t>Proi7UDI-195</t>
  </si>
  <si>
    <t>GTTACCGCTA</t>
  </si>
  <si>
    <t>Proi5UDI-195</t>
  </si>
  <si>
    <t>GCTGGCGTTA</t>
  </si>
  <si>
    <t>Proi7UDI-196</t>
  </si>
  <si>
    <t>TCCTGGCTAC</t>
  </si>
  <si>
    <t>Proi5UDI-196</t>
  </si>
  <si>
    <t>TACTTAGAGG</t>
  </si>
  <si>
    <t>Proi7UDI-197</t>
  </si>
  <si>
    <t>AGAGTATCCT</t>
  </si>
  <si>
    <t>Proi5UDI-197</t>
  </si>
  <si>
    <t>ATGGCGATGC</t>
  </si>
  <si>
    <t>Proi7UDI-198</t>
  </si>
  <si>
    <t>CTGGAGGATA</t>
  </si>
  <si>
    <t>Proi5UDI-198</t>
  </si>
  <si>
    <t>CATTGGTGCG</t>
  </si>
  <si>
    <t>Proi7UDI-199</t>
  </si>
  <si>
    <t>GAACGACTTA</t>
  </si>
  <si>
    <t>Proi5UDI-199</t>
  </si>
  <si>
    <t>GCGAGATATA</t>
  </si>
  <si>
    <t>Proi7UDI-200</t>
  </si>
  <si>
    <t>TCAATCCGGA</t>
  </si>
  <si>
    <t>Proi5UDI-200</t>
  </si>
  <si>
    <t>TGACTGCTAT</t>
  </si>
  <si>
    <t>Proi7UDI-201</t>
  </si>
  <si>
    <t>AACAAGACGT</t>
  </si>
  <si>
    <t>Proi5UDI-201</t>
  </si>
  <si>
    <t>AACGTCCGCT</t>
  </si>
  <si>
    <t>Proi7UDI-202</t>
  </si>
  <si>
    <t>GACTCTTCCA</t>
  </si>
  <si>
    <t>Proi5UDI-202</t>
  </si>
  <si>
    <t>TGGCTTCGGT</t>
  </si>
  <si>
    <t>Proi7UDI-203</t>
  </si>
  <si>
    <t>GCAGTGATCG</t>
  </si>
  <si>
    <t>Proi5UDI-203</t>
  </si>
  <si>
    <t>GCACACCTGA</t>
  </si>
  <si>
    <t>Proi7UDI-204</t>
  </si>
  <si>
    <t>TTCCGATAGG</t>
  </si>
  <si>
    <t>Proi5UDI-204</t>
  </si>
  <si>
    <t>TTGTCCAGAG</t>
  </si>
  <si>
    <t>Proi7UDI-205</t>
  </si>
  <si>
    <t>AAGCTCTCTG</t>
  </si>
  <si>
    <t>Proi5UDI-205</t>
  </si>
  <si>
    <t>AGCCTTCCTG</t>
  </si>
  <si>
    <t>Proi7UDI-206</t>
  </si>
  <si>
    <t>CGCAAGTTGC</t>
  </si>
  <si>
    <t>Proi5UDI-206</t>
  </si>
  <si>
    <t>CCTTACGCCA</t>
  </si>
  <si>
    <t>Proi7UDI-207</t>
  </si>
  <si>
    <t>GTCCTCCATA</t>
  </si>
  <si>
    <t>Proi5UDI-207</t>
  </si>
  <si>
    <t>GAATACGTAC</t>
  </si>
  <si>
    <t>Proi7UDI-208</t>
  </si>
  <si>
    <t>TCTGATCTCA</t>
  </si>
  <si>
    <t>Proi5UDI-208</t>
  </si>
  <si>
    <t>TTGGCACCGT</t>
  </si>
  <si>
    <t>Proi7UDI-209</t>
  </si>
  <si>
    <t>AATAGGCTGA</t>
  </si>
  <si>
    <t>Proi5UDI-209</t>
  </si>
  <si>
    <t>ATTAGGTGGC</t>
  </si>
  <si>
    <t>Proi7UDI-210</t>
  </si>
  <si>
    <t>CGCTCACAAC</t>
  </si>
  <si>
    <t>Proi5UDI-210</t>
  </si>
  <si>
    <t>CGATCAAGAA</t>
  </si>
  <si>
    <t>Proi7UDI-211</t>
  </si>
  <si>
    <t>GTGTTACTGA</t>
  </si>
  <si>
    <t>Proi5UDI-211</t>
  </si>
  <si>
    <t>GCTGTCTTCT</t>
  </si>
  <si>
    <t>Proi7UDI-212</t>
  </si>
  <si>
    <t>TCTGAGCCTT</t>
  </si>
  <si>
    <t>Proi5UDI-212</t>
  </si>
  <si>
    <t>TACATGTCTG</t>
  </si>
  <si>
    <t>Proi7UDI-213</t>
  </si>
  <si>
    <t>ACCACCACAC</t>
  </si>
  <si>
    <t>Proi5UDI-213</t>
  </si>
  <si>
    <t>AACCAGTTGA</t>
  </si>
  <si>
    <t>Proi7UDI-214</t>
  </si>
  <si>
    <t>CTAAGCTCGG</t>
  </si>
  <si>
    <t>Proi5UDI-214</t>
  </si>
  <si>
    <t>CCGGTAAGCT</t>
  </si>
  <si>
    <t>Proi7UDI-215</t>
  </si>
  <si>
    <t>GAAGCGTGAT</t>
  </si>
  <si>
    <t>Proi5UDI-215</t>
  </si>
  <si>
    <t>GTTCGAATAG</t>
  </si>
  <si>
    <t>Proi7UDI-216</t>
  </si>
  <si>
    <t>TGCATAGCTA</t>
  </si>
  <si>
    <t>Proi5UDI-216</t>
  </si>
  <si>
    <t>TGTCAGGCTC</t>
  </si>
  <si>
    <t>Proi7UDI-217</t>
  </si>
  <si>
    <t>ATGAGGAACA</t>
  </si>
  <si>
    <t>Proi5UDI-217</t>
  </si>
  <si>
    <t>CAACAGTGTT</t>
  </si>
  <si>
    <t>Proi7UDI-218</t>
  </si>
  <si>
    <t>AGAAGGTATG</t>
  </si>
  <si>
    <t>Proi5UDI-218</t>
  </si>
  <si>
    <t>AAGAGAGGAA</t>
  </si>
  <si>
    <t>Proi7UDI-219</t>
  </si>
  <si>
    <t>CATTGAAGGC</t>
  </si>
  <si>
    <t>Proi5UDI-219</t>
  </si>
  <si>
    <t>CGGTTGTAGC</t>
  </si>
  <si>
    <t>Proi7UDI-220</t>
  </si>
  <si>
    <t>GCTGGTCAAG</t>
  </si>
  <si>
    <t>Proi5UDI-220</t>
  </si>
  <si>
    <t>GCCTGAAGTG</t>
  </si>
  <si>
    <t>Proi7UDI-221</t>
  </si>
  <si>
    <t>TTGTGTGTAG</t>
  </si>
  <si>
    <t>Proi5UDI-221</t>
  </si>
  <si>
    <t>TTACGACACT</t>
  </si>
  <si>
    <t>Proi7UDI-222</t>
  </si>
  <si>
    <t>ATTCAGCCTA</t>
  </si>
  <si>
    <t>Proi5UDI-222</t>
  </si>
  <si>
    <t>CGCCTAGATC</t>
  </si>
  <si>
    <t>Proi7UDI-223</t>
  </si>
  <si>
    <t>AGGACTCCGA</t>
  </si>
  <si>
    <t>Proi5UDI-223</t>
  </si>
  <si>
    <t>AATCTGGATG</t>
  </si>
  <si>
    <t>Proi7UDI-224</t>
  </si>
  <si>
    <t>CCGCGATGTT</t>
  </si>
  <si>
    <t>Proi5UDI-224</t>
  </si>
  <si>
    <t>CGACGGTACA</t>
  </si>
  <si>
    <t>Proi7UDI-225</t>
  </si>
  <si>
    <t>GTAAGACAAC</t>
  </si>
  <si>
    <t>Proi5UDI-225</t>
  </si>
  <si>
    <t>GTAGTATTGC</t>
  </si>
  <si>
    <t>Proi7UDI-226</t>
  </si>
  <si>
    <t>TAGTTGCCAC</t>
  </si>
  <si>
    <t>Proi5UDI-226</t>
  </si>
  <si>
    <t>TCCAGCGGAT</t>
  </si>
  <si>
    <t>Proi7UDI-227</t>
  </si>
  <si>
    <t>ATGCCTGCTC</t>
  </si>
  <si>
    <t>Proi5UDI-227</t>
  </si>
  <si>
    <t>CAACCACCTC</t>
  </si>
  <si>
    <t>Proi7UDI-228</t>
  </si>
  <si>
    <t>AGGTGCCGTT</t>
  </si>
  <si>
    <t>Proi5UDI-228</t>
  </si>
  <si>
    <t>AGCTTAGGCG</t>
  </si>
  <si>
    <t>Proi7UDI-229</t>
  </si>
  <si>
    <t>CAAGGTTACT</t>
  </si>
  <si>
    <t>Proi5UDI-229</t>
  </si>
  <si>
    <t>CCGGTTCCTT</t>
  </si>
  <si>
    <t>Proi7UDI-230</t>
  </si>
  <si>
    <t>GCTTATGAGA</t>
  </si>
  <si>
    <t>Proi5UDI-230</t>
  </si>
  <si>
    <t>GACATTGAAC</t>
  </si>
  <si>
    <t>Proi7UDI-231</t>
  </si>
  <si>
    <t>TTGGCAAGCA</t>
  </si>
  <si>
    <t>Proi5UDI-231</t>
  </si>
  <si>
    <t>TTAGAGGCGA</t>
  </si>
  <si>
    <t>Proi7UDI-232</t>
  </si>
  <si>
    <t>ACAGGAACCG</t>
  </si>
  <si>
    <t>Proi5UDI-232</t>
  </si>
  <si>
    <t>CAAGCCGAAC</t>
  </si>
  <si>
    <t>Proi7UDI-233</t>
  </si>
  <si>
    <t>ATCTACTTGG</t>
  </si>
  <si>
    <t>Proi5UDI-233</t>
  </si>
  <si>
    <t>AGGAGAACGG</t>
  </si>
  <si>
    <t>Proi7UDI-234</t>
  </si>
  <si>
    <t>CGCCAACCTT</t>
  </si>
  <si>
    <t>Proi5UDI-234</t>
  </si>
  <si>
    <t>CCTGTTAGAC</t>
  </si>
  <si>
    <t>Proi7UDI-235</t>
  </si>
  <si>
    <t>GACCAGAGCA</t>
  </si>
  <si>
    <t>Proi5UDI-235</t>
  </si>
  <si>
    <t>GTTCTACGTT</t>
  </si>
  <si>
    <t>Proi7UDI-236</t>
  </si>
  <si>
    <t>TCGTTACAGT</t>
  </si>
  <si>
    <t>Proi5UDI-236</t>
  </si>
  <si>
    <t>TAAGTCCACA</t>
  </si>
  <si>
    <t>Proi7UDI-237</t>
  </si>
  <si>
    <t>ACCTGGAATC</t>
  </si>
  <si>
    <t>Proi5UDI-237</t>
  </si>
  <si>
    <t>CAAGAACCAT</t>
  </si>
  <si>
    <t>Proi7UDI-238</t>
  </si>
  <si>
    <t>ATCTGGTGAA</t>
  </si>
  <si>
    <t>Proi5UDI-238</t>
  </si>
  <si>
    <t>AGTTGATGAC</t>
  </si>
  <si>
    <t>Proi7UDI-239</t>
  </si>
  <si>
    <t>CCTTGGAAGT</t>
  </si>
  <si>
    <t>Proi5UDI-239</t>
  </si>
  <si>
    <t>CCTACTCTTG</t>
  </si>
  <si>
    <t>Proi7UDI-240</t>
  </si>
  <si>
    <t>GAATATTCGG</t>
  </si>
  <si>
    <t>Proi5UDI-240</t>
  </si>
  <si>
    <t>GAACAATCCA</t>
  </si>
  <si>
    <t>Proi7UDI-241</t>
  </si>
  <si>
    <t>TGGATAAGAG</t>
  </si>
  <si>
    <t>Proi5UDI-241</t>
  </si>
  <si>
    <t>TTCTGTTGGT</t>
  </si>
  <si>
    <t>Proi7UDI-242</t>
  </si>
  <si>
    <t>ACCGCTGTGA</t>
  </si>
  <si>
    <t>Proi5UDI-242</t>
  </si>
  <si>
    <t>CATCGTCAGG</t>
  </si>
  <si>
    <t>Proi7UDI-243</t>
  </si>
  <si>
    <t>ACGACAGAGG</t>
  </si>
  <si>
    <t>Proi5UDI-243</t>
  </si>
  <si>
    <t>ATGCATGAAG</t>
  </si>
  <si>
    <t>Proi7UDI-244</t>
  </si>
  <si>
    <t>CGAGAACAGA</t>
  </si>
  <si>
    <t>Proi5UDI-244</t>
  </si>
  <si>
    <t>CGTGAATCGC</t>
  </si>
  <si>
    <t>Proi7UDI-245</t>
  </si>
  <si>
    <t>GTGAAGTATC</t>
  </si>
  <si>
    <t>Proi5UDI-245</t>
  </si>
  <si>
    <t>GAGCAGCCTT</t>
  </si>
  <si>
    <t>Proi7UDI-246</t>
  </si>
  <si>
    <t>TATCAGCACT</t>
  </si>
  <si>
    <t>Proi5UDI-246</t>
  </si>
  <si>
    <t>TCGATTACCA</t>
  </si>
  <si>
    <t>Proi7UDI-247</t>
  </si>
  <si>
    <t>ACCGAAGGAT</t>
  </si>
  <si>
    <t>Proi5UDI-247</t>
  </si>
  <si>
    <t>CAGTCCAATT</t>
  </si>
  <si>
    <t>Proi7UDI-248</t>
  </si>
  <si>
    <t>AATCGTTGTC</t>
  </si>
  <si>
    <t>Proi5UDI-248</t>
  </si>
  <si>
    <t>AGAGGCTTGG</t>
  </si>
  <si>
    <t>Proi7UDI-249</t>
  </si>
  <si>
    <t>CTACCGGTTC</t>
  </si>
  <si>
    <t>Proi5UDI-249</t>
  </si>
  <si>
    <t>CAGGCTCTCA</t>
  </si>
  <si>
    <t>Proi7UDI-250</t>
  </si>
  <si>
    <t>GCTCATTGCT</t>
  </si>
  <si>
    <t>Proi5UDI-250</t>
  </si>
  <si>
    <t>GTTCGCTCTC</t>
  </si>
  <si>
    <t>Proi7UDI-251</t>
  </si>
  <si>
    <t>TGGAGTCTTG</t>
  </si>
  <si>
    <t>Proi5UDI-251</t>
  </si>
  <si>
    <t>TCGGACTAAT</t>
  </si>
  <si>
    <t>Proi7UDI-252</t>
  </si>
  <si>
    <t>CCTACACGGT</t>
  </si>
  <si>
    <t>Proi5UDI-252</t>
  </si>
  <si>
    <t>CGAGATCTTC</t>
  </si>
  <si>
    <t>Proi7UDI-253</t>
  </si>
  <si>
    <t>ACCTGTGCCT</t>
  </si>
  <si>
    <t>Proi5UDI-253</t>
  </si>
  <si>
    <t>ATAACCGGAC</t>
  </si>
  <si>
    <t>Proi7UDI-254</t>
  </si>
  <si>
    <t>CGATCTGTCG</t>
  </si>
  <si>
    <t>Proi5UDI-254</t>
  </si>
  <si>
    <t>CGTGTAGTTA</t>
  </si>
  <si>
    <t>Proi7UDI-255</t>
  </si>
  <si>
    <t>GTTGTCGCGT</t>
  </si>
  <si>
    <t>Proi5UDI-255</t>
  </si>
  <si>
    <t>GAACATAGGT</t>
  </si>
  <si>
    <t>Proi7UDI-256</t>
  </si>
  <si>
    <t>TAACGCAAGT</t>
  </si>
  <si>
    <t>Proi5UDI-256</t>
  </si>
  <si>
    <t>TCTAACATCG</t>
  </si>
  <si>
    <t>Proi7UDI-257</t>
  </si>
  <si>
    <t>ATGAGTGGTG</t>
  </si>
  <si>
    <t>Proi5UDI-257</t>
  </si>
  <si>
    <t>AACGGTGGCA</t>
  </si>
  <si>
    <t>Proi7UDI-258</t>
  </si>
  <si>
    <t>AGTTACGAAG</t>
  </si>
  <si>
    <t>Proi5UDI-258</t>
  </si>
  <si>
    <t>AGGACGGTGT</t>
  </si>
  <si>
    <t>Proi7UDI-259</t>
  </si>
  <si>
    <t>CCGAATACTG</t>
  </si>
  <si>
    <t>Proi5UDI-259</t>
  </si>
  <si>
    <t>CTGTGACCTG</t>
  </si>
  <si>
    <t>Proi7UDI-260</t>
  </si>
  <si>
    <t>GTCCAGACTG</t>
  </si>
  <si>
    <t>Proi5UDI-260</t>
  </si>
  <si>
    <t>GCTGTAACAA</t>
  </si>
  <si>
    <t>Proi7UDI-261</t>
  </si>
  <si>
    <t>TAGAACGGTA</t>
  </si>
  <si>
    <t>Proi5UDI-261</t>
  </si>
  <si>
    <t>TACGGACGTC</t>
  </si>
  <si>
    <t>Proi7UDI-262</t>
  </si>
  <si>
    <t>CTGTGGACAC</t>
  </si>
  <si>
    <t>Proi5UDI-262</t>
  </si>
  <si>
    <t>CCTAAGGAGC</t>
  </si>
  <si>
    <t>Proi7UDI-263</t>
  </si>
  <si>
    <t>ACAGTCGTAA</t>
  </si>
  <si>
    <t>Proi5UDI-263</t>
  </si>
  <si>
    <t>ATAAGGCCAG</t>
  </si>
  <si>
    <t>Proi7UDI-264</t>
  </si>
  <si>
    <t>CATTCGCGTC</t>
  </si>
  <si>
    <t>Proi5UDI-264</t>
  </si>
  <si>
    <t>CTCATCTGTA</t>
  </si>
  <si>
    <t>Proi7UDI-265</t>
  </si>
  <si>
    <t>GCGTACGTTG</t>
  </si>
  <si>
    <t>Proi5UDI-265</t>
  </si>
  <si>
    <t>GAAGGCATCT</t>
  </si>
  <si>
    <t>Proi7UDI-266</t>
  </si>
  <si>
    <t>TTCCTGAGCT</t>
  </si>
  <si>
    <t>Proi5UDI-266</t>
  </si>
  <si>
    <t>TCTCTACTGC</t>
  </si>
  <si>
    <t>Proi7UDI-267</t>
  </si>
  <si>
    <t>ACCGCCTATC</t>
  </si>
  <si>
    <t>Proi5UDI-267</t>
  </si>
  <si>
    <t>AACCGAACAA</t>
  </si>
  <si>
    <t>Proi7UDI-268</t>
  </si>
  <si>
    <t>ACTTCCTACT</t>
  </si>
  <si>
    <t>Proi5UDI-268</t>
  </si>
  <si>
    <t>ATCTCGCCAC</t>
  </si>
  <si>
    <t>Proi7UDI-269</t>
  </si>
  <si>
    <t>CTACAACATG</t>
  </si>
  <si>
    <t>Proi5UDI-269</t>
  </si>
  <si>
    <t>CCATGCAACG</t>
  </si>
  <si>
    <t>Proi7UDI-270</t>
  </si>
  <si>
    <t>GAAGAATGTG</t>
  </si>
  <si>
    <t>Proi5UDI-270</t>
  </si>
  <si>
    <t>AACCATGATC</t>
  </si>
  <si>
    <t>Proi7UDI-271</t>
  </si>
  <si>
    <t>TACGAGCTGC</t>
  </si>
  <si>
    <t>Proi5UDI-271</t>
  </si>
  <si>
    <t>TATATGCCGT</t>
  </si>
  <si>
    <t>Proi7UDI-272</t>
  </si>
  <si>
    <t>CCGTCTGAAC</t>
  </si>
  <si>
    <t>Proi5UDI-272</t>
  </si>
  <si>
    <t>CTCGATAGAT</t>
  </si>
  <si>
    <t>Proi7UDI-273</t>
  </si>
  <si>
    <t>ACTTCCAGGA</t>
  </si>
  <si>
    <t>Proi5UDI-273</t>
  </si>
  <si>
    <t>AACACAAGAG</t>
  </si>
  <si>
    <t>Proi7UDI-274</t>
  </si>
  <si>
    <t>CTAACAATGC</t>
  </si>
  <si>
    <t>Proi5UDI-274</t>
  </si>
  <si>
    <t>CGCAATCGGT</t>
  </si>
  <si>
    <t>Proi7UDI-275</t>
  </si>
  <si>
    <t>GCTGTAGGTC</t>
  </si>
  <si>
    <t>Proi5UDI-275</t>
  </si>
  <si>
    <t>GTTGCGTAGA</t>
  </si>
  <si>
    <t>Proi7UDI-276</t>
  </si>
  <si>
    <t>TACGTCGGTG</t>
  </si>
  <si>
    <t>Proi5UDI-276</t>
  </si>
  <si>
    <t>TAGAGTGATC</t>
  </si>
  <si>
    <t>Proi7UDI-277</t>
  </si>
  <si>
    <t>AAGGTGAGAG</t>
  </si>
  <si>
    <t>Proi5UDI-277</t>
  </si>
  <si>
    <t>AAGACGCAGC</t>
  </si>
  <si>
    <t>Proi7UDI-278</t>
  </si>
  <si>
    <t>AATGAACGAG</t>
  </si>
  <si>
    <t>Proi5UDI-278</t>
  </si>
  <si>
    <t>AACTTCTCGA</t>
  </si>
  <si>
    <t>Proi7UDI-279</t>
  </si>
  <si>
    <t>CTTGCCACCA</t>
  </si>
  <si>
    <t>Proi5UDI-279</t>
  </si>
  <si>
    <t>CGCAACTGAG</t>
  </si>
  <si>
    <t>Proi7UDI-280</t>
  </si>
  <si>
    <t>TCAAGCAATC</t>
  </si>
  <si>
    <t>Proi5UDI-280</t>
  </si>
  <si>
    <t>GCTCCGCAAT</t>
  </si>
  <si>
    <t>Proi7UDI-281</t>
  </si>
  <si>
    <t>ACCTTAACGG</t>
  </si>
  <si>
    <t>Proi5UDI-281</t>
  </si>
  <si>
    <t>TACACCATTC</t>
  </si>
  <si>
    <t>Proi7UDI-282</t>
  </si>
  <si>
    <t>CCTCTCAGCA</t>
  </si>
  <si>
    <t>Proi5UDI-282</t>
  </si>
  <si>
    <t>CTCACGACTA</t>
  </si>
  <si>
    <t>Proi7UDI-283</t>
  </si>
  <si>
    <t>CAAGTGACAA</t>
  </si>
  <si>
    <t>Proi5UDI-283</t>
  </si>
  <si>
    <t>AACCAACGGC</t>
  </si>
  <si>
    <t>Proi7UDI-284</t>
  </si>
  <si>
    <t>ACATAACAGC</t>
  </si>
  <si>
    <t>Proi5UDI-284</t>
  </si>
  <si>
    <t>CCTGCCTGTA</t>
  </si>
  <si>
    <t>Proi7UDI-285</t>
  </si>
  <si>
    <t>CAACTGCTGC</t>
  </si>
  <si>
    <t>Proi5UDI-285</t>
  </si>
  <si>
    <t>TACGCTGCAG</t>
  </si>
  <si>
    <t>Proi7UDI-286</t>
  </si>
  <si>
    <t>ATTGATCTGC</t>
  </si>
  <si>
    <t>Proi5UDI-286</t>
  </si>
  <si>
    <t>AATGTTGCGA</t>
  </si>
  <si>
    <t>Proi7UDI-287</t>
  </si>
  <si>
    <t>CCGTGAACCA</t>
  </si>
  <si>
    <t>Proi5UDI-287</t>
  </si>
  <si>
    <t>CGACGTTCTG</t>
  </si>
  <si>
    <t>Proi7UDI-288</t>
  </si>
  <si>
    <t>ATGCGGTCGA</t>
  </si>
  <si>
    <t>Proi5UDI-288</t>
  </si>
  <si>
    <t>AATAGGACAC</t>
  </si>
  <si>
    <t>Proi7UDI-289</t>
  </si>
  <si>
    <t>ACCTAGGTTA</t>
  </si>
  <si>
    <t>Proi5UDI-289</t>
  </si>
  <si>
    <t>ATGTGCCTCA</t>
  </si>
  <si>
    <t>Proi7UDI-290</t>
  </si>
  <si>
    <t>CGCATGAGTT</t>
  </si>
  <si>
    <t>Proi5UDI-290</t>
  </si>
  <si>
    <t>CGACTCCGTT</t>
  </si>
  <si>
    <t>Proi7UDI-291</t>
  </si>
  <si>
    <t>GTTCATCCGG</t>
  </si>
  <si>
    <t>Proi5UDI-291</t>
  </si>
  <si>
    <t>GCTGTTGTGG</t>
  </si>
  <si>
    <t>Proi7UDI-292</t>
  </si>
  <si>
    <t>TACGGCAACG</t>
  </si>
  <si>
    <t>Proi5UDI-292</t>
  </si>
  <si>
    <t>TACCAATCAC</t>
  </si>
  <si>
    <t>Proi7UDI-293</t>
  </si>
  <si>
    <t>ACCGTAGAGC</t>
  </si>
  <si>
    <t>Proi5UDI-293</t>
  </si>
  <si>
    <t>ATGTCTTACG</t>
  </si>
  <si>
    <t>Proi7UDI-294</t>
  </si>
  <si>
    <t>CGCCAATGCA</t>
  </si>
  <si>
    <t>Proi5UDI-294</t>
  </si>
  <si>
    <t>CGCAACAATA</t>
  </si>
  <si>
    <t>Proi7UDI-295</t>
  </si>
  <si>
    <t>GTCACAATCG</t>
  </si>
  <si>
    <t>Proi5UDI-295</t>
  </si>
  <si>
    <t>GAACGAAGAC</t>
  </si>
  <si>
    <t>Proi7UDI-296</t>
  </si>
  <si>
    <t>TAGTGCAGTC</t>
  </si>
  <si>
    <t>Proi5UDI-296</t>
  </si>
  <si>
    <t>TCGAGGACGT</t>
  </si>
  <si>
    <t>Proi7UDI-297</t>
  </si>
  <si>
    <t>AGCAGTTAAC</t>
  </si>
  <si>
    <t>Proi5UDI-297</t>
  </si>
  <si>
    <t>ATTATGAGCG</t>
  </si>
  <si>
    <t>Proi7UDI-298</t>
  </si>
  <si>
    <t>CAAGGTCCGA</t>
  </si>
  <si>
    <t>Proi5UDI-298</t>
  </si>
  <si>
    <t>CGCGTTATAA</t>
  </si>
  <si>
    <t>Proi7UDI-299</t>
  </si>
  <si>
    <t>GCTTGCTGCA</t>
  </si>
  <si>
    <t>Proi5UDI-299</t>
  </si>
  <si>
    <t>GCGTGCATGT</t>
  </si>
  <si>
    <t>Proi7UDI-300</t>
  </si>
  <si>
    <t>TTCGCATGTG</t>
  </si>
  <si>
    <t>Proi5UDI-300</t>
  </si>
  <si>
    <t>TAAGCGGCTC</t>
  </si>
  <si>
    <t>Proi7UDI-301</t>
  </si>
  <si>
    <t>ATTACGTCTG</t>
  </si>
  <si>
    <t>Proi5UDI-301</t>
  </si>
  <si>
    <t>AACATGGAGA</t>
  </si>
  <si>
    <t>Proi7UDI-302</t>
  </si>
  <si>
    <t>CGTACCGAAT</t>
  </si>
  <si>
    <t>Proi5UDI-302</t>
  </si>
  <si>
    <t>CCGAGTCTCT</t>
  </si>
  <si>
    <t>Proi7UDI-303</t>
  </si>
  <si>
    <t>GCCGTGCTAA</t>
  </si>
  <si>
    <t>Proi5UDI-303</t>
  </si>
  <si>
    <t>GTACTTCTAC</t>
  </si>
  <si>
    <t>Proi7UDI-304</t>
  </si>
  <si>
    <t>TACTATCCTC</t>
  </si>
  <si>
    <t>Proi5UDI-304</t>
  </si>
  <si>
    <t>TGTTCACATG</t>
  </si>
  <si>
    <t>Proi7UDI-305</t>
  </si>
  <si>
    <t>AACCACAGTT</t>
  </si>
  <si>
    <t>Proi5UDI-305</t>
  </si>
  <si>
    <t>AAGGTAACGC</t>
  </si>
  <si>
    <t>Proi7UDI-306</t>
  </si>
  <si>
    <t>CCGAGGTAAT</t>
  </si>
  <si>
    <t>Proi5UDI-306</t>
  </si>
  <si>
    <t>CCGCCTTACT</t>
  </si>
  <si>
    <t>Proi7UDI-307</t>
  </si>
  <si>
    <t>GTATACAGCG</t>
  </si>
  <si>
    <t>Proi5UDI-307</t>
  </si>
  <si>
    <t>GTTGAGGCAG</t>
  </si>
  <si>
    <t>Proi7UDI-308</t>
  </si>
  <si>
    <t>TGTGAGCAAG</t>
  </si>
  <si>
    <t>Proi5UDI-308</t>
  </si>
  <si>
    <t>TGGCGACCTA</t>
  </si>
  <si>
    <t>Proi7UDI-309</t>
  </si>
  <si>
    <t>ACAGGTGTTG</t>
  </si>
  <si>
    <t>Proi5UDI-309</t>
  </si>
  <si>
    <t>AGAAGCGACA</t>
  </si>
  <si>
    <t>Proi7UDI-310</t>
  </si>
  <si>
    <t>CGAGCAATTG</t>
  </si>
  <si>
    <t>Proi5UDI-310</t>
  </si>
  <si>
    <t>CAGGATAATC</t>
  </si>
  <si>
    <t>Proi7UDI-311</t>
  </si>
  <si>
    <t>GTTGTCTATG</t>
  </si>
  <si>
    <t>Proi5UDI-311</t>
  </si>
  <si>
    <t>GCTCCTACAG</t>
  </si>
  <si>
    <t>Proi7UDI-312</t>
  </si>
  <si>
    <t>TAGACACCAA</t>
  </si>
  <si>
    <t>Proi5UDI-312</t>
  </si>
  <si>
    <t>TTCAACAGGT</t>
  </si>
  <si>
    <t>Proi7UDI-313</t>
  </si>
  <si>
    <t>ACAGGACATA</t>
  </si>
  <si>
    <t>Proi5UDI-313</t>
  </si>
  <si>
    <t>CCTCGTCCAT</t>
  </si>
  <si>
    <t>Proi7UDI-314</t>
  </si>
  <si>
    <t>ACGAATTGGC</t>
  </si>
  <si>
    <t>Proi5UDI-314</t>
  </si>
  <si>
    <t>AGCGTTGGTT</t>
  </si>
  <si>
    <t>Proi7UDI-315</t>
  </si>
  <si>
    <t>CGATCGCCTA</t>
  </si>
  <si>
    <t>Proi5UDI-315</t>
  </si>
  <si>
    <t>CATTCGAACA</t>
  </si>
  <si>
    <t>Proi7UDI-316</t>
  </si>
  <si>
    <t>GTACACTCAT</t>
  </si>
  <si>
    <t>Proi5UDI-316</t>
  </si>
  <si>
    <t>GCTTACCGAC</t>
  </si>
  <si>
    <t>Proi7UDI-317</t>
  </si>
  <si>
    <t>TATCCTTCGG</t>
  </si>
  <si>
    <t>Proi5UDI-317</t>
  </si>
  <si>
    <t>TTAGCTTAGG</t>
  </si>
  <si>
    <t>Proi7UDI-318</t>
  </si>
  <si>
    <t>ACAGTGGACT</t>
  </si>
  <si>
    <t>Proi5UDI-318</t>
  </si>
  <si>
    <t>CCGACACACA</t>
  </si>
  <si>
    <t>Proi7UDI-319</t>
  </si>
  <si>
    <t>AATTAGCCGC</t>
  </si>
  <si>
    <t>Proi5UDI-319</t>
  </si>
  <si>
    <t>ATTCGCTGAT</t>
  </si>
  <si>
    <t>Proi7UDI-320</t>
  </si>
  <si>
    <t>CTGAGTTAGA</t>
  </si>
  <si>
    <t>Proi5UDI-320</t>
  </si>
  <si>
    <t>CCAAGAGGCA</t>
  </si>
  <si>
    <t>Proi7UDI-321</t>
  </si>
  <si>
    <t>GCTCAGCTTG</t>
  </si>
  <si>
    <t>Proi5UDI-321</t>
  </si>
  <si>
    <t>GACGCAGTTC</t>
  </si>
  <si>
    <t>Proi7UDI-322</t>
  </si>
  <si>
    <t>TGTGCTCTGG</t>
  </si>
  <si>
    <t>Proi5UDI-322</t>
  </si>
  <si>
    <t>TGGAACTCGG</t>
  </si>
  <si>
    <t>Proi7UDI-323</t>
  </si>
  <si>
    <t>ACCTTGTACA</t>
  </si>
  <si>
    <t>Proi5UDI-323</t>
  </si>
  <si>
    <t>CCACACCAAT</t>
  </si>
  <si>
    <t>Proi7UDI-324</t>
  </si>
  <si>
    <t>AGGCATTCTA</t>
  </si>
  <si>
    <t>Proi5UDI-324</t>
  </si>
  <si>
    <t>AGTTCTCGGC</t>
  </si>
  <si>
    <t>Proi7UDI-325</t>
  </si>
  <si>
    <t>CAGTAAGACA</t>
  </si>
  <si>
    <t>Proi5UDI-325</t>
  </si>
  <si>
    <t>CTTGACGACG</t>
  </si>
  <si>
    <t>Proi7UDI-326</t>
  </si>
  <si>
    <t>GCTTAGTCAT</t>
  </si>
  <si>
    <t>Proi5UDI-326</t>
  </si>
  <si>
    <t>GAGGTCGCTA</t>
  </si>
  <si>
    <t>Proi7UDI-327</t>
  </si>
  <si>
    <t>TTGCCTACAT</t>
  </si>
  <si>
    <t>Proi5UDI-327</t>
  </si>
  <si>
    <t>TCAGTAGCAT</t>
  </si>
  <si>
    <t>Proi7UDI-328</t>
  </si>
  <si>
    <t>ACCTCTTCGC</t>
  </si>
  <si>
    <t>Proi5UDI-328</t>
  </si>
  <si>
    <t>CTAACGTGGA</t>
  </si>
  <si>
    <t>Proi7UDI-329</t>
  </si>
  <si>
    <t>AGAACCACCG</t>
  </si>
  <si>
    <t>Proi5UDI-329</t>
  </si>
  <si>
    <t>ATGCCAACCG</t>
  </si>
  <si>
    <t>Proi7UDI-330</t>
  </si>
  <si>
    <t>CCAACGACAG</t>
  </si>
  <si>
    <t>Proi5UDI-330</t>
  </si>
  <si>
    <t>CGGTCGATTC</t>
  </si>
  <si>
    <t>Proi7UDI-331</t>
  </si>
  <si>
    <t>GTGTCGATCA</t>
  </si>
  <si>
    <t>Proi5UDI-331</t>
  </si>
  <si>
    <t>GAAGTACAGT</t>
  </si>
  <si>
    <t>Proi7UDI-332</t>
  </si>
  <si>
    <t>TAGCTGGTGG</t>
  </si>
  <si>
    <t>Proi5UDI-332</t>
  </si>
  <si>
    <t>TCTGCAGTAA</t>
  </si>
  <si>
    <t>Proi7UDI-333</t>
  </si>
  <si>
    <t>ACGAACCGTG</t>
  </si>
  <si>
    <t>Proi5UDI-333</t>
  </si>
  <si>
    <t>CTATCCTAGC</t>
  </si>
  <si>
    <t>Proi7UDI-334</t>
  </si>
  <si>
    <t>AGCTCTCACT</t>
  </si>
  <si>
    <t>Proi5UDI-334</t>
  </si>
  <si>
    <t>AACACTCCTT</t>
  </si>
  <si>
    <t>Proi7UDI-335</t>
  </si>
  <si>
    <t>CCGCATGCAA</t>
  </si>
  <si>
    <t>Proi5UDI-335</t>
  </si>
  <si>
    <t>CCGAACCTAA</t>
  </si>
  <si>
    <t>Proi7UDI-336</t>
  </si>
  <si>
    <t>GACACGTATA</t>
  </si>
  <si>
    <t>Proi5UDI-336</t>
  </si>
  <si>
    <t>GTCTAGTCGC</t>
  </si>
  <si>
    <t>Proi7UDI-337</t>
  </si>
  <si>
    <t>TAACGCGTCA</t>
  </si>
  <si>
    <t>Proi5UDI-337</t>
  </si>
  <si>
    <t>TGGATGTACG</t>
  </si>
  <si>
    <t>Proi7UDI-338</t>
  </si>
  <si>
    <t>ACGTTCTGTA</t>
  </si>
  <si>
    <t>Proi5UDI-338</t>
  </si>
  <si>
    <t>CTACCAGCGT</t>
  </si>
  <si>
    <t>Proi7UDI-339</t>
  </si>
  <si>
    <t>ACCTGACAAG</t>
  </si>
  <si>
    <t>Proi5UDI-339</t>
  </si>
  <si>
    <t>AAGGATTCAG</t>
  </si>
  <si>
    <t>Proi7UDI-340</t>
  </si>
  <si>
    <t>CGCTGTGGAT</t>
  </si>
  <si>
    <t>Proi5UDI-340</t>
  </si>
  <si>
    <t>CGAGGTGTGT</t>
  </si>
  <si>
    <t>Proi7UDI-341</t>
  </si>
  <si>
    <t>GATGGATAGG</t>
  </si>
  <si>
    <t>Proi5UDI-341</t>
  </si>
  <si>
    <t>GTAGACGCTC</t>
  </si>
  <si>
    <t>Proi7UDI-342</t>
  </si>
  <si>
    <t>TACTCGCGGT</t>
  </si>
  <si>
    <t>Proi5UDI-342</t>
  </si>
  <si>
    <t>TCGTCCGTCA</t>
  </si>
  <si>
    <t>Proi7UDI-343</t>
  </si>
  <si>
    <t>ACCAGAACTT</t>
  </si>
  <si>
    <t>Proi5UDI-343</t>
  </si>
  <si>
    <t>CCGTGATAGG</t>
  </si>
  <si>
    <t>Proi7UDI-344</t>
  </si>
  <si>
    <t>CGATACCTGT</t>
  </si>
  <si>
    <t>Proi5UDI-344</t>
  </si>
  <si>
    <t>AGGATGACCT</t>
  </si>
  <si>
    <t>Proi7UDI-345</t>
  </si>
  <si>
    <t>AATCCGTCAT</t>
  </si>
  <si>
    <t>Proi5UDI-345</t>
  </si>
  <si>
    <t>CCTCGAGTAC</t>
  </si>
  <si>
    <t>Proi7UDI-346</t>
  </si>
  <si>
    <t>CTACTCAGAC</t>
  </si>
  <si>
    <t>Proi5UDI-346</t>
  </si>
  <si>
    <t>GTCACTGAGG</t>
  </si>
  <si>
    <t>Proi7UDI-347</t>
  </si>
  <si>
    <t>ACATCTGGCA</t>
  </si>
  <si>
    <t>Proi5UDI-347</t>
  </si>
  <si>
    <t>TACGGTTAGA</t>
  </si>
  <si>
    <t>Proi7UDI-348</t>
  </si>
  <si>
    <t>AATGCTTAGC</t>
  </si>
  <si>
    <t>Proi5UDI-348</t>
  </si>
  <si>
    <t>CAACGAGAAT</t>
  </si>
  <si>
    <t>Proi7UDI-349</t>
  </si>
  <si>
    <t>ACCATGCTGT</t>
  </si>
  <si>
    <t>Proi5UDI-349</t>
  </si>
  <si>
    <t>AATACACCGG</t>
  </si>
  <si>
    <t>Proi7UDI-350</t>
  </si>
  <si>
    <t>CGGTCTCTAT</t>
  </si>
  <si>
    <t>Proi5UDI-350</t>
  </si>
  <si>
    <t>CCGATCCATC</t>
  </si>
  <si>
    <t>Proi7UDI-351</t>
  </si>
  <si>
    <t>TACGCGATAT</t>
  </si>
  <si>
    <t>Proi5UDI-351</t>
  </si>
  <si>
    <t>GAATCTCGCT</t>
  </si>
  <si>
    <t>Proi7UDI-352</t>
  </si>
  <si>
    <t>ACCTCCTTAA</t>
  </si>
  <si>
    <t>Proi5UDI-352</t>
  </si>
  <si>
    <t>TGACCGGCAA</t>
  </si>
  <si>
    <t>Proi7UDI-353</t>
  </si>
  <si>
    <t>AGTCGCACAG</t>
  </si>
  <si>
    <t>Proi5UDI-353</t>
  </si>
  <si>
    <t>CATGATAGCA</t>
  </si>
  <si>
    <t>Proi7UDI-354</t>
  </si>
  <si>
    <t>AGCATACGGA</t>
  </si>
  <si>
    <t>Proi5UDI-354</t>
  </si>
  <si>
    <t>AACAGCTTCG</t>
  </si>
  <si>
    <t>Proi7UDI-355</t>
  </si>
  <si>
    <t>ACATCGATGG</t>
  </si>
  <si>
    <t>Proi5UDI-355</t>
  </si>
  <si>
    <t>CTAGTGCTTA</t>
  </si>
  <si>
    <t>Proi7UDI-356</t>
  </si>
  <si>
    <t>AACGGCTCAC</t>
  </si>
  <si>
    <t>Proi5UDI-356</t>
  </si>
  <si>
    <t>TGTGATACGT</t>
  </si>
  <si>
    <t>Proi7UDI-357</t>
  </si>
  <si>
    <t>ATTAACGGCA</t>
  </si>
  <si>
    <t>Proi5UDI-357</t>
  </si>
  <si>
    <t>ATGAGCGTAT</t>
  </si>
  <si>
    <t>Proi7UDI-358</t>
  </si>
  <si>
    <t>ACCACATCCG</t>
  </si>
  <si>
    <t>Proi5UDI-358</t>
  </si>
  <si>
    <t>CTAGATATGG</t>
  </si>
  <si>
    <t>Proi7UDI-359</t>
  </si>
  <si>
    <t>CAACACGCGA</t>
  </si>
  <si>
    <t>Proi5UDI-359</t>
  </si>
  <si>
    <t>CGCTATGCTG</t>
  </si>
  <si>
    <t>Proi7UDI-360</t>
  </si>
  <si>
    <t>ATGATCGCGG</t>
  </si>
  <si>
    <t>Proi5UDI-360</t>
  </si>
  <si>
    <t>TACTACGTGA</t>
  </si>
  <si>
    <t>Proi7UDI-361</t>
  </si>
  <si>
    <t>CGATAACGCG</t>
  </si>
  <si>
    <t>Proi5UDI-361</t>
  </si>
  <si>
    <t>ATGTGGAGGT</t>
  </si>
  <si>
    <t>Proi7UDI-362</t>
  </si>
  <si>
    <t>AGGAGGCTAC</t>
  </si>
  <si>
    <t>Proi5UDI-362</t>
  </si>
  <si>
    <t>CCATGGCTCA</t>
  </si>
  <si>
    <t>Proi7UDI-363</t>
  </si>
  <si>
    <t>AGTGTCTAGT</t>
  </si>
  <si>
    <t>Proi5UDI-363</t>
  </si>
  <si>
    <t>CCAATCACGC</t>
  </si>
  <si>
    <t>Proi7UDI-364</t>
  </si>
  <si>
    <t>CAACGAATCG</t>
  </si>
  <si>
    <t>Proi5UDI-364</t>
  </si>
  <si>
    <t>TTAGATCCAG</t>
  </si>
  <si>
    <t>Proi7UDI-365</t>
  </si>
  <si>
    <t>ACATCTCTTC</t>
  </si>
  <si>
    <t>Proi5UDI-365</t>
  </si>
  <si>
    <t>AGGAATATCG</t>
  </si>
  <si>
    <t>Proi7UDI-366</t>
  </si>
  <si>
    <t>CGTCGGATCT</t>
  </si>
  <si>
    <t>Proi5UDI-366</t>
  </si>
  <si>
    <t>CCTCCTATGT</t>
  </si>
  <si>
    <t>Proi7UDI-367</t>
  </si>
  <si>
    <t>AATGTCCTGG</t>
  </si>
  <si>
    <t>Proi5UDI-367</t>
  </si>
  <si>
    <t>TAGAGACACG</t>
  </si>
  <si>
    <t>Proi7UDI-368</t>
  </si>
  <si>
    <t>AATGCCACGT</t>
  </si>
  <si>
    <t>Proi5UDI-368</t>
  </si>
  <si>
    <t>CCAGCTCAGT</t>
  </si>
  <si>
    <t>Proi7UDI-369</t>
  </si>
  <si>
    <t>CGTCCTGCTT</t>
  </si>
  <si>
    <t>Proi5UDI-369</t>
  </si>
  <si>
    <t>ATGGCTCATA</t>
  </si>
  <si>
    <t>Proi7UDI-370</t>
  </si>
  <si>
    <t>ACCGACTCGT</t>
  </si>
  <si>
    <t>Proi5UDI-370</t>
  </si>
  <si>
    <t>CGGAGTGAAG</t>
  </si>
  <si>
    <t>Proi7UDI-371</t>
  </si>
  <si>
    <t>CGCGTACACT</t>
  </si>
  <si>
    <t>Proi5UDI-371</t>
  </si>
  <si>
    <t>TACCTATGGT</t>
  </si>
  <si>
    <t>Proi7UDI-372</t>
  </si>
  <si>
    <t>AATGGTCGGT</t>
  </si>
  <si>
    <t>Proi5UDI-372</t>
  </si>
  <si>
    <t>ATGAGACAGT</t>
  </si>
  <si>
    <t>Proi7UDI-373</t>
  </si>
  <si>
    <t>ACGTTAGCAA</t>
  </si>
  <si>
    <t>Proi5UDI-373</t>
  </si>
  <si>
    <t>CTAAGAGTTG</t>
  </si>
  <si>
    <t>Proi7UDI-374</t>
  </si>
  <si>
    <t>CAGTATCAAG</t>
  </si>
  <si>
    <t>Proi5UDI-374</t>
  </si>
  <si>
    <t>TAACCGTATG</t>
  </si>
  <si>
    <t>Proi7UDI-375</t>
  </si>
  <si>
    <t>ACTTATCCAG</t>
  </si>
  <si>
    <t>Proi5UDI-375</t>
  </si>
  <si>
    <t>AGAGTCCATG</t>
  </si>
  <si>
    <t>Proi7UDI-376</t>
  </si>
  <si>
    <t>CGTAAGCTAT</t>
  </si>
  <si>
    <t>Proi5UDI-376</t>
  </si>
  <si>
    <t>CTAGACCGCA</t>
  </si>
  <si>
    <t>Proi7UDI-377</t>
  </si>
  <si>
    <t>ACTCATGGAC</t>
  </si>
  <si>
    <t>Proi5UDI-377</t>
  </si>
  <si>
    <t>TATGGCTTGT</t>
  </si>
  <si>
    <t>Proi7UDI-378</t>
  </si>
  <si>
    <t>CGACTGGAGT</t>
  </si>
  <si>
    <t>Proi5UDI-378</t>
  </si>
  <si>
    <t>CGTTGTTCCT</t>
  </si>
  <si>
    <t>Proi7UDI-379</t>
  </si>
  <si>
    <t>CGTGCTGAGA</t>
  </si>
  <si>
    <t>Proi5UDI-379</t>
  </si>
  <si>
    <t>CCGACATTAG</t>
  </si>
  <si>
    <t>Proi7UDI-380</t>
  </si>
  <si>
    <t>ACATCACGAT</t>
  </si>
  <si>
    <t>Proi5UDI-380</t>
  </si>
  <si>
    <t>TGTGAAGGCA</t>
  </si>
  <si>
    <t>Proi7UDI-381</t>
  </si>
  <si>
    <t>CGGATTGCGT</t>
  </si>
  <si>
    <t>Proi5UDI-381</t>
  </si>
  <si>
    <t>AGCATCGTCT</t>
  </si>
  <si>
    <t>Proi7UDI-382</t>
  </si>
  <si>
    <t>AGCCGATCTC</t>
  </si>
  <si>
    <t>Proi5UDI-382</t>
  </si>
  <si>
    <t>CCGACTAGGA</t>
  </si>
  <si>
    <t>Proi7UDI-383</t>
  </si>
  <si>
    <t>CGAGACGTAG</t>
  </si>
  <si>
    <t>Proi5UDI-383</t>
  </si>
  <si>
    <t>AACATTACCG</t>
  </si>
  <si>
    <t>Proi7UDI-384</t>
  </si>
  <si>
    <t>ACAGCCTGAG</t>
  </si>
  <si>
    <t>Proi5UDI-384</t>
  </si>
  <si>
    <t>CCTAATTCGT</t>
  </si>
  <si>
    <t>ONCO</t>
  </si>
  <si>
    <t>Escolha o kit a ser utilizado:</t>
  </si>
  <si>
    <t>Data de preparo</t>
  </si>
  <si>
    <t>(DD/MM/AAAA)</t>
  </si>
  <si>
    <t>Responsável:</t>
  </si>
  <si>
    <t>Número de pacientes na rotina:</t>
  </si>
  <si>
    <t>Lote de reagentes:</t>
  </si>
  <si>
    <t>Número do pool inicial:</t>
  </si>
  <si>
    <t>01</t>
  </si>
  <si>
    <t>02</t>
  </si>
  <si>
    <t>03</t>
  </si>
  <si>
    <t>E</t>
  </si>
  <si>
    <t>F</t>
  </si>
  <si>
    <t>G</t>
  </si>
  <si>
    <t>H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</si>
  <si>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</si>
  <si>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</si>
  <si>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</si>
  <si>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</si>
  <si>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</si>
  <si>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</si>
  <si>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</si>
  <si>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</si>
  <si>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</si>
  <si>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Carol</t>
  </si>
  <si>
    <t/>
  </si>
  <si>
    <t>ID da Amostra</t>
  </si>
  <si>
    <t>Conc. Inicial (C1)</t>
  </si>
  <si>
    <t>DNA/RNA (V1)</t>
  </si>
  <si>
    <t>Eluente
(V2-V1)</t>
  </si>
  <si>
    <t>Posção na placa Index</t>
  </si>
  <si>
    <t xml:space="preserve">Segunda Quant. </t>
  </si>
  <si>
    <t>Fator de Eluição</t>
  </si>
  <si>
    <t>gDNA Fragmentation</t>
  </si>
  <si>
    <t>μL (Ind.)</t>
  </si>
  <si>
    <t>μL (Mix)</t>
  </si>
  <si>
    <t>Adapter Ligation</t>
  </si>
  <si>
    <t>Ligation Cleanup</t>
  </si>
  <si>
    <t>Target Enrichment MAMA</t>
  </si>
  <si>
    <t>TEPCR Cleanup</t>
  </si>
  <si>
    <t>Universal PCR</t>
  </si>
  <si>
    <t>Termo Ciclador</t>
  </si>
  <si>
    <t>Ciclos de PCR</t>
  </si>
  <si>
    <t>-</t>
  </si>
  <si>
    <t>Clean UP</t>
  </si>
  <si>
    <t>Etanol 80%</t>
  </si>
  <si>
    <t>Validado</t>
  </si>
  <si>
    <t>Pool Final Verificação 1nM Biblioteca 1</t>
  </si>
  <si>
    <t>CGGTAGAGGACCGTAACGTC</t>
  </si>
  <si>
    <t>GTTCATGGTAGTAATAGCCA</t>
  </si>
  <si>
    <t>TCTGCCAATGTAGCGCCGAT</t>
  </si>
  <si>
    <t>POOL-10038</t>
  </si>
  <si>
    <t>091 HD810</t>
  </si>
  <si>
    <t>GTGATCTCTTGTTATCACAC</t>
  </si>
  <si>
    <t>POOL-10038,20220906-QiaSeqV4,A01,A,C03,Proi7UDI-019,GTGATCTCTT,Proi5UDI-019,GTTATCACAC,MAMA_FFPE-gDNA,091_HD810</t>
  </si>
  <si>
    <t>POOL-10039</t>
  </si>
  <si>
    <t>117 NA12878</t>
  </si>
  <si>
    <t>TCCTTCAGGCTACCGTTCTT</t>
  </si>
  <si>
    <t>POOL-10039,20220906-QiaSeqV4,B01,A,D03,Proi7UDI-020,TCCTTCAGGC,Proi5UDI-020,TACCGTTCTT,MAMA_FFPE-gDNA,117_NA12878</t>
  </si>
  <si>
    <t>POOL-10040</t>
  </si>
  <si>
    <t>118 NA23873</t>
  </si>
  <si>
    <t>AAGGCACAATAGGCGTTAGG</t>
  </si>
  <si>
    <t>POOL-10040,20220906-QiaSeqV4,C01,A,E03,Proi7UDI-021,AAGGCACAAT,Proi5UDI-021,AGGCGTTAGG,MAMA_FFPE-gDNA,118_NA23873</t>
  </si>
  <si>
    <t>POOL-10041</t>
  </si>
  <si>
    <t>119 NA24149</t>
  </si>
  <si>
    <t>POOL-10041,20220906-QiaSeqV4,D01,A,F03,Proi7UDI-022,CGGTAGAGGA,Proi5UDI-022,CCGTAACGTC,MAMA_FFPE-gDNA,119_NA24149</t>
  </si>
  <si>
    <t>POOL-10042</t>
  </si>
  <si>
    <t>117 D.R.S.</t>
  </si>
  <si>
    <t>POOL-10042,20220906-QiaSeqV4,E01,A,G03,Proi7UDI-023,GTTCATGGTA,Proi5UDI-023,GTAATAGCCA,MAMA_FFPE-gDNA,117_DRS</t>
  </si>
  <si>
    <t>POOL-10043</t>
  </si>
  <si>
    <t>118 N.R.S.</t>
  </si>
  <si>
    <t>POOL-10043,20220906-QiaSeqV4,F01,A,H03,Proi7UDI-024,TCTGCCAATG,Proi5UDI-024,TAGCGCCGAT,MAMA_FFPE-gDNA,118_NRS</t>
  </si>
  <si>
    <t>POOL-10022</t>
  </si>
  <si>
    <t>062 C.D.P.</t>
  </si>
  <si>
    <t>GAATCCTTGAGAAGTGCCTG</t>
  </si>
  <si>
    <t>POOL-10022,20220824-QiaSeq_V4,A01,A,G01,Proi7UDI-007,GAATCCTTGA,Proi5UDI-007,GAAGTGCCTG,MAMA_FFPE-gDNA,062_CDP</t>
  </si>
  <si>
    <t>POOL-10023</t>
  </si>
  <si>
    <t>TCTCGGTTCGTCTCTCGCCT</t>
  </si>
  <si>
    <t>POOL-10023,20220824-QiaSeq_V4,B01,A,H01,Proi7UDI-008,TCTCGGTTCG,Proi5UDI-008,TCTCTCGCCT,MAMA_FFPE-gDNA,117_NA12878</t>
  </si>
  <si>
    <t>POOL-10024</t>
  </si>
  <si>
    <t>AACTTGGCTCAGGCACCTTC</t>
  </si>
  <si>
    <t>POOL-10024,20220824-QiaSeq_V4,C01,A,A02,Proi7UDI-009,AACTTGGCTC,Proi5UDI-009,AGGCACCTTC,MAMA_FFPE-gDNA,091_HD810</t>
  </si>
  <si>
    <t>POOL-10025</t>
  </si>
  <si>
    <t>071 B.B.</t>
  </si>
  <si>
    <t>CTACGGCCTTCTGTTGGTAA</t>
  </si>
  <si>
    <t>POOL-10025,20220824-QiaSeq_V4,D01,A,B02,Proi7UDI-010,CTACGGCCTT,Proi5UDI-010,CTGTTGGTAA,Onco_FFPE-gDNA,071_BB</t>
  </si>
  <si>
    <t>POOL-10026</t>
  </si>
  <si>
    <t>052 J.J.M.</t>
  </si>
  <si>
    <t>GCTTCTCTAAGCTGGTACCT</t>
  </si>
  <si>
    <t>POOL-10026,20220824-QiaSeq_V4,E01,A,C02,Proi7UDI-011,GCTTCTCTAA,Proi5UDI-011,GCTGGTACCT,Onco_FFPE-gDNA,052_JJM</t>
  </si>
  <si>
    <t>POOL-10027</t>
  </si>
  <si>
    <t>104 D.C.B.</t>
  </si>
  <si>
    <t>TGGTCTTAGATAAGGAGCGG</t>
  </si>
  <si>
    <t>POOL-10027,20220824-QiaSeq_V4,F01,A,D02,Proi7UDI-012,TGGTCTTAGA,Proi5UDI-012,TAAGGAGCGG,Onco_FFPE-gDNA,104_DCB</t>
  </si>
  <si>
    <t>POOL-10028</t>
  </si>
  <si>
    <t>088 HD832</t>
  </si>
  <si>
    <t>AGTGGTTACAAATCGCTCCA</t>
  </si>
  <si>
    <t>POOL-10028,20220824-QiaSeq_V4,G01,A,E02,Proi7UDI-013,AGTGGTTACA,Proi5UDI-013,AATCGCTCCA,Onco_FFPE-gDNA,088_HD832</t>
  </si>
  <si>
    <t>POOL-10029</t>
  </si>
  <si>
    <t>CTTGTGTCGGCTCCTAATTG</t>
  </si>
  <si>
    <t>POOL-10029,20220824-QiaSeq_V4,H01,A,F02,Proi7UDI-014,CTTGTGTCGG,Proi5UDI-014,CTCCTAATTG,Onco_FFPE-gDNA,088_HD832</t>
  </si>
  <si>
    <t>0</t>
  </si>
  <si>
    <t>POOL-10030</t>
  </si>
  <si>
    <t>089 HD734</t>
  </si>
  <si>
    <t>GCCATCAGAGGCCTCATAAT</t>
  </si>
  <si>
    <t>POOL-10030,20220824-QiaSeq_V4,A02,A,G02,Proi7UDI-015,GCCATCAGAG,Proi5UDI-015,GCCTCATAAT,Onco_FFPE-gDNA,089_HD734</t>
  </si>
  <si>
    <t>POOL-10031</t>
  </si>
  <si>
    <t>054 L.A.N.</t>
  </si>
  <si>
    <t>TAACAGGCCGTGTATTGAGC</t>
  </si>
  <si>
    <t>POOL-10031,20220824-QiaSeq_V4,B02,A,H02,Proi7UDI-016,TAACAGGCCG,Proi5UDI-016,TGTATTGAGC,Onco_FFPE-gDNA,054_LAN</t>
  </si>
  <si>
    <t>POOL-10032</t>
  </si>
  <si>
    <t>105 R.H.R.</t>
  </si>
  <si>
    <t>AAGCTATGCAAGCCATAACA</t>
  </si>
  <si>
    <t>POOL-10032,20220824-QiaSeq_V4,C02,A,A03,Proi7UDI-017,AAGCTATGCA,Proi5UDI-017,AGCCATAACA,Onco_FFPE-gDNA,105_RHR</t>
  </si>
  <si>
    <t>POOL-10033</t>
  </si>
  <si>
    <t>090 HD833</t>
  </si>
  <si>
    <t>CGAGAAGGTTCCACAAGTGG</t>
  </si>
  <si>
    <t>POOL-10033,20220824-QiaSeq_V4,D02,A,B03,Proi7UDI-018,CGAGAAGGTT,Proi5UDI-018,CCACAAGTGG,Onco_FFPE-gDNA,090_HD833</t>
  </si>
  <si>
    <t>POOL-10049</t>
  </si>
  <si>
    <t>TTGGACTCAACCGCGG</t>
  </si>
  <si>
    <t>POOL-10049,20221013-AmpliSeq_DNA,B01,A,E03,7018,TTGGACTC,5013,AACCGCGG,Focus_FFPE-gDNA,052_JJM</t>
  </si>
  <si>
    <t>Pool Final Verificação 2nM Biblioteca 1 Ampl DNA</t>
  </si>
  <si>
    <t>Pool Final Verificação 2nM Biblioteca 2 Ampli RNA</t>
  </si>
  <si>
    <t>POOL-10050</t>
  </si>
  <si>
    <t>CCAAGTCTGGTTATAA</t>
  </si>
  <si>
    <t>POOL-10050,20221013-AmpliSeq_DNA,C01,A,F03,7017,CCAAGTCT,5014,GGTTATAA,Focus_FFPE-gDNA,104_DCB</t>
  </si>
  <si>
    <t>POOL-10051</t>
  </si>
  <si>
    <t>ACTAAGATAGCGCTAG</t>
  </si>
  <si>
    <t>POOL-10051,20221013-AmpliSeq_DNA,D01,A,G03,7025,ACTAAGAT,5001,AGCGCTAG,Focus_FFPE-gDNA,088_HD832</t>
  </si>
  <si>
    <t>POOL-10052</t>
  </si>
  <si>
    <t>GTCGGAGCGATATCGA</t>
  </si>
  <si>
    <t>POOL-10052,20221013-AmpliSeq_DNA,E01,A,H03,7026,GTCGGAGC,5002,GATATCGA,Focus_FFPE-gDNA,088_HD832</t>
  </si>
  <si>
    <t>POOL-10053</t>
  </si>
  <si>
    <t>CATAGAGTGTGCGATA</t>
  </si>
  <si>
    <t>POOL-10053,20221013-AmpliSeq_DNA,F01,A,A04,7007,CATAGAGT,5008,GTGCGATA,Focus_FFPE-gDNA,089_HD734</t>
  </si>
  <si>
    <t>POOL-10054</t>
  </si>
  <si>
    <t>TGCGAGACACATAGCG</t>
  </si>
  <si>
    <t>POOL-10054,20221013-AmpliSeq_DNA,G01,A,B04,7008,TGCGAGAC,5007,ACATAGCG,Focus_FFPE-gDNA,054_LAN</t>
  </si>
  <si>
    <t>POOL-10055</t>
  </si>
  <si>
    <t>ACAGGCGCTTGGTGAG</t>
  </si>
  <si>
    <t>POOL-10055,20221013-AmpliSeq_DNA,H01,A,C04,7006,ACAGGCGC,5010,TTGGTGAG,Focus_FFPE-gDNA,105_RHR</t>
  </si>
  <si>
    <t>POOL-10056</t>
  </si>
  <si>
    <t>077 B.B.</t>
  </si>
  <si>
    <t>GTGAATATCCAACAGA</t>
  </si>
  <si>
    <t>POOL-10056,20221013-AmpliSeq_RNA,A01,A,D04,7005,GTGAATAT,5009,CCAACAGA,Focus_FFPE-RNA,077_BB</t>
  </si>
  <si>
    <t>POOL-10057</t>
  </si>
  <si>
    <t>087 HD789</t>
  </si>
  <si>
    <t>GCAGAATTGGTTATAA</t>
  </si>
  <si>
    <t>POOL-10057,20221013-AmpliSeq_RNA,B01,A,E04,7023,GCAGAATT,5014,GGTTATAA,Focus_FFPE-RNA,087_HD789</t>
  </si>
  <si>
    <t>POOL-10058</t>
  </si>
  <si>
    <t>ATGAGGCCAACCGCGG</t>
  </si>
  <si>
    <t>POOL-10058,20221013-AmpliSeq_RNA,C01,A,F04,7024,ATGAGGCC,5013,AACCGCGG,Focus_FFPE-RNA,087_HD789</t>
  </si>
  <si>
    <t>POOL-10059</t>
  </si>
  <si>
    <t>096 L.A.N.</t>
  </si>
  <si>
    <t>TTGGACTCGATATCGA</t>
  </si>
  <si>
    <t>POOL-10059,20221013-AmpliSeq_RNA,D01,A,G04,7018,TTGGACTC,5002,GATATCGA,Focus_FFPE-RNA,096_LAN</t>
  </si>
  <si>
    <t>POOL-10060</t>
  </si>
  <si>
    <t>097 J.J.M.</t>
  </si>
  <si>
    <t>CCAAGTCTAGCGCTAG</t>
  </si>
  <si>
    <t>POOL-10060,20221013-AmpliSeq_RNA,E01,A,H04,7017,CCAAGTCT,5001,AGCGCTAG,Focus_FFPE-RNA,097_JJM</t>
  </si>
  <si>
    <t>POOL-10061</t>
  </si>
  <si>
    <t>106 D.C.B.</t>
  </si>
  <si>
    <t>CTCTCGTCCCAACAGA</t>
  </si>
  <si>
    <t>POOL-10061,20221013-AmpliSeq_RNA,F01,A,A05,7016,CTCTCGTC,5009,CCAACAGA,Focus_FFPE-RNA,106_DCB</t>
  </si>
  <si>
    <t>POOL-10062</t>
  </si>
  <si>
    <t>107 R.H.R.</t>
  </si>
  <si>
    <t>TCTCTACTTTGGTGAG</t>
  </si>
  <si>
    <t>POOL-10062,20221013-AmpliSeq_RNA,G01,A,B05,7015,TCTCTACT,5010,TTGGTGAG,Focus_FFPE-RNA,107_RHR</t>
  </si>
  <si>
    <t>POOL-10001</t>
  </si>
  <si>
    <t>GTGAATATAGCGCTAG</t>
  </si>
  <si>
    <t>POOL-10001,20220802-AmpliSeq_DNA,A01,A,A01,7005,GTGAATAT,5001,AGCGCTAG,Focus_FFPE-gDNA,071_BB</t>
  </si>
  <si>
    <t>POOL-10002</t>
  </si>
  <si>
    <t>ACAGGCGCGATATCGA</t>
  </si>
  <si>
    <t>POOL-10002,20220802-AmpliSeq_DNA,B01,A,B01,7006,ACAGGCGC,5002,GATATCGA,Focus_FFPE-gDNA,052_JJM</t>
  </si>
  <si>
    <t>POOL-10003</t>
  </si>
  <si>
    <t>CTCTCGTCACATAGCG</t>
  </si>
  <si>
    <t>POOL-10003,20220802-AmpliSeq_DNA,C01,A,C01,7016,CTCTCGTC,5007,ACATAGCG,Focus_FFPE-gDNA,104_DCB</t>
  </si>
  <si>
    <t>POOL-10004</t>
  </si>
  <si>
    <t>TCTCTACTGTGCGATA</t>
  </si>
  <si>
    <t>POOL-10004,20220810-AmpliSeq_DNA,B01,A,D01,7015,TCTCTACT,5008,GTGCGATA,Focus_FFPE-gDNA,088_HD832</t>
  </si>
  <si>
    <t>POOL-10005</t>
  </si>
  <si>
    <t>CCAAGTCTCCAACAGA</t>
  </si>
  <si>
    <t>POOL-10005,20220810-AmpliSeq_DNA,C01,A,E01,7017,CCAAGTCT,5009,CCAACAGA,Focus_FFPE-gDNA,088_HD832</t>
  </si>
  <si>
    <t>POOL-10006</t>
  </si>
  <si>
    <t>TTGGACTCTTGGTGAG</t>
  </si>
  <si>
    <t>POOL-10006,20220810-AmpliSeq_DNA,D01,A,F01,7018,TTGGACTC,5010,TTGGTGAG,Focus_FFPE-gDNA,089_HD734</t>
  </si>
  <si>
    <t>POOL-10007</t>
  </si>
  <si>
    <t>GTCGGAGCAACCGCGG</t>
  </si>
  <si>
    <t>POOL-10007,20220810-AmpliSeq_DNA,E01,A,G01,7026,GTCGGAGC,5013,AACCGCGG,Focus_FFPE-gDNA,054_LAN</t>
  </si>
  <si>
    <t>POOL-10008</t>
  </si>
  <si>
    <t>ACTAAGATGGTTATAA</t>
  </si>
  <si>
    <t>POOL-10008,20220810-AmpliSeq_DNA,H01,A,H01,7025,ACTAAGAT,5014,GGTTATAA,Focus_FFPE-gDNA,105_RHR</t>
  </si>
  <si>
    <t>POOL-10009</t>
  </si>
  <si>
    <t>TCTCTACTGATATCGA</t>
  </si>
  <si>
    <t>POOL-10009,20220810-AmpliSeq_RNA,A02,A,A02,7015,TCTCTACT,5002,GATATCGA,Focus_FFPE-RNA,077_BB</t>
  </si>
  <si>
    <t>POOL-10010</t>
  </si>
  <si>
    <t>CTCTCGTCAGCGCTAG</t>
  </si>
  <si>
    <t>POOL-10010,20220810-AmpliSeq_RNA,B02,A,B02,7016,CTCTCGTC,5001,AGCGCTAG,Focus_FFPE-RNA,087_HD789</t>
  </si>
  <si>
    <t>POOL-10011</t>
  </si>
  <si>
    <t>TGCGAGACGTGCGATA</t>
  </si>
  <si>
    <t>POOL-10011,20220810-AmpliSeq_RNA,C02,A,C02,7008,TGCGAGAC,5008,GTGCGATA,Focus_FFPE-RNA,087_HD789</t>
  </si>
  <si>
    <t>POOL-10012</t>
  </si>
  <si>
    <t>CATAGAGTACATAGCG</t>
  </si>
  <si>
    <t>POOL-10012,20220810-AmpliSeq_RNA,E02,A,D02,7007,CATAGAGT,5007,ACATAGCG,Focus_FFPE-RNA,096_LAN</t>
  </si>
  <si>
    <t>POOL-10013</t>
  </si>
  <si>
    <t>ACTAAGATTTGGTGAG</t>
  </si>
  <si>
    <t>POOL-10013,20220810-AmpliSeq_RNA,F02,A,E02,7025,ACTAAGAT,5010,TTGGTGAG,Focus_FFPE-RNA,097_JJM</t>
  </si>
  <si>
    <t>POOL-10014</t>
  </si>
  <si>
    <t>GTCGGAGCCCAACAGA</t>
  </si>
  <si>
    <t>POOL-10014,20220810-AmpliSeq_RNA,G02,A,F02,7026,GTCGGAGC,5009,CCAACAGA,Focus_FFPE-RNA,106_DCB</t>
  </si>
  <si>
    <t>POOL-10015</t>
  </si>
  <si>
    <t>ATGAGGCCGGTTATAA</t>
  </si>
  <si>
    <t>POOL-10015,20220810-AmpliSeq_RNA,H02,A,G02,7024,ATGAGGCC,5014,GGTTATAA,Focus_FFPE-RNA,107_RHR</t>
  </si>
  <si>
    <t>POOL-10034</t>
  </si>
  <si>
    <t>GCAGAATTAACCGCGG</t>
  </si>
  <si>
    <t>POOL-10034,20220826-AmpliSeq_DNA,A01,A,H02,7023,GCAGAATT,5013,AACCGCGG,Focus_FFPE-gDNA,088_HD832</t>
  </si>
  <si>
    <t>POOL-10035</t>
  </si>
  <si>
    <t>027 F.C.T.</t>
  </si>
  <si>
    <t>ACAGGCGCACATAGCG</t>
  </si>
  <si>
    <t>POOL-10035,20220826-AmpliSeq_DNA,B01,A,A03,7006,ACAGGCGC,5007,ACATAGCG,Focus_FFPE-gDNA,027_FCT</t>
  </si>
  <si>
    <t>POOL-10036</t>
  </si>
  <si>
    <t>GTGAATATGTGCGATA</t>
  </si>
  <si>
    <t>POOL-10036,20220826-AmpliSeq_RNA,C01,A,B03,7005,GTGAATAT,5008,GTGCGATA,Focus_FFPE-RNA,087_HD789</t>
  </si>
  <si>
    <t>POOL-10037</t>
  </si>
  <si>
    <t>092 F.C.T.</t>
  </si>
  <si>
    <t>TCTCTACTCCAACAGA</t>
  </si>
  <si>
    <t>POOL-10037,20220826-AmpliSeq_RNA,D01,A,C03,7015,TCTCTACT,5009,CCAACAGA,Focus_FFPE-RNA,092_FCT</t>
  </si>
  <si>
    <t>GAATCCTTGAAGTGCC</t>
  </si>
  <si>
    <t>POOL-10022,20220824-QiaSeq_V4,A01,A,G01,Proi7UDI-007,GAATCCTT,Proi5UDI-007,GAAGTGCC,MAMA_FFPE-gDNA,062_CDP</t>
  </si>
  <si>
    <t>TCTCGGTTTCTCTCGC</t>
  </si>
  <si>
    <t>POOL-10023,20220824-QiaSeq_V4,B01,A,H01,Proi7UDI-008,TCTCGGTT,Proi5UDI-008,TCTCTCGC,MAMA_FFPE-gDNA,117_NA12878</t>
  </si>
  <si>
    <t>AACTTGGCAGGCACCT</t>
  </si>
  <si>
    <t>POOL-10024,20220824-QiaSeq_V4,C01,A,A02,Proi7UDI-009,AACTTGGC,Proi5UDI-009,AGGCACCT,MAMA_FFPE-gDNA,091_HD810</t>
  </si>
  <si>
    <t>CTACGGCCCTGTTGGT</t>
  </si>
  <si>
    <t>POOL-10025,20220824-QiaSeq_V4,D01,A,B02,Proi7UDI-010,CTACGGCC,Proi5UDI-010,CTGTTGGT,Onco_FFPE-gDNA,071_BB</t>
  </si>
  <si>
    <t>GCTTCTCTGCTGGTAC</t>
  </si>
  <si>
    <t>POOL-10026,20220824-QiaSeq_V4,E01,A,C02,Proi7UDI-011,GCTTCTCT,Proi5UDI-011,GCTGGTAC,Onco_FFPE-gDNA,052_JJM</t>
  </si>
  <si>
    <t>TGGTCTTATAAGGAGC</t>
  </si>
  <si>
    <t>POOL-10027,20220824-QiaSeq_V4,F01,A,D02,Proi7UDI-012,TGGTCTTA,Proi5UDI-012,TAAGGAGC,Onco_FFPE-gDNA,104_DCB</t>
  </si>
  <si>
    <t>AGTGGTTAAATCGCTC</t>
  </si>
  <si>
    <t>POOL-10028,20220824-QiaSeq_V4,G01,A,E02,Proi7UDI-013,AGTGGTTA,Proi5UDI-013,AATCGCTC,Onco_FFPE-gDNA,088_HD832</t>
  </si>
  <si>
    <t>CTTGTGTCCTCCTAAT</t>
  </si>
  <si>
    <t>POOL-10029,20220824-QiaSeq_V4,H01,A,F02,Proi7UDI-014,CTTGTGTC,Proi5UDI-014,CTCCTAAT,Onco_FFPE-gDNA,088_HD832</t>
  </si>
  <si>
    <t>GCCATCAGGCCTCATA</t>
  </si>
  <si>
    <t>POOL-10030,20220824-QiaSeq_V4,A02,A,G02,Proi7UDI-015,GCCATCAG,Proi5UDI-015,GCCTCATA,Onco_gDNA,089_HD734</t>
  </si>
  <si>
    <t>TAACAGGCTGTATTGA</t>
  </si>
  <si>
    <t>POOL-10031,20220824-QiaSeq_V4,B02,A,H02,Proi7UDI-016,TAACAGGC,Proi5UDI-016,TGTATTGA,Onco_FFPE-gDNA,054_LAN</t>
  </si>
  <si>
    <t>AAGCTATGAGCCATAA</t>
  </si>
  <si>
    <t>POOL-10032,20220824-QiaSeq_V4,C02,A,A03,Proi7UDI-017,AAGCTATG,Proi5UDI-017,AGCCATAA,Onco_FFPE-gDNA,105_RHR</t>
  </si>
  <si>
    <t>CGAGAAGGCCACAAGT</t>
  </si>
  <si>
    <t>POOL-10033,20220824-QiaSeq_V4,D02,A,B03,Proi7UDI-018,CGAGAAGG,Proi5UDI-018,CCACAAGT,Onco_ctDNA,090_HD833</t>
  </si>
  <si>
    <t>Pool Final Verificação 1nM Biblioteca 2</t>
  </si>
  <si>
    <t>Pool Final Verificação 2nM Biblioteca DNA + RNA 7:3</t>
  </si>
  <si>
    <t>MS3322918-300V2</t>
  </si>
  <si>
    <t>Pool Final Verificação 2nM Biblioteca QiaSeq V4 Mama</t>
  </si>
  <si>
    <t>Pool Final Verificação 2nM Biblioteca QiaSeq V4 Onco</t>
  </si>
  <si>
    <t>Pool Final Verificação 2nM Biblioteca AmpliSeq DNA</t>
  </si>
  <si>
    <t>MS3313845-300V2</t>
  </si>
  <si>
    <t>Pool Final Verificação 2nM Biblioteca RNA</t>
  </si>
  <si>
    <t>MS3313742-300V2</t>
  </si>
  <si>
    <t>POOL-10044</t>
  </si>
  <si>
    <t>120 L.P.O.A.</t>
  </si>
  <si>
    <t>POOL-10045</t>
  </si>
  <si>
    <t>123 G.F.O.</t>
  </si>
  <si>
    <t>POOL-10046</t>
  </si>
  <si>
    <t>124 R.B.A.</t>
  </si>
  <si>
    <t>POOL-10047</t>
  </si>
  <si>
    <t>125 V.B.M.</t>
  </si>
  <si>
    <t>POOL-10044
120 L.P.O.A.</t>
  </si>
  <si>
    <t>POOL-10045
123 G.F.O.</t>
  </si>
  <si>
    <t>POOL-10046
124 R.B.A.</t>
  </si>
  <si>
    <t>POOL-10047
125 V.B.M.</t>
  </si>
  <si>
    <t>Rodrigo</t>
  </si>
  <si>
    <t>AmpliSeq Amplify Mix</t>
  </si>
  <si>
    <t>Digestão Fupa</t>
  </si>
  <si>
    <t>Ligate (Pipetar na ordem)</t>
  </si>
  <si>
    <t>1ª Purificação com Beads</t>
  </si>
  <si>
    <t>μL (Ind./Mix)</t>
  </si>
  <si>
    <t>Lib Amp</t>
  </si>
  <si>
    <t>2ª Purificação com Beads</t>
  </si>
  <si>
    <t>POOL-10001
071 B.B.</t>
  </si>
  <si>
    <t>POOL-10002
052 J.J.M.</t>
  </si>
  <si>
    <t>POOL-10003
104 D.C.B.</t>
  </si>
  <si>
    <t>AmpliSeq - cDNA Mix</t>
  </si>
  <si>
    <t>POOL-10009
077 B.B.</t>
  </si>
  <si>
    <t>POOL-10010
087 HD789</t>
  </si>
  <si>
    <t>POOL-10011
087 HD789</t>
  </si>
  <si>
    <t>POOL-10012
096 L.A.N.</t>
  </si>
  <si>
    <t>POOL-10013
097 J.J.M.</t>
  </si>
  <si>
    <t>POOL-10014
106 D.C.B.</t>
  </si>
  <si>
    <t>POOL-10015
107 R.H.R.</t>
  </si>
  <si>
    <t>POOL-10004
088 HD832</t>
  </si>
  <si>
    <t>POOL-10005
088 HD832</t>
  </si>
  <si>
    <t>POOL-10006
089 HD734</t>
  </si>
  <si>
    <t>POOL-10007
054 L.A.N.</t>
  </si>
  <si>
    <t>POOL-10008
105 R.H.R.</t>
  </si>
  <si>
    <t>FFPE DNA Repair</t>
  </si>
  <si>
    <t>FFPE Fragmentation</t>
  </si>
  <si>
    <t>ctDNA Fragmentation</t>
  </si>
  <si>
    <t>Target Enrichment ONCO</t>
  </si>
  <si>
    <t>POOL-10022
062 C.D.P.</t>
  </si>
  <si>
    <t>POOL-10030
089 HD734</t>
  </si>
  <si>
    <t>POOL-10023
117 NA12878</t>
  </si>
  <si>
    <t>POOL-10031
054 L.A.N.</t>
  </si>
  <si>
    <t>POOL-10024
091 HD810</t>
  </si>
  <si>
    <t>POOL-10032
105 R.H.R.</t>
  </si>
  <si>
    <t>POOL-10025
071 B.B.</t>
  </si>
  <si>
    <t>POOL-10033
090 HD833</t>
  </si>
  <si>
    <t>POOL-10026
052 J.J.M.</t>
  </si>
  <si>
    <t>POOL-10027
104 D.C.B.</t>
  </si>
  <si>
    <t>POOL-10028
088 HD832</t>
  </si>
  <si>
    <t>POOL-10029
088 HD832</t>
  </si>
  <si>
    <t>POOL-10036
087 HD789</t>
  </si>
  <si>
    <t>POOL-10037
092 F.C.T.</t>
  </si>
  <si>
    <t>POOL-10034
088 HD832</t>
  </si>
  <si>
    <t>POOL-10035
027 F.C.T.</t>
  </si>
  <si>
    <t>POOL-10016</t>
  </si>
  <si>
    <t>POOL-10017</t>
  </si>
  <si>
    <t>POOL-10018</t>
  </si>
  <si>
    <t>POOL-10019</t>
  </si>
  <si>
    <t>POOL-10020</t>
  </si>
  <si>
    <t>POOL-10021</t>
  </si>
  <si>
    <t>POOL-10016
117 NA12878</t>
  </si>
  <si>
    <t>POOL-10017
118 NA23873</t>
  </si>
  <si>
    <t>POOL-10018
119 NA24149</t>
  </si>
  <si>
    <t>POOL-10019
091 HD810</t>
  </si>
  <si>
    <t>POOL-10020
117 D.R.S.</t>
  </si>
  <si>
    <t>POOL-10021
118 N.R.S.</t>
  </si>
  <si>
    <t>POOL-10038
091 HD810</t>
  </si>
  <si>
    <t>POOL-10039
117 NA12878</t>
  </si>
  <si>
    <t>POOL-10040
118 NA23873</t>
  </si>
  <si>
    <t>POOL-10041
119 NA24149</t>
  </si>
  <si>
    <t>POOL-10042
117 D.R.S.</t>
  </si>
  <si>
    <t>POOL-10043
118 N.R.S.</t>
  </si>
  <si>
    <t>Pool Final Verificação 1nM Biblioteca 3</t>
  </si>
  <si>
    <t>Analysis type</t>
  </si>
  <si>
    <t>Cobertura</t>
  </si>
  <si>
    <t>Anotação</t>
  </si>
  <si>
    <t>mamavcf_to_excel.R</t>
  </si>
  <si>
    <t>Coverage Flag</t>
  </si>
  <si>
    <t>Annotation script</t>
  </si>
  <si>
    <t>calc_coverage_20x.py</t>
  </si>
  <si>
    <t>calc_coverage_500x.py</t>
  </si>
  <si>
    <t xml:space="preserve">bedtools coverage -hist -abam </t>
  </si>
  <si>
    <t>MAMA_V1.0_splice10.bed</t>
  </si>
  <si>
    <t>ONCO_V1.0_codons.bed</t>
  </si>
  <si>
    <t>BED File 1</t>
  </si>
  <si>
    <t>BED File 2</t>
  </si>
  <si>
    <t>MAMA V1.0 - CNV.bed</t>
  </si>
  <si>
    <t>ONCO_V1.0_exons.bed</t>
  </si>
  <si>
    <t>MAMA_Qiagen</t>
  </si>
  <si>
    <t>Onco_Qiagen</t>
  </si>
  <si>
    <t>Pipelines</t>
  </si>
  <si>
    <t>KITS</t>
  </si>
  <si>
    <t>Focus_Illumina</t>
  </si>
  <si>
    <t>Type</t>
  </si>
  <si>
    <t>SNV</t>
  </si>
  <si>
    <t>CNV</t>
  </si>
  <si>
    <t>exon</t>
  </si>
  <si>
    <t>FOCUS_snv_V1.0.bed</t>
  </si>
  <si>
    <t>FOCUS_cnv_V1.0.bed</t>
  </si>
  <si>
    <t>FOCUS_RNA_V1.0.bed</t>
  </si>
  <si>
    <t>regions</t>
  </si>
  <si>
    <t>oncovcf_to_excel.R</t>
  </si>
  <si>
    <t>12/07/2023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</si>
</sst>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00000\-0"/>
    <numFmt numFmtId="165" formatCode="0.0"/>
    <numFmt numFmtId="166" formatCode="&quot;N&quot;000"/>
    <numFmt numFmtId="167" formatCode="yyyymmdd"/>
    <numFmt numFmtId="168" formatCode="0.000"/>
    <numFmt numFmtId="169" formatCode="0.000000000000"/>
    <numFmt numFmtId="170" formatCode="000\ \μ\l"/>
    <numFmt numFmtId="171" formatCode="0.00000"/>
    <numFmt numFmtId="173" formatCode="0.0000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color theme="1"/>
      <name val="Calibri"/>
      <family val="2"/>
    </font>
    <font>
      <b/>
      <sz val="7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3F3F3F"/>
      <name val="Calibri"/>
      <family val="2"/>
      <scheme val="minor"/>
    </font>
    <font>
      <sz val="13"/>
      <color rgb="FF3F3F3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5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5"/>
      <color rgb="FFFF0000"/>
      <name val="Calibri"/>
      <family val="2"/>
      <scheme val="minor"/>
    </font>
    <font>
      <b/>
      <u/>
      <sz val="11"/>
      <color rgb="FFFA7D00"/>
      <name val="Calibri"/>
      <family val="2"/>
      <scheme val="minor"/>
    </font>
    <font>
      <b/>
      <sz val="11"/>
      <name val="Calibri"/>
      <family val="2"/>
      <scheme val="minor"/>
    </font>
    <font>
      <sz val="15"/>
      <color rgb="FFFF0000"/>
      <name val="Calibri"/>
      <family val="2"/>
      <scheme val="minor"/>
    </font>
    <font>
      <sz val="14"/>
      <color rgb="FF9C6500"/>
      <name val="Calibri"/>
      <family val="2"/>
      <scheme val="minor"/>
    </font>
    <font>
      <b/>
      <sz val="14"/>
      <color rgb="FFFA7D00"/>
      <name val="Calibri"/>
      <family val="2"/>
      <scheme val="minor"/>
    </font>
    <font>
      <b/>
      <sz val="14"/>
      <name val="Calibri"/>
      <family val="2"/>
      <scheme val="minor"/>
    </font>
    <font>
      <sz val="14"/>
      <color rgb="FF000000"/>
      <name val="Calibri"/>
      <family val="2"/>
    </font>
    <font>
      <sz val="6"/>
      <color theme="1"/>
      <name val="Calibri"/>
      <family val="2"/>
      <scheme val="minor"/>
    </font>
    <font>
      <sz val="6"/>
      <color rgb="FF9C000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2" applyNumberFormat="0" applyAlignment="0" applyProtection="0"/>
    <xf numFmtId="0" fontId="1" fillId="5" borderId="3" applyNumberFormat="0" applyFont="0" applyAlignment="0" applyProtection="0"/>
    <xf numFmtId="0" fontId="8" fillId="3" borderId="9" applyNumberFormat="0" applyAlignment="0" applyProtection="0"/>
    <xf numFmtId="9" fontId="1" fillId="0" borderId="0" applyFont="0" applyFill="0" applyBorder="0" applyAlignment="0" applyProtection="0"/>
    <xf numFmtId="0" fontId="33" fillId="2" borderId="0" applyNumberFormat="0" applyBorder="0" applyAlignment="0" applyProtection="0"/>
  </cellStyleXfs>
  <cellXfs count="147">
    <xf numFmtId="0" fontId="0" fillId="0" borderId="0" xfId="0"/>
    <xf numFmtId="0" fontId="5" fillId="0" borderId="4" xfId="0" applyFont="1" applyBorder="1" applyAlignment="1">
      <alignment horizontal="center" vertical="center"/>
    </xf>
    <xf numFmtId="0" fontId="7" fillId="3" borderId="4" xfId="2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0" fillId="7" borderId="0" xfId="0" applyFont="1" applyFill="1" applyAlignment="1">
      <alignment wrapText="1"/>
    </xf>
    <xf numFmtId="0" fontId="0" fillId="7" borderId="0" xfId="0" applyFill="1"/>
    <xf numFmtId="0" fontId="9" fillId="7" borderId="0" xfId="0" applyFont="1" applyFill="1" applyAlignment="1">
      <alignment horizontal="right" vertical="center"/>
    </xf>
    <xf numFmtId="0" fontId="9" fillId="7" borderId="4" xfId="0" applyFont="1" applyFill="1" applyBorder="1" applyAlignment="1">
      <alignment horizontal="right" vertical="center"/>
    </xf>
    <xf numFmtId="0" fontId="0" fillId="7" borderId="0" xfId="0" applyFill="1" applyAlignment="1">
      <alignment horizontal="center"/>
    </xf>
    <xf numFmtId="49" fontId="0" fillId="0" borderId="0" xfId="0" applyNumberFormat="1"/>
    <xf numFmtId="0" fontId="0" fillId="0" borderId="0" xfId="0" applyAlignment="1">
      <alignment wrapText="1"/>
    </xf>
    <xf numFmtId="0" fontId="0" fillId="7" borderId="0" xfId="0" quotePrefix="1" applyFill="1"/>
    <xf numFmtId="49" fontId="9" fillId="7" borderId="4" xfId="0" applyNumberFormat="1" applyFont="1" applyFill="1" applyBorder="1" applyAlignment="1">
      <alignment horizontal="center"/>
    </xf>
    <xf numFmtId="0" fontId="13" fillId="7" borderId="0" xfId="0" applyFont="1" applyFill="1"/>
    <xf numFmtId="0" fontId="12" fillId="7" borderId="0" xfId="0" applyFont="1" applyFill="1" applyAlignment="1">
      <alignment horizontal="center" vertical="center" wrapText="1"/>
    </xf>
    <xf numFmtId="0" fontId="15" fillId="8" borderId="4" xfId="5" applyFont="1" applyFill="1" applyBorder="1" applyAlignment="1" applyProtection="1">
      <alignment horizontal="left"/>
      <protection locked="0"/>
    </xf>
    <xf numFmtId="0" fontId="16" fillId="7" borderId="0" xfId="0" applyFont="1" applyFill="1"/>
    <xf numFmtId="0" fontId="15" fillId="8" borderId="9" xfId="5" applyFont="1" applyFill="1" applyProtection="1">
      <protection locked="0"/>
    </xf>
    <xf numFmtId="0" fontId="14" fillId="7" borderId="0" xfId="0" applyFont="1" applyFill="1" applyAlignment="1">
      <alignment horizontal="right" vertical="center"/>
    </xf>
    <xf numFmtId="2" fontId="0" fillId="0" borderId="0" xfId="0" applyNumberFormat="1"/>
    <xf numFmtId="0" fontId="0" fillId="0" borderId="0" xfId="0" applyAlignment="1">
      <alignment horizontal="right"/>
    </xf>
    <xf numFmtId="0" fontId="12" fillId="7" borderId="0" xfId="0" applyFont="1" applyFill="1" applyAlignment="1">
      <alignment horizontal="right" vertical="center"/>
    </xf>
    <xf numFmtId="0" fontId="13" fillId="7" borderId="0" xfId="0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16" fontId="0" fillId="7" borderId="0" xfId="0" applyNumberFormat="1" applyFill="1"/>
    <xf numFmtId="14" fontId="0" fillId="7" borderId="0" xfId="0" applyNumberFormat="1" applyFill="1"/>
    <xf numFmtId="0" fontId="18" fillId="7" borderId="0" xfId="0" applyFont="1" applyFill="1" applyAlignment="1">
      <alignment horizontal="center"/>
    </xf>
    <xf numFmtId="0" fontId="18" fillId="7" borderId="0" xfId="0" applyFont="1" applyFill="1"/>
    <xf numFmtId="0" fontId="18" fillId="7" borderId="0" xfId="0" applyFont="1" applyFill="1" applyAlignment="1" applyProtection="1">
      <alignment horizontal="center"/>
      <protection locked="0"/>
    </xf>
    <xf numFmtId="0" fontId="19" fillId="7" borderId="0" xfId="0" applyFont="1" applyFill="1" applyAlignment="1" applyProtection="1">
      <alignment horizontal="center"/>
      <protection locked="0"/>
    </xf>
    <xf numFmtId="0" fontId="20" fillId="7" borderId="0" xfId="0" applyFont="1" applyFill="1" applyAlignment="1" applyProtection="1">
      <alignment horizontal="center"/>
      <protection locked="0"/>
    </xf>
    <xf numFmtId="0" fontId="21" fillId="7" borderId="0" xfId="0" applyFont="1" applyFill="1" applyAlignment="1">
      <alignment horizontal="center"/>
    </xf>
    <xf numFmtId="0" fontId="20" fillId="7" borderId="0" xfId="0" applyFont="1" applyFill="1" applyAlignment="1">
      <alignment horizontal="center"/>
    </xf>
    <xf numFmtId="0" fontId="17" fillId="7" borderId="0" xfId="0" applyFont="1" applyFill="1" applyAlignment="1">
      <alignment horizontal="right" vertical="center"/>
    </xf>
    <xf numFmtId="0" fontId="17" fillId="7" borderId="0" xfId="0" applyFont="1" applyFill="1" applyAlignment="1">
      <alignment horizontal="center" vertical="center"/>
    </xf>
    <xf numFmtId="0" fontId="18" fillId="7" borderId="0" xfId="0" applyFont="1" applyFill="1" applyAlignment="1">
      <alignment horizontal="center" vertical="center"/>
    </xf>
    <xf numFmtId="0" fontId="18" fillId="7" borderId="0" xfId="0" applyFont="1" applyFill="1" applyAlignment="1">
      <alignment horizontal="right" vertical="center"/>
    </xf>
    <xf numFmtId="0" fontId="18" fillId="7" borderId="0" xfId="0" applyFont="1" applyFill="1" applyAlignment="1">
      <alignment wrapText="1"/>
    </xf>
    <xf numFmtId="0" fontId="13" fillId="7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17" fillId="7" borderId="0" xfId="0" applyFont="1" applyFill="1" applyAlignment="1">
      <alignment horizontal="center" vertical="center" wrapText="1"/>
    </xf>
    <xf numFmtId="0" fontId="22" fillId="7" borderId="0" xfId="0" applyFont="1" applyFill="1"/>
    <xf numFmtId="167" fontId="15" fillId="8" borderId="4" xfId="5" applyNumberFormat="1" applyFont="1" applyFill="1" applyBorder="1" applyAlignment="1" applyProtection="1">
      <alignment horizontal="left"/>
      <protection locked="0"/>
    </xf>
    <xf numFmtId="49" fontId="23" fillId="5" borderId="4" xfId="4" applyNumberFormat="1" applyFont="1" applyBorder="1" applyAlignment="1">
      <alignment horizontal="center" vertical="center" wrapText="1"/>
    </xf>
    <xf numFmtId="0" fontId="9" fillId="7" borderId="0" xfId="0" applyFont="1" applyFill="1" applyAlignment="1" applyProtection="1">
      <alignment horizontal="center" vertical="center"/>
      <protection locked="0"/>
    </xf>
    <xf numFmtId="2" fontId="20" fillId="7" borderId="0" xfId="0" applyNumberFormat="1" applyFont="1" applyFill="1" applyAlignment="1" applyProtection="1">
      <alignment horizontal="center"/>
      <protection locked="0"/>
    </xf>
    <xf numFmtId="165" fontId="20" fillId="7" borderId="0" xfId="0" applyNumberFormat="1" applyFont="1" applyFill="1" applyAlignment="1" applyProtection="1">
      <alignment horizontal="center"/>
      <protection locked="0"/>
    </xf>
    <xf numFmtId="2" fontId="21" fillId="7" borderId="0" xfId="0" applyNumberFormat="1" applyFont="1" applyFill="1" applyAlignment="1">
      <alignment horizontal="center"/>
    </xf>
    <xf numFmtId="165" fontId="21" fillId="7" borderId="0" xfId="0" applyNumberFormat="1" applyFont="1" applyFill="1" applyAlignment="1">
      <alignment horizontal="center"/>
    </xf>
    <xf numFmtId="0" fontId="24" fillId="7" borderId="0" xfId="0" applyFont="1" applyFill="1" applyAlignment="1" applyProtection="1">
      <alignment horizontal="center"/>
      <protection locked="0"/>
    </xf>
    <xf numFmtId="167" fontId="3" fillId="0" borderId="5" xfId="2" applyNumberFormat="1" applyFill="1" applyBorder="1" applyAlignment="1">
      <alignment horizontal="center" vertical="center" wrapText="1"/>
    </xf>
    <xf numFmtId="0" fontId="25" fillId="0" borderId="5" xfId="2" applyNumberFormat="1" applyFont="1" applyFill="1" applyBorder="1" applyAlignment="1">
      <alignment horizontal="center" vertical="center" wrapText="1"/>
    </xf>
    <xf numFmtId="166" fontId="26" fillId="6" borderId="6" xfId="3" applyNumberFormat="1" applyFont="1" applyFill="1" applyBorder="1" applyAlignment="1">
      <alignment horizontal="center" vertical="center" wrapText="1"/>
    </xf>
    <xf numFmtId="0" fontId="3" fillId="0" borderId="5" xfId="2" applyNumberFormat="1" applyFill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2" fontId="3" fillId="3" borderId="4" xfId="2" applyNumberFormat="1" applyBorder="1" applyAlignment="1">
      <alignment horizontal="center" vertical="center" wrapText="1"/>
    </xf>
    <xf numFmtId="0" fontId="3" fillId="0" borderId="7" xfId="2" applyNumberFormat="1" applyFill="1" applyBorder="1" applyAlignment="1">
      <alignment horizontal="center" vertical="center" wrapText="1"/>
    </xf>
    <xf numFmtId="0" fontId="2" fillId="2" borderId="5" xfId="1" applyNumberFormat="1" applyBorder="1" applyAlignment="1">
      <alignment horizontal="center" vertical="center" wrapText="1"/>
    </xf>
    <xf numFmtId="49" fontId="26" fillId="6" borderId="6" xfId="3" applyNumberFormat="1" applyFont="1" applyFill="1" applyBorder="1" applyAlignment="1">
      <alignment horizontal="center" vertical="center" wrapText="1"/>
    </xf>
    <xf numFmtId="0" fontId="15" fillId="8" borderId="7" xfId="5" applyFont="1" applyFill="1" applyBorder="1" applyProtection="1">
      <protection locked="0"/>
    </xf>
    <xf numFmtId="0" fontId="15" fillId="8" borderId="8" xfId="5" applyFont="1" applyFill="1" applyBorder="1" applyAlignment="1" applyProtection="1">
      <alignment horizontal="left" vertical="center"/>
      <protection locked="0"/>
    </xf>
    <xf numFmtId="0" fontId="27" fillId="7" borderId="0" xfId="0" applyFont="1" applyFill="1" applyAlignment="1" applyProtection="1">
      <alignment horizontal="center"/>
      <protection locked="0"/>
    </xf>
    <xf numFmtId="0" fontId="28" fillId="5" borderId="4" xfId="4" applyFont="1" applyBorder="1" applyAlignment="1">
      <alignment horizontal="center" vertical="center" wrapText="1"/>
    </xf>
    <xf numFmtId="0" fontId="29" fillId="3" borderId="4" xfId="2" applyFont="1" applyBorder="1" applyAlignment="1">
      <alignment horizontal="center" vertical="center" wrapText="1"/>
    </xf>
    <xf numFmtId="14" fontId="28" fillId="5" borderId="4" xfId="4" applyNumberFormat="1" applyFont="1" applyBorder="1" applyAlignment="1">
      <alignment horizontal="center" vertical="center" wrapText="1"/>
    </xf>
    <xf numFmtId="0" fontId="29" fillId="3" borderId="4" xfId="2" applyFont="1" applyBorder="1" applyAlignment="1">
      <alignment horizontal="center" vertical="center"/>
    </xf>
    <xf numFmtId="0" fontId="18" fillId="7" borderId="6" xfId="0" applyFont="1" applyFill="1" applyBorder="1" applyAlignment="1">
      <alignment horizontal="center" vertical="center"/>
    </xf>
    <xf numFmtId="0" fontId="30" fillId="6" borderId="6" xfId="3" applyFont="1" applyFill="1" applyBorder="1" applyAlignment="1">
      <alignment horizontal="center" vertical="center"/>
    </xf>
    <xf numFmtId="0" fontId="17" fillId="7" borderId="15" xfId="0" applyFont="1" applyFill="1" applyBorder="1" applyAlignment="1">
      <alignment horizontal="centerContinuous" vertical="center"/>
    </xf>
    <xf numFmtId="0" fontId="18" fillId="7" borderId="16" xfId="0" applyFont="1" applyFill="1" applyBorder="1" applyAlignment="1">
      <alignment horizontal="centerContinuous" vertical="center"/>
    </xf>
    <xf numFmtId="0" fontId="18" fillId="7" borderId="17" xfId="0" applyFont="1" applyFill="1" applyBorder="1" applyAlignment="1">
      <alignment horizontal="centerContinuous" vertical="center"/>
    </xf>
    <xf numFmtId="0" fontId="29" fillId="7" borderId="5" xfId="2" applyFont="1" applyFill="1" applyBorder="1" applyAlignment="1">
      <alignment horizontal="center" vertical="center" wrapText="1"/>
    </xf>
    <xf numFmtId="0" fontId="31" fillId="9" borderId="18" xfId="0" applyFont="1" applyFill="1" applyBorder="1" applyAlignment="1">
      <alignment horizontal="right" vertical="center"/>
    </xf>
    <xf numFmtId="0" fontId="29" fillId="7" borderId="19" xfId="2" applyFont="1" applyFill="1" applyBorder="1" applyAlignment="1">
      <alignment horizontal="center" vertical="center" wrapText="1"/>
    </xf>
    <xf numFmtId="0" fontId="18" fillId="7" borderId="20" xfId="0" applyFont="1" applyFill="1" applyBorder="1"/>
    <xf numFmtId="0" fontId="31" fillId="9" borderId="18" xfId="0" applyFont="1" applyFill="1" applyBorder="1" applyAlignment="1">
      <alignment horizontal="right" vertical="center" wrapText="1"/>
    </xf>
    <xf numFmtId="0" fontId="31" fillId="9" borderId="0" xfId="0" applyFont="1" applyFill="1"/>
    <xf numFmtId="0" fontId="31" fillId="9" borderId="20" xfId="0" applyFont="1" applyFill="1" applyBorder="1"/>
    <xf numFmtId="165" fontId="31" fillId="9" borderId="21" xfId="0" applyNumberFormat="1" applyFont="1" applyFill="1" applyBorder="1" applyAlignment="1">
      <alignment horizontal="right" vertical="center" wrapText="1"/>
    </xf>
    <xf numFmtId="2" fontId="29" fillId="3" borderId="19" xfId="2" applyNumberFormat="1" applyFont="1" applyBorder="1" applyAlignment="1">
      <alignment horizontal="center" vertical="center" wrapText="1"/>
    </xf>
    <xf numFmtId="168" fontId="29" fillId="3" borderId="19" xfId="2" applyNumberFormat="1" applyFont="1" applyBorder="1" applyAlignment="1">
      <alignment horizontal="center" vertical="center" wrapText="1"/>
    </xf>
    <xf numFmtId="165" fontId="31" fillId="9" borderId="22" xfId="0" applyNumberFormat="1" applyFont="1" applyFill="1" applyBorder="1" applyAlignment="1">
      <alignment horizontal="right" vertical="center" wrapText="1"/>
    </xf>
    <xf numFmtId="165" fontId="31" fillId="9" borderId="23" xfId="0" applyNumberFormat="1" applyFont="1" applyFill="1" applyBorder="1" applyAlignment="1">
      <alignment horizontal="center" vertical="center" wrapText="1"/>
    </xf>
    <xf numFmtId="169" fontId="31" fillId="9" borderId="0" xfId="0" applyNumberFormat="1" applyFont="1" applyFill="1"/>
    <xf numFmtId="0" fontId="18" fillId="7" borderId="24" xfId="0" applyFont="1" applyFill="1" applyBorder="1"/>
    <xf numFmtId="0" fontId="18" fillId="7" borderId="25" xfId="0" applyFont="1" applyFill="1" applyBorder="1"/>
    <xf numFmtId="0" fontId="18" fillId="7" borderId="26" xfId="0" applyFont="1" applyFill="1" applyBorder="1"/>
    <xf numFmtId="0" fontId="29" fillId="7" borderId="5" xfId="2" applyFont="1" applyFill="1" applyBorder="1" applyAlignment="1">
      <alignment horizontal="center" vertical="center"/>
    </xf>
    <xf numFmtId="9" fontId="18" fillId="7" borderId="0" xfId="0" applyNumberFormat="1" applyFont="1" applyFill="1"/>
    <xf numFmtId="165" fontId="18" fillId="7" borderId="0" xfId="0" applyNumberFormat="1" applyFont="1" applyFill="1"/>
    <xf numFmtId="0" fontId="17" fillId="10" borderId="0" xfId="0" applyFont="1" applyFill="1" applyAlignment="1">
      <alignment horizontal="left"/>
    </xf>
    <xf numFmtId="2" fontId="17" fillId="10" borderId="0" xfId="0" applyNumberFormat="1" applyFont="1" applyFill="1" applyAlignment="1">
      <alignment horizontal="right"/>
    </xf>
    <xf numFmtId="0" fontId="17" fillId="10" borderId="0" xfId="0" applyFont="1" applyFill="1" applyAlignment="1">
      <alignment horizontal="right"/>
    </xf>
    <xf numFmtId="170" fontId="17" fillId="10" borderId="0" xfId="0" applyNumberFormat="1" applyFont="1" applyFill="1" applyAlignment="1">
      <alignment horizontal="left"/>
    </xf>
    <xf numFmtId="0" fontId="17" fillId="6" borderId="28" xfId="0" applyFont="1" applyFill="1" applyBorder="1"/>
    <xf numFmtId="2" fontId="17" fillId="6" borderId="28" xfId="0" applyNumberFormat="1" applyFont="1" applyFill="1" applyBorder="1" applyAlignment="1">
      <alignment horizontal="center"/>
    </xf>
    <xf numFmtId="0" fontId="17" fillId="6" borderId="28" xfId="0" applyFont="1" applyFill="1" applyBorder="1" applyAlignment="1">
      <alignment horizontal="center"/>
    </xf>
    <xf numFmtId="0" fontId="17" fillId="6" borderId="28" xfId="0" applyFont="1" applyFill="1" applyBorder="1" applyAlignment="1">
      <alignment horizontal="right"/>
    </xf>
    <xf numFmtId="0" fontId="17" fillId="7" borderId="0" xfId="0" applyFont="1" applyFill="1" applyProtection="1">
      <protection locked="0"/>
    </xf>
    <xf numFmtId="2" fontId="18" fillId="7" borderId="0" xfId="0" applyNumberFormat="1" applyFont="1" applyFill="1" applyAlignment="1" applyProtection="1">
      <alignment horizontal="center"/>
      <protection locked="0"/>
    </xf>
    <xf numFmtId="9" fontId="18" fillId="7" borderId="0" xfId="6" applyFont="1" applyFill="1" applyAlignment="1">
      <alignment horizontal="center"/>
    </xf>
    <xf numFmtId="170" fontId="17" fillId="7" borderId="0" xfId="0" applyNumberFormat="1" applyFont="1" applyFill="1"/>
    <xf numFmtId="2" fontId="17" fillId="7" borderId="0" xfId="0" applyNumberFormat="1" applyFont="1" applyFill="1"/>
    <xf numFmtId="0" fontId="17" fillId="7" borderId="0" xfId="0" applyFont="1" applyFill="1"/>
    <xf numFmtId="0" fontId="18" fillId="7" borderId="29" xfId="0" applyFont="1" applyFill="1" applyBorder="1"/>
    <xf numFmtId="2" fontId="18" fillId="7" borderId="29" xfId="0" applyNumberFormat="1" applyFont="1" applyFill="1" applyBorder="1" applyAlignment="1" applyProtection="1">
      <alignment horizontal="center"/>
      <protection locked="0"/>
    </xf>
    <xf numFmtId="0" fontId="18" fillId="7" borderId="29" xfId="0" applyFont="1" applyFill="1" applyBorder="1" applyAlignment="1">
      <alignment horizontal="center"/>
    </xf>
    <xf numFmtId="9" fontId="18" fillId="7" borderId="29" xfId="6" applyFont="1" applyFill="1" applyBorder="1" applyAlignment="1">
      <alignment horizontal="center"/>
    </xf>
    <xf numFmtId="170" fontId="17" fillId="7" borderId="29" xfId="0" applyNumberFormat="1" applyFont="1" applyFill="1" applyBorder="1"/>
    <xf numFmtId="0" fontId="17" fillId="7" borderId="0" xfId="0" applyFont="1" applyFill="1" applyAlignment="1">
      <alignment horizontal="right"/>
    </xf>
    <xf numFmtId="9" fontId="17" fillId="7" borderId="0" xfId="0" applyNumberFormat="1" applyFont="1" applyFill="1" applyAlignment="1">
      <alignment horizontal="center"/>
    </xf>
    <xf numFmtId="0" fontId="29" fillId="7" borderId="5" xfId="2" applyNumberFormat="1" applyFont="1" applyFill="1" applyBorder="1" applyAlignment="1">
      <alignment horizontal="center" vertical="center" wrapText="1"/>
    </xf>
    <xf numFmtId="0" fontId="28" fillId="5" borderId="4" xfId="4" applyNumberFormat="1" applyFont="1" applyBorder="1" applyAlignment="1">
      <alignment horizontal="center" vertical="center" wrapText="1"/>
    </xf>
    <xf numFmtId="0" fontId="29" fillId="3" borderId="4" xfId="2" applyNumberFormat="1" applyFont="1" applyBorder="1" applyAlignment="1">
      <alignment horizontal="center" vertical="center" wrapText="1"/>
    </xf>
    <xf numFmtId="0" fontId="29" fillId="7" borderId="5" xfId="2" applyNumberFormat="1" applyFont="1" applyFill="1" applyBorder="1" applyAlignment="1">
      <alignment horizontal="center" vertical="center"/>
    </xf>
    <xf numFmtId="0" fontId="29" fillId="3" borderId="4" xfId="2" applyNumberFormat="1" applyFont="1" applyBorder="1" applyAlignment="1">
      <alignment horizontal="center" vertical="center"/>
    </xf>
    <xf numFmtId="2" fontId="29" fillId="3" borderId="4" xfId="2" applyNumberFormat="1" applyFont="1" applyBorder="1" applyAlignment="1">
      <alignment horizontal="center" vertical="center"/>
    </xf>
    <xf numFmtId="0" fontId="30" fillId="6" borderId="6" xfId="3" applyNumberFormat="1" applyFont="1" applyFill="1" applyBorder="1" applyAlignment="1">
      <alignment horizontal="center" vertical="center"/>
    </xf>
    <xf numFmtId="0" fontId="29" fillId="7" borderId="19" xfId="2" applyNumberFormat="1" applyFont="1" applyFill="1" applyBorder="1" applyAlignment="1">
      <alignment horizontal="center" vertical="center" wrapText="1"/>
    </xf>
    <xf numFmtId="165" fontId="28" fillId="5" borderId="4" xfId="4" applyNumberFormat="1" applyFont="1" applyBorder="1" applyAlignment="1">
      <alignment horizontal="center" vertical="center" wrapText="1"/>
    </xf>
    <xf numFmtId="165" fontId="29" fillId="3" borderId="4" xfId="2" applyNumberFormat="1" applyFont="1" applyBorder="1" applyAlignment="1">
      <alignment horizontal="center" vertical="center"/>
    </xf>
    <xf numFmtId="0" fontId="3" fillId="0" borderId="27" xfId="2" applyNumberFormat="1" applyFill="1" applyBorder="1" applyAlignment="1">
      <alignment horizontal="center" vertical="center" wrapText="1"/>
    </xf>
    <xf numFmtId="171" fontId="18" fillId="7" borderId="0" xfId="0" applyNumberFormat="1" applyFont="1" applyFill="1"/>
    <xf numFmtId="173" fontId="18" fillId="7" borderId="0" xfId="0" applyNumberFormat="1" applyFont="1" applyFill="1"/>
    <xf numFmtId="0" fontId="32" fillId="0" borderId="0" xfId="0" applyFont="1" applyAlignment="1">
      <alignment horizontal="center" vertical="center" wrapText="1"/>
    </xf>
    <xf numFmtId="0" fontId="4" fillId="4" borderId="2" xfId="3" applyNumberFormat="1" applyAlignment="1">
      <alignment horizontal="center" vertical="center" wrapText="1"/>
    </xf>
    <xf numFmtId="49" fontId="3" fillId="3" borderId="1" xfId="2" applyNumberFormat="1" applyAlignment="1">
      <alignment horizontal="center" vertical="center" wrapText="1"/>
    </xf>
    <xf numFmtId="0" fontId="3" fillId="3" borderId="1" xfId="2" applyNumberFormat="1" applyAlignment="1">
      <alignment horizontal="center" vertical="center" wrapText="1"/>
    </xf>
    <xf numFmtId="168" fontId="0" fillId="0" borderId="0" xfId="0" applyNumberFormat="1"/>
    <xf numFmtId="0" fontId="0" fillId="7" borderId="0" xfId="0" applyFill="1" applyAlignment="1">
      <alignment horizontal="left"/>
    </xf>
    <xf numFmtId="0" fontId="17" fillId="7" borderId="0" xfId="0" applyFont="1" applyFill="1" applyAlignment="1">
      <alignment horizontal="left" vertical="center" wrapText="1"/>
    </xf>
    <xf numFmtId="0" fontId="18" fillId="7" borderId="0" xfId="0" applyFont="1" applyFill="1" applyAlignment="1" applyProtection="1">
      <alignment horizontal="left"/>
      <protection locked="0"/>
    </xf>
    <xf numFmtId="0" fontId="18" fillId="7" borderId="0" xfId="0" applyFont="1" applyFill="1" applyAlignment="1">
      <alignment horizontal="left"/>
    </xf>
    <xf numFmtId="0" fontId="18" fillId="7" borderId="0" xfId="0" applyFont="1" applyFill="1" applyAlignment="1">
      <alignment horizontal="left" vertical="center"/>
    </xf>
    <xf numFmtId="49" fontId="9" fillId="7" borderId="4" xfId="0" applyNumberFormat="1" applyFont="1" applyFill="1" applyBorder="1" applyAlignment="1">
      <alignment horizontal="left"/>
    </xf>
    <xf numFmtId="0" fontId="9" fillId="7" borderId="0" xfId="0" applyFont="1" applyFill="1" applyAlignment="1">
      <alignment horizontal="center" vertical="center"/>
    </xf>
    <xf numFmtId="0" fontId="25" fillId="0" borderId="5" xfId="2" applyFont="1" applyFill="1" applyBorder="1" applyAlignment="1">
      <alignment horizontal="center" vertical="center" wrapText="1"/>
    </xf>
    <xf numFmtId="49" fontId="23" fillId="5" borderId="8" xfId="4" applyNumberFormat="1" applyFont="1" applyBorder="1" applyAlignment="1">
      <alignment horizontal="center" vertical="center" wrapText="1"/>
    </xf>
    <xf numFmtId="49" fontId="23" fillId="5" borderId="7" xfId="4" applyNumberFormat="1" applyFont="1" applyBorder="1" applyAlignment="1">
      <alignment horizontal="center" vertical="center" wrapText="1"/>
    </xf>
    <xf numFmtId="0" fontId="17" fillId="7" borderId="10" xfId="0" applyFont="1" applyFill="1" applyBorder="1" applyAlignment="1">
      <alignment horizontal="center"/>
    </xf>
    <xf numFmtId="0" fontId="17" fillId="7" borderId="0" xfId="0" applyFont="1" applyFill="1" applyAlignment="1">
      <alignment horizontal="center"/>
    </xf>
    <xf numFmtId="0" fontId="15" fillId="8" borderId="11" xfId="5" applyFont="1" applyFill="1" applyBorder="1" applyAlignment="1" applyProtection="1">
      <alignment horizontal="center"/>
      <protection locked="0"/>
    </xf>
    <xf numFmtId="0" fontId="15" fillId="8" borderId="12" xfId="5" applyFont="1" applyFill="1" applyBorder="1" applyAlignment="1" applyProtection="1">
      <alignment horizontal="center"/>
      <protection locked="0"/>
    </xf>
    <xf numFmtId="0" fontId="15" fillId="8" borderId="13" xfId="5" applyFont="1" applyFill="1" applyBorder="1" applyAlignment="1" applyProtection="1">
      <alignment horizontal="center"/>
      <protection locked="0"/>
    </xf>
    <xf numFmtId="0" fontId="15" fillId="8" borderId="14" xfId="5" applyFont="1" applyFill="1" applyBorder="1" applyAlignment="1" applyProtection="1">
      <alignment horizontal="center"/>
      <protection locked="0"/>
    </xf>
    <xf numFmtId="0" fontId="17" fillId="7" borderId="0" xfId="0" applyFont="1" applyFill="1" applyAlignment="1">
      <alignment horizontal="center" vertical="center" wrapText="1"/>
    </xf>
  </cellXfs>
  <cellStyles count="8">
    <cellStyle name="Bad" xfId="1" builtinId="27"/>
    <cellStyle name="Bad 2" xfId="7" xr:uid="{D273A050-4D79-4FF0-B1A1-A03262A3078A}"/>
    <cellStyle name="Calculation" xfId="2" builtinId="22"/>
    <cellStyle name="Check Cell" xfId="3" builtinId="23"/>
    <cellStyle name="Normal" xfId="0" builtinId="0"/>
    <cellStyle name="Note" xfId="4" builtinId="10"/>
    <cellStyle name="Output" xfId="5" builtinId="21"/>
    <cellStyle name="Percent" xfId="6" builtinId="5"/>
  </cellStyles>
  <dxfs count="146">
    <dxf>
      <fill>
        <patternFill>
          <bgColor rgb="FFFF0000"/>
        </patternFill>
      </fill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 patternType="solid">
          <fgColor auto="1"/>
          <bgColor theme="0"/>
        </patternFill>
      </fill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fill>
        <patternFill>
          <fgColor rgb="FFFF0000"/>
          <bgColor rgb="FFFF0000"/>
        </patternFill>
      </fill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bgColor rgb="FFFF7979"/>
        </patternFill>
      </fill>
    </dxf>
    <dxf>
      <fill>
        <patternFill>
          <bgColor rgb="FFFF0000"/>
        </patternFill>
      </fill>
    </dxf>
    <dxf>
      <fill>
        <patternFill patternType="solid">
          <fgColor auto="1"/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 patternType="solid">
          <fgColor auto="1"/>
          <bgColor theme="0"/>
        </patternFill>
      </fill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fill>
        <patternFill>
          <fgColor rgb="FFFF0000"/>
          <bgColor rgb="FFFF0000"/>
        </patternFill>
      </fill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bgColor rgb="FFFF7979"/>
        </patternFill>
      </fill>
    </dxf>
    <dxf>
      <fill>
        <patternFill>
          <bgColor rgb="FFFF0000"/>
        </patternFill>
      </fill>
    </dxf>
    <dxf>
      <fill>
        <patternFill patternType="solid">
          <fgColor auto="1"/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 patternType="solid">
          <fgColor auto="1"/>
          <bgColor theme="0"/>
        </patternFill>
      </fill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fill>
        <patternFill>
          <fgColor rgb="FFFF0000"/>
          <bgColor rgb="FFFF0000"/>
        </patternFill>
      </fill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bgColor rgb="FFFF7979"/>
        </patternFill>
      </fill>
    </dxf>
    <dxf>
      <fill>
        <patternFill>
          <bgColor rgb="FFFF0000"/>
        </patternFill>
      </fill>
    </dxf>
    <dxf>
      <fill>
        <patternFill patternType="solid">
          <fgColor auto="1"/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 patternType="solid">
          <fgColor auto="1"/>
          <bgColor theme="0"/>
        </patternFill>
      </fill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fill>
        <patternFill>
          <fgColor rgb="FFFF0000"/>
          <bgColor rgb="FFFF0000"/>
        </patternFill>
      </fill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bgColor rgb="FFFF7979"/>
        </patternFill>
      </fill>
    </dxf>
    <dxf>
      <fill>
        <patternFill>
          <bgColor rgb="FFFF0000"/>
        </patternFill>
      </fill>
    </dxf>
    <dxf>
      <fill>
        <patternFill patternType="solid">
          <fgColor auto="1"/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 patternType="solid">
          <fgColor auto="1"/>
          <bgColor theme="0"/>
        </patternFill>
      </fill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fill>
        <patternFill>
          <fgColor rgb="FFFF0000"/>
          <bgColor rgb="FFFF0000"/>
        </patternFill>
      </fill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bgColor rgb="FFFF7979"/>
        </patternFill>
      </fill>
    </dxf>
    <dxf>
      <fill>
        <patternFill>
          <bgColor rgb="FFFF0000"/>
        </patternFill>
      </fill>
    </dxf>
    <dxf>
      <fill>
        <patternFill patternType="solid">
          <fgColor auto="1"/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 patternType="solid">
          <fgColor auto="1"/>
          <bgColor theme="0"/>
        </patternFill>
      </fill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fill>
        <patternFill>
          <fgColor rgb="FFFF0000"/>
          <bgColor rgb="FFFF0000"/>
        </patternFill>
      </fill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bgColor rgb="FFFF7979"/>
        </patternFill>
      </fill>
    </dxf>
    <dxf>
      <fill>
        <patternFill>
          <bgColor rgb="FFFF0000"/>
        </patternFill>
      </fill>
    </dxf>
    <dxf>
      <fill>
        <patternFill patternType="solid">
          <fgColor auto="1"/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 patternType="solid">
          <fgColor auto="1"/>
          <bgColor theme="0"/>
        </patternFill>
      </fill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fill>
        <patternFill>
          <fgColor rgb="FFFF0000"/>
          <bgColor rgb="FFFF0000"/>
        </patternFill>
      </fill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bgColor rgb="FFFF7979"/>
        </patternFill>
      </fill>
    </dxf>
    <dxf>
      <fill>
        <patternFill>
          <bgColor rgb="FFFF0000"/>
        </patternFill>
      </fill>
    </dxf>
    <dxf>
      <fill>
        <patternFill patternType="solid">
          <fgColor auto="1"/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 patternType="solid">
          <fgColor auto="1"/>
          <bgColor theme="0"/>
        </patternFill>
      </fill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fill>
        <patternFill>
          <fgColor rgb="FFFF0000"/>
          <bgColor rgb="FFFF0000"/>
        </patternFill>
      </fill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bgColor rgb="FFFF7979"/>
        </patternFill>
      </fill>
    </dxf>
    <dxf>
      <fill>
        <patternFill>
          <bgColor rgb="FFFF0000"/>
        </patternFill>
      </fill>
    </dxf>
    <dxf>
      <fill>
        <patternFill patternType="solid">
          <fgColor auto="1"/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 patternType="solid">
          <fgColor auto="1"/>
          <bgColor theme="0"/>
        </patternFill>
      </fill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fill>
        <patternFill>
          <fgColor rgb="FFFF0000"/>
          <bgColor rgb="FFFF0000"/>
        </patternFill>
      </fill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bgColor rgb="FFFF7979"/>
        </patternFill>
      </fill>
    </dxf>
    <dxf>
      <fill>
        <patternFill>
          <bgColor rgb="FFFF0000"/>
        </patternFill>
      </fill>
    </dxf>
    <dxf>
      <fill>
        <patternFill patternType="solid">
          <fgColor auto="1"/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 patternType="solid">
          <fgColor auto="1"/>
          <bgColor theme="0"/>
        </patternFill>
      </fill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fill>
        <patternFill>
          <fgColor rgb="FFFF0000"/>
          <bgColor rgb="FFFF0000"/>
        </patternFill>
      </fill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bgColor rgb="FFFF7979"/>
        </patternFill>
      </fill>
    </dxf>
    <dxf>
      <fill>
        <patternFill>
          <bgColor rgb="FFFF0000"/>
        </patternFill>
      </fill>
    </dxf>
    <dxf>
      <font>
        <b/>
        <i val="0"/>
      </font>
    </dxf>
    <dxf>
      <fill>
        <patternFill patternType="solid">
          <fgColor auto="1"/>
          <bgColor theme="0"/>
        </patternFill>
      </fill>
    </dxf>
    <dxf>
      <fill>
        <patternFill>
          <bgColor rgb="FFFF0000"/>
        </patternFill>
      </fill>
    </dxf>
    <dxf>
      <font>
        <b/>
        <i val="0"/>
      </font>
    </dxf>
    <dxf>
      <font>
        <b/>
        <i val="0"/>
      </font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FF7979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kasvi-my.sharepoint.com/personal/rodrigo_alexandre_xmol_com_br/Documents/Farmacogen&#233;tica/Rotina/Controle%20de%20amostras%20DB.xlsx" TargetMode="External"/><Relationship Id="rId1" Type="http://schemas.openxmlformats.org/officeDocument/2006/relationships/externalLinkPath" Target="https://kasvi-my.sharepoint.com/personal/rodrigo_alexandre_xmol_com_br/Documents/Farmacogen&#233;tica/Rotina/Controle%20de%20amostras%20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e DB Patol (antigo obs.)"/>
      <sheetName val="Controle DB Patol"/>
      <sheetName val="Controle DB Mol"/>
      <sheetName val="Controle Mendelics"/>
      <sheetName val="Sheet1"/>
      <sheetName val="Controle Extração"/>
      <sheetName val="EXTRAÇÃO (antigo obs.)"/>
      <sheetName val="Impressão Etiqueta"/>
      <sheetName val="Pendências RT-PCR"/>
      <sheetName val="Pendências NGS"/>
      <sheetName val="Opções de status"/>
      <sheetName val="Controle liberação amostras"/>
      <sheetName val="BI"/>
      <sheetName val="Controle de amostras D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94EF4-376F-4196-AD10-33895006FB21}">
  <dimension ref="A1:BC864"/>
  <sheetViews>
    <sheetView zoomScale="115" zoomScaleNormal="115" workbookViewId="0">
      <selection activeCell="E14" sqref="E14"/>
    </sheetView>
  </sheetViews>
  <sheetFormatPr defaultRowHeight="15" x14ac:dyDescent="0.25"/>
  <cols>
    <col min="1" max="1" width="16.28515625" bestFit="1" customWidth="1"/>
    <col min="2" max="2" width="13.28515625" bestFit="1" customWidth="1"/>
    <col min="3" max="3" width="13.42578125" bestFit="1" customWidth="1"/>
    <col min="4" max="4" width="5.7109375" bestFit="1" customWidth="1"/>
    <col min="5" max="5" width="6.28515625" bestFit="1" customWidth="1"/>
    <col min="6" max="7" width="3.140625" bestFit="1" customWidth="1"/>
    <col min="8" max="8" width="16.42578125" customWidth="1"/>
    <col min="9" max="9" width="4.42578125" bestFit="1" customWidth="1"/>
    <col min="10" max="14" width="3.140625" bestFit="1" customWidth="1"/>
    <col min="15" max="15" width="7" bestFit="1" customWidth="1"/>
    <col min="16" max="16" width="2.28515625" bestFit="1" customWidth="1"/>
    <col min="17" max="17" width="4.28515625" bestFit="1" customWidth="1"/>
    <col min="18" max="18" width="28" customWidth="1"/>
    <col min="19" max="19" width="13.7109375" bestFit="1" customWidth="1"/>
    <col min="20" max="20" width="12.42578125" bestFit="1" customWidth="1"/>
    <col min="21" max="21" width="14" bestFit="1" customWidth="1"/>
    <col min="23" max="23" width="14.140625" bestFit="1" customWidth="1"/>
    <col min="25" max="25" width="11.5703125" bestFit="1" customWidth="1"/>
    <col min="28" max="28" width="18.140625" bestFit="1" customWidth="1"/>
    <col min="29" max="29" width="11.140625" customWidth="1"/>
    <col min="37" max="37" width="19.28515625" customWidth="1"/>
    <col min="38" max="38" width="18.140625" bestFit="1" customWidth="1"/>
    <col min="41" max="41" width="13.42578125" customWidth="1"/>
    <col min="42" max="42" width="28.7109375" bestFit="1" customWidth="1"/>
    <col min="43" max="47" width="13.42578125" customWidth="1"/>
    <col min="49" max="49" width="18.140625" bestFit="1" customWidth="1"/>
    <col min="50" max="50" width="24.42578125" bestFit="1" customWidth="1"/>
    <col min="51" max="51" width="24.42578125" customWidth="1"/>
    <col min="52" max="53" width="23" customWidth="1"/>
    <col min="54" max="54" width="25.7109375" customWidth="1"/>
    <col min="55" max="55" width="19.5703125" bestFit="1" customWidth="1"/>
  </cols>
  <sheetData>
    <row r="1" spans="1:55" x14ac:dyDescent="0.25">
      <c r="H1" s="10" t="s">
        <v>77</v>
      </c>
      <c r="O1" t="s">
        <v>78</v>
      </c>
      <c r="P1" t="s">
        <v>79</v>
      </c>
      <c r="Q1" t="s">
        <v>80</v>
      </c>
      <c r="R1" t="str">
        <f t="shared" ref="R1:R64" si="0">O1&amp;P1&amp;Q1</f>
        <v>FocusAA01</v>
      </c>
      <c r="S1">
        <v>7005</v>
      </c>
      <c r="T1" t="s">
        <v>81</v>
      </c>
      <c r="U1">
        <v>5001</v>
      </c>
      <c r="V1" t="s">
        <v>82</v>
      </c>
      <c r="Y1" t="s">
        <v>83</v>
      </c>
      <c r="Z1">
        <v>0.3</v>
      </c>
      <c r="AB1" t="s">
        <v>84</v>
      </c>
      <c r="AC1">
        <v>0.105</v>
      </c>
      <c r="AE1" t="s">
        <v>50</v>
      </c>
      <c r="AF1">
        <v>600</v>
      </c>
      <c r="AK1" t="s">
        <v>85</v>
      </c>
      <c r="AO1" t="s">
        <v>2226</v>
      </c>
      <c r="AU1" t="s">
        <v>2244</v>
      </c>
      <c r="AW1" t="s">
        <v>2243</v>
      </c>
      <c r="AX1" t="s">
        <v>2237</v>
      </c>
      <c r="AY1" t="s">
        <v>2246</v>
      </c>
      <c r="AZ1" t="s">
        <v>2238</v>
      </c>
      <c r="BA1" t="s">
        <v>2246</v>
      </c>
      <c r="BB1" t="s">
        <v>2230</v>
      </c>
      <c r="BC1" t="s">
        <v>2231</v>
      </c>
    </row>
    <row r="2" spans="1:55" x14ac:dyDescent="0.25">
      <c r="H2">
        <v>1</v>
      </c>
      <c r="I2" t="s">
        <v>80</v>
      </c>
      <c r="O2" t="s">
        <v>78</v>
      </c>
      <c r="P2" t="s">
        <v>79</v>
      </c>
      <c r="Q2" t="s">
        <v>86</v>
      </c>
      <c r="R2" t="str">
        <f t="shared" si="0"/>
        <v>FocusAB01</v>
      </c>
      <c r="S2">
        <v>7006</v>
      </c>
      <c r="T2" t="s">
        <v>87</v>
      </c>
      <c r="U2">
        <v>5002</v>
      </c>
      <c r="V2" t="s">
        <v>88</v>
      </c>
      <c r="Y2" t="s">
        <v>89</v>
      </c>
      <c r="Z2">
        <v>1.2</v>
      </c>
      <c r="AB2" t="s">
        <v>90</v>
      </c>
      <c r="AC2">
        <v>4.4999999999999998E-2</v>
      </c>
      <c r="AE2" t="s">
        <v>91</v>
      </c>
      <c r="AF2">
        <v>20</v>
      </c>
      <c r="AI2" s="9"/>
      <c r="AJ2" s="9"/>
      <c r="AK2" s="9" t="s">
        <v>92</v>
      </c>
      <c r="AL2" t="s">
        <v>93</v>
      </c>
      <c r="AO2" t="s">
        <v>2227</v>
      </c>
      <c r="AP2" t="s">
        <v>2234</v>
      </c>
      <c r="AU2" t="s">
        <v>2241</v>
      </c>
      <c r="AW2" t="s">
        <v>93</v>
      </c>
      <c r="AX2" t="s">
        <v>2235</v>
      </c>
      <c r="AY2" t="s">
        <v>2249</v>
      </c>
      <c r="AZ2" t="s">
        <v>2239</v>
      </c>
      <c r="BA2" t="s">
        <v>2248</v>
      </c>
      <c r="BB2" t="s">
        <v>2232</v>
      </c>
      <c r="BC2" t="s">
        <v>2229</v>
      </c>
    </row>
    <row r="3" spans="1:55" x14ac:dyDescent="0.25">
      <c r="H3">
        <v>2</v>
      </c>
      <c r="I3" t="s">
        <v>86</v>
      </c>
      <c r="O3" t="s">
        <v>78</v>
      </c>
      <c r="P3" t="s">
        <v>79</v>
      </c>
      <c r="Q3" t="s">
        <v>94</v>
      </c>
      <c r="R3" t="str">
        <f t="shared" si="0"/>
        <v>FocusAC01</v>
      </c>
      <c r="S3">
        <v>7016</v>
      </c>
      <c r="T3" t="s">
        <v>95</v>
      </c>
      <c r="U3">
        <v>5007</v>
      </c>
      <c r="V3" t="s">
        <v>96</v>
      </c>
      <c r="X3" s="9"/>
      <c r="Y3" t="s">
        <v>97</v>
      </c>
      <c r="Z3">
        <v>4.5</v>
      </c>
      <c r="AB3" t="s">
        <v>93</v>
      </c>
      <c r="AC3" s="129">
        <v>2.3814710000000006E-2</v>
      </c>
      <c r="AE3" t="s">
        <v>98</v>
      </c>
      <c r="AF3">
        <v>500</v>
      </c>
      <c r="AG3" s="9"/>
      <c r="AH3" s="9"/>
      <c r="AI3" s="9"/>
      <c r="AJ3" s="9"/>
      <c r="AK3" s="9" t="s">
        <v>99</v>
      </c>
      <c r="AL3" t="s">
        <v>93</v>
      </c>
      <c r="AO3" t="s">
        <v>2228</v>
      </c>
      <c r="AU3" t="s">
        <v>2242</v>
      </c>
      <c r="AW3" t="s">
        <v>107</v>
      </c>
      <c r="AX3" t="s">
        <v>2235</v>
      </c>
      <c r="AY3" t="s">
        <v>2249</v>
      </c>
      <c r="AZ3" t="s">
        <v>2239</v>
      </c>
      <c r="BA3" t="s">
        <v>2248</v>
      </c>
      <c r="BB3" t="s">
        <v>2233</v>
      </c>
      <c r="BC3" t="s">
        <v>2229</v>
      </c>
    </row>
    <row r="4" spans="1:55" x14ac:dyDescent="0.25">
      <c r="B4" s="1" t="s">
        <v>100</v>
      </c>
      <c r="C4" s="1" t="s">
        <v>101</v>
      </c>
      <c r="D4" s="1" t="s">
        <v>102</v>
      </c>
      <c r="H4">
        <v>3</v>
      </c>
      <c r="I4" t="s">
        <v>94</v>
      </c>
      <c r="O4" t="s">
        <v>78</v>
      </c>
      <c r="P4" t="s">
        <v>79</v>
      </c>
      <c r="Q4" t="s">
        <v>103</v>
      </c>
      <c r="R4" t="str">
        <f t="shared" si="0"/>
        <v>FocusAD01</v>
      </c>
      <c r="S4">
        <v>7015</v>
      </c>
      <c r="T4" t="s">
        <v>104</v>
      </c>
      <c r="U4">
        <v>5008</v>
      </c>
      <c r="V4" t="s">
        <v>105</v>
      </c>
      <c r="Y4" t="s">
        <v>106</v>
      </c>
      <c r="Z4">
        <v>13.2</v>
      </c>
      <c r="AB4" t="s">
        <v>107</v>
      </c>
      <c r="AC4" s="129">
        <v>0.19051768000000005</v>
      </c>
      <c r="AI4" s="9"/>
      <c r="AJ4" s="9"/>
      <c r="AK4" s="9" t="s">
        <v>108</v>
      </c>
      <c r="AL4" t="s">
        <v>93</v>
      </c>
      <c r="AU4" t="s">
        <v>2245</v>
      </c>
      <c r="AW4" t="s">
        <v>112</v>
      </c>
      <c r="AX4" t="s">
        <v>2236</v>
      </c>
      <c r="AY4" t="s">
        <v>2247</v>
      </c>
      <c r="AZ4" t="s">
        <v>2240</v>
      </c>
      <c r="BA4" t="s">
        <v>2249</v>
      </c>
      <c r="BB4" t="s">
        <v>2233</v>
      </c>
      <c r="BC4" t="s">
        <v>2254</v>
      </c>
    </row>
    <row r="5" spans="1:55" x14ac:dyDescent="0.25">
      <c r="A5" s="1" t="s">
        <v>84</v>
      </c>
      <c r="B5" s="2">
        <v>0.83333333333333337</v>
      </c>
      <c r="C5" s="2">
        <v>12</v>
      </c>
      <c r="D5" s="2"/>
      <c r="H5">
        <v>4</v>
      </c>
      <c r="I5" t="s">
        <v>103</v>
      </c>
      <c r="O5" t="s">
        <v>78</v>
      </c>
      <c r="P5" t="s">
        <v>79</v>
      </c>
      <c r="Q5" t="s">
        <v>109</v>
      </c>
      <c r="R5" t="str">
        <f t="shared" si="0"/>
        <v>FocusAE01</v>
      </c>
      <c r="S5">
        <v>7017</v>
      </c>
      <c r="T5" t="s">
        <v>110</v>
      </c>
      <c r="U5">
        <v>5009</v>
      </c>
      <c r="V5" t="s">
        <v>111</v>
      </c>
      <c r="Y5" t="s">
        <v>59</v>
      </c>
      <c r="Z5">
        <v>2.1</v>
      </c>
      <c r="AB5" t="s">
        <v>112</v>
      </c>
      <c r="AC5" s="129">
        <v>0.11289600000000001</v>
      </c>
      <c r="AI5" s="9"/>
      <c r="AJ5" s="9"/>
      <c r="AK5" s="9" t="s">
        <v>113</v>
      </c>
      <c r="AL5" t="s">
        <v>93</v>
      </c>
      <c r="AW5" t="s">
        <v>118</v>
      </c>
      <c r="AX5" t="s">
        <v>2236</v>
      </c>
      <c r="AY5" t="s">
        <v>2247</v>
      </c>
      <c r="AZ5" t="s">
        <v>2240</v>
      </c>
      <c r="BA5" t="s">
        <v>2249</v>
      </c>
      <c r="BB5" t="s">
        <v>2233</v>
      </c>
      <c r="BC5" t="s">
        <v>2254</v>
      </c>
    </row>
    <row r="6" spans="1:55" x14ac:dyDescent="0.25">
      <c r="A6" s="1" t="s">
        <v>90</v>
      </c>
      <c r="B6" s="2">
        <f>15/C6</f>
        <v>2.1428571428571428</v>
      </c>
      <c r="C6" s="2">
        <v>7</v>
      </c>
      <c r="D6" s="2"/>
      <c r="H6">
        <v>5</v>
      </c>
      <c r="I6" t="s">
        <v>109</v>
      </c>
      <c r="O6" t="s">
        <v>78</v>
      </c>
      <c r="P6" t="s">
        <v>79</v>
      </c>
      <c r="Q6" t="s">
        <v>114</v>
      </c>
      <c r="R6" t="str">
        <f t="shared" si="0"/>
        <v>FocusAF01</v>
      </c>
      <c r="S6">
        <v>7018</v>
      </c>
      <c r="T6" t="s">
        <v>115</v>
      </c>
      <c r="U6">
        <v>5010</v>
      </c>
      <c r="V6" t="s">
        <v>116</v>
      </c>
      <c r="Y6" t="s">
        <v>117</v>
      </c>
      <c r="Z6">
        <v>1.2</v>
      </c>
      <c r="AB6" t="s">
        <v>118</v>
      </c>
      <c r="AC6" s="129">
        <v>0.11289600000000001</v>
      </c>
      <c r="AI6" s="9"/>
      <c r="AJ6" s="9"/>
      <c r="AK6" s="9" t="s">
        <v>119</v>
      </c>
      <c r="AL6" t="s">
        <v>93</v>
      </c>
      <c r="AW6" t="s">
        <v>123</v>
      </c>
      <c r="AX6" t="s">
        <v>2236</v>
      </c>
      <c r="AY6" t="s">
        <v>2247</v>
      </c>
      <c r="AZ6" t="s">
        <v>2240</v>
      </c>
      <c r="BA6" t="s">
        <v>2249</v>
      </c>
      <c r="BB6" t="s">
        <v>2233</v>
      </c>
      <c r="BC6" t="s">
        <v>2254</v>
      </c>
    </row>
    <row r="7" spans="1:55" x14ac:dyDescent="0.25">
      <c r="A7" s="3" t="s">
        <v>93</v>
      </c>
      <c r="B7" s="2">
        <f>60/C7</f>
        <v>6.1224489795918364</v>
      </c>
      <c r="C7" s="2">
        <v>9.8000000000000007</v>
      </c>
      <c r="D7" s="2">
        <v>27</v>
      </c>
      <c r="H7">
        <v>6</v>
      </c>
      <c r="I7" t="s">
        <v>114</v>
      </c>
      <c r="O7" t="s">
        <v>78</v>
      </c>
      <c r="P7" t="s">
        <v>79</v>
      </c>
      <c r="Q7" t="s">
        <v>120</v>
      </c>
      <c r="R7" t="str">
        <f t="shared" si="0"/>
        <v>FocusAG01</v>
      </c>
      <c r="S7">
        <v>7026</v>
      </c>
      <c r="T7" t="s">
        <v>121</v>
      </c>
      <c r="U7">
        <v>5013</v>
      </c>
      <c r="V7" t="s">
        <v>122</v>
      </c>
      <c r="AB7" t="s">
        <v>123</v>
      </c>
      <c r="AC7" s="129">
        <v>0.11289600000000001</v>
      </c>
      <c r="AI7" s="9"/>
      <c r="AJ7" s="9"/>
      <c r="AK7" s="9" t="s">
        <v>124</v>
      </c>
      <c r="AL7" t="s">
        <v>93</v>
      </c>
      <c r="AW7" t="s">
        <v>84</v>
      </c>
      <c r="AX7" t="s">
        <v>2250</v>
      </c>
      <c r="AY7" t="s">
        <v>2253</v>
      </c>
      <c r="AZ7" t="s">
        <v>2251</v>
      </c>
      <c r="BA7" t="s">
        <v>2248</v>
      </c>
      <c r="BB7" t="s">
        <v>2233</v>
      </c>
      <c r="BC7" t="s">
        <v>2254</v>
      </c>
    </row>
    <row r="8" spans="1:55" x14ac:dyDescent="0.25">
      <c r="A8" s="3" t="s">
        <v>107</v>
      </c>
      <c r="B8" s="2">
        <f>100/C8</f>
        <v>11.111111111111111</v>
      </c>
      <c r="C8" s="2">
        <v>9</v>
      </c>
      <c r="D8" s="2">
        <v>30</v>
      </c>
      <c r="H8">
        <v>7</v>
      </c>
      <c r="I8" t="s">
        <v>120</v>
      </c>
      <c r="O8" t="s">
        <v>78</v>
      </c>
      <c r="P8" t="s">
        <v>79</v>
      </c>
      <c r="Q8" t="s">
        <v>125</v>
      </c>
      <c r="R8" t="str">
        <f t="shared" si="0"/>
        <v>FocusAH01</v>
      </c>
      <c r="S8">
        <v>7025</v>
      </c>
      <c r="T8" t="s">
        <v>126</v>
      </c>
      <c r="U8">
        <v>5014</v>
      </c>
      <c r="V8" t="s">
        <v>127</v>
      </c>
      <c r="AI8" s="9"/>
      <c r="AJ8" s="9"/>
      <c r="AK8" s="9" t="s">
        <v>128</v>
      </c>
      <c r="AL8" t="s">
        <v>90</v>
      </c>
      <c r="AM8" s="9"/>
      <c r="AW8" t="s">
        <v>90</v>
      </c>
      <c r="AX8" t="s">
        <v>2252</v>
      </c>
      <c r="AY8" t="s">
        <v>2253</v>
      </c>
      <c r="BB8" t="s">
        <v>2233</v>
      </c>
      <c r="BC8" t="s">
        <v>2254</v>
      </c>
    </row>
    <row r="9" spans="1:55" x14ac:dyDescent="0.25">
      <c r="A9" s="3" t="s">
        <v>112</v>
      </c>
      <c r="B9" s="2">
        <f>100/C9</f>
        <v>11.111111111111111</v>
      </c>
      <c r="C9" s="2">
        <v>9</v>
      </c>
      <c r="D9" s="2">
        <v>32</v>
      </c>
      <c r="H9">
        <v>8</v>
      </c>
      <c r="I9" t="s">
        <v>125</v>
      </c>
      <c r="O9" t="s">
        <v>78</v>
      </c>
      <c r="P9" t="s">
        <v>79</v>
      </c>
      <c r="Q9" t="s">
        <v>129</v>
      </c>
      <c r="R9" t="str">
        <f t="shared" si="0"/>
        <v>FocusAA02</v>
      </c>
      <c r="S9">
        <v>7015</v>
      </c>
      <c r="T9" t="s">
        <v>104</v>
      </c>
      <c r="U9">
        <v>5002</v>
      </c>
      <c r="V9" t="s">
        <v>88</v>
      </c>
      <c r="AI9" s="9"/>
      <c r="AJ9" s="9"/>
      <c r="AK9" s="9" t="s">
        <v>130</v>
      </c>
      <c r="AL9" t="s">
        <v>131</v>
      </c>
      <c r="AM9" s="9"/>
    </row>
    <row r="10" spans="1:55" x14ac:dyDescent="0.25">
      <c r="A10" s="3" t="s">
        <v>118</v>
      </c>
      <c r="B10" s="2">
        <f>60/C10</f>
        <v>7.1428571428571423</v>
      </c>
      <c r="C10" s="2">
        <v>8.4</v>
      </c>
      <c r="D10" s="2">
        <v>32</v>
      </c>
      <c r="H10">
        <v>9</v>
      </c>
      <c r="I10" t="s">
        <v>129</v>
      </c>
      <c r="O10" t="s">
        <v>78</v>
      </c>
      <c r="P10" t="s">
        <v>79</v>
      </c>
      <c r="Q10" t="s">
        <v>132</v>
      </c>
      <c r="R10" t="str">
        <f t="shared" si="0"/>
        <v>FocusAB02</v>
      </c>
      <c r="S10">
        <v>7016</v>
      </c>
      <c r="T10" t="s">
        <v>95</v>
      </c>
      <c r="U10">
        <v>5001</v>
      </c>
      <c r="V10" t="s">
        <v>82</v>
      </c>
      <c r="AI10" s="9"/>
      <c r="AJ10" s="9"/>
      <c r="AK10" s="9" t="s">
        <v>133</v>
      </c>
      <c r="AL10" t="s">
        <v>112</v>
      </c>
      <c r="AM10" s="9"/>
    </row>
    <row r="11" spans="1:55" x14ac:dyDescent="0.25">
      <c r="A11" s="3" t="s">
        <v>123</v>
      </c>
      <c r="B11" s="2">
        <f>60/C11</f>
        <v>6.1224489795918364</v>
      </c>
      <c r="C11" s="2">
        <v>9.8000000000000007</v>
      </c>
      <c r="D11" s="2">
        <v>29</v>
      </c>
      <c r="H11">
        <v>10</v>
      </c>
      <c r="I11" t="s">
        <v>132</v>
      </c>
      <c r="O11" t="s">
        <v>78</v>
      </c>
      <c r="P11" t="s">
        <v>79</v>
      </c>
      <c r="Q11" t="s">
        <v>134</v>
      </c>
      <c r="R11" t="str">
        <f t="shared" si="0"/>
        <v>FocusAC02</v>
      </c>
      <c r="S11">
        <v>7008</v>
      </c>
      <c r="T11" t="s">
        <v>135</v>
      </c>
      <c r="U11">
        <v>5008</v>
      </c>
      <c r="V11" t="s">
        <v>105</v>
      </c>
      <c r="AI11" s="9"/>
      <c r="AJ11" s="9"/>
      <c r="AK11" s="9" t="s">
        <v>136</v>
      </c>
      <c r="AL11" t="s">
        <v>112</v>
      </c>
      <c r="AM11" s="9"/>
    </row>
    <row r="12" spans="1:55" x14ac:dyDescent="0.25">
      <c r="H12">
        <v>11</v>
      </c>
      <c r="I12" t="s">
        <v>134</v>
      </c>
      <c r="O12" t="s">
        <v>78</v>
      </c>
      <c r="P12" t="s">
        <v>79</v>
      </c>
      <c r="Q12" t="s">
        <v>137</v>
      </c>
      <c r="R12" t="str">
        <f t="shared" si="0"/>
        <v>FocusAD02</v>
      </c>
      <c r="S12">
        <v>7007</v>
      </c>
      <c r="T12" t="s">
        <v>138</v>
      </c>
      <c r="U12">
        <v>5007</v>
      </c>
      <c r="V12" t="s">
        <v>96</v>
      </c>
      <c r="AI12" s="9"/>
      <c r="AJ12" s="9"/>
      <c r="AK12" s="9" t="s">
        <v>139</v>
      </c>
      <c r="AL12" t="s">
        <v>112</v>
      </c>
      <c r="AM12" s="9"/>
    </row>
    <row r="13" spans="1:55" x14ac:dyDescent="0.25">
      <c r="H13">
        <v>12</v>
      </c>
      <c r="I13" t="s">
        <v>137</v>
      </c>
      <c r="O13" t="s">
        <v>78</v>
      </c>
      <c r="P13" t="s">
        <v>79</v>
      </c>
      <c r="Q13" t="s">
        <v>140</v>
      </c>
      <c r="R13" t="str">
        <f t="shared" si="0"/>
        <v>FocusAE02</v>
      </c>
      <c r="S13">
        <v>7025</v>
      </c>
      <c r="T13" t="s">
        <v>126</v>
      </c>
      <c r="U13">
        <v>5010</v>
      </c>
      <c r="V13" t="s">
        <v>116</v>
      </c>
      <c r="AI13" s="9"/>
      <c r="AJ13" s="9"/>
      <c r="AK13" s="9" t="s">
        <v>141</v>
      </c>
      <c r="AL13" t="s">
        <v>112</v>
      </c>
      <c r="AM13" s="9"/>
    </row>
    <row r="14" spans="1:55" x14ac:dyDescent="0.25">
      <c r="H14">
        <v>13</v>
      </c>
      <c r="I14" t="s">
        <v>140</v>
      </c>
      <c r="O14" t="s">
        <v>78</v>
      </c>
      <c r="P14" t="s">
        <v>79</v>
      </c>
      <c r="Q14" t="s">
        <v>142</v>
      </c>
      <c r="R14" t="str">
        <f t="shared" si="0"/>
        <v>FocusAF02</v>
      </c>
      <c r="S14">
        <v>7026</v>
      </c>
      <c r="T14" t="s">
        <v>121</v>
      </c>
      <c r="U14">
        <v>5009</v>
      </c>
      <c r="V14" t="s">
        <v>111</v>
      </c>
      <c r="AK14" t="s">
        <v>143</v>
      </c>
      <c r="AL14" t="s">
        <v>112</v>
      </c>
      <c r="AM14" s="9"/>
    </row>
    <row r="15" spans="1:55" x14ac:dyDescent="0.25">
      <c r="H15">
        <v>14</v>
      </c>
      <c r="I15" t="s">
        <v>142</v>
      </c>
      <c r="O15" t="s">
        <v>78</v>
      </c>
      <c r="P15" t="s">
        <v>79</v>
      </c>
      <c r="Q15" t="s">
        <v>144</v>
      </c>
      <c r="R15" t="str">
        <f t="shared" si="0"/>
        <v>FocusAG02</v>
      </c>
      <c r="S15">
        <v>7024</v>
      </c>
      <c r="T15" t="s">
        <v>145</v>
      </c>
      <c r="U15">
        <v>5014</v>
      </c>
      <c r="V15" t="s">
        <v>127</v>
      </c>
      <c r="AK15" t="s">
        <v>146</v>
      </c>
      <c r="AL15" t="s">
        <v>112</v>
      </c>
      <c r="AM15" s="9"/>
    </row>
    <row r="16" spans="1:55" x14ac:dyDescent="0.25">
      <c r="A16" t="s">
        <v>147</v>
      </c>
      <c r="B16" t="s">
        <v>79</v>
      </c>
      <c r="H16">
        <v>15</v>
      </c>
      <c r="I16" t="s">
        <v>144</v>
      </c>
      <c r="O16" t="s">
        <v>78</v>
      </c>
      <c r="P16" t="s">
        <v>79</v>
      </c>
      <c r="Q16" t="s">
        <v>148</v>
      </c>
      <c r="R16" t="str">
        <f t="shared" si="0"/>
        <v>FocusAH02</v>
      </c>
      <c r="S16">
        <v>7023</v>
      </c>
      <c r="T16" t="s">
        <v>149</v>
      </c>
      <c r="U16">
        <v>5013</v>
      </c>
      <c r="V16" t="s">
        <v>122</v>
      </c>
      <c r="AK16" t="s">
        <v>150</v>
      </c>
      <c r="AL16" t="s">
        <v>112</v>
      </c>
      <c r="AM16" s="9"/>
    </row>
    <row r="17" spans="1:39" x14ac:dyDescent="0.25">
      <c r="A17" t="s">
        <v>151</v>
      </c>
      <c r="B17" t="s">
        <v>152</v>
      </c>
      <c r="H17">
        <v>16</v>
      </c>
      <c r="I17" t="s">
        <v>148</v>
      </c>
      <c r="O17" t="s">
        <v>78</v>
      </c>
      <c r="P17" t="s">
        <v>79</v>
      </c>
      <c r="Q17" t="s">
        <v>153</v>
      </c>
      <c r="R17" t="str">
        <f t="shared" si="0"/>
        <v>FocusAA03</v>
      </c>
      <c r="S17">
        <v>7006</v>
      </c>
      <c r="T17" t="s">
        <v>87</v>
      </c>
      <c r="U17">
        <v>5007</v>
      </c>
      <c r="V17" t="s">
        <v>96</v>
      </c>
      <c r="AK17" t="s">
        <v>154</v>
      </c>
      <c r="AL17" t="s">
        <v>112</v>
      </c>
      <c r="AM17" s="9"/>
    </row>
    <row r="18" spans="1:39" x14ac:dyDescent="0.25">
      <c r="A18" t="s">
        <v>155</v>
      </c>
      <c r="B18" t="s">
        <v>156</v>
      </c>
      <c r="H18">
        <v>17</v>
      </c>
      <c r="I18" t="s">
        <v>153</v>
      </c>
      <c r="O18" t="s">
        <v>78</v>
      </c>
      <c r="P18" t="s">
        <v>79</v>
      </c>
      <c r="Q18" t="s">
        <v>157</v>
      </c>
      <c r="R18" t="str">
        <f t="shared" si="0"/>
        <v>FocusAB03</v>
      </c>
      <c r="S18">
        <v>7005</v>
      </c>
      <c r="T18" t="s">
        <v>81</v>
      </c>
      <c r="U18">
        <v>5008</v>
      </c>
      <c r="V18" t="s">
        <v>105</v>
      </c>
      <c r="AK18" t="s">
        <v>158</v>
      </c>
      <c r="AL18" t="s">
        <v>107</v>
      </c>
      <c r="AM18" s="9"/>
    </row>
    <row r="19" spans="1:39" x14ac:dyDescent="0.25">
      <c r="A19" t="s">
        <v>159</v>
      </c>
      <c r="B19" t="s">
        <v>160</v>
      </c>
      <c r="H19">
        <v>18</v>
      </c>
      <c r="I19" t="s">
        <v>157</v>
      </c>
      <c r="O19" t="s">
        <v>78</v>
      </c>
      <c r="P19" t="s">
        <v>79</v>
      </c>
      <c r="Q19" t="s">
        <v>161</v>
      </c>
      <c r="R19" t="str">
        <f t="shared" si="0"/>
        <v>FocusAC03</v>
      </c>
      <c r="S19">
        <v>7015</v>
      </c>
      <c r="T19" t="s">
        <v>104</v>
      </c>
      <c r="U19">
        <v>5009</v>
      </c>
      <c r="V19" t="s">
        <v>111</v>
      </c>
      <c r="AM19" s="9"/>
    </row>
    <row r="20" spans="1:39" x14ac:dyDescent="0.25">
      <c r="H20">
        <v>19</v>
      </c>
      <c r="I20" t="s">
        <v>161</v>
      </c>
      <c r="O20" t="s">
        <v>78</v>
      </c>
      <c r="P20" t="s">
        <v>79</v>
      </c>
      <c r="Q20" t="s">
        <v>162</v>
      </c>
      <c r="R20" t="str">
        <f t="shared" si="0"/>
        <v>FocusAD03</v>
      </c>
      <c r="S20">
        <v>7016</v>
      </c>
      <c r="T20" t="s">
        <v>95</v>
      </c>
      <c r="U20">
        <v>5010</v>
      </c>
      <c r="V20" t="s">
        <v>116</v>
      </c>
      <c r="AM20" s="9"/>
    </row>
    <row r="21" spans="1:39" x14ac:dyDescent="0.25">
      <c r="H21">
        <v>20</v>
      </c>
      <c r="I21" t="s">
        <v>162</v>
      </c>
      <c r="O21" t="s">
        <v>78</v>
      </c>
      <c r="P21" t="s">
        <v>79</v>
      </c>
      <c r="Q21" t="s">
        <v>163</v>
      </c>
      <c r="R21" t="str">
        <f t="shared" si="0"/>
        <v>FocusAE03</v>
      </c>
      <c r="S21">
        <v>7018</v>
      </c>
      <c r="T21" t="s">
        <v>115</v>
      </c>
      <c r="U21">
        <v>5013</v>
      </c>
      <c r="V21" t="s">
        <v>122</v>
      </c>
      <c r="AM21" s="9"/>
    </row>
    <row r="22" spans="1:39" x14ac:dyDescent="0.25">
      <c r="H22">
        <v>21</v>
      </c>
      <c r="I22" t="s">
        <v>163</v>
      </c>
      <c r="O22" t="s">
        <v>78</v>
      </c>
      <c r="P22" t="s">
        <v>79</v>
      </c>
      <c r="Q22" t="s">
        <v>164</v>
      </c>
      <c r="R22" t="str">
        <f t="shared" si="0"/>
        <v>FocusAF03</v>
      </c>
      <c r="S22">
        <v>7017</v>
      </c>
      <c r="T22" t="s">
        <v>110</v>
      </c>
      <c r="U22">
        <v>5014</v>
      </c>
      <c r="V22" t="s">
        <v>127</v>
      </c>
      <c r="AM22" s="9"/>
    </row>
    <row r="23" spans="1:39" x14ac:dyDescent="0.25">
      <c r="H23">
        <v>22</v>
      </c>
      <c r="I23" t="s">
        <v>164</v>
      </c>
      <c r="O23" t="s">
        <v>78</v>
      </c>
      <c r="P23" t="s">
        <v>79</v>
      </c>
      <c r="Q23" t="s">
        <v>165</v>
      </c>
      <c r="R23" t="str">
        <f t="shared" si="0"/>
        <v>FocusAG03</v>
      </c>
      <c r="S23">
        <v>7025</v>
      </c>
      <c r="T23" t="s">
        <v>126</v>
      </c>
      <c r="U23">
        <v>5001</v>
      </c>
      <c r="V23" t="s">
        <v>82</v>
      </c>
    </row>
    <row r="24" spans="1:39" x14ac:dyDescent="0.25">
      <c r="H24">
        <v>23</v>
      </c>
      <c r="I24" t="s">
        <v>165</v>
      </c>
      <c r="O24" t="s">
        <v>78</v>
      </c>
      <c r="P24" t="s">
        <v>79</v>
      </c>
      <c r="Q24" t="s">
        <v>166</v>
      </c>
      <c r="R24" t="str">
        <f t="shared" si="0"/>
        <v>FocusAH03</v>
      </c>
      <c r="S24">
        <v>7026</v>
      </c>
      <c r="T24" t="s">
        <v>121</v>
      </c>
      <c r="U24">
        <v>5002</v>
      </c>
      <c r="V24" t="s">
        <v>88</v>
      </c>
    </row>
    <row r="25" spans="1:39" x14ac:dyDescent="0.25">
      <c r="H25">
        <v>24</v>
      </c>
      <c r="I25" t="s">
        <v>166</v>
      </c>
      <c r="O25" t="s">
        <v>78</v>
      </c>
      <c r="P25" t="s">
        <v>79</v>
      </c>
      <c r="Q25" t="s">
        <v>167</v>
      </c>
      <c r="R25" t="str">
        <f t="shared" si="0"/>
        <v>FocusAA04</v>
      </c>
      <c r="S25">
        <v>7007</v>
      </c>
      <c r="T25" t="s">
        <v>138</v>
      </c>
      <c r="U25">
        <v>5008</v>
      </c>
      <c r="V25" t="s">
        <v>105</v>
      </c>
    </row>
    <row r="26" spans="1:39" x14ac:dyDescent="0.25">
      <c r="H26">
        <v>25</v>
      </c>
      <c r="I26" t="s">
        <v>167</v>
      </c>
      <c r="O26" t="s">
        <v>78</v>
      </c>
      <c r="P26" t="s">
        <v>79</v>
      </c>
      <c r="Q26" t="s">
        <v>168</v>
      </c>
      <c r="R26" t="str">
        <f t="shared" si="0"/>
        <v>FocusAB04</v>
      </c>
      <c r="S26">
        <v>7008</v>
      </c>
      <c r="T26" t="s">
        <v>135</v>
      </c>
      <c r="U26">
        <v>5007</v>
      </c>
      <c r="V26" t="s">
        <v>96</v>
      </c>
    </row>
    <row r="27" spans="1:39" x14ac:dyDescent="0.25">
      <c r="H27">
        <v>26</v>
      </c>
      <c r="I27" t="s">
        <v>168</v>
      </c>
      <c r="O27" t="s">
        <v>78</v>
      </c>
      <c r="P27" t="s">
        <v>79</v>
      </c>
      <c r="Q27" t="s">
        <v>169</v>
      </c>
      <c r="R27" t="str">
        <f t="shared" si="0"/>
        <v>FocusAC04</v>
      </c>
      <c r="S27">
        <v>7006</v>
      </c>
      <c r="T27" t="s">
        <v>87</v>
      </c>
      <c r="U27">
        <v>5010</v>
      </c>
      <c r="V27" t="s">
        <v>116</v>
      </c>
    </row>
    <row r="28" spans="1:39" x14ac:dyDescent="0.25">
      <c r="A28" t="s">
        <v>170</v>
      </c>
      <c r="B28" t="s">
        <v>171</v>
      </c>
      <c r="C28" t="s">
        <v>172</v>
      </c>
      <c r="H28">
        <v>27</v>
      </c>
      <c r="I28" t="s">
        <v>169</v>
      </c>
      <c r="O28" t="s">
        <v>78</v>
      </c>
      <c r="P28" t="s">
        <v>79</v>
      </c>
      <c r="Q28" t="s">
        <v>173</v>
      </c>
      <c r="R28" t="str">
        <f t="shared" si="0"/>
        <v>FocusAD04</v>
      </c>
      <c r="S28">
        <v>7005</v>
      </c>
      <c r="T28" t="s">
        <v>81</v>
      </c>
      <c r="U28">
        <v>5009</v>
      </c>
      <c r="V28" t="s">
        <v>111</v>
      </c>
    </row>
    <row r="29" spans="1:39" x14ac:dyDescent="0.25">
      <c r="A29">
        <v>0</v>
      </c>
      <c r="B29">
        <v>1</v>
      </c>
      <c r="C29">
        <v>0</v>
      </c>
      <c r="H29">
        <v>28</v>
      </c>
      <c r="I29" t="s">
        <v>173</v>
      </c>
      <c r="O29" t="s">
        <v>78</v>
      </c>
      <c r="P29" t="s">
        <v>79</v>
      </c>
      <c r="Q29" t="s">
        <v>174</v>
      </c>
      <c r="R29" t="str">
        <f t="shared" si="0"/>
        <v>FocusAE04</v>
      </c>
      <c r="S29">
        <v>7023</v>
      </c>
      <c r="T29" t="s">
        <v>149</v>
      </c>
      <c r="U29">
        <v>5014</v>
      </c>
      <c r="V29" t="s">
        <v>127</v>
      </c>
    </row>
    <row r="30" spans="1:39" x14ac:dyDescent="0.25">
      <c r="A30">
        <v>2</v>
      </c>
      <c r="B30">
        <v>5</v>
      </c>
      <c r="C30">
        <v>0.5</v>
      </c>
      <c r="H30">
        <v>29</v>
      </c>
      <c r="I30" t="s">
        <v>174</v>
      </c>
      <c r="O30" t="s">
        <v>78</v>
      </c>
      <c r="P30" t="s">
        <v>79</v>
      </c>
      <c r="Q30" t="s">
        <v>175</v>
      </c>
      <c r="R30" t="str">
        <f t="shared" si="0"/>
        <v>FocusAF04</v>
      </c>
      <c r="S30">
        <v>7024</v>
      </c>
      <c r="T30" t="s">
        <v>145</v>
      </c>
      <c r="U30">
        <v>5013</v>
      </c>
      <c r="V30" t="s">
        <v>122</v>
      </c>
    </row>
    <row r="31" spans="1:39" x14ac:dyDescent="0.25">
      <c r="A31">
        <v>6</v>
      </c>
      <c r="B31">
        <v>16</v>
      </c>
      <c r="C31">
        <v>1</v>
      </c>
      <c r="H31">
        <v>30</v>
      </c>
      <c r="I31" t="s">
        <v>175</v>
      </c>
      <c r="O31" t="s">
        <v>78</v>
      </c>
      <c r="P31" t="s">
        <v>79</v>
      </c>
      <c r="Q31" t="s">
        <v>176</v>
      </c>
      <c r="R31" t="str">
        <f t="shared" si="0"/>
        <v>FocusAG04</v>
      </c>
      <c r="S31">
        <v>7018</v>
      </c>
      <c r="T31" t="s">
        <v>115</v>
      </c>
      <c r="U31">
        <v>5002</v>
      </c>
      <c r="V31" t="s">
        <v>88</v>
      </c>
    </row>
    <row r="32" spans="1:39" x14ac:dyDescent="0.25">
      <c r="A32">
        <v>17</v>
      </c>
      <c r="B32">
        <v>24</v>
      </c>
      <c r="C32">
        <v>1.5</v>
      </c>
      <c r="D32" s="19"/>
      <c r="H32">
        <v>31</v>
      </c>
      <c r="I32" t="s">
        <v>176</v>
      </c>
      <c r="O32" t="s">
        <v>78</v>
      </c>
      <c r="P32" t="s">
        <v>79</v>
      </c>
      <c r="Q32" t="s">
        <v>177</v>
      </c>
      <c r="R32" t="str">
        <f t="shared" si="0"/>
        <v>FocusAH04</v>
      </c>
      <c r="S32">
        <v>7017</v>
      </c>
      <c r="T32" t="s">
        <v>110</v>
      </c>
      <c r="U32">
        <v>5001</v>
      </c>
      <c r="V32" t="s">
        <v>82</v>
      </c>
    </row>
    <row r="33" spans="1:22" x14ac:dyDescent="0.25">
      <c r="A33">
        <v>25</v>
      </c>
      <c r="B33">
        <v>32</v>
      </c>
      <c r="C33">
        <v>2</v>
      </c>
      <c r="H33">
        <v>32</v>
      </c>
      <c r="I33" t="s">
        <v>177</v>
      </c>
      <c r="O33" t="s">
        <v>78</v>
      </c>
      <c r="P33" t="s">
        <v>79</v>
      </c>
      <c r="Q33" t="s">
        <v>178</v>
      </c>
      <c r="R33" t="str">
        <f t="shared" si="0"/>
        <v>FocusAA05</v>
      </c>
      <c r="S33">
        <v>7016</v>
      </c>
      <c r="T33" t="s">
        <v>95</v>
      </c>
      <c r="U33">
        <v>5009</v>
      </c>
      <c r="V33" t="s">
        <v>111</v>
      </c>
    </row>
    <row r="34" spans="1:22" x14ac:dyDescent="0.25">
      <c r="H34">
        <v>33</v>
      </c>
      <c r="I34" t="s">
        <v>178</v>
      </c>
      <c r="O34" t="s">
        <v>78</v>
      </c>
      <c r="P34" t="s">
        <v>79</v>
      </c>
      <c r="Q34" t="s">
        <v>179</v>
      </c>
      <c r="R34" t="str">
        <f t="shared" si="0"/>
        <v>FocusAB05</v>
      </c>
      <c r="S34">
        <v>7015</v>
      </c>
      <c r="T34" t="s">
        <v>104</v>
      </c>
      <c r="U34">
        <v>5010</v>
      </c>
      <c r="V34" t="s">
        <v>116</v>
      </c>
    </row>
    <row r="35" spans="1:22" x14ac:dyDescent="0.25">
      <c r="H35">
        <v>34</v>
      </c>
      <c r="I35" t="s">
        <v>179</v>
      </c>
      <c r="O35" t="s">
        <v>78</v>
      </c>
      <c r="P35" t="s">
        <v>79</v>
      </c>
      <c r="Q35" t="s">
        <v>180</v>
      </c>
      <c r="R35" t="str">
        <f t="shared" si="0"/>
        <v>FocusAC05</v>
      </c>
      <c r="S35">
        <v>7007</v>
      </c>
      <c r="T35" t="s">
        <v>138</v>
      </c>
      <c r="U35">
        <v>5013</v>
      </c>
      <c r="V35" t="s">
        <v>122</v>
      </c>
    </row>
    <row r="36" spans="1:22" x14ac:dyDescent="0.25">
      <c r="H36">
        <v>35</v>
      </c>
      <c r="I36" t="s">
        <v>180</v>
      </c>
      <c r="O36" t="s">
        <v>78</v>
      </c>
      <c r="P36" t="s">
        <v>79</v>
      </c>
      <c r="Q36" t="s">
        <v>181</v>
      </c>
      <c r="R36" t="str">
        <f t="shared" si="0"/>
        <v>FocusAD05</v>
      </c>
      <c r="S36">
        <v>7008</v>
      </c>
      <c r="T36" t="s">
        <v>135</v>
      </c>
      <c r="U36">
        <v>5014</v>
      </c>
      <c r="V36" t="s">
        <v>127</v>
      </c>
    </row>
    <row r="37" spans="1:22" x14ac:dyDescent="0.25">
      <c r="B37" s="20" t="s">
        <v>151</v>
      </c>
      <c r="H37">
        <v>36</v>
      </c>
      <c r="I37" t="s">
        <v>181</v>
      </c>
      <c r="O37" t="s">
        <v>78</v>
      </c>
      <c r="P37" t="s">
        <v>79</v>
      </c>
      <c r="Q37" t="s">
        <v>182</v>
      </c>
      <c r="R37" t="str">
        <f t="shared" si="0"/>
        <v>FocusAE05</v>
      </c>
      <c r="S37">
        <v>7026</v>
      </c>
      <c r="T37" t="s">
        <v>121</v>
      </c>
      <c r="U37">
        <v>5001</v>
      </c>
      <c r="V37" t="s">
        <v>82</v>
      </c>
    </row>
    <row r="38" spans="1:22" x14ac:dyDescent="0.25">
      <c r="B38" s="20" t="s">
        <v>183</v>
      </c>
      <c r="C38" s="24">
        <v>2</v>
      </c>
      <c r="H38">
        <v>37</v>
      </c>
      <c r="I38" t="s">
        <v>182</v>
      </c>
      <c r="O38" t="s">
        <v>78</v>
      </c>
      <c r="P38" t="s">
        <v>79</v>
      </c>
      <c r="Q38" t="s">
        <v>184</v>
      </c>
      <c r="R38" t="str">
        <f t="shared" si="0"/>
        <v>FocusAF05</v>
      </c>
      <c r="S38">
        <v>7025</v>
      </c>
      <c r="T38" t="s">
        <v>126</v>
      </c>
      <c r="U38">
        <v>5002</v>
      </c>
      <c r="V38" t="s">
        <v>88</v>
      </c>
    </row>
    <row r="39" spans="1:22" x14ac:dyDescent="0.25">
      <c r="B39" s="20" t="s">
        <v>185</v>
      </c>
      <c r="C39" s="24">
        <v>1</v>
      </c>
      <c r="H39">
        <v>38</v>
      </c>
      <c r="I39" t="s">
        <v>184</v>
      </c>
      <c r="O39" t="s">
        <v>78</v>
      </c>
      <c r="P39" t="s">
        <v>79</v>
      </c>
      <c r="Q39" t="s">
        <v>186</v>
      </c>
      <c r="R39" t="str">
        <f t="shared" si="0"/>
        <v>FocusAG05</v>
      </c>
      <c r="S39">
        <v>7023</v>
      </c>
      <c r="T39" t="s">
        <v>149</v>
      </c>
      <c r="U39">
        <v>5007</v>
      </c>
      <c r="V39" t="s">
        <v>96</v>
      </c>
    </row>
    <row r="40" spans="1:22" x14ac:dyDescent="0.25">
      <c r="B40" s="20" t="s">
        <v>187</v>
      </c>
      <c r="C40" s="24">
        <v>4</v>
      </c>
      <c r="H40">
        <v>39</v>
      </c>
      <c r="I40" t="s">
        <v>186</v>
      </c>
      <c r="O40" t="s">
        <v>78</v>
      </c>
      <c r="P40" t="s">
        <v>79</v>
      </c>
      <c r="Q40" t="s">
        <v>188</v>
      </c>
      <c r="R40" t="str">
        <f t="shared" si="0"/>
        <v>FocusAH05</v>
      </c>
      <c r="S40">
        <v>7024</v>
      </c>
      <c r="T40" t="s">
        <v>145</v>
      </c>
      <c r="U40">
        <v>5008</v>
      </c>
      <c r="V40" t="s">
        <v>105</v>
      </c>
    </row>
    <row r="41" spans="1:22" x14ac:dyDescent="0.25">
      <c r="B41" s="20" t="s">
        <v>189</v>
      </c>
      <c r="C41" s="24">
        <v>4</v>
      </c>
      <c r="H41">
        <v>40</v>
      </c>
      <c r="I41" t="s">
        <v>188</v>
      </c>
      <c r="O41" t="s">
        <v>78</v>
      </c>
      <c r="P41" t="s">
        <v>79</v>
      </c>
      <c r="Q41" t="s">
        <v>190</v>
      </c>
      <c r="R41" t="str">
        <f t="shared" si="0"/>
        <v>FocusAA06</v>
      </c>
      <c r="S41">
        <v>7008</v>
      </c>
      <c r="T41" t="s">
        <v>135</v>
      </c>
      <c r="U41">
        <v>5010</v>
      </c>
      <c r="V41" t="s">
        <v>116</v>
      </c>
    </row>
    <row r="42" spans="1:22" x14ac:dyDescent="0.25">
      <c r="B42" s="20" t="s">
        <v>191</v>
      </c>
      <c r="C42" s="24">
        <v>2</v>
      </c>
      <c r="H42">
        <v>41</v>
      </c>
      <c r="I42" t="s">
        <v>190</v>
      </c>
      <c r="O42" t="s">
        <v>78</v>
      </c>
      <c r="P42" t="s">
        <v>79</v>
      </c>
      <c r="Q42" t="s">
        <v>192</v>
      </c>
      <c r="R42" t="str">
        <f t="shared" si="0"/>
        <v>FocusAB06</v>
      </c>
      <c r="S42">
        <v>7007</v>
      </c>
      <c r="T42" t="s">
        <v>138</v>
      </c>
      <c r="U42">
        <v>5009</v>
      </c>
      <c r="V42" t="s">
        <v>111</v>
      </c>
    </row>
    <row r="43" spans="1:22" x14ac:dyDescent="0.25">
      <c r="B43" s="20" t="s">
        <v>193</v>
      </c>
      <c r="C43" s="24">
        <v>2</v>
      </c>
      <c r="H43">
        <v>42</v>
      </c>
      <c r="I43" t="s">
        <v>192</v>
      </c>
      <c r="O43" t="s">
        <v>78</v>
      </c>
      <c r="P43" t="s">
        <v>79</v>
      </c>
      <c r="Q43" t="s">
        <v>194</v>
      </c>
      <c r="R43" t="str">
        <f t="shared" si="0"/>
        <v>FocusAC06</v>
      </c>
      <c r="S43">
        <v>7005</v>
      </c>
      <c r="T43" t="s">
        <v>81</v>
      </c>
      <c r="U43">
        <v>5014</v>
      </c>
      <c r="V43" t="s">
        <v>127</v>
      </c>
    </row>
    <row r="44" spans="1:22" x14ac:dyDescent="0.25">
      <c r="B44" s="20" t="s">
        <v>195</v>
      </c>
      <c r="C44" s="24">
        <v>4</v>
      </c>
      <c r="H44">
        <v>43</v>
      </c>
      <c r="I44" t="s">
        <v>194</v>
      </c>
      <c r="O44" t="s">
        <v>78</v>
      </c>
      <c r="P44" t="s">
        <v>79</v>
      </c>
      <c r="Q44" t="s">
        <v>196</v>
      </c>
      <c r="R44" t="str">
        <f t="shared" si="0"/>
        <v>FocusAD06</v>
      </c>
      <c r="S44">
        <v>7006</v>
      </c>
      <c r="T44" t="s">
        <v>87</v>
      </c>
      <c r="U44">
        <v>5013</v>
      </c>
      <c r="V44" t="s">
        <v>122</v>
      </c>
    </row>
    <row r="45" spans="1:22" x14ac:dyDescent="0.25">
      <c r="B45" s="20" t="s">
        <v>197</v>
      </c>
      <c r="C45" s="24">
        <v>2</v>
      </c>
      <c r="H45">
        <v>44</v>
      </c>
      <c r="I45" t="s">
        <v>196</v>
      </c>
      <c r="O45" t="s">
        <v>78</v>
      </c>
      <c r="P45" t="s">
        <v>79</v>
      </c>
      <c r="Q45" t="s">
        <v>198</v>
      </c>
      <c r="R45" t="str">
        <f t="shared" si="0"/>
        <v>FocusAE06</v>
      </c>
      <c r="S45">
        <v>7024</v>
      </c>
      <c r="T45" t="s">
        <v>145</v>
      </c>
      <c r="U45">
        <v>5002</v>
      </c>
      <c r="V45" t="s">
        <v>88</v>
      </c>
    </row>
    <row r="46" spans="1:22" x14ac:dyDescent="0.25">
      <c r="B46" s="20" t="s">
        <v>199</v>
      </c>
      <c r="C46" s="24">
        <v>2</v>
      </c>
      <c r="H46">
        <v>45</v>
      </c>
      <c r="I46" t="s">
        <v>198</v>
      </c>
      <c r="O46" t="s">
        <v>78</v>
      </c>
      <c r="P46" t="s">
        <v>79</v>
      </c>
      <c r="Q46" t="s">
        <v>200</v>
      </c>
      <c r="R46" t="str">
        <f t="shared" si="0"/>
        <v>FocusAF06</v>
      </c>
      <c r="S46">
        <v>7023</v>
      </c>
      <c r="T46" t="s">
        <v>149</v>
      </c>
      <c r="U46">
        <v>5001</v>
      </c>
      <c r="V46" t="s">
        <v>82</v>
      </c>
    </row>
    <row r="47" spans="1:22" x14ac:dyDescent="0.25">
      <c r="B47" s="20" t="s">
        <v>201</v>
      </c>
      <c r="C47" s="24">
        <v>45</v>
      </c>
      <c r="H47">
        <v>46</v>
      </c>
      <c r="I47" t="s">
        <v>200</v>
      </c>
      <c r="O47" t="s">
        <v>78</v>
      </c>
      <c r="P47" t="s">
        <v>79</v>
      </c>
      <c r="Q47" t="s">
        <v>202</v>
      </c>
      <c r="R47" t="str">
        <f t="shared" si="0"/>
        <v>FocusAG06</v>
      </c>
      <c r="S47">
        <v>7017</v>
      </c>
      <c r="T47" t="s">
        <v>110</v>
      </c>
      <c r="U47">
        <v>5008</v>
      </c>
      <c r="V47" t="s">
        <v>105</v>
      </c>
    </row>
    <row r="48" spans="1:22" x14ac:dyDescent="0.25">
      <c r="B48" s="20" t="s">
        <v>203</v>
      </c>
      <c r="C48" s="24">
        <v>150</v>
      </c>
      <c r="H48">
        <v>47</v>
      </c>
      <c r="I48" t="s">
        <v>202</v>
      </c>
      <c r="O48" t="s">
        <v>78</v>
      </c>
      <c r="P48" t="s">
        <v>79</v>
      </c>
      <c r="Q48" t="s">
        <v>204</v>
      </c>
      <c r="R48" t="str">
        <f t="shared" si="0"/>
        <v>FocusAH06</v>
      </c>
      <c r="S48">
        <v>7018</v>
      </c>
      <c r="T48" t="s">
        <v>115</v>
      </c>
      <c r="U48">
        <v>5007</v>
      </c>
      <c r="V48" t="s">
        <v>96</v>
      </c>
    </row>
    <row r="49" spans="2:22" x14ac:dyDescent="0.25">
      <c r="B49" s="20" t="s">
        <v>205</v>
      </c>
      <c r="C49" s="24">
        <v>45</v>
      </c>
      <c r="H49">
        <v>48</v>
      </c>
      <c r="I49" t="s">
        <v>204</v>
      </c>
      <c r="O49" t="s">
        <v>78</v>
      </c>
      <c r="P49" t="s">
        <v>79</v>
      </c>
      <c r="Q49" t="s">
        <v>206</v>
      </c>
      <c r="R49" t="str">
        <f t="shared" si="0"/>
        <v>FocusAA07</v>
      </c>
      <c r="S49">
        <v>7018</v>
      </c>
      <c r="T49" t="s">
        <v>115</v>
      </c>
      <c r="U49">
        <v>5001</v>
      </c>
      <c r="V49" t="s">
        <v>82</v>
      </c>
    </row>
    <row r="50" spans="2:22" x14ac:dyDescent="0.25">
      <c r="B50" s="20" t="s">
        <v>207</v>
      </c>
      <c r="C50" s="24">
        <v>5</v>
      </c>
      <c r="H50">
        <v>49</v>
      </c>
      <c r="I50" t="s">
        <v>206</v>
      </c>
      <c r="O50" t="s">
        <v>78</v>
      </c>
      <c r="P50" t="s">
        <v>79</v>
      </c>
      <c r="Q50" t="s">
        <v>208</v>
      </c>
      <c r="R50" t="str">
        <f t="shared" si="0"/>
        <v>FocusAB07</v>
      </c>
      <c r="S50">
        <v>7017</v>
      </c>
      <c r="T50" t="s">
        <v>110</v>
      </c>
      <c r="U50">
        <v>5002</v>
      </c>
      <c r="V50" t="s">
        <v>88</v>
      </c>
    </row>
    <row r="51" spans="2:22" x14ac:dyDescent="0.25">
      <c r="B51" s="20" t="s">
        <v>209</v>
      </c>
      <c r="C51" s="24">
        <v>50</v>
      </c>
      <c r="H51">
        <v>50</v>
      </c>
      <c r="I51" t="s">
        <v>208</v>
      </c>
      <c r="O51" t="s">
        <v>78</v>
      </c>
      <c r="P51" t="s">
        <v>79</v>
      </c>
      <c r="Q51" t="s">
        <v>210</v>
      </c>
      <c r="R51" t="str">
        <f t="shared" si="0"/>
        <v>FocusAC07</v>
      </c>
      <c r="S51">
        <v>7024</v>
      </c>
      <c r="T51" t="s">
        <v>145</v>
      </c>
      <c r="U51">
        <v>5007</v>
      </c>
      <c r="V51" t="s">
        <v>96</v>
      </c>
    </row>
    <row r="52" spans="2:22" x14ac:dyDescent="0.25">
      <c r="B52" s="20" t="s">
        <v>211</v>
      </c>
      <c r="C52" s="24">
        <v>140</v>
      </c>
      <c r="H52">
        <v>51</v>
      </c>
      <c r="I52" t="s">
        <v>210</v>
      </c>
      <c r="O52" t="s">
        <v>78</v>
      </c>
      <c r="P52" t="s">
        <v>79</v>
      </c>
      <c r="Q52" t="s">
        <v>212</v>
      </c>
      <c r="R52" t="str">
        <f t="shared" si="0"/>
        <v>FocusAD07</v>
      </c>
      <c r="S52">
        <v>7023</v>
      </c>
      <c r="T52" t="s">
        <v>149</v>
      </c>
      <c r="U52">
        <v>5008</v>
      </c>
      <c r="V52" t="s">
        <v>105</v>
      </c>
    </row>
    <row r="53" spans="2:22" x14ac:dyDescent="0.25">
      <c r="B53" s="20" t="s">
        <v>203</v>
      </c>
      <c r="C53" s="24">
        <v>150</v>
      </c>
      <c r="H53">
        <v>52</v>
      </c>
      <c r="I53" t="s">
        <v>212</v>
      </c>
      <c r="O53" t="s">
        <v>78</v>
      </c>
      <c r="P53" t="s">
        <v>79</v>
      </c>
      <c r="Q53" t="s">
        <v>213</v>
      </c>
      <c r="R53" t="str">
        <f t="shared" si="0"/>
        <v>FocusAE07</v>
      </c>
      <c r="S53">
        <v>7006</v>
      </c>
      <c r="T53" t="s">
        <v>87</v>
      </c>
      <c r="U53">
        <v>5009</v>
      </c>
      <c r="V53" t="s">
        <v>111</v>
      </c>
    </row>
    <row r="54" spans="2:22" x14ac:dyDescent="0.25">
      <c r="B54" s="20" t="s">
        <v>214</v>
      </c>
      <c r="C54" s="24">
        <v>30</v>
      </c>
      <c r="H54">
        <v>53</v>
      </c>
      <c r="I54" t="s">
        <v>213</v>
      </c>
      <c r="O54" t="s">
        <v>78</v>
      </c>
      <c r="P54" t="s">
        <v>79</v>
      </c>
      <c r="Q54" t="s">
        <v>215</v>
      </c>
      <c r="R54" t="str">
        <f t="shared" si="0"/>
        <v>FocusAF07</v>
      </c>
      <c r="S54">
        <v>7005</v>
      </c>
      <c r="T54" t="s">
        <v>81</v>
      </c>
      <c r="U54">
        <v>5010</v>
      </c>
      <c r="V54" t="s">
        <v>116</v>
      </c>
    </row>
    <row r="55" spans="2:22" x14ac:dyDescent="0.25">
      <c r="B55" s="20" t="s">
        <v>216</v>
      </c>
      <c r="C55" s="24">
        <v>7</v>
      </c>
      <c r="H55">
        <v>54</v>
      </c>
      <c r="I55" t="s">
        <v>215</v>
      </c>
      <c r="O55" t="s">
        <v>78</v>
      </c>
      <c r="P55" t="s">
        <v>79</v>
      </c>
      <c r="Q55" t="s">
        <v>217</v>
      </c>
      <c r="R55" t="str">
        <f t="shared" si="0"/>
        <v>FocusAG07</v>
      </c>
      <c r="S55">
        <v>7008</v>
      </c>
      <c r="T55" t="s">
        <v>135</v>
      </c>
      <c r="U55">
        <v>5013</v>
      </c>
      <c r="V55" t="s">
        <v>122</v>
      </c>
    </row>
    <row r="56" spans="2:22" x14ac:dyDescent="0.25">
      <c r="H56">
        <v>55</v>
      </c>
      <c r="I56" t="s">
        <v>217</v>
      </c>
      <c r="O56" t="s">
        <v>78</v>
      </c>
      <c r="P56" t="s">
        <v>79</v>
      </c>
      <c r="Q56" t="s">
        <v>218</v>
      </c>
      <c r="R56" t="str">
        <f t="shared" si="0"/>
        <v>FocusAH07</v>
      </c>
      <c r="S56">
        <v>7007</v>
      </c>
      <c r="T56" t="s">
        <v>138</v>
      </c>
      <c r="U56">
        <v>5014</v>
      </c>
      <c r="V56" t="s">
        <v>127</v>
      </c>
    </row>
    <row r="57" spans="2:22" x14ac:dyDescent="0.25">
      <c r="H57">
        <v>56</v>
      </c>
      <c r="I57" t="s">
        <v>218</v>
      </c>
      <c r="O57" t="s">
        <v>78</v>
      </c>
      <c r="P57" t="s">
        <v>79</v>
      </c>
      <c r="Q57" t="s">
        <v>219</v>
      </c>
      <c r="R57" t="str">
        <f t="shared" si="0"/>
        <v>FocusAA08</v>
      </c>
      <c r="S57">
        <v>7023</v>
      </c>
      <c r="T57" t="s">
        <v>149</v>
      </c>
      <c r="U57">
        <v>5002</v>
      </c>
      <c r="V57" t="s">
        <v>88</v>
      </c>
    </row>
    <row r="58" spans="2:22" x14ac:dyDescent="0.25">
      <c r="B58" t="s">
        <v>147</v>
      </c>
      <c r="H58">
        <v>57</v>
      </c>
      <c r="I58" t="s">
        <v>219</v>
      </c>
      <c r="O58" t="s">
        <v>78</v>
      </c>
      <c r="P58" t="s">
        <v>79</v>
      </c>
      <c r="Q58" t="s">
        <v>220</v>
      </c>
      <c r="R58" t="str">
        <f t="shared" si="0"/>
        <v>FocusAB08</v>
      </c>
      <c r="S58">
        <v>7024</v>
      </c>
      <c r="T58" t="s">
        <v>145</v>
      </c>
      <c r="U58">
        <v>5001</v>
      </c>
      <c r="V58" t="s">
        <v>82</v>
      </c>
    </row>
    <row r="59" spans="2:22" x14ac:dyDescent="0.25">
      <c r="H59">
        <v>58</v>
      </c>
      <c r="I59" t="s">
        <v>220</v>
      </c>
      <c r="O59" t="s">
        <v>78</v>
      </c>
      <c r="P59" t="s">
        <v>79</v>
      </c>
      <c r="Q59" t="s">
        <v>221</v>
      </c>
      <c r="R59" t="str">
        <f t="shared" si="0"/>
        <v>FocusAC08</v>
      </c>
      <c r="S59">
        <v>7026</v>
      </c>
      <c r="T59" t="s">
        <v>121</v>
      </c>
      <c r="U59">
        <v>5008</v>
      </c>
      <c r="V59" t="s">
        <v>105</v>
      </c>
    </row>
    <row r="60" spans="2:22" x14ac:dyDescent="0.25">
      <c r="H60">
        <v>59</v>
      </c>
      <c r="I60" t="s">
        <v>221</v>
      </c>
      <c r="O60" t="s">
        <v>78</v>
      </c>
      <c r="P60" t="s">
        <v>79</v>
      </c>
      <c r="Q60" t="s">
        <v>222</v>
      </c>
      <c r="R60" t="str">
        <f t="shared" si="0"/>
        <v>FocusAD08</v>
      </c>
      <c r="S60">
        <v>7025</v>
      </c>
      <c r="T60" t="s">
        <v>126</v>
      </c>
      <c r="U60">
        <v>5007</v>
      </c>
      <c r="V60" t="s">
        <v>96</v>
      </c>
    </row>
    <row r="61" spans="2:22" x14ac:dyDescent="0.25">
      <c r="B61" s="20" t="s">
        <v>187</v>
      </c>
      <c r="C61" s="24">
        <v>4</v>
      </c>
      <c r="H61">
        <v>60</v>
      </c>
      <c r="I61" t="s">
        <v>222</v>
      </c>
      <c r="O61" t="s">
        <v>78</v>
      </c>
      <c r="P61" t="s">
        <v>79</v>
      </c>
      <c r="Q61" t="s">
        <v>223</v>
      </c>
      <c r="R61" t="str">
        <f t="shared" si="0"/>
        <v>FocusAE08</v>
      </c>
      <c r="S61">
        <v>7007</v>
      </c>
      <c r="T61" t="s">
        <v>138</v>
      </c>
      <c r="U61">
        <v>5010</v>
      </c>
      <c r="V61" t="s">
        <v>116</v>
      </c>
    </row>
    <row r="62" spans="2:22" x14ac:dyDescent="0.25">
      <c r="B62" s="20" t="s">
        <v>224</v>
      </c>
      <c r="C62" s="24">
        <v>4</v>
      </c>
      <c r="H62">
        <v>61</v>
      </c>
      <c r="I62" t="s">
        <v>223</v>
      </c>
      <c r="O62" t="s">
        <v>78</v>
      </c>
      <c r="P62" t="s">
        <v>79</v>
      </c>
      <c r="Q62" t="s">
        <v>225</v>
      </c>
      <c r="R62" t="str">
        <f t="shared" si="0"/>
        <v>FocusAF08</v>
      </c>
      <c r="S62">
        <v>7008</v>
      </c>
      <c r="T62" t="s">
        <v>135</v>
      </c>
      <c r="U62">
        <v>5009</v>
      </c>
      <c r="V62" t="s">
        <v>111</v>
      </c>
    </row>
    <row r="63" spans="2:22" x14ac:dyDescent="0.25">
      <c r="B63" s="20" t="s">
        <v>191</v>
      </c>
      <c r="C63" s="24">
        <v>2</v>
      </c>
      <c r="H63">
        <v>62</v>
      </c>
      <c r="I63" t="s">
        <v>225</v>
      </c>
      <c r="O63" t="s">
        <v>78</v>
      </c>
      <c r="P63" t="s">
        <v>79</v>
      </c>
      <c r="Q63" t="s">
        <v>226</v>
      </c>
      <c r="R63" t="str">
        <f t="shared" si="0"/>
        <v>FocusAG08</v>
      </c>
      <c r="S63">
        <v>7016</v>
      </c>
      <c r="T63" t="s">
        <v>95</v>
      </c>
      <c r="U63">
        <v>5014</v>
      </c>
      <c r="V63" t="s">
        <v>127</v>
      </c>
    </row>
    <row r="64" spans="2:22" x14ac:dyDescent="0.25">
      <c r="B64" s="20" t="s">
        <v>193</v>
      </c>
      <c r="C64" s="24">
        <v>2</v>
      </c>
      <c r="H64">
        <v>63</v>
      </c>
      <c r="I64" t="s">
        <v>226</v>
      </c>
      <c r="O64" t="s">
        <v>78</v>
      </c>
      <c r="P64" t="s">
        <v>79</v>
      </c>
      <c r="Q64" t="s">
        <v>227</v>
      </c>
      <c r="R64" t="str">
        <f t="shared" si="0"/>
        <v>FocusAH08</v>
      </c>
      <c r="S64">
        <v>7015</v>
      </c>
      <c r="T64" t="s">
        <v>104</v>
      </c>
      <c r="U64">
        <v>5013</v>
      </c>
      <c r="V64" t="s">
        <v>122</v>
      </c>
    </row>
    <row r="65" spans="2:22" x14ac:dyDescent="0.25">
      <c r="B65" s="20" t="s">
        <v>195</v>
      </c>
      <c r="C65" s="24">
        <v>4</v>
      </c>
      <c r="H65">
        <v>64</v>
      </c>
      <c r="I65" t="s">
        <v>227</v>
      </c>
      <c r="O65" t="s">
        <v>78</v>
      </c>
      <c r="P65" t="s">
        <v>79</v>
      </c>
      <c r="Q65" t="s">
        <v>228</v>
      </c>
      <c r="R65" t="str">
        <f t="shared" ref="R65:R128" si="1">O65&amp;P65&amp;Q65</f>
        <v>FocusAA09</v>
      </c>
      <c r="S65">
        <v>7017</v>
      </c>
      <c r="T65" t="s">
        <v>110</v>
      </c>
      <c r="U65">
        <v>5007</v>
      </c>
      <c r="V65" t="s">
        <v>96</v>
      </c>
    </row>
    <row r="66" spans="2:22" x14ac:dyDescent="0.25">
      <c r="B66" s="20" t="s">
        <v>197</v>
      </c>
      <c r="C66" s="24">
        <v>2</v>
      </c>
      <c r="H66">
        <v>65</v>
      </c>
      <c r="I66" t="s">
        <v>228</v>
      </c>
      <c r="O66" t="s">
        <v>78</v>
      </c>
      <c r="P66" t="s">
        <v>79</v>
      </c>
      <c r="Q66" t="s">
        <v>229</v>
      </c>
      <c r="R66" t="str">
        <f t="shared" si="1"/>
        <v>FocusAB09</v>
      </c>
      <c r="S66">
        <v>7018</v>
      </c>
      <c r="T66" t="s">
        <v>115</v>
      </c>
      <c r="U66">
        <v>5008</v>
      </c>
      <c r="V66" t="s">
        <v>105</v>
      </c>
    </row>
    <row r="67" spans="2:22" x14ac:dyDescent="0.25">
      <c r="B67" s="20" t="s">
        <v>199</v>
      </c>
      <c r="C67" s="24">
        <v>2</v>
      </c>
      <c r="H67">
        <v>66</v>
      </c>
      <c r="I67" t="s">
        <v>229</v>
      </c>
      <c r="O67" t="s">
        <v>78</v>
      </c>
      <c r="P67" t="s">
        <v>79</v>
      </c>
      <c r="Q67" t="s">
        <v>230</v>
      </c>
      <c r="R67" t="str">
        <f t="shared" si="1"/>
        <v>FocusAC09</v>
      </c>
      <c r="S67">
        <v>7023</v>
      </c>
      <c r="T67" t="s">
        <v>149</v>
      </c>
      <c r="U67">
        <v>5009</v>
      </c>
      <c r="V67" t="s">
        <v>111</v>
      </c>
    </row>
    <row r="68" spans="2:22" x14ac:dyDescent="0.25">
      <c r="B68" s="20" t="s">
        <v>231</v>
      </c>
      <c r="C68" s="24">
        <v>45</v>
      </c>
      <c r="H68">
        <v>67</v>
      </c>
      <c r="I68" t="s">
        <v>230</v>
      </c>
      <c r="O68" t="s">
        <v>78</v>
      </c>
      <c r="P68" t="s">
        <v>79</v>
      </c>
      <c r="Q68" t="s">
        <v>232</v>
      </c>
      <c r="R68" t="str">
        <f t="shared" si="1"/>
        <v>FocusAD09</v>
      </c>
      <c r="S68">
        <v>7024</v>
      </c>
      <c r="T68" t="s">
        <v>145</v>
      </c>
      <c r="U68">
        <v>5010</v>
      </c>
      <c r="V68" t="s">
        <v>116</v>
      </c>
    </row>
    <row r="69" spans="2:22" x14ac:dyDescent="0.25">
      <c r="B69" s="20" t="s">
        <v>233</v>
      </c>
      <c r="C69" s="24">
        <v>150</v>
      </c>
      <c r="H69">
        <v>68</v>
      </c>
      <c r="I69" t="s">
        <v>232</v>
      </c>
      <c r="O69" t="s">
        <v>78</v>
      </c>
      <c r="P69" t="s">
        <v>79</v>
      </c>
      <c r="Q69" t="s">
        <v>234</v>
      </c>
      <c r="R69" t="str">
        <f t="shared" si="1"/>
        <v>FocusAE09</v>
      </c>
      <c r="S69">
        <v>7005</v>
      </c>
      <c r="T69" t="s">
        <v>81</v>
      </c>
      <c r="U69">
        <v>5013</v>
      </c>
      <c r="V69" t="s">
        <v>122</v>
      </c>
    </row>
    <row r="70" spans="2:22" x14ac:dyDescent="0.25">
      <c r="B70" s="20" t="s">
        <v>205</v>
      </c>
      <c r="C70" s="24">
        <v>45</v>
      </c>
      <c r="H70">
        <v>69</v>
      </c>
      <c r="I70" t="s">
        <v>234</v>
      </c>
      <c r="O70" t="s">
        <v>78</v>
      </c>
      <c r="P70" t="s">
        <v>79</v>
      </c>
      <c r="Q70" t="s">
        <v>235</v>
      </c>
      <c r="R70" t="str">
        <f t="shared" si="1"/>
        <v>FocusAF09</v>
      </c>
      <c r="S70">
        <v>7006</v>
      </c>
      <c r="T70" t="s">
        <v>87</v>
      </c>
      <c r="U70">
        <v>5014</v>
      </c>
      <c r="V70" t="s">
        <v>127</v>
      </c>
    </row>
    <row r="71" spans="2:22" x14ac:dyDescent="0.25">
      <c r="B71" s="20" t="s">
        <v>207</v>
      </c>
      <c r="C71" s="24">
        <v>5</v>
      </c>
      <c r="H71">
        <v>70</v>
      </c>
      <c r="I71" t="s">
        <v>235</v>
      </c>
      <c r="O71" t="s">
        <v>78</v>
      </c>
      <c r="P71" t="s">
        <v>79</v>
      </c>
      <c r="Q71" t="s">
        <v>236</v>
      </c>
      <c r="R71" t="str">
        <f t="shared" si="1"/>
        <v>FocusAG09</v>
      </c>
      <c r="S71">
        <v>7007</v>
      </c>
      <c r="T71" t="s">
        <v>138</v>
      </c>
      <c r="U71">
        <v>5001</v>
      </c>
      <c r="V71" t="s">
        <v>82</v>
      </c>
    </row>
    <row r="72" spans="2:22" x14ac:dyDescent="0.25">
      <c r="B72" s="20" t="s">
        <v>209</v>
      </c>
      <c r="C72" s="24">
        <v>50</v>
      </c>
      <c r="H72">
        <v>71</v>
      </c>
      <c r="I72" t="s">
        <v>236</v>
      </c>
      <c r="O72" t="s">
        <v>78</v>
      </c>
      <c r="P72" t="s">
        <v>79</v>
      </c>
      <c r="Q72" t="s">
        <v>237</v>
      </c>
      <c r="R72" t="str">
        <f t="shared" si="1"/>
        <v>FocusAH09</v>
      </c>
      <c r="S72">
        <v>7008</v>
      </c>
      <c r="T72" t="s">
        <v>135</v>
      </c>
      <c r="U72">
        <v>5002</v>
      </c>
      <c r="V72" t="s">
        <v>88</v>
      </c>
    </row>
    <row r="73" spans="2:22" x14ac:dyDescent="0.25">
      <c r="B73" s="20" t="s">
        <v>211</v>
      </c>
      <c r="C73" s="24">
        <v>140</v>
      </c>
      <c r="H73">
        <v>72</v>
      </c>
      <c r="I73" t="s">
        <v>237</v>
      </c>
      <c r="O73" t="s">
        <v>78</v>
      </c>
      <c r="P73" t="s">
        <v>79</v>
      </c>
      <c r="Q73" t="s">
        <v>238</v>
      </c>
      <c r="R73" t="str">
        <f t="shared" si="1"/>
        <v>FocusAA10</v>
      </c>
      <c r="S73">
        <v>7025</v>
      </c>
      <c r="T73" t="s">
        <v>126</v>
      </c>
      <c r="U73">
        <v>5008</v>
      </c>
      <c r="V73" t="s">
        <v>105</v>
      </c>
    </row>
    <row r="74" spans="2:22" x14ac:dyDescent="0.25">
      <c r="B74" s="20" t="s">
        <v>233</v>
      </c>
      <c r="C74" s="24">
        <v>150</v>
      </c>
      <c r="H74">
        <v>73</v>
      </c>
      <c r="I74" t="s">
        <v>238</v>
      </c>
      <c r="O74" t="s">
        <v>78</v>
      </c>
      <c r="P74" t="s">
        <v>79</v>
      </c>
      <c r="Q74" t="s">
        <v>239</v>
      </c>
      <c r="R74" t="str">
        <f t="shared" si="1"/>
        <v>FocusAB10</v>
      </c>
      <c r="S74">
        <v>7026</v>
      </c>
      <c r="T74" t="s">
        <v>121</v>
      </c>
      <c r="U74">
        <v>5007</v>
      </c>
      <c r="V74" t="s">
        <v>96</v>
      </c>
    </row>
    <row r="75" spans="2:22" x14ac:dyDescent="0.25">
      <c r="B75" s="20" t="s">
        <v>214</v>
      </c>
      <c r="C75" s="24">
        <v>30</v>
      </c>
      <c r="H75">
        <v>74</v>
      </c>
      <c r="I75" t="s">
        <v>239</v>
      </c>
      <c r="O75" t="s">
        <v>78</v>
      </c>
      <c r="P75" t="s">
        <v>79</v>
      </c>
      <c r="Q75" t="s">
        <v>240</v>
      </c>
      <c r="R75" t="str">
        <f t="shared" si="1"/>
        <v>FocusAC10</v>
      </c>
      <c r="S75">
        <v>7017</v>
      </c>
      <c r="T75" t="s">
        <v>110</v>
      </c>
      <c r="U75">
        <v>5010</v>
      </c>
      <c r="V75" t="s">
        <v>116</v>
      </c>
    </row>
    <row r="76" spans="2:22" x14ac:dyDescent="0.25">
      <c r="B76" s="20" t="s">
        <v>6</v>
      </c>
      <c r="C76" s="24">
        <v>12</v>
      </c>
      <c r="H76">
        <v>75</v>
      </c>
      <c r="I76" t="s">
        <v>240</v>
      </c>
      <c r="O76" t="s">
        <v>78</v>
      </c>
      <c r="P76" t="s">
        <v>79</v>
      </c>
      <c r="Q76" t="s">
        <v>241</v>
      </c>
      <c r="R76" t="str">
        <f t="shared" si="1"/>
        <v>FocusAD10</v>
      </c>
      <c r="S76">
        <v>7018</v>
      </c>
      <c r="T76" t="s">
        <v>115</v>
      </c>
      <c r="U76">
        <v>5009</v>
      </c>
      <c r="V76" t="s">
        <v>111</v>
      </c>
    </row>
    <row r="77" spans="2:22" x14ac:dyDescent="0.25">
      <c r="H77">
        <v>76</v>
      </c>
      <c r="I77" t="s">
        <v>241</v>
      </c>
      <c r="O77" t="s">
        <v>78</v>
      </c>
      <c r="P77" t="s">
        <v>79</v>
      </c>
      <c r="Q77" t="s">
        <v>242</v>
      </c>
      <c r="R77" t="str">
        <f t="shared" si="1"/>
        <v>FocusAE10</v>
      </c>
      <c r="S77">
        <v>7015</v>
      </c>
      <c r="T77" t="s">
        <v>104</v>
      </c>
      <c r="U77">
        <v>5014</v>
      </c>
      <c r="V77" t="s">
        <v>127</v>
      </c>
    </row>
    <row r="78" spans="2:22" x14ac:dyDescent="0.25">
      <c r="H78">
        <v>77</v>
      </c>
      <c r="I78" t="s">
        <v>242</v>
      </c>
      <c r="O78" t="s">
        <v>78</v>
      </c>
      <c r="P78" t="s">
        <v>79</v>
      </c>
      <c r="Q78" t="s">
        <v>243</v>
      </c>
      <c r="R78" t="str">
        <f t="shared" si="1"/>
        <v>FocusAF10</v>
      </c>
      <c r="S78">
        <v>7016</v>
      </c>
      <c r="T78" t="s">
        <v>95</v>
      </c>
      <c r="U78">
        <v>5013</v>
      </c>
      <c r="V78" t="s">
        <v>122</v>
      </c>
    </row>
    <row r="79" spans="2:22" x14ac:dyDescent="0.25">
      <c r="B79" s="20" t="s">
        <v>155</v>
      </c>
      <c r="H79">
        <v>78</v>
      </c>
      <c r="I79" t="s">
        <v>243</v>
      </c>
      <c r="O79" t="s">
        <v>78</v>
      </c>
      <c r="P79" t="s">
        <v>79</v>
      </c>
      <c r="Q79" t="s">
        <v>244</v>
      </c>
      <c r="R79" t="str">
        <f t="shared" si="1"/>
        <v>FocusAG10</v>
      </c>
      <c r="S79">
        <v>7005</v>
      </c>
      <c r="T79" t="s">
        <v>81</v>
      </c>
      <c r="U79">
        <v>5002</v>
      </c>
      <c r="V79" t="s">
        <v>88</v>
      </c>
    </row>
    <row r="80" spans="2:22" x14ac:dyDescent="0.25">
      <c r="B80" s="20" t="s">
        <v>245</v>
      </c>
      <c r="C80">
        <v>1.4</v>
      </c>
      <c r="H80">
        <v>79</v>
      </c>
      <c r="I80" t="s">
        <v>244</v>
      </c>
      <c r="O80" t="s">
        <v>78</v>
      </c>
      <c r="P80" t="s">
        <v>79</v>
      </c>
      <c r="Q80" t="s">
        <v>246</v>
      </c>
      <c r="R80" t="str">
        <f t="shared" si="1"/>
        <v>FocusAH10</v>
      </c>
      <c r="S80">
        <v>7006</v>
      </c>
      <c r="T80" t="s">
        <v>87</v>
      </c>
      <c r="U80">
        <v>5001</v>
      </c>
      <c r="V80" t="s">
        <v>82</v>
      </c>
    </row>
    <row r="81" spans="2:22" x14ac:dyDescent="0.25">
      <c r="B81" s="20" t="s">
        <v>247</v>
      </c>
      <c r="C81">
        <v>0.6</v>
      </c>
      <c r="H81">
        <v>80</v>
      </c>
      <c r="I81" t="s">
        <v>246</v>
      </c>
      <c r="O81" t="s">
        <v>78</v>
      </c>
      <c r="P81" t="s">
        <v>79</v>
      </c>
      <c r="Q81" t="s">
        <v>248</v>
      </c>
      <c r="R81" t="str">
        <f t="shared" si="1"/>
        <v>FocusAA11</v>
      </c>
      <c r="S81">
        <v>7024</v>
      </c>
      <c r="T81" t="s">
        <v>145</v>
      </c>
      <c r="U81">
        <v>5009</v>
      </c>
      <c r="V81" t="s">
        <v>111</v>
      </c>
    </row>
    <row r="82" spans="2:22" x14ac:dyDescent="0.25">
      <c r="B82" s="20" t="s">
        <v>249</v>
      </c>
      <c r="C82">
        <v>1</v>
      </c>
      <c r="H82">
        <v>81</v>
      </c>
      <c r="I82" t="s">
        <v>248</v>
      </c>
      <c r="O82" t="s">
        <v>78</v>
      </c>
      <c r="P82" t="s">
        <v>79</v>
      </c>
      <c r="Q82" t="s">
        <v>250</v>
      </c>
      <c r="R82" t="str">
        <f t="shared" si="1"/>
        <v>FocusAB11</v>
      </c>
      <c r="S82">
        <v>7023</v>
      </c>
      <c r="T82" t="s">
        <v>149</v>
      </c>
      <c r="U82">
        <v>5010</v>
      </c>
      <c r="V82" t="s">
        <v>116</v>
      </c>
    </row>
    <row r="83" spans="2:22" x14ac:dyDescent="0.25">
      <c r="B83" s="20" t="s">
        <v>251</v>
      </c>
      <c r="C83">
        <v>2.8</v>
      </c>
      <c r="H83">
        <v>82</v>
      </c>
      <c r="I83" t="s">
        <v>250</v>
      </c>
      <c r="O83" t="s">
        <v>78</v>
      </c>
      <c r="P83" t="s">
        <v>79</v>
      </c>
      <c r="Q83" t="s">
        <v>252</v>
      </c>
      <c r="R83" t="str">
        <f t="shared" si="1"/>
        <v>FocusAC11</v>
      </c>
      <c r="S83">
        <v>7025</v>
      </c>
      <c r="T83" t="s">
        <v>126</v>
      </c>
      <c r="U83">
        <v>5013</v>
      </c>
      <c r="V83" t="s">
        <v>122</v>
      </c>
    </row>
    <row r="84" spans="2:22" x14ac:dyDescent="0.25">
      <c r="B84" s="20" t="s">
        <v>253</v>
      </c>
      <c r="C84">
        <v>1.4</v>
      </c>
      <c r="H84">
        <v>83</v>
      </c>
      <c r="I84" t="s">
        <v>252</v>
      </c>
      <c r="O84" t="s">
        <v>78</v>
      </c>
      <c r="P84" t="s">
        <v>79</v>
      </c>
      <c r="Q84" t="s">
        <v>254</v>
      </c>
      <c r="R84" t="str">
        <f t="shared" si="1"/>
        <v>FocusAD11</v>
      </c>
      <c r="S84">
        <v>7026</v>
      </c>
      <c r="T84" t="s">
        <v>121</v>
      </c>
      <c r="U84">
        <v>5014</v>
      </c>
      <c r="V84" t="s">
        <v>127</v>
      </c>
    </row>
    <row r="85" spans="2:22" x14ac:dyDescent="0.25">
      <c r="B85" s="20" t="s">
        <v>255</v>
      </c>
      <c r="C85">
        <v>10</v>
      </c>
      <c r="H85">
        <v>84</v>
      </c>
      <c r="I85" t="s">
        <v>254</v>
      </c>
      <c r="O85" t="s">
        <v>78</v>
      </c>
      <c r="P85" t="s">
        <v>79</v>
      </c>
      <c r="Q85" t="s">
        <v>256</v>
      </c>
      <c r="R85" t="str">
        <f t="shared" si="1"/>
        <v>FocusAE11</v>
      </c>
      <c r="S85">
        <v>7008</v>
      </c>
      <c r="T85" t="s">
        <v>135</v>
      </c>
      <c r="U85">
        <v>5001</v>
      </c>
      <c r="V85" t="s">
        <v>82</v>
      </c>
    </row>
    <row r="86" spans="2:22" x14ac:dyDescent="0.25">
      <c r="B86" s="20" t="s">
        <v>257</v>
      </c>
      <c r="C86">
        <v>1.5</v>
      </c>
      <c r="H86">
        <v>85</v>
      </c>
      <c r="I86" t="s">
        <v>256</v>
      </c>
      <c r="O86" t="s">
        <v>78</v>
      </c>
      <c r="P86" t="s">
        <v>79</v>
      </c>
      <c r="Q86" t="s">
        <v>258</v>
      </c>
      <c r="R86" t="str">
        <f t="shared" si="1"/>
        <v>FocusAF11</v>
      </c>
      <c r="S86">
        <v>7007</v>
      </c>
      <c r="T86" t="s">
        <v>138</v>
      </c>
      <c r="U86">
        <v>5002</v>
      </c>
      <c r="V86" t="s">
        <v>88</v>
      </c>
    </row>
    <row r="87" spans="2:22" x14ac:dyDescent="0.25">
      <c r="B87" s="20" t="s">
        <v>199</v>
      </c>
      <c r="C87">
        <v>2.5</v>
      </c>
      <c r="H87">
        <v>86</v>
      </c>
      <c r="I87" t="s">
        <v>258</v>
      </c>
      <c r="O87" t="s">
        <v>78</v>
      </c>
      <c r="P87" t="s">
        <v>79</v>
      </c>
      <c r="Q87" t="s">
        <v>259</v>
      </c>
      <c r="R87" t="str">
        <f t="shared" si="1"/>
        <v>FocusAG11</v>
      </c>
      <c r="S87">
        <v>7015</v>
      </c>
      <c r="T87" t="s">
        <v>104</v>
      </c>
      <c r="U87">
        <v>5007</v>
      </c>
      <c r="V87" t="s">
        <v>96</v>
      </c>
    </row>
    <row r="88" spans="2:22" x14ac:dyDescent="0.25">
      <c r="B88" s="20" t="s">
        <v>260</v>
      </c>
      <c r="C88">
        <v>2</v>
      </c>
      <c r="H88">
        <v>87</v>
      </c>
      <c r="I88" t="s">
        <v>259</v>
      </c>
      <c r="O88" t="s">
        <v>78</v>
      </c>
      <c r="P88" t="s">
        <v>79</v>
      </c>
      <c r="Q88" t="s">
        <v>261</v>
      </c>
      <c r="R88" t="str">
        <f t="shared" si="1"/>
        <v>FocusAH11</v>
      </c>
      <c r="S88">
        <v>7016</v>
      </c>
      <c r="T88" t="s">
        <v>95</v>
      </c>
      <c r="U88">
        <v>5008</v>
      </c>
      <c r="V88" t="s">
        <v>105</v>
      </c>
    </row>
    <row r="89" spans="2:22" x14ac:dyDescent="0.25">
      <c r="B89" s="20" t="s">
        <v>262</v>
      </c>
      <c r="C89">
        <v>10</v>
      </c>
      <c r="H89">
        <v>88</v>
      </c>
      <c r="I89" t="s">
        <v>261</v>
      </c>
      <c r="O89" t="s">
        <v>78</v>
      </c>
      <c r="P89" t="s">
        <v>79</v>
      </c>
      <c r="Q89" t="s">
        <v>263</v>
      </c>
      <c r="R89" t="str">
        <f t="shared" si="1"/>
        <v>FocusAA12</v>
      </c>
      <c r="S89">
        <v>7026</v>
      </c>
      <c r="T89" t="s">
        <v>121</v>
      </c>
      <c r="U89">
        <v>5010</v>
      </c>
      <c r="V89" t="s">
        <v>116</v>
      </c>
    </row>
    <row r="90" spans="2:22" x14ac:dyDescent="0.25">
      <c r="B90" s="20" t="s">
        <v>264</v>
      </c>
      <c r="C90">
        <v>6.3</v>
      </c>
      <c r="H90">
        <v>89</v>
      </c>
      <c r="I90" t="s">
        <v>263</v>
      </c>
      <c r="O90" t="s">
        <v>78</v>
      </c>
      <c r="P90" t="s">
        <v>79</v>
      </c>
      <c r="Q90" t="s">
        <v>265</v>
      </c>
      <c r="R90" t="str">
        <f t="shared" si="1"/>
        <v>FocusAB12</v>
      </c>
      <c r="S90">
        <v>7025</v>
      </c>
      <c r="T90" t="s">
        <v>126</v>
      </c>
      <c r="U90">
        <v>5009</v>
      </c>
      <c r="V90" t="s">
        <v>111</v>
      </c>
    </row>
    <row r="91" spans="2:22" x14ac:dyDescent="0.25">
      <c r="B91" s="20" t="s">
        <v>266</v>
      </c>
      <c r="C91">
        <v>2</v>
      </c>
      <c r="H91">
        <v>90</v>
      </c>
      <c r="I91" t="s">
        <v>265</v>
      </c>
      <c r="O91" t="s">
        <v>78</v>
      </c>
      <c r="P91" t="s">
        <v>79</v>
      </c>
      <c r="Q91" t="s">
        <v>267</v>
      </c>
      <c r="R91" t="str">
        <f t="shared" si="1"/>
        <v>FocusAC12</v>
      </c>
      <c r="S91">
        <v>7018</v>
      </c>
      <c r="T91" t="s">
        <v>115</v>
      </c>
      <c r="U91">
        <v>5014</v>
      </c>
      <c r="V91" t="s">
        <v>127</v>
      </c>
    </row>
    <row r="92" spans="2:22" x14ac:dyDescent="0.25">
      <c r="B92" s="20" t="s">
        <v>268</v>
      </c>
      <c r="C92">
        <v>1.95</v>
      </c>
      <c r="H92">
        <v>91</v>
      </c>
      <c r="I92" t="s">
        <v>267</v>
      </c>
      <c r="O92" t="s">
        <v>78</v>
      </c>
      <c r="P92" t="s">
        <v>79</v>
      </c>
      <c r="Q92" t="s">
        <v>269</v>
      </c>
      <c r="R92" t="str">
        <f t="shared" si="1"/>
        <v>FocusAD12</v>
      </c>
      <c r="S92">
        <v>7017</v>
      </c>
      <c r="T92" t="s">
        <v>110</v>
      </c>
      <c r="U92">
        <v>5013</v>
      </c>
      <c r="V92" t="s">
        <v>122</v>
      </c>
    </row>
    <row r="93" spans="2:22" x14ac:dyDescent="0.25">
      <c r="B93" s="20" t="s">
        <v>270</v>
      </c>
      <c r="C93">
        <v>2.4</v>
      </c>
      <c r="H93">
        <v>92</v>
      </c>
      <c r="I93" t="s">
        <v>269</v>
      </c>
      <c r="O93" t="s">
        <v>78</v>
      </c>
      <c r="P93" t="s">
        <v>79</v>
      </c>
      <c r="Q93" t="s">
        <v>271</v>
      </c>
      <c r="R93" t="str">
        <f t="shared" si="1"/>
        <v>FocusAE12</v>
      </c>
      <c r="S93">
        <v>7016</v>
      </c>
      <c r="T93" t="s">
        <v>95</v>
      </c>
      <c r="U93">
        <v>5002</v>
      </c>
      <c r="V93" t="s">
        <v>88</v>
      </c>
    </row>
    <row r="94" spans="2:22" x14ac:dyDescent="0.25">
      <c r="B94" s="20" t="s">
        <v>272</v>
      </c>
      <c r="C94">
        <v>20</v>
      </c>
      <c r="H94">
        <v>93</v>
      </c>
      <c r="I94" t="s">
        <v>271</v>
      </c>
      <c r="O94" t="s">
        <v>78</v>
      </c>
      <c r="P94" t="s">
        <v>79</v>
      </c>
      <c r="Q94" t="s">
        <v>273</v>
      </c>
      <c r="R94" t="str">
        <f t="shared" si="1"/>
        <v>FocusAF12</v>
      </c>
      <c r="S94">
        <v>7015</v>
      </c>
      <c r="T94" t="s">
        <v>104</v>
      </c>
      <c r="U94">
        <v>5001</v>
      </c>
      <c r="V94" t="s">
        <v>82</v>
      </c>
    </row>
    <row r="95" spans="2:22" x14ac:dyDescent="0.25">
      <c r="B95" s="20" t="s">
        <v>274</v>
      </c>
      <c r="C95">
        <v>5</v>
      </c>
      <c r="H95">
        <v>94</v>
      </c>
      <c r="I95" t="s">
        <v>273</v>
      </c>
      <c r="O95" t="s">
        <v>78</v>
      </c>
      <c r="P95" t="s">
        <v>79</v>
      </c>
      <c r="Q95" t="s">
        <v>275</v>
      </c>
      <c r="R95" t="str">
        <f t="shared" si="1"/>
        <v>FocusAG12</v>
      </c>
      <c r="S95">
        <v>7006</v>
      </c>
      <c r="T95" t="s">
        <v>87</v>
      </c>
      <c r="U95">
        <v>5008</v>
      </c>
      <c r="V95" t="s">
        <v>105</v>
      </c>
    </row>
    <row r="96" spans="2:22" x14ac:dyDescent="0.25">
      <c r="B96" s="20" t="s">
        <v>276</v>
      </c>
      <c r="C96">
        <v>20</v>
      </c>
      <c r="H96">
        <v>95</v>
      </c>
      <c r="I96" t="s">
        <v>275</v>
      </c>
      <c r="O96" t="s">
        <v>78</v>
      </c>
      <c r="P96" t="s">
        <v>79</v>
      </c>
      <c r="Q96" t="s">
        <v>277</v>
      </c>
      <c r="R96" t="str">
        <f t="shared" si="1"/>
        <v>FocusAH12</v>
      </c>
      <c r="S96">
        <v>7005</v>
      </c>
      <c r="T96" t="s">
        <v>81</v>
      </c>
      <c r="U96">
        <v>5007</v>
      </c>
      <c r="V96" t="s">
        <v>96</v>
      </c>
    </row>
    <row r="97" spans="2:22" x14ac:dyDescent="0.25">
      <c r="B97" s="20" t="s">
        <v>278</v>
      </c>
      <c r="C97">
        <v>5</v>
      </c>
      <c r="H97">
        <v>96</v>
      </c>
      <c r="I97" t="s">
        <v>277</v>
      </c>
      <c r="O97" t="s">
        <v>279</v>
      </c>
      <c r="P97" t="s">
        <v>79</v>
      </c>
      <c r="Q97" t="s">
        <v>80</v>
      </c>
      <c r="R97" t="str">
        <f t="shared" si="1"/>
        <v>MAMAAA01</v>
      </c>
      <c r="S97" t="s">
        <v>280</v>
      </c>
      <c r="T97" t="s">
        <v>281</v>
      </c>
      <c r="U97" t="s">
        <v>282</v>
      </c>
      <c r="V97" t="s">
        <v>283</v>
      </c>
    </row>
    <row r="98" spans="2:22" x14ac:dyDescent="0.25">
      <c r="B98" s="20" t="s">
        <v>270</v>
      </c>
      <c r="C98">
        <v>4.8</v>
      </c>
      <c r="O98" t="s">
        <v>279</v>
      </c>
      <c r="P98" t="s">
        <v>79</v>
      </c>
      <c r="Q98" t="s">
        <v>86</v>
      </c>
      <c r="R98" t="str">
        <f t="shared" si="1"/>
        <v>MAMAAB01</v>
      </c>
      <c r="S98" t="s">
        <v>284</v>
      </c>
      <c r="T98" t="s">
        <v>285</v>
      </c>
      <c r="U98" t="s">
        <v>286</v>
      </c>
      <c r="V98" t="s">
        <v>287</v>
      </c>
    </row>
    <row r="99" spans="2:22" x14ac:dyDescent="0.25">
      <c r="B99" s="20" t="s">
        <v>191</v>
      </c>
      <c r="C99">
        <v>45.2</v>
      </c>
      <c r="O99" t="s">
        <v>279</v>
      </c>
      <c r="P99" t="s">
        <v>79</v>
      </c>
      <c r="Q99" t="s">
        <v>94</v>
      </c>
      <c r="R99" t="str">
        <f t="shared" si="1"/>
        <v>MAMAAC01</v>
      </c>
      <c r="S99" t="s">
        <v>288</v>
      </c>
      <c r="T99" t="s">
        <v>289</v>
      </c>
      <c r="U99" t="s">
        <v>290</v>
      </c>
      <c r="V99" t="s">
        <v>291</v>
      </c>
    </row>
    <row r="100" spans="2:22" x14ac:dyDescent="0.25">
      <c r="B100" s="20" t="s">
        <v>292</v>
      </c>
      <c r="C100">
        <v>80</v>
      </c>
      <c r="O100" t="s">
        <v>279</v>
      </c>
      <c r="P100" t="s">
        <v>79</v>
      </c>
      <c r="Q100" t="s">
        <v>103</v>
      </c>
      <c r="R100" t="str">
        <f t="shared" si="1"/>
        <v>MAMAAD01</v>
      </c>
      <c r="S100" t="s">
        <v>293</v>
      </c>
      <c r="T100" t="s">
        <v>294</v>
      </c>
      <c r="U100" t="s">
        <v>295</v>
      </c>
      <c r="V100" t="s">
        <v>296</v>
      </c>
    </row>
    <row r="101" spans="2:22" x14ac:dyDescent="0.25">
      <c r="B101" s="20" t="s">
        <v>191</v>
      </c>
      <c r="C101">
        <v>100</v>
      </c>
      <c r="O101" t="s">
        <v>279</v>
      </c>
      <c r="P101" t="s">
        <v>79</v>
      </c>
      <c r="Q101" t="s">
        <v>109</v>
      </c>
      <c r="R101" t="str">
        <f t="shared" si="1"/>
        <v>MAMAAE01</v>
      </c>
      <c r="S101" t="s">
        <v>297</v>
      </c>
      <c r="T101" t="s">
        <v>298</v>
      </c>
      <c r="U101" t="s">
        <v>299</v>
      </c>
      <c r="V101" t="s">
        <v>300</v>
      </c>
    </row>
    <row r="102" spans="2:22" x14ac:dyDescent="0.25">
      <c r="B102" s="20" t="s">
        <v>301</v>
      </c>
      <c r="C102">
        <v>80</v>
      </c>
      <c r="O102" t="s">
        <v>279</v>
      </c>
      <c r="P102" t="s">
        <v>79</v>
      </c>
      <c r="Q102" t="s">
        <v>114</v>
      </c>
      <c r="R102" t="str">
        <f t="shared" si="1"/>
        <v>MAMAAF01</v>
      </c>
      <c r="S102" t="s">
        <v>302</v>
      </c>
      <c r="T102" t="s">
        <v>303</v>
      </c>
      <c r="U102" t="s">
        <v>304</v>
      </c>
      <c r="V102" t="s">
        <v>305</v>
      </c>
    </row>
    <row r="103" spans="2:22" x14ac:dyDescent="0.25">
      <c r="B103" s="20" t="s">
        <v>306</v>
      </c>
      <c r="C103">
        <v>200</v>
      </c>
      <c r="O103" t="s">
        <v>279</v>
      </c>
      <c r="P103" t="s">
        <v>79</v>
      </c>
      <c r="Q103" t="s">
        <v>120</v>
      </c>
      <c r="R103" t="str">
        <f t="shared" si="1"/>
        <v>MAMAAG01</v>
      </c>
      <c r="S103" t="s">
        <v>307</v>
      </c>
      <c r="T103" t="s">
        <v>308</v>
      </c>
      <c r="U103" t="s">
        <v>309</v>
      </c>
      <c r="V103" t="s">
        <v>310</v>
      </c>
    </row>
    <row r="104" spans="2:22" x14ac:dyDescent="0.25">
      <c r="B104" s="20" t="s">
        <v>191</v>
      </c>
      <c r="C104">
        <v>30</v>
      </c>
      <c r="O104" t="s">
        <v>279</v>
      </c>
      <c r="P104" t="s">
        <v>79</v>
      </c>
      <c r="Q104" t="s">
        <v>125</v>
      </c>
      <c r="R104" t="str">
        <f t="shared" si="1"/>
        <v>MAMAAH01</v>
      </c>
      <c r="S104" t="s">
        <v>311</v>
      </c>
      <c r="T104" t="s">
        <v>312</v>
      </c>
      <c r="U104" t="s">
        <v>313</v>
      </c>
      <c r="V104" t="s">
        <v>314</v>
      </c>
    </row>
    <row r="105" spans="2:22" x14ac:dyDescent="0.25">
      <c r="O105" t="s">
        <v>279</v>
      </c>
      <c r="P105" t="s">
        <v>79</v>
      </c>
      <c r="Q105" t="s">
        <v>129</v>
      </c>
      <c r="R105" t="str">
        <f t="shared" si="1"/>
        <v>MAMAAA02</v>
      </c>
      <c r="S105" t="s">
        <v>315</v>
      </c>
      <c r="T105" t="s">
        <v>316</v>
      </c>
      <c r="U105" t="s">
        <v>317</v>
      </c>
      <c r="V105" t="s">
        <v>318</v>
      </c>
    </row>
    <row r="106" spans="2:22" x14ac:dyDescent="0.25">
      <c r="B106" s="20" t="s">
        <v>159</v>
      </c>
      <c r="O106" t="s">
        <v>279</v>
      </c>
      <c r="P106" t="s">
        <v>79</v>
      </c>
      <c r="Q106" t="s">
        <v>132</v>
      </c>
      <c r="R106" t="str">
        <f t="shared" si="1"/>
        <v>MAMAAB02</v>
      </c>
      <c r="S106" t="s">
        <v>319</v>
      </c>
      <c r="T106" t="s">
        <v>320</v>
      </c>
      <c r="U106" t="s">
        <v>321</v>
      </c>
      <c r="V106" t="s">
        <v>322</v>
      </c>
    </row>
    <row r="107" spans="2:22" x14ac:dyDescent="0.25">
      <c r="B107" s="20" t="s">
        <v>245</v>
      </c>
      <c r="C107">
        <v>0.7</v>
      </c>
      <c r="O107" t="s">
        <v>279</v>
      </c>
      <c r="P107" t="s">
        <v>79</v>
      </c>
      <c r="Q107" t="s">
        <v>134</v>
      </c>
      <c r="R107" t="str">
        <f t="shared" si="1"/>
        <v>MAMAAC02</v>
      </c>
      <c r="S107" t="s">
        <v>323</v>
      </c>
      <c r="T107" t="s">
        <v>324</v>
      </c>
      <c r="U107" t="s">
        <v>325</v>
      </c>
      <c r="V107" t="s">
        <v>326</v>
      </c>
    </row>
    <row r="108" spans="2:22" x14ac:dyDescent="0.25">
      <c r="B108" s="20" t="s">
        <v>247</v>
      </c>
      <c r="C108">
        <v>0.3</v>
      </c>
      <c r="O108" t="s">
        <v>279</v>
      </c>
      <c r="P108" t="s">
        <v>79</v>
      </c>
      <c r="Q108" t="s">
        <v>137</v>
      </c>
      <c r="R108" t="str">
        <f t="shared" si="1"/>
        <v>MAMAAD02</v>
      </c>
      <c r="S108" t="s">
        <v>327</v>
      </c>
      <c r="T108" t="s">
        <v>328</v>
      </c>
      <c r="U108" t="s">
        <v>329</v>
      </c>
      <c r="V108" t="s">
        <v>330</v>
      </c>
    </row>
    <row r="109" spans="2:22" x14ac:dyDescent="0.25">
      <c r="B109" s="20" t="s">
        <v>249</v>
      </c>
      <c r="C109">
        <v>0.5</v>
      </c>
      <c r="O109" t="s">
        <v>279</v>
      </c>
      <c r="P109" t="s">
        <v>79</v>
      </c>
      <c r="Q109" t="s">
        <v>140</v>
      </c>
      <c r="R109" t="str">
        <f t="shared" si="1"/>
        <v>MAMAAE02</v>
      </c>
      <c r="S109" t="s">
        <v>331</v>
      </c>
      <c r="T109" t="s">
        <v>332</v>
      </c>
      <c r="U109" t="s">
        <v>333</v>
      </c>
      <c r="V109" t="s">
        <v>334</v>
      </c>
    </row>
    <row r="110" spans="2:22" x14ac:dyDescent="0.25">
      <c r="B110" s="20" t="s">
        <v>251</v>
      </c>
      <c r="C110">
        <v>1.4</v>
      </c>
      <c r="O110" t="s">
        <v>279</v>
      </c>
      <c r="P110" t="s">
        <v>79</v>
      </c>
      <c r="Q110" t="s">
        <v>142</v>
      </c>
      <c r="R110" t="str">
        <f t="shared" si="1"/>
        <v>MAMAAF02</v>
      </c>
      <c r="S110" t="s">
        <v>335</v>
      </c>
      <c r="T110" t="s">
        <v>336</v>
      </c>
      <c r="U110" t="s">
        <v>337</v>
      </c>
      <c r="V110" t="s">
        <v>338</v>
      </c>
    </row>
    <row r="111" spans="2:22" x14ac:dyDescent="0.25">
      <c r="B111" s="20" t="s">
        <v>253</v>
      </c>
      <c r="C111">
        <v>0.7</v>
      </c>
      <c r="O111" t="s">
        <v>279</v>
      </c>
      <c r="P111" t="s">
        <v>79</v>
      </c>
      <c r="Q111" t="s">
        <v>144</v>
      </c>
      <c r="R111" t="str">
        <f t="shared" si="1"/>
        <v>MAMAAG02</v>
      </c>
      <c r="S111" t="s">
        <v>339</v>
      </c>
      <c r="T111" t="s">
        <v>340</v>
      </c>
      <c r="U111" t="s">
        <v>341</v>
      </c>
      <c r="V111" t="s">
        <v>342</v>
      </c>
    </row>
    <row r="112" spans="2:22" x14ac:dyDescent="0.25">
      <c r="B112" s="20" t="s">
        <v>255</v>
      </c>
      <c r="C112">
        <v>5</v>
      </c>
      <c r="O112" t="s">
        <v>279</v>
      </c>
      <c r="P112" t="s">
        <v>79</v>
      </c>
      <c r="Q112" t="s">
        <v>148</v>
      </c>
      <c r="R112" t="str">
        <f t="shared" si="1"/>
        <v>MAMAAH02</v>
      </c>
      <c r="S112" t="s">
        <v>343</v>
      </c>
      <c r="T112" t="s">
        <v>344</v>
      </c>
      <c r="U112" t="s">
        <v>345</v>
      </c>
      <c r="V112" t="s">
        <v>346</v>
      </c>
    </row>
    <row r="113" spans="2:22" x14ac:dyDescent="0.25">
      <c r="B113" s="20" t="s">
        <v>257</v>
      </c>
      <c r="C113">
        <v>0.75</v>
      </c>
      <c r="O113" t="s">
        <v>279</v>
      </c>
      <c r="P113" t="s">
        <v>79</v>
      </c>
      <c r="Q113" t="s">
        <v>153</v>
      </c>
      <c r="R113" t="str">
        <f t="shared" si="1"/>
        <v>MAMAAA03</v>
      </c>
      <c r="S113" t="s">
        <v>347</v>
      </c>
      <c r="T113" t="s">
        <v>348</v>
      </c>
      <c r="U113" t="s">
        <v>349</v>
      </c>
      <c r="V113" t="s">
        <v>350</v>
      </c>
    </row>
    <row r="114" spans="2:22" x14ac:dyDescent="0.25">
      <c r="B114" s="20" t="s">
        <v>199</v>
      </c>
      <c r="C114">
        <v>1.25</v>
      </c>
      <c r="O114" t="s">
        <v>279</v>
      </c>
      <c r="P114" t="s">
        <v>79</v>
      </c>
      <c r="Q114" t="s">
        <v>157</v>
      </c>
      <c r="R114" t="str">
        <f t="shared" si="1"/>
        <v>MAMAAB03</v>
      </c>
      <c r="S114" t="s">
        <v>351</v>
      </c>
      <c r="T114" t="s">
        <v>352</v>
      </c>
      <c r="U114" t="s">
        <v>353</v>
      </c>
      <c r="V114" t="s">
        <v>354</v>
      </c>
    </row>
    <row r="115" spans="2:22" x14ac:dyDescent="0.25">
      <c r="B115" s="20" t="s">
        <v>260</v>
      </c>
      <c r="C115">
        <v>1</v>
      </c>
      <c r="O115" t="s">
        <v>279</v>
      </c>
      <c r="P115" t="s">
        <v>79</v>
      </c>
      <c r="Q115" t="s">
        <v>161</v>
      </c>
      <c r="R115" t="str">
        <f t="shared" si="1"/>
        <v>MAMAAC03</v>
      </c>
      <c r="S115" t="s">
        <v>355</v>
      </c>
      <c r="T115" t="s">
        <v>356</v>
      </c>
      <c r="U115" t="s">
        <v>357</v>
      </c>
      <c r="V115" t="s">
        <v>358</v>
      </c>
    </row>
    <row r="116" spans="2:22" x14ac:dyDescent="0.25">
      <c r="B116" s="20" t="s">
        <v>262</v>
      </c>
      <c r="C116">
        <v>5</v>
      </c>
      <c r="O116" t="s">
        <v>279</v>
      </c>
      <c r="P116" t="s">
        <v>79</v>
      </c>
      <c r="Q116" t="s">
        <v>162</v>
      </c>
      <c r="R116" t="str">
        <f t="shared" si="1"/>
        <v>MAMAAD03</v>
      </c>
      <c r="S116" t="s">
        <v>359</v>
      </c>
      <c r="T116" t="s">
        <v>360</v>
      </c>
      <c r="U116" t="s">
        <v>361</v>
      </c>
      <c r="V116" t="s">
        <v>362</v>
      </c>
    </row>
    <row r="117" spans="2:22" x14ac:dyDescent="0.25">
      <c r="B117" s="20" t="s">
        <v>264</v>
      </c>
      <c r="C117">
        <v>3.15</v>
      </c>
      <c r="O117" t="s">
        <v>279</v>
      </c>
      <c r="P117" t="s">
        <v>79</v>
      </c>
      <c r="Q117" t="s">
        <v>163</v>
      </c>
      <c r="R117" t="str">
        <f t="shared" si="1"/>
        <v>MAMAAE03</v>
      </c>
      <c r="S117" t="s">
        <v>363</v>
      </c>
      <c r="T117" t="s">
        <v>364</v>
      </c>
      <c r="U117" t="s">
        <v>365</v>
      </c>
      <c r="V117" t="s">
        <v>366</v>
      </c>
    </row>
    <row r="118" spans="2:22" x14ac:dyDescent="0.25">
      <c r="B118" s="20" t="s">
        <v>266</v>
      </c>
      <c r="C118">
        <v>1</v>
      </c>
      <c r="O118" t="s">
        <v>279</v>
      </c>
      <c r="P118" t="s">
        <v>79</v>
      </c>
      <c r="Q118" t="s">
        <v>164</v>
      </c>
      <c r="R118" t="str">
        <f t="shared" si="1"/>
        <v>MAMAAF03</v>
      </c>
      <c r="S118" t="s">
        <v>367</v>
      </c>
      <c r="T118" t="s">
        <v>368</v>
      </c>
      <c r="U118" t="s">
        <v>369</v>
      </c>
      <c r="V118" t="s">
        <v>370</v>
      </c>
    </row>
    <row r="119" spans="2:22" x14ac:dyDescent="0.25">
      <c r="B119" s="20" t="s">
        <v>268</v>
      </c>
      <c r="C119">
        <v>0.97499999999999998</v>
      </c>
      <c r="O119" t="s">
        <v>279</v>
      </c>
      <c r="P119" t="s">
        <v>79</v>
      </c>
      <c r="Q119" t="s">
        <v>165</v>
      </c>
      <c r="R119" t="str">
        <f t="shared" si="1"/>
        <v>MAMAAG03</v>
      </c>
      <c r="S119" t="s">
        <v>371</v>
      </c>
      <c r="T119" t="s">
        <v>372</v>
      </c>
      <c r="U119" t="s">
        <v>373</v>
      </c>
      <c r="V119" t="s">
        <v>374</v>
      </c>
    </row>
    <row r="120" spans="2:22" x14ac:dyDescent="0.25">
      <c r="B120" s="20" t="s">
        <v>270</v>
      </c>
      <c r="C120">
        <v>1.2</v>
      </c>
      <c r="O120" t="s">
        <v>279</v>
      </c>
      <c r="P120" t="s">
        <v>79</v>
      </c>
      <c r="Q120" t="s">
        <v>166</v>
      </c>
      <c r="R120" t="str">
        <f t="shared" si="1"/>
        <v>MAMAAH03</v>
      </c>
      <c r="S120" t="s">
        <v>375</v>
      </c>
      <c r="T120" t="s">
        <v>376</v>
      </c>
      <c r="U120" t="s">
        <v>377</v>
      </c>
      <c r="V120" t="s">
        <v>378</v>
      </c>
    </row>
    <row r="121" spans="2:22" x14ac:dyDescent="0.25">
      <c r="B121" s="20" t="s">
        <v>272</v>
      </c>
      <c r="C121">
        <v>10</v>
      </c>
      <c r="O121" t="s">
        <v>279</v>
      </c>
      <c r="P121" t="s">
        <v>79</v>
      </c>
      <c r="Q121" t="s">
        <v>167</v>
      </c>
      <c r="R121" t="str">
        <f t="shared" si="1"/>
        <v>MAMAAA04</v>
      </c>
      <c r="S121" t="s">
        <v>379</v>
      </c>
      <c r="T121" t="s">
        <v>380</v>
      </c>
      <c r="U121" t="s">
        <v>381</v>
      </c>
      <c r="V121" t="s">
        <v>382</v>
      </c>
    </row>
    <row r="122" spans="2:22" x14ac:dyDescent="0.25">
      <c r="B122" s="20" t="s">
        <v>274</v>
      </c>
      <c r="C122">
        <v>2.5</v>
      </c>
      <c r="O122" t="s">
        <v>279</v>
      </c>
      <c r="P122" t="s">
        <v>79</v>
      </c>
      <c r="Q122" t="s">
        <v>168</v>
      </c>
      <c r="R122" t="str">
        <f t="shared" si="1"/>
        <v>MAMAAB04</v>
      </c>
      <c r="S122" t="s">
        <v>383</v>
      </c>
      <c r="T122" t="s">
        <v>384</v>
      </c>
      <c r="U122" t="s">
        <v>385</v>
      </c>
      <c r="V122" t="s">
        <v>386</v>
      </c>
    </row>
    <row r="123" spans="2:22" x14ac:dyDescent="0.25">
      <c r="B123" s="20" t="s">
        <v>276</v>
      </c>
      <c r="C123">
        <v>10</v>
      </c>
      <c r="O123" t="s">
        <v>279</v>
      </c>
      <c r="P123" t="s">
        <v>79</v>
      </c>
      <c r="Q123" t="s">
        <v>169</v>
      </c>
      <c r="R123" t="str">
        <f t="shared" si="1"/>
        <v>MAMAAC04</v>
      </c>
      <c r="S123" t="s">
        <v>387</v>
      </c>
      <c r="T123" t="s">
        <v>388</v>
      </c>
      <c r="U123" t="s">
        <v>389</v>
      </c>
      <c r="V123" t="s">
        <v>390</v>
      </c>
    </row>
    <row r="124" spans="2:22" x14ac:dyDescent="0.25">
      <c r="B124" s="20" t="s">
        <v>278</v>
      </c>
      <c r="C124">
        <v>2.5</v>
      </c>
      <c r="O124" t="s">
        <v>279</v>
      </c>
      <c r="P124" t="s">
        <v>79</v>
      </c>
      <c r="Q124" t="s">
        <v>173</v>
      </c>
      <c r="R124" t="str">
        <f t="shared" si="1"/>
        <v>MAMAAD04</v>
      </c>
      <c r="S124" t="s">
        <v>391</v>
      </c>
      <c r="T124" t="s">
        <v>392</v>
      </c>
      <c r="U124" t="s">
        <v>393</v>
      </c>
      <c r="V124" t="s">
        <v>394</v>
      </c>
    </row>
    <row r="125" spans="2:22" x14ac:dyDescent="0.25">
      <c r="B125" s="20" t="s">
        <v>270</v>
      </c>
      <c r="C125">
        <v>2.4</v>
      </c>
      <c r="O125" t="s">
        <v>279</v>
      </c>
      <c r="P125" t="s">
        <v>79</v>
      </c>
      <c r="Q125" t="s">
        <v>174</v>
      </c>
      <c r="R125" t="str">
        <f t="shared" si="1"/>
        <v>MAMAAE04</v>
      </c>
      <c r="S125" t="s">
        <v>395</v>
      </c>
      <c r="T125" t="s">
        <v>396</v>
      </c>
      <c r="U125" t="s">
        <v>397</v>
      </c>
      <c r="V125" t="s">
        <v>398</v>
      </c>
    </row>
    <row r="126" spans="2:22" x14ac:dyDescent="0.25">
      <c r="B126" s="20" t="s">
        <v>191</v>
      </c>
      <c r="C126">
        <v>22.6</v>
      </c>
      <c r="O126" t="s">
        <v>279</v>
      </c>
      <c r="P126" t="s">
        <v>79</v>
      </c>
      <c r="Q126" t="s">
        <v>175</v>
      </c>
      <c r="R126" t="str">
        <f t="shared" si="1"/>
        <v>MAMAAF04</v>
      </c>
      <c r="S126" t="s">
        <v>399</v>
      </c>
      <c r="T126" t="s">
        <v>400</v>
      </c>
      <c r="U126" t="s">
        <v>401</v>
      </c>
      <c r="V126" t="s">
        <v>402</v>
      </c>
    </row>
    <row r="127" spans="2:22" x14ac:dyDescent="0.25">
      <c r="B127" s="20" t="s">
        <v>292</v>
      </c>
      <c r="C127">
        <v>40</v>
      </c>
      <c r="O127" t="s">
        <v>279</v>
      </c>
      <c r="P127" t="s">
        <v>79</v>
      </c>
      <c r="Q127" t="s">
        <v>176</v>
      </c>
      <c r="R127" t="str">
        <f t="shared" si="1"/>
        <v>MAMAAG04</v>
      </c>
      <c r="S127" t="s">
        <v>403</v>
      </c>
      <c r="T127" t="s">
        <v>404</v>
      </c>
      <c r="U127" t="s">
        <v>405</v>
      </c>
      <c r="V127" t="s">
        <v>406</v>
      </c>
    </row>
    <row r="128" spans="2:22" x14ac:dyDescent="0.25">
      <c r="B128" s="20" t="s">
        <v>191</v>
      </c>
      <c r="C128">
        <v>50</v>
      </c>
      <c r="O128" t="s">
        <v>279</v>
      </c>
      <c r="P128" t="s">
        <v>79</v>
      </c>
      <c r="Q128" t="s">
        <v>177</v>
      </c>
      <c r="R128" t="str">
        <f t="shared" si="1"/>
        <v>MAMAAH04</v>
      </c>
      <c r="S128" t="s">
        <v>407</v>
      </c>
      <c r="T128" t="s">
        <v>408</v>
      </c>
      <c r="U128" t="s">
        <v>409</v>
      </c>
      <c r="V128" t="s">
        <v>410</v>
      </c>
    </row>
    <row r="129" spans="2:22" x14ac:dyDescent="0.25">
      <c r="B129" s="20" t="s">
        <v>301</v>
      </c>
      <c r="C129">
        <v>40</v>
      </c>
      <c r="O129" t="s">
        <v>279</v>
      </c>
      <c r="P129" t="s">
        <v>79</v>
      </c>
      <c r="Q129" t="s">
        <v>178</v>
      </c>
      <c r="R129" t="str">
        <f t="shared" ref="R129:R192" si="2">O129&amp;P129&amp;Q129</f>
        <v>MAMAAA05</v>
      </c>
      <c r="S129" t="s">
        <v>411</v>
      </c>
      <c r="T129" t="s">
        <v>412</v>
      </c>
      <c r="U129" t="s">
        <v>413</v>
      </c>
      <c r="V129" t="s">
        <v>414</v>
      </c>
    </row>
    <row r="130" spans="2:22" x14ac:dyDescent="0.25">
      <c r="B130" s="20" t="s">
        <v>306</v>
      </c>
      <c r="C130">
        <v>200</v>
      </c>
      <c r="O130" t="s">
        <v>279</v>
      </c>
      <c r="P130" t="s">
        <v>79</v>
      </c>
      <c r="Q130" t="s">
        <v>179</v>
      </c>
      <c r="R130" t="str">
        <f t="shared" si="2"/>
        <v>MAMAAB05</v>
      </c>
      <c r="S130" t="s">
        <v>415</v>
      </c>
      <c r="T130" t="s">
        <v>416</v>
      </c>
      <c r="U130" t="s">
        <v>417</v>
      </c>
      <c r="V130" t="s">
        <v>418</v>
      </c>
    </row>
    <row r="131" spans="2:22" x14ac:dyDescent="0.25">
      <c r="B131" s="20" t="s">
        <v>191</v>
      </c>
      <c r="C131">
        <v>15</v>
      </c>
      <c r="O131" t="s">
        <v>279</v>
      </c>
      <c r="P131" t="s">
        <v>79</v>
      </c>
      <c r="Q131" t="s">
        <v>180</v>
      </c>
      <c r="R131" t="str">
        <f t="shared" si="2"/>
        <v>MAMAAC05</v>
      </c>
      <c r="S131" t="s">
        <v>419</v>
      </c>
      <c r="T131" t="s">
        <v>420</v>
      </c>
      <c r="U131" t="s">
        <v>421</v>
      </c>
      <c r="V131" t="s">
        <v>422</v>
      </c>
    </row>
    <row r="132" spans="2:22" x14ac:dyDescent="0.25">
      <c r="O132" t="s">
        <v>279</v>
      </c>
      <c r="P132" t="s">
        <v>79</v>
      </c>
      <c r="Q132" t="s">
        <v>181</v>
      </c>
      <c r="R132" t="str">
        <f t="shared" si="2"/>
        <v>MAMAAD05</v>
      </c>
      <c r="S132" t="s">
        <v>423</v>
      </c>
      <c r="T132" t="s">
        <v>424</v>
      </c>
      <c r="U132" t="s">
        <v>425</v>
      </c>
      <c r="V132" t="s">
        <v>426</v>
      </c>
    </row>
    <row r="133" spans="2:22" x14ac:dyDescent="0.25">
      <c r="O133" t="s">
        <v>279</v>
      </c>
      <c r="P133" t="s">
        <v>79</v>
      </c>
      <c r="Q133" t="s">
        <v>182</v>
      </c>
      <c r="R133" t="str">
        <f t="shared" si="2"/>
        <v>MAMAAE05</v>
      </c>
      <c r="S133" t="s">
        <v>427</v>
      </c>
      <c r="T133" t="s">
        <v>428</v>
      </c>
      <c r="U133" t="s">
        <v>429</v>
      </c>
      <c r="V133" t="s">
        <v>430</v>
      </c>
    </row>
    <row r="134" spans="2:22" x14ac:dyDescent="0.25">
      <c r="O134" t="s">
        <v>279</v>
      </c>
      <c r="P134" t="s">
        <v>79</v>
      </c>
      <c r="Q134" t="s">
        <v>184</v>
      </c>
      <c r="R134" t="str">
        <f t="shared" si="2"/>
        <v>MAMAAF05</v>
      </c>
      <c r="S134" t="s">
        <v>431</v>
      </c>
      <c r="T134" t="s">
        <v>432</v>
      </c>
      <c r="U134" t="s">
        <v>433</v>
      </c>
      <c r="V134" t="s">
        <v>434</v>
      </c>
    </row>
    <row r="135" spans="2:22" x14ac:dyDescent="0.25">
      <c r="O135" t="s">
        <v>279</v>
      </c>
      <c r="P135" t="s">
        <v>79</v>
      </c>
      <c r="Q135" t="s">
        <v>186</v>
      </c>
      <c r="R135" t="str">
        <f t="shared" si="2"/>
        <v>MAMAAG05</v>
      </c>
      <c r="S135" t="s">
        <v>435</v>
      </c>
      <c r="T135" t="s">
        <v>436</v>
      </c>
      <c r="U135" t="s">
        <v>437</v>
      </c>
      <c r="V135" t="s">
        <v>438</v>
      </c>
    </row>
    <row r="136" spans="2:22" x14ac:dyDescent="0.25">
      <c r="O136" t="s">
        <v>279</v>
      </c>
      <c r="P136" t="s">
        <v>79</v>
      </c>
      <c r="Q136" t="s">
        <v>188</v>
      </c>
      <c r="R136" t="str">
        <f t="shared" si="2"/>
        <v>MAMAAH05</v>
      </c>
      <c r="S136" t="s">
        <v>439</v>
      </c>
      <c r="T136" t="s">
        <v>440</v>
      </c>
      <c r="U136" t="s">
        <v>441</v>
      </c>
      <c r="V136" t="s">
        <v>442</v>
      </c>
    </row>
    <row r="137" spans="2:22" x14ac:dyDescent="0.25">
      <c r="O137" t="s">
        <v>279</v>
      </c>
      <c r="P137" t="s">
        <v>79</v>
      </c>
      <c r="Q137" t="s">
        <v>190</v>
      </c>
      <c r="R137" t="str">
        <f t="shared" si="2"/>
        <v>MAMAAA06</v>
      </c>
      <c r="S137" t="s">
        <v>443</v>
      </c>
      <c r="T137" t="s">
        <v>444</v>
      </c>
      <c r="U137" t="s">
        <v>445</v>
      </c>
      <c r="V137" t="s">
        <v>446</v>
      </c>
    </row>
    <row r="138" spans="2:22" x14ac:dyDescent="0.25">
      <c r="O138" t="s">
        <v>279</v>
      </c>
      <c r="P138" t="s">
        <v>79</v>
      </c>
      <c r="Q138" t="s">
        <v>192</v>
      </c>
      <c r="R138" t="str">
        <f t="shared" si="2"/>
        <v>MAMAAB06</v>
      </c>
      <c r="S138" t="s">
        <v>447</v>
      </c>
      <c r="T138" t="s">
        <v>448</v>
      </c>
      <c r="U138" t="s">
        <v>449</v>
      </c>
      <c r="V138" t="s">
        <v>450</v>
      </c>
    </row>
    <row r="139" spans="2:22" x14ac:dyDescent="0.25">
      <c r="O139" t="s">
        <v>279</v>
      </c>
      <c r="P139" t="s">
        <v>79</v>
      </c>
      <c r="Q139" t="s">
        <v>194</v>
      </c>
      <c r="R139" t="str">
        <f t="shared" si="2"/>
        <v>MAMAAC06</v>
      </c>
      <c r="S139" t="s">
        <v>451</v>
      </c>
      <c r="T139" t="s">
        <v>452</v>
      </c>
      <c r="U139" t="s">
        <v>453</v>
      </c>
      <c r="V139" t="s">
        <v>454</v>
      </c>
    </row>
    <row r="140" spans="2:22" x14ac:dyDescent="0.25">
      <c r="O140" t="s">
        <v>279</v>
      </c>
      <c r="P140" t="s">
        <v>79</v>
      </c>
      <c r="Q140" t="s">
        <v>196</v>
      </c>
      <c r="R140" t="str">
        <f t="shared" si="2"/>
        <v>MAMAAD06</v>
      </c>
      <c r="S140" t="s">
        <v>455</v>
      </c>
      <c r="T140" t="s">
        <v>456</v>
      </c>
      <c r="U140" t="s">
        <v>457</v>
      </c>
      <c r="V140" t="s">
        <v>458</v>
      </c>
    </row>
    <row r="141" spans="2:22" x14ac:dyDescent="0.25">
      <c r="O141" t="s">
        <v>279</v>
      </c>
      <c r="P141" t="s">
        <v>79</v>
      </c>
      <c r="Q141" t="s">
        <v>198</v>
      </c>
      <c r="R141" t="str">
        <f t="shared" si="2"/>
        <v>MAMAAE06</v>
      </c>
      <c r="S141" t="s">
        <v>459</v>
      </c>
      <c r="T141" t="s">
        <v>460</v>
      </c>
      <c r="U141" t="s">
        <v>461</v>
      </c>
      <c r="V141" t="s">
        <v>462</v>
      </c>
    </row>
    <row r="142" spans="2:22" x14ac:dyDescent="0.25">
      <c r="O142" t="s">
        <v>279</v>
      </c>
      <c r="P142" t="s">
        <v>79</v>
      </c>
      <c r="Q142" t="s">
        <v>200</v>
      </c>
      <c r="R142" t="str">
        <f t="shared" si="2"/>
        <v>MAMAAF06</v>
      </c>
      <c r="S142" t="s">
        <v>463</v>
      </c>
      <c r="T142" t="s">
        <v>464</v>
      </c>
      <c r="U142" t="s">
        <v>465</v>
      </c>
      <c r="V142" t="s">
        <v>466</v>
      </c>
    </row>
    <row r="143" spans="2:22" x14ac:dyDescent="0.25">
      <c r="O143" t="s">
        <v>279</v>
      </c>
      <c r="P143" t="s">
        <v>79</v>
      </c>
      <c r="Q143" t="s">
        <v>202</v>
      </c>
      <c r="R143" t="str">
        <f t="shared" si="2"/>
        <v>MAMAAG06</v>
      </c>
      <c r="S143" t="s">
        <v>467</v>
      </c>
      <c r="T143" t="s">
        <v>468</v>
      </c>
      <c r="U143" t="s">
        <v>469</v>
      </c>
      <c r="V143" t="s">
        <v>470</v>
      </c>
    </row>
    <row r="144" spans="2:22" x14ac:dyDescent="0.25">
      <c r="O144" t="s">
        <v>279</v>
      </c>
      <c r="P144" t="s">
        <v>79</v>
      </c>
      <c r="Q144" t="s">
        <v>204</v>
      </c>
      <c r="R144" t="str">
        <f t="shared" si="2"/>
        <v>MAMAAH06</v>
      </c>
      <c r="S144" t="s">
        <v>471</v>
      </c>
      <c r="T144" t="s">
        <v>472</v>
      </c>
      <c r="U144" t="s">
        <v>473</v>
      </c>
      <c r="V144" t="s">
        <v>474</v>
      </c>
    </row>
    <row r="145" spans="15:22" x14ac:dyDescent="0.25">
      <c r="O145" t="s">
        <v>279</v>
      </c>
      <c r="P145" t="s">
        <v>79</v>
      </c>
      <c r="Q145" t="s">
        <v>206</v>
      </c>
      <c r="R145" t="str">
        <f t="shared" si="2"/>
        <v>MAMAAA07</v>
      </c>
      <c r="S145" t="s">
        <v>475</v>
      </c>
      <c r="T145" t="s">
        <v>476</v>
      </c>
      <c r="U145" t="s">
        <v>477</v>
      </c>
      <c r="V145" t="s">
        <v>478</v>
      </c>
    </row>
    <row r="146" spans="15:22" x14ac:dyDescent="0.25">
      <c r="O146" t="s">
        <v>279</v>
      </c>
      <c r="P146" t="s">
        <v>79</v>
      </c>
      <c r="Q146" t="s">
        <v>208</v>
      </c>
      <c r="R146" t="str">
        <f t="shared" si="2"/>
        <v>MAMAAB07</v>
      </c>
      <c r="S146" t="s">
        <v>479</v>
      </c>
      <c r="T146" t="s">
        <v>480</v>
      </c>
      <c r="U146" t="s">
        <v>481</v>
      </c>
      <c r="V146" t="s">
        <v>482</v>
      </c>
    </row>
    <row r="147" spans="15:22" x14ac:dyDescent="0.25">
      <c r="O147" t="s">
        <v>279</v>
      </c>
      <c r="P147" t="s">
        <v>79</v>
      </c>
      <c r="Q147" t="s">
        <v>210</v>
      </c>
      <c r="R147" t="str">
        <f t="shared" si="2"/>
        <v>MAMAAC07</v>
      </c>
      <c r="S147" t="s">
        <v>483</v>
      </c>
      <c r="T147" t="s">
        <v>484</v>
      </c>
      <c r="U147" t="s">
        <v>485</v>
      </c>
      <c r="V147" t="s">
        <v>486</v>
      </c>
    </row>
    <row r="148" spans="15:22" x14ac:dyDescent="0.25">
      <c r="O148" t="s">
        <v>279</v>
      </c>
      <c r="P148" t="s">
        <v>79</v>
      </c>
      <c r="Q148" t="s">
        <v>212</v>
      </c>
      <c r="R148" t="str">
        <f t="shared" si="2"/>
        <v>MAMAAD07</v>
      </c>
      <c r="S148" t="s">
        <v>487</v>
      </c>
      <c r="T148" t="s">
        <v>488</v>
      </c>
      <c r="U148" t="s">
        <v>489</v>
      </c>
      <c r="V148" t="s">
        <v>490</v>
      </c>
    </row>
    <row r="149" spans="15:22" x14ac:dyDescent="0.25">
      <c r="O149" t="s">
        <v>279</v>
      </c>
      <c r="P149" t="s">
        <v>79</v>
      </c>
      <c r="Q149" t="s">
        <v>213</v>
      </c>
      <c r="R149" t="str">
        <f t="shared" si="2"/>
        <v>MAMAAE07</v>
      </c>
      <c r="S149" t="s">
        <v>491</v>
      </c>
      <c r="T149" t="s">
        <v>492</v>
      </c>
      <c r="U149" t="s">
        <v>493</v>
      </c>
      <c r="V149" t="s">
        <v>494</v>
      </c>
    </row>
    <row r="150" spans="15:22" x14ac:dyDescent="0.25">
      <c r="O150" t="s">
        <v>279</v>
      </c>
      <c r="P150" t="s">
        <v>79</v>
      </c>
      <c r="Q150" t="s">
        <v>215</v>
      </c>
      <c r="R150" t="str">
        <f t="shared" si="2"/>
        <v>MAMAAF07</v>
      </c>
      <c r="S150" t="s">
        <v>495</v>
      </c>
      <c r="T150" t="s">
        <v>496</v>
      </c>
      <c r="U150" t="s">
        <v>497</v>
      </c>
      <c r="V150" t="s">
        <v>498</v>
      </c>
    </row>
    <row r="151" spans="15:22" x14ac:dyDescent="0.25">
      <c r="O151" t="s">
        <v>279</v>
      </c>
      <c r="P151" t="s">
        <v>79</v>
      </c>
      <c r="Q151" t="s">
        <v>217</v>
      </c>
      <c r="R151" t="str">
        <f t="shared" si="2"/>
        <v>MAMAAG07</v>
      </c>
      <c r="S151" t="s">
        <v>499</v>
      </c>
      <c r="T151" t="s">
        <v>500</v>
      </c>
      <c r="U151" t="s">
        <v>501</v>
      </c>
      <c r="V151" t="s">
        <v>502</v>
      </c>
    </row>
    <row r="152" spans="15:22" x14ac:dyDescent="0.25">
      <c r="O152" t="s">
        <v>279</v>
      </c>
      <c r="P152" t="s">
        <v>79</v>
      </c>
      <c r="Q152" t="s">
        <v>218</v>
      </c>
      <c r="R152" t="str">
        <f t="shared" si="2"/>
        <v>MAMAAH07</v>
      </c>
      <c r="S152" t="s">
        <v>503</v>
      </c>
      <c r="T152" t="s">
        <v>504</v>
      </c>
      <c r="U152" t="s">
        <v>505</v>
      </c>
      <c r="V152" t="s">
        <v>506</v>
      </c>
    </row>
    <row r="153" spans="15:22" x14ac:dyDescent="0.25">
      <c r="O153" t="s">
        <v>279</v>
      </c>
      <c r="P153" t="s">
        <v>79</v>
      </c>
      <c r="Q153" t="s">
        <v>219</v>
      </c>
      <c r="R153" t="str">
        <f t="shared" si="2"/>
        <v>MAMAAA08</v>
      </c>
      <c r="S153" t="s">
        <v>507</v>
      </c>
      <c r="T153" t="s">
        <v>508</v>
      </c>
      <c r="U153" t="s">
        <v>509</v>
      </c>
      <c r="V153" t="s">
        <v>510</v>
      </c>
    </row>
    <row r="154" spans="15:22" x14ac:dyDescent="0.25">
      <c r="O154" t="s">
        <v>279</v>
      </c>
      <c r="P154" t="s">
        <v>79</v>
      </c>
      <c r="Q154" t="s">
        <v>220</v>
      </c>
      <c r="R154" t="str">
        <f t="shared" si="2"/>
        <v>MAMAAB08</v>
      </c>
      <c r="S154" t="s">
        <v>511</v>
      </c>
      <c r="T154" t="s">
        <v>512</v>
      </c>
      <c r="U154" t="s">
        <v>513</v>
      </c>
      <c r="V154" t="s">
        <v>514</v>
      </c>
    </row>
    <row r="155" spans="15:22" x14ac:dyDescent="0.25">
      <c r="O155" t="s">
        <v>279</v>
      </c>
      <c r="P155" t="s">
        <v>79</v>
      </c>
      <c r="Q155" t="s">
        <v>221</v>
      </c>
      <c r="R155" t="str">
        <f t="shared" si="2"/>
        <v>MAMAAC08</v>
      </c>
      <c r="S155" t="s">
        <v>515</v>
      </c>
      <c r="T155" t="s">
        <v>516</v>
      </c>
      <c r="U155" t="s">
        <v>517</v>
      </c>
      <c r="V155" t="s">
        <v>518</v>
      </c>
    </row>
    <row r="156" spans="15:22" x14ac:dyDescent="0.25">
      <c r="O156" t="s">
        <v>279</v>
      </c>
      <c r="P156" t="s">
        <v>79</v>
      </c>
      <c r="Q156" t="s">
        <v>222</v>
      </c>
      <c r="R156" t="str">
        <f t="shared" si="2"/>
        <v>MAMAAD08</v>
      </c>
      <c r="S156" t="s">
        <v>519</v>
      </c>
      <c r="T156" t="s">
        <v>520</v>
      </c>
      <c r="U156" t="s">
        <v>521</v>
      </c>
      <c r="V156" t="s">
        <v>522</v>
      </c>
    </row>
    <row r="157" spans="15:22" x14ac:dyDescent="0.25">
      <c r="O157" t="s">
        <v>279</v>
      </c>
      <c r="P157" t="s">
        <v>79</v>
      </c>
      <c r="Q157" t="s">
        <v>223</v>
      </c>
      <c r="R157" t="str">
        <f t="shared" si="2"/>
        <v>MAMAAE08</v>
      </c>
      <c r="S157" t="s">
        <v>523</v>
      </c>
      <c r="T157" t="s">
        <v>524</v>
      </c>
      <c r="U157" t="s">
        <v>525</v>
      </c>
      <c r="V157" t="s">
        <v>526</v>
      </c>
    </row>
    <row r="158" spans="15:22" x14ac:dyDescent="0.25">
      <c r="O158" t="s">
        <v>279</v>
      </c>
      <c r="P158" t="s">
        <v>79</v>
      </c>
      <c r="Q158" t="s">
        <v>225</v>
      </c>
      <c r="R158" t="str">
        <f t="shared" si="2"/>
        <v>MAMAAF08</v>
      </c>
      <c r="S158" t="s">
        <v>527</v>
      </c>
      <c r="T158" t="s">
        <v>528</v>
      </c>
      <c r="U158" t="s">
        <v>529</v>
      </c>
      <c r="V158" t="s">
        <v>530</v>
      </c>
    </row>
    <row r="159" spans="15:22" x14ac:dyDescent="0.25">
      <c r="O159" t="s">
        <v>279</v>
      </c>
      <c r="P159" t="s">
        <v>79</v>
      </c>
      <c r="Q159" t="s">
        <v>226</v>
      </c>
      <c r="R159" t="str">
        <f t="shared" si="2"/>
        <v>MAMAAG08</v>
      </c>
      <c r="S159" t="s">
        <v>531</v>
      </c>
      <c r="T159" t="s">
        <v>532</v>
      </c>
      <c r="U159" t="s">
        <v>533</v>
      </c>
      <c r="V159" t="s">
        <v>534</v>
      </c>
    </row>
    <row r="160" spans="15:22" x14ac:dyDescent="0.25">
      <c r="O160" t="s">
        <v>279</v>
      </c>
      <c r="P160" t="s">
        <v>79</v>
      </c>
      <c r="Q160" t="s">
        <v>227</v>
      </c>
      <c r="R160" t="str">
        <f t="shared" si="2"/>
        <v>MAMAAH08</v>
      </c>
      <c r="S160" t="s">
        <v>535</v>
      </c>
      <c r="T160" t="s">
        <v>536</v>
      </c>
      <c r="U160" t="s">
        <v>537</v>
      </c>
      <c r="V160" t="s">
        <v>538</v>
      </c>
    </row>
    <row r="161" spans="15:22" x14ac:dyDescent="0.25">
      <c r="O161" t="s">
        <v>279</v>
      </c>
      <c r="P161" t="s">
        <v>79</v>
      </c>
      <c r="Q161" t="s">
        <v>228</v>
      </c>
      <c r="R161" t="str">
        <f t="shared" si="2"/>
        <v>MAMAAA09</v>
      </c>
      <c r="S161" t="s">
        <v>539</v>
      </c>
      <c r="T161" t="s">
        <v>540</v>
      </c>
      <c r="U161" t="s">
        <v>541</v>
      </c>
      <c r="V161" t="s">
        <v>542</v>
      </c>
    </row>
    <row r="162" spans="15:22" x14ac:dyDescent="0.25">
      <c r="O162" t="s">
        <v>279</v>
      </c>
      <c r="P162" t="s">
        <v>79</v>
      </c>
      <c r="Q162" t="s">
        <v>229</v>
      </c>
      <c r="R162" t="str">
        <f t="shared" si="2"/>
        <v>MAMAAB09</v>
      </c>
      <c r="S162" t="s">
        <v>543</v>
      </c>
      <c r="T162" t="s">
        <v>544</v>
      </c>
      <c r="U162" t="s">
        <v>545</v>
      </c>
      <c r="V162" t="s">
        <v>546</v>
      </c>
    </row>
    <row r="163" spans="15:22" x14ac:dyDescent="0.25">
      <c r="O163" t="s">
        <v>279</v>
      </c>
      <c r="P163" t="s">
        <v>79</v>
      </c>
      <c r="Q163" t="s">
        <v>230</v>
      </c>
      <c r="R163" t="str">
        <f t="shared" si="2"/>
        <v>MAMAAC09</v>
      </c>
      <c r="S163" t="s">
        <v>547</v>
      </c>
      <c r="T163" t="s">
        <v>548</v>
      </c>
      <c r="U163" t="s">
        <v>549</v>
      </c>
      <c r="V163" t="s">
        <v>550</v>
      </c>
    </row>
    <row r="164" spans="15:22" x14ac:dyDescent="0.25">
      <c r="O164" t="s">
        <v>279</v>
      </c>
      <c r="P164" t="s">
        <v>79</v>
      </c>
      <c r="Q164" t="s">
        <v>232</v>
      </c>
      <c r="R164" t="str">
        <f t="shared" si="2"/>
        <v>MAMAAD09</v>
      </c>
      <c r="S164" t="s">
        <v>551</v>
      </c>
      <c r="T164" t="s">
        <v>552</v>
      </c>
      <c r="U164" t="s">
        <v>553</v>
      </c>
      <c r="V164" t="s">
        <v>554</v>
      </c>
    </row>
    <row r="165" spans="15:22" x14ac:dyDescent="0.25">
      <c r="O165" t="s">
        <v>279</v>
      </c>
      <c r="P165" t="s">
        <v>79</v>
      </c>
      <c r="Q165" t="s">
        <v>234</v>
      </c>
      <c r="R165" t="str">
        <f t="shared" si="2"/>
        <v>MAMAAE09</v>
      </c>
      <c r="S165" t="s">
        <v>555</v>
      </c>
      <c r="T165" t="s">
        <v>556</v>
      </c>
      <c r="U165" t="s">
        <v>557</v>
      </c>
      <c r="V165" t="s">
        <v>558</v>
      </c>
    </row>
    <row r="166" spans="15:22" x14ac:dyDescent="0.25">
      <c r="O166" t="s">
        <v>279</v>
      </c>
      <c r="P166" t="s">
        <v>79</v>
      </c>
      <c r="Q166" t="s">
        <v>235</v>
      </c>
      <c r="R166" t="str">
        <f t="shared" si="2"/>
        <v>MAMAAF09</v>
      </c>
      <c r="S166" t="s">
        <v>559</v>
      </c>
      <c r="T166" t="s">
        <v>560</v>
      </c>
      <c r="U166" t="s">
        <v>561</v>
      </c>
      <c r="V166" t="s">
        <v>562</v>
      </c>
    </row>
    <row r="167" spans="15:22" x14ac:dyDescent="0.25">
      <c r="O167" t="s">
        <v>279</v>
      </c>
      <c r="P167" t="s">
        <v>79</v>
      </c>
      <c r="Q167" t="s">
        <v>236</v>
      </c>
      <c r="R167" t="str">
        <f t="shared" si="2"/>
        <v>MAMAAG09</v>
      </c>
      <c r="S167" t="s">
        <v>563</v>
      </c>
      <c r="T167" t="s">
        <v>564</v>
      </c>
      <c r="U167" t="s">
        <v>565</v>
      </c>
      <c r="V167" t="s">
        <v>566</v>
      </c>
    </row>
    <row r="168" spans="15:22" x14ac:dyDescent="0.25">
      <c r="O168" t="s">
        <v>279</v>
      </c>
      <c r="P168" t="s">
        <v>79</v>
      </c>
      <c r="Q168" t="s">
        <v>237</v>
      </c>
      <c r="R168" t="str">
        <f t="shared" si="2"/>
        <v>MAMAAH09</v>
      </c>
      <c r="S168" t="s">
        <v>567</v>
      </c>
      <c r="T168" t="s">
        <v>568</v>
      </c>
      <c r="U168" t="s">
        <v>569</v>
      </c>
      <c r="V168" t="s">
        <v>570</v>
      </c>
    </row>
    <row r="169" spans="15:22" x14ac:dyDescent="0.25">
      <c r="O169" t="s">
        <v>279</v>
      </c>
      <c r="P169" t="s">
        <v>79</v>
      </c>
      <c r="Q169" t="s">
        <v>238</v>
      </c>
      <c r="R169" t="str">
        <f t="shared" si="2"/>
        <v>MAMAAA10</v>
      </c>
      <c r="S169" t="s">
        <v>571</v>
      </c>
      <c r="T169" t="s">
        <v>572</v>
      </c>
      <c r="U169" t="s">
        <v>573</v>
      </c>
      <c r="V169" t="s">
        <v>574</v>
      </c>
    </row>
    <row r="170" spans="15:22" x14ac:dyDescent="0.25">
      <c r="O170" t="s">
        <v>279</v>
      </c>
      <c r="P170" t="s">
        <v>79</v>
      </c>
      <c r="Q170" t="s">
        <v>239</v>
      </c>
      <c r="R170" t="str">
        <f t="shared" si="2"/>
        <v>MAMAAB10</v>
      </c>
      <c r="S170" t="s">
        <v>575</v>
      </c>
      <c r="T170" t="s">
        <v>576</v>
      </c>
      <c r="U170" t="s">
        <v>577</v>
      </c>
      <c r="V170" t="s">
        <v>578</v>
      </c>
    </row>
    <row r="171" spans="15:22" x14ac:dyDescent="0.25">
      <c r="O171" t="s">
        <v>279</v>
      </c>
      <c r="P171" t="s">
        <v>79</v>
      </c>
      <c r="Q171" t="s">
        <v>240</v>
      </c>
      <c r="R171" t="str">
        <f t="shared" si="2"/>
        <v>MAMAAC10</v>
      </c>
      <c r="S171" t="s">
        <v>579</v>
      </c>
      <c r="T171" t="s">
        <v>580</v>
      </c>
      <c r="U171" t="s">
        <v>581</v>
      </c>
      <c r="V171" t="s">
        <v>582</v>
      </c>
    </row>
    <row r="172" spans="15:22" x14ac:dyDescent="0.25">
      <c r="O172" t="s">
        <v>279</v>
      </c>
      <c r="P172" t="s">
        <v>79</v>
      </c>
      <c r="Q172" t="s">
        <v>241</v>
      </c>
      <c r="R172" t="str">
        <f t="shared" si="2"/>
        <v>MAMAAD10</v>
      </c>
      <c r="S172" t="s">
        <v>583</v>
      </c>
      <c r="T172" t="s">
        <v>584</v>
      </c>
      <c r="U172" t="s">
        <v>585</v>
      </c>
      <c r="V172" t="s">
        <v>586</v>
      </c>
    </row>
    <row r="173" spans="15:22" x14ac:dyDescent="0.25">
      <c r="O173" t="s">
        <v>279</v>
      </c>
      <c r="P173" t="s">
        <v>79</v>
      </c>
      <c r="Q173" t="s">
        <v>242</v>
      </c>
      <c r="R173" t="str">
        <f t="shared" si="2"/>
        <v>MAMAAE10</v>
      </c>
      <c r="S173" t="s">
        <v>587</v>
      </c>
      <c r="T173" t="s">
        <v>588</v>
      </c>
      <c r="U173" t="s">
        <v>589</v>
      </c>
      <c r="V173" t="s">
        <v>590</v>
      </c>
    </row>
    <row r="174" spans="15:22" x14ac:dyDescent="0.25">
      <c r="O174" t="s">
        <v>279</v>
      </c>
      <c r="P174" t="s">
        <v>79</v>
      </c>
      <c r="Q174" t="s">
        <v>243</v>
      </c>
      <c r="R174" t="str">
        <f t="shared" si="2"/>
        <v>MAMAAF10</v>
      </c>
      <c r="S174" t="s">
        <v>591</v>
      </c>
      <c r="T174" t="s">
        <v>592</v>
      </c>
      <c r="U174" t="s">
        <v>593</v>
      </c>
      <c r="V174" t="s">
        <v>594</v>
      </c>
    </row>
    <row r="175" spans="15:22" x14ac:dyDescent="0.25">
      <c r="O175" t="s">
        <v>279</v>
      </c>
      <c r="P175" t="s">
        <v>79</v>
      </c>
      <c r="Q175" t="s">
        <v>244</v>
      </c>
      <c r="R175" t="str">
        <f t="shared" si="2"/>
        <v>MAMAAG10</v>
      </c>
      <c r="S175" t="s">
        <v>595</v>
      </c>
      <c r="T175" t="s">
        <v>596</v>
      </c>
      <c r="U175" t="s">
        <v>597</v>
      </c>
      <c r="V175" t="s">
        <v>598</v>
      </c>
    </row>
    <row r="176" spans="15:22" x14ac:dyDescent="0.25">
      <c r="O176" t="s">
        <v>279</v>
      </c>
      <c r="P176" t="s">
        <v>79</v>
      </c>
      <c r="Q176" t="s">
        <v>246</v>
      </c>
      <c r="R176" t="str">
        <f t="shared" si="2"/>
        <v>MAMAAH10</v>
      </c>
      <c r="S176" t="s">
        <v>599</v>
      </c>
      <c r="T176" t="s">
        <v>600</v>
      </c>
      <c r="U176" t="s">
        <v>601</v>
      </c>
      <c r="V176" t="s">
        <v>602</v>
      </c>
    </row>
    <row r="177" spans="15:22" x14ac:dyDescent="0.25">
      <c r="O177" t="s">
        <v>279</v>
      </c>
      <c r="P177" t="s">
        <v>79</v>
      </c>
      <c r="Q177" t="s">
        <v>248</v>
      </c>
      <c r="R177" t="str">
        <f t="shared" si="2"/>
        <v>MAMAAA11</v>
      </c>
      <c r="S177" t="s">
        <v>603</v>
      </c>
      <c r="T177" t="s">
        <v>604</v>
      </c>
      <c r="U177" t="s">
        <v>605</v>
      </c>
      <c r="V177" t="s">
        <v>606</v>
      </c>
    </row>
    <row r="178" spans="15:22" x14ac:dyDescent="0.25">
      <c r="O178" t="s">
        <v>279</v>
      </c>
      <c r="P178" t="s">
        <v>79</v>
      </c>
      <c r="Q178" t="s">
        <v>250</v>
      </c>
      <c r="R178" t="str">
        <f t="shared" si="2"/>
        <v>MAMAAB11</v>
      </c>
      <c r="S178" t="s">
        <v>607</v>
      </c>
      <c r="T178" t="s">
        <v>608</v>
      </c>
      <c r="U178" t="s">
        <v>609</v>
      </c>
      <c r="V178" t="s">
        <v>610</v>
      </c>
    </row>
    <row r="179" spans="15:22" x14ac:dyDescent="0.25">
      <c r="O179" t="s">
        <v>279</v>
      </c>
      <c r="P179" t="s">
        <v>79</v>
      </c>
      <c r="Q179" t="s">
        <v>252</v>
      </c>
      <c r="R179" t="str">
        <f t="shared" si="2"/>
        <v>MAMAAC11</v>
      </c>
      <c r="S179" t="s">
        <v>611</v>
      </c>
      <c r="T179" t="s">
        <v>612</v>
      </c>
      <c r="U179" t="s">
        <v>613</v>
      </c>
      <c r="V179" t="s">
        <v>614</v>
      </c>
    </row>
    <row r="180" spans="15:22" x14ac:dyDescent="0.25">
      <c r="O180" t="s">
        <v>279</v>
      </c>
      <c r="P180" t="s">
        <v>79</v>
      </c>
      <c r="Q180" t="s">
        <v>254</v>
      </c>
      <c r="R180" t="str">
        <f t="shared" si="2"/>
        <v>MAMAAD11</v>
      </c>
      <c r="S180" t="s">
        <v>615</v>
      </c>
      <c r="T180" t="s">
        <v>616</v>
      </c>
      <c r="U180" t="s">
        <v>617</v>
      </c>
      <c r="V180" t="s">
        <v>618</v>
      </c>
    </row>
    <row r="181" spans="15:22" x14ac:dyDescent="0.25">
      <c r="O181" t="s">
        <v>279</v>
      </c>
      <c r="P181" t="s">
        <v>79</v>
      </c>
      <c r="Q181" t="s">
        <v>256</v>
      </c>
      <c r="R181" t="str">
        <f t="shared" si="2"/>
        <v>MAMAAE11</v>
      </c>
      <c r="S181" t="s">
        <v>619</v>
      </c>
      <c r="T181" t="s">
        <v>620</v>
      </c>
      <c r="U181" t="s">
        <v>621</v>
      </c>
      <c r="V181" t="s">
        <v>622</v>
      </c>
    </row>
    <row r="182" spans="15:22" x14ac:dyDescent="0.25">
      <c r="O182" t="s">
        <v>279</v>
      </c>
      <c r="P182" t="s">
        <v>79</v>
      </c>
      <c r="Q182" t="s">
        <v>258</v>
      </c>
      <c r="R182" t="str">
        <f t="shared" si="2"/>
        <v>MAMAAF11</v>
      </c>
      <c r="S182" t="s">
        <v>623</v>
      </c>
      <c r="T182" t="s">
        <v>624</v>
      </c>
      <c r="U182" t="s">
        <v>625</v>
      </c>
      <c r="V182" t="s">
        <v>626</v>
      </c>
    </row>
    <row r="183" spans="15:22" x14ac:dyDescent="0.25">
      <c r="O183" t="s">
        <v>279</v>
      </c>
      <c r="P183" t="s">
        <v>79</v>
      </c>
      <c r="Q183" t="s">
        <v>259</v>
      </c>
      <c r="R183" t="str">
        <f t="shared" si="2"/>
        <v>MAMAAG11</v>
      </c>
      <c r="S183" t="s">
        <v>627</v>
      </c>
      <c r="T183" t="s">
        <v>628</v>
      </c>
      <c r="U183" t="s">
        <v>629</v>
      </c>
      <c r="V183" t="s">
        <v>630</v>
      </c>
    </row>
    <row r="184" spans="15:22" x14ac:dyDescent="0.25">
      <c r="O184" t="s">
        <v>279</v>
      </c>
      <c r="P184" t="s">
        <v>79</v>
      </c>
      <c r="Q184" t="s">
        <v>261</v>
      </c>
      <c r="R184" t="str">
        <f t="shared" si="2"/>
        <v>MAMAAH11</v>
      </c>
      <c r="S184" t="s">
        <v>631</v>
      </c>
      <c r="T184" t="s">
        <v>632</v>
      </c>
      <c r="U184" t="s">
        <v>633</v>
      </c>
      <c r="V184" t="s">
        <v>634</v>
      </c>
    </row>
    <row r="185" spans="15:22" x14ac:dyDescent="0.25">
      <c r="O185" t="s">
        <v>279</v>
      </c>
      <c r="P185" t="s">
        <v>79</v>
      </c>
      <c r="Q185" t="s">
        <v>263</v>
      </c>
      <c r="R185" t="str">
        <f t="shared" si="2"/>
        <v>MAMAAA12</v>
      </c>
      <c r="S185" t="s">
        <v>635</v>
      </c>
      <c r="T185" t="s">
        <v>636</v>
      </c>
      <c r="U185" t="s">
        <v>637</v>
      </c>
      <c r="V185" t="s">
        <v>638</v>
      </c>
    </row>
    <row r="186" spans="15:22" x14ac:dyDescent="0.25">
      <c r="O186" t="s">
        <v>279</v>
      </c>
      <c r="P186" t="s">
        <v>79</v>
      </c>
      <c r="Q186" t="s">
        <v>265</v>
      </c>
      <c r="R186" t="str">
        <f t="shared" si="2"/>
        <v>MAMAAB12</v>
      </c>
      <c r="S186" t="s">
        <v>639</v>
      </c>
      <c r="T186" t="s">
        <v>640</v>
      </c>
      <c r="U186" t="s">
        <v>641</v>
      </c>
      <c r="V186" t="s">
        <v>642</v>
      </c>
    </row>
    <row r="187" spans="15:22" x14ac:dyDescent="0.25">
      <c r="O187" t="s">
        <v>279</v>
      </c>
      <c r="P187" t="s">
        <v>79</v>
      </c>
      <c r="Q187" t="s">
        <v>267</v>
      </c>
      <c r="R187" t="str">
        <f t="shared" si="2"/>
        <v>MAMAAC12</v>
      </c>
      <c r="S187" t="s">
        <v>643</v>
      </c>
      <c r="T187" t="s">
        <v>644</v>
      </c>
      <c r="U187" t="s">
        <v>645</v>
      </c>
      <c r="V187" t="s">
        <v>646</v>
      </c>
    </row>
    <row r="188" spans="15:22" x14ac:dyDescent="0.25">
      <c r="O188" t="s">
        <v>279</v>
      </c>
      <c r="P188" t="s">
        <v>79</v>
      </c>
      <c r="Q188" t="s">
        <v>269</v>
      </c>
      <c r="R188" t="str">
        <f t="shared" si="2"/>
        <v>MAMAAD12</v>
      </c>
      <c r="S188" t="s">
        <v>647</v>
      </c>
      <c r="T188" t="s">
        <v>648</v>
      </c>
      <c r="U188" t="s">
        <v>649</v>
      </c>
      <c r="V188" t="s">
        <v>650</v>
      </c>
    </row>
    <row r="189" spans="15:22" x14ac:dyDescent="0.25">
      <c r="O189" t="s">
        <v>279</v>
      </c>
      <c r="P189" t="s">
        <v>79</v>
      </c>
      <c r="Q189" t="s">
        <v>271</v>
      </c>
      <c r="R189" t="str">
        <f t="shared" si="2"/>
        <v>MAMAAE12</v>
      </c>
      <c r="S189" t="s">
        <v>651</v>
      </c>
      <c r="T189" t="s">
        <v>652</v>
      </c>
      <c r="U189" t="s">
        <v>653</v>
      </c>
      <c r="V189" t="s">
        <v>654</v>
      </c>
    </row>
    <row r="190" spans="15:22" x14ac:dyDescent="0.25">
      <c r="O190" t="s">
        <v>279</v>
      </c>
      <c r="P190" t="s">
        <v>79</v>
      </c>
      <c r="Q190" t="s">
        <v>273</v>
      </c>
      <c r="R190" t="str">
        <f t="shared" si="2"/>
        <v>MAMAAF12</v>
      </c>
      <c r="S190" t="s">
        <v>655</v>
      </c>
      <c r="T190" t="s">
        <v>656</v>
      </c>
      <c r="U190" t="s">
        <v>657</v>
      </c>
      <c r="V190" t="s">
        <v>658</v>
      </c>
    </row>
    <row r="191" spans="15:22" x14ac:dyDescent="0.25">
      <c r="O191" t="s">
        <v>279</v>
      </c>
      <c r="P191" t="s">
        <v>79</v>
      </c>
      <c r="Q191" t="s">
        <v>275</v>
      </c>
      <c r="R191" t="str">
        <f t="shared" si="2"/>
        <v>MAMAAG12</v>
      </c>
      <c r="S191" t="s">
        <v>659</v>
      </c>
      <c r="T191" t="s">
        <v>660</v>
      </c>
      <c r="U191" t="s">
        <v>661</v>
      </c>
      <c r="V191" t="s">
        <v>662</v>
      </c>
    </row>
    <row r="192" spans="15:22" x14ac:dyDescent="0.25">
      <c r="O192" t="s">
        <v>279</v>
      </c>
      <c r="P192" t="s">
        <v>79</v>
      </c>
      <c r="Q192" t="s">
        <v>277</v>
      </c>
      <c r="R192" t="str">
        <f t="shared" si="2"/>
        <v>MAMAAH12</v>
      </c>
      <c r="S192" t="s">
        <v>663</v>
      </c>
      <c r="T192" t="s">
        <v>664</v>
      </c>
      <c r="U192" t="s">
        <v>665</v>
      </c>
      <c r="V192" t="s">
        <v>666</v>
      </c>
    </row>
    <row r="193" spans="15:22" x14ac:dyDescent="0.25">
      <c r="O193" t="s">
        <v>279</v>
      </c>
      <c r="P193" t="s">
        <v>152</v>
      </c>
      <c r="Q193" t="s">
        <v>667</v>
      </c>
      <c r="R193" t="str">
        <f t="shared" ref="R193:R256" si="3">O193&amp;P193&amp;Q193</f>
        <v>MAMABA1</v>
      </c>
      <c r="S193" t="s">
        <v>668</v>
      </c>
      <c r="T193" t="s">
        <v>669</v>
      </c>
      <c r="U193" t="s">
        <v>670</v>
      </c>
      <c r="V193" t="s">
        <v>671</v>
      </c>
    </row>
    <row r="194" spans="15:22" x14ac:dyDescent="0.25">
      <c r="O194" t="s">
        <v>279</v>
      </c>
      <c r="P194" t="s">
        <v>152</v>
      </c>
      <c r="Q194" t="s">
        <v>672</v>
      </c>
      <c r="R194" t="str">
        <f t="shared" si="3"/>
        <v>MAMABB1</v>
      </c>
      <c r="S194" t="s">
        <v>673</v>
      </c>
      <c r="T194" t="s">
        <v>674</v>
      </c>
      <c r="U194" t="s">
        <v>675</v>
      </c>
      <c r="V194" t="s">
        <v>676</v>
      </c>
    </row>
    <row r="195" spans="15:22" x14ac:dyDescent="0.25">
      <c r="O195" t="s">
        <v>279</v>
      </c>
      <c r="P195" t="s">
        <v>152</v>
      </c>
      <c r="Q195" t="s">
        <v>677</v>
      </c>
      <c r="R195" t="str">
        <f t="shared" si="3"/>
        <v>MAMABC1</v>
      </c>
      <c r="S195" t="s">
        <v>678</v>
      </c>
      <c r="T195" t="s">
        <v>679</v>
      </c>
      <c r="U195" t="s">
        <v>680</v>
      </c>
      <c r="V195" t="s">
        <v>681</v>
      </c>
    </row>
    <row r="196" spans="15:22" x14ac:dyDescent="0.25">
      <c r="O196" t="s">
        <v>279</v>
      </c>
      <c r="P196" t="s">
        <v>152</v>
      </c>
      <c r="Q196" t="s">
        <v>682</v>
      </c>
      <c r="R196" t="str">
        <f t="shared" si="3"/>
        <v>MAMABD1</v>
      </c>
      <c r="S196" t="s">
        <v>683</v>
      </c>
      <c r="T196" t="s">
        <v>684</v>
      </c>
      <c r="U196" t="s">
        <v>685</v>
      </c>
      <c r="V196" t="s">
        <v>686</v>
      </c>
    </row>
    <row r="197" spans="15:22" x14ac:dyDescent="0.25">
      <c r="O197" t="s">
        <v>279</v>
      </c>
      <c r="P197" t="s">
        <v>152</v>
      </c>
      <c r="Q197" t="s">
        <v>687</v>
      </c>
      <c r="R197" t="str">
        <f t="shared" si="3"/>
        <v>MAMABE1</v>
      </c>
      <c r="S197" t="s">
        <v>688</v>
      </c>
      <c r="T197" t="s">
        <v>689</v>
      </c>
      <c r="U197" t="s">
        <v>690</v>
      </c>
      <c r="V197" t="s">
        <v>691</v>
      </c>
    </row>
    <row r="198" spans="15:22" x14ac:dyDescent="0.25">
      <c r="O198" t="s">
        <v>279</v>
      </c>
      <c r="P198" t="s">
        <v>152</v>
      </c>
      <c r="Q198" t="s">
        <v>692</v>
      </c>
      <c r="R198" t="str">
        <f t="shared" si="3"/>
        <v>MAMABF1</v>
      </c>
      <c r="S198" t="s">
        <v>693</v>
      </c>
      <c r="T198" t="s">
        <v>694</v>
      </c>
      <c r="U198" t="s">
        <v>695</v>
      </c>
      <c r="V198" t="s">
        <v>696</v>
      </c>
    </row>
    <row r="199" spans="15:22" x14ac:dyDescent="0.25">
      <c r="O199" t="s">
        <v>279</v>
      </c>
      <c r="P199" t="s">
        <v>152</v>
      </c>
      <c r="Q199" t="s">
        <v>697</v>
      </c>
      <c r="R199" t="str">
        <f t="shared" si="3"/>
        <v>MAMABG1</v>
      </c>
      <c r="S199" t="s">
        <v>698</v>
      </c>
      <c r="T199" t="s">
        <v>699</v>
      </c>
      <c r="U199" t="s">
        <v>700</v>
      </c>
      <c r="V199" t="s">
        <v>701</v>
      </c>
    </row>
    <row r="200" spans="15:22" x14ac:dyDescent="0.25">
      <c r="O200" t="s">
        <v>279</v>
      </c>
      <c r="P200" t="s">
        <v>152</v>
      </c>
      <c r="Q200" t="s">
        <v>702</v>
      </c>
      <c r="R200" t="str">
        <f t="shared" si="3"/>
        <v>MAMABH1</v>
      </c>
      <c r="S200" t="s">
        <v>703</v>
      </c>
      <c r="T200" t="s">
        <v>704</v>
      </c>
      <c r="U200" t="s">
        <v>705</v>
      </c>
      <c r="V200" t="s">
        <v>706</v>
      </c>
    </row>
    <row r="201" spans="15:22" x14ac:dyDescent="0.25">
      <c r="O201" t="s">
        <v>279</v>
      </c>
      <c r="P201" t="s">
        <v>152</v>
      </c>
      <c r="Q201" t="s">
        <v>707</v>
      </c>
      <c r="R201" t="str">
        <f t="shared" si="3"/>
        <v>MAMABA2</v>
      </c>
      <c r="S201" t="s">
        <v>708</v>
      </c>
      <c r="T201" t="s">
        <v>709</v>
      </c>
      <c r="U201" t="s">
        <v>710</v>
      </c>
      <c r="V201" t="s">
        <v>711</v>
      </c>
    </row>
    <row r="202" spans="15:22" x14ac:dyDescent="0.25">
      <c r="O202" t="s">
        <v>279</v>
      </c>
      <c r="P202" t="s">
        <v>152</v>
      </c>
      <c r="Q202" t="s">
        <v>712</v>
      </c>
      <c r="R202" t="str">
        <f t="shared" si="3"/>
        <v>MAMABB2</v>
      </c>
      <c r="S202" t="s">
        <v>713</v>
      </c>
      <c r="T202" t="s">
        <v>714</v>
      </c>
      <c r="U202" t="s">
        <v>715</v>
      </c>
      <c r="V202" t="s">
        <v>716</v>
      </c>
    </row>
    <row r="203" spans="15:22" x14ac:dyDescent="0.25">
      <c r="O203" t="s">
        <v>279</v>
      </c>
      <c r="P203" t="s">
        <v>152</v>
      </c>
      <c r="Q203" t="s">
        <v>717</v>
      </c>
      <c r="R203" t="str">
        <f t="shared" si="3"/>
        <v>MAMABC2</v>
      </c>
      <c r="S203" t="s">
        <v>718</v>
      </c>
      <c r="T203" t="s">
        <v>719</v>
      </c>
      <c r="U203" t="s">
        <v>720</v>
      </c>
      <c r="V203" t="s">
        <v>721</v>
      </c>
    </row>
    <row r="204" spans="15:22" x14ac:dyDescent="0.25">
      <c r="O204" t="s">
        <v>279</v>
      </c>
      <c r="P204" t="s">
        <v>152</v>
      </c>
      <c r="Q204" t="s">
        <v>722</v>
      </c>
      <c r="R204" t="str">
        <f t="shared" si="3"/>
        <v>MAMABD2</v>
      </c>
      <c r="S204" t="s">
        <v>723</v>
      </c>
      <c r="T204" t="s">
        <v>724</v>
      </c>
      <c r="U204" t="s">
        <v>725</v>
      </c>
      <c r="V204" t="s">
        <v>726</v>
      </c>
    </row>
    <row r="205" spans="15:22" x14ac:dyDescent="0.25">
      <c r="O205" t="s">
        <v>279</v>
      </c>
      <c r="P205" t="s">
        <v>152</v>
      </c>
      <c r="Q205" t="s">
        <v>727</v>
      </c>
      <c r="R205" t="str">
        <f t="shared" si="3"/>
        <v>MAMABE2</v>
      </c>
      <c r="S205" t="s">
        <v>728</v>
      </c>
      <c r="T205" t="s">
        <v>729</v>
      </c>
      <c r="U205" t="s">
        <v>730</v>
      </c>
      <c r="V205" t="s">
        <v>731</v>
      </c>
    </row>
    <row r="206" spans="15:22" x14ac:dyDescent="0.25">
      <c r="O206" t="s">
        <v>279</v>
      </c>
      <c r="P206" t="s">
        <v>152</v>
      </c>
      <c r="Q206" t="s">
        <v>732</v>
      </c>
      <c r="R206" t="str">
        <f t="shared" si="3"/>
        <v>MAMABF2</v>
      </c>
      <c r="S206" t="s">
        <v>733</v>
      </c>
      <c r="T206" t="s">
        <v>734</v>
      </c>
      <c r="U206" t="s">
        <v>735</v>
      </c>
      <c r="V206" t="s">
        <v>736</v>
      </c>
    </row>
    <row r="207" spans="15:22" x14ac:dyDescent="0.25">
      <c r="O207" t="s">
        <v>279</v>
      </c>
      <c r="P207" t="s">
        <v>152</v>
      </c>
      <c r="Q207" t="s">
        <v>737</v>
      </c>
      <c r="R207" t="str">
        <f t="shared" si="3"/>
        <v>MAMABG2</v>
      </c>
      <c r="S207" t="s">
        <v>738</v>
      </c>
      <c r="T207" t="s">
        <v>739</v>
      </c>
      <c r="U207" t="s">
        <v>740</v>
      </c>
      <c r="V207" t="s">
        <v>741</v>
      </c>
    </row>
    <row r="208" spans="15:22" x14ac:dyDescent="0.25">
      <c r="O208" t="s">
        <v>279</v>
      </c>
      <c r="P208" t="s">
        <v>152</v>
      </c>
      <c r="Q208" t="s">
        <v>742</v>
      </c>
      <c r="R208" t="str">
        <f t="shared" si="3"/>
        <v>MAMABH2</v>
      </c>
      <c r="S208" t="s">
        <v>743</v>
      </c>
      <c r="T208" t="s">
        <v>744</v>
      </c>
      <c r="U208" t="s">
        <v>745</v>
      </c>
      <c r="V208" t="s">
        <v>746</v>
      </c>
    </row>
    <row r="209" spans="15:22" x14ac:dyDescent="0.25">
      <c r="O209" t="s">
        <v>279</v>
      </c>
      <c r="P209" t="s">
        <v>152</v>
      </c>
      <c r="Q209" t="s">
        <v>747</v>
      </c>
      <c r="R209" t="str">
        <f t="shared" si="3"/>
        <v>MAMABA3</v>
      </c>
      <c r="S209" t="s">
        <v>748</v>
      </c>
      <c r="T209" t="s">
        <v>749</v>
      </c>
      <c r="U209" t="s">
        <v>750</v>
      </c>
      <c r="V209" t="s">
        <v>751</v>
      </c>
    </row>
    <row r="210" spans="15:22" x14ac:dyDescent="0.25">
      <c r="O210" t="s">
        <v>279</v>
      </c>
      <c r="P210" t="s">
        <v>152</v>
      </c>
      <c r="Q210" t="s">
        <v>752</v>
      </c>
      <c r="R210" t="str">
        <f t="shared" si="3"/>
        <v>MAMABB3</v>
      </c>
      <c r="S210" t="s">
        <v>753</v>
      </c>
      <c r="T210" t="s">
        <v>754</v>
      </c>
      <c r="U210" t="s">
        <v>755</v>
      </c>
      <c r="V210" t="s">
        <v>756</v>
      </c>
    </row>
    <row r="211" spans="15:22" x14ac:dyDescent="0.25">
      <c r="O211" t="s">
        <v>279</v>
      </c>
      <c r="P211" t="s">
        <v>152</v>
      </c>
      <c r="Q211" t="s">
        <v>757</v>
      </c>
      <c r="R211" t="str">
        <f t="shared" si="3"/>
        <v>MAMABC3</v>
      </c>
      <c r="S211" t="s">
        <v>758</v>
      </c>
      <c r="T211" t="s">
        <v>759</v>
      </c>
      <c r="U211" t="s">
        <v>760</v>
      </c>
      <c r="V211" t="s">
        <v>761</v>
      </c>
    </row>
    <row r="212" spans="15:22" x14ac:dyDescent="0.25">
      <c r="O212" t="s">
        <v>279</v>
      </c>
      <c r="P212" t="s">
        <v>152</v>
      </c>
      <c r="Q212" t="s">
        <v>762</v>
      </c>
      <c r="R212" t="str">
        <f t="shared" si="3"/>
        <v>MAMABD3</v>
      </c>
      <c r="S212" t="s">
        <v>763</v>
      </c>
      <c r="T212" t="s">
        <v>764</v>
      </c>
      <c r="U212" t="s">
        <v>765</v>
      </c>
      <c r="V212" t="s">
        <v>766</v>
      </c>
    </row>
    <row r="213" spans="15:22" x14ac:dyDescent="0.25">
      <c r="O213" t="s">
        <v>279</v>
      </c>
      <c r="P213" t="s">
        <v>152</v>
      </c>
      <c r="Q213" t="s">
        <v>767</v>
      </c>
      <c r="R213" t="str">
        <f t="shared" si="3"/>
        <v>MAMABE3</v>
      </c>
      <c r="S213" t="s">
        <v>768</v>
      </c>
      <c r="T213" t="s">
        <v>769</v>
      </c>
      <c r="U213" t="s">
        <v>770</v>
      </c>
      <c r="V213" t="s">
        <v>771</v>
      </c>
    </row>
    <row r="214" spans="15:22" x14ac:dyDescent="0.25">
      <c r="O214" t="s">
        <v>279</v>
      </c>
      <c r="P214" t="s">
        <v>152</v>
      </c>
      <c r="Q214" t="s">
        <v>772</v>
      </c>
      <c r="R214" t="str">
        <f t="shared" si="3"/>
        <v>MAMABF3</v>
      </c>
      <c r="S214" t="s">
        <v>773</v>
      </c>
      <c r="T214" t="s">
        <v>774</v>
      </c>
      <c r="U214" t="s">
        <v>775</v>
      </c>
      <c r="V214" t="s">
        <v>776</v>
      </c>
    </row>
    <row r="215" spans="15:22" x14ac:dyDescent="0.25">
      <c r="O215" t="s">
        <v>279</v>
      </c>
      <c r="P215" t="s">
        <v>152</v>
      </c>
      <c r="Q215" t="s">
        <v>777</v>
      </c>
      <c r="R215" t="str">
        <f t="shared" si="3"/>
        <v>MAMABG3</v>
      </c>
      <c r="S215" t="s">
        <v>778</v>
      </c>
      <c r="T215" t="s">
        <v>779</v>
      </c>
      <c r="U215" t="s">
        <v>780</v>
      </c>
      <c r="V215" t="s">
        <v>781</v>
      </c>
    </row>
    <row r="216" spans="15:22" x14ac:dyDescent="0.25">
      <c r="O216" t="s">
        <v>279</v>
      </c>
      <c r="P216" t="s">
        <v>152</v>
      </c>
      <c r="Q216" t="s">
        <v>782</v>
      </c>
      <c r="R216" t="str">
        <f t="shared" si="3"/>
        <v>MAMABH3</v>
      </c>
      <c r="S216" t="s">
        <v>783</v>
      </c>
      <c r="T216" t="s">
        <v>784</v>
      </c>
      <c r="U216" t="s">
        <v>785</v>
      </c>
      <c r="V216" t="s">
        <v>786</v>
      </c>
    </row>
    <row r="217" spans="15:22" x14ac:dyDescent="0.25">
      <c r="O217" t="s">
        <v>279</v>
      </c>
      <c r="P217" t="s">
        <v>152</v>
      </c>
      <c r="Q217" t="s">
        <v>787</v>
      </c>
      <c r="R217" t="str">
        <f t="shared" si="3"/>
        <v>MAMABA4</v>
      </c>
      <c r="S217" t="s">
        <v>788</v>
      </c>
      <c r="T217" t="s">
        <v>789</v>
      </c>
      <c r="U217" t="s">
        <v>790</v>
      </c>
      <c r="V217" t="s">
        <v>791</v>
      </c>
    </row>
    <row r="218" spans="15:22" x14ac:dyDescent="0.25">
      <c r="O218" t="s">
        <v>279</v>
      </c>
      <c r="P218" t="s">
        <v>152</v>
      </c>
      <c r="Q218" t="s">
        <v>792</v>
      </c>
      <c r="R218" t="str">
        <f t="shared" si="3"/>
        <v>MAMABB4</v>
      </c>
      <c r="S218" t="s">
        <v>793</v>
      </c>
      <c r="T218" t="s">
        <v>794</v>
      </c>
      <c r="U218" t="s">
        <v>795</v>
      </c>
      <c r="V218" t="s">
        <v>796</v>
      </c>
    </row>
    <row r="219" spans="15:22" x14ac:dyDescent="0.25">
      <c r="O219" t="s">
        <v>279</v>
      </c>
      <c r="P219" t="s">
        <v>152</v>
      </c>
      <c r="Q219" t="s">
        <v>797</v>
      </c>
      <c r="R219" t="str">
        <f t="shared" si="3"/>
        <v>MAMABC4</v>
      </c>
      <c r="S219" t="s">
        <v>798</v>
      </c>
      <c r="T219" t="s">
        <v>799</v>
      </c>
      <c r="U219" t="s">
        <v>800</v>
      </c>
      <c r="V219" t="s">
        <v>801</v>
      </c>
    </row>
    <row r="220" spans="15:22" x14ac:dyDescent="0.25">
      <c r="O220" t="s">
        <v>279</v>
      </c>
      <c r="P220" t="s">
        <v>152</v>
      </c>
      <c r="Q220" t="s">
        <v>802</v>
      </c>
      <c r="R220" t="str">
        <f t="shared" si="3"/>
        <v>MAMABD4</v>
      </c>
      <c r="S220" t="s">
        <v>803</v>
      </c>
      <c r="T220" t="s">
        <v>804</v>
      </c>
      <c r="U220" t="s">
        <v>805</v>
      </c>
      <c r="V220" t="s">
        <v>806</v>
      </c>
    </row>
    <row r="221" spans="15:22" x14ac:dyDescent="0.25">
      <c r="O221" t="s">
        <v>279</v>
      </c>
      <c r="P221" t="s">
        <v>152</v>
      </c>
      <c r="Q221" t="s">
        <v>807</v>
      </c>
      <c r="R221" t="str">
        <f t="shared" si="3"/>
        <v>MAMABE4</v>
      </c>
      <c r="S221" t="s">
        <v>808</v>
      </c>
      <c r="T221" t="s">
        <v>809</v>
      </c>
      <c r="U221" t="s">
        <v>810</v>
      </c>
      <c r="V221" t="s">
        <v>811</v>
      </c>
    </row>
    <row r="222" spans="15:22" x14ac:dyDescent="0.25">
      <c r="O222" t="s">
        <v>279</v>
      </c>
      <c r="P222" t="s">
        <v>152</v>
      </c>
      <c r="Q222" t="s">
        <v>812</v>
      </c>
      <c r="R222" t="str">
        <f t="shared" si="3"/>
        <v>MAMABF4</v>
      </c>
      <c r="S222" t="s">
        <v>813</v>
      </c>
      <c r="T222" t="s">
        <v>814</v>
      </c>
      <c r="U222" t="s">
        <v>815</v>
      </c>
      <c r="V222" t="s">
        <v>816</v>
      </c>
    </row>
    <row r="223" spans="15:22" x14ac:dyDescent="0.25">
      <c r="O223" t="s">
        <v>279</v>
      </c>
      <c r="P223" t="s">
        <v>152</v>
      </c>
      <c r="Q223" t="s">
        <v>817</v>
      </c>
      <c r="R223" t="str">
        <f t="shared" si="3"/>
        <v>MAMABG4</v>
      </c>
      <c r="S223" t="s">
        <v>818</v>
      </c>
      <c r="T223" t="s">
        <v>819</v>
      </c>
      <c r="U223" t="s">
        <v>820</v>
      </c>
      <c r="V223" t="s">
        <v>821</v>
      </c>
    </row>
    <row r="224" spans="15:22" x14ac:dyDescent="0.25">
      <c r="O224" t="s">
        <v>279</v>
      </c>
      <c r="P224" t="s">
        <v>152</v>
      </c>
      <c r="Q224" t="s">
        <v>822</v>
      </c>
      <c r="R224" t="str">
        <f t="shared" si="3"/>
        <v>MAMABH4</v>
      </c>
      <c r="S224" t="s">
        <v>823</v>
      </c>
      <c r="T224" t="s">
        <v>824</v>
      </c>
      <c r="U224" t="s">
        <v>825</v>
      </c>
      <c r="V224" t="s">
        <v>826</v>
      </c>
    </row>
    <row r="225" spans="15:22" x14ac:dyDescent="0.25">
      <c r="O225" t="s">
        <v>279</v>
      </c>
      <c r="P225" t="s">
        <v>152</v>
      </c>
      <c r="Q225" t="s">
        <v>827</v>
      </c>
      <c r="R225" t="str">
        <f t="shared" si="3"/>
        <v>MAMABA5</v>
      </c>
      <c r="S225" t="s">
        <v>828</v>
      </c>
      <c r="T225" t="s">
        <v>829</v>
      </c>
      <c r="U225" t="s">
        <v>830</v>
      </c>
      <c r="V225" t="s">
        <v>831</v>
      </c>
    </row>
    <row r="226" spans="15:22" x14ac:dyDescent="0.25">
      <c r="O226" t="s">
        <v>279</v>
      </c>
      <c r="P226" t="s">
        <v>152</v>
      </c>
      <c r="Q226" t="s">
        <v>832</v>
      </c>
      <c r="R226" t="str">
        <f t="shared" si="3"/>
        <v>MAMABB5</v>
      </c>
      <c r="S226" t="s">
        <v>833</v>
      </c>
      <c r="T226" t="s">
        <v>834</v>
      </c>
      <c r="U226" t="s">
        <v>835</v>
      </c>
      <c r="V226" t="s">
        <v>836</v>
      </c>
    </row>
    <row r="227" spans="15:22" x14ac:dyDescent="0.25">
      <c r="O227" t="s">
        <v>279</v>
      </c>
      <c r="P227" t="s">
        <v>152</v>
      </c>
      <c r="Q227" t="s">
        <v>837</v>
      </c>
      <c r="R227" t="str">
        <f t="shared" si="3"/>
        <v>MAMABC5</v>
      </c>
      <c r="S227" t="s">
        <v>838</v>
      </c>
      <c r="T227" t="s">
        <v>839</v>
      </c>
      <c r="U227" t="s">
        <v>840</v>
      </c>
      <c r="V227" t="s">
        <v>841</v>
      </c>
    </row>
    <row r="228" spans="15:22" x14ac:dyDescent="0.25">
      <c r="O228" t="s">
        <v>279</v>
      </c>
      <c r="P228" t="s">
        <v>152</v>
      </c>
      <c r="Q228" t="s">
        <v>842</v>
      </c>
      <c r="R228" t="str">
        <f t="shared" si="3"/>
        <v>MAMABD5</v>
      </c>
      <c r="S228" t="s">
        <v>843</v>
      </c>
      <c r="T228" t="s">
        <v>844</v>
      </c>
      <c r="U228" t="s">
        <v>845</v>
      </c>
      <c r="V228" t="s">
        <v>846</v>
      </c>
    </row>
    <row r="229" spans="15:22" x14ac:dyDescent="0.25">
      <c r="O229" t="s">
        <v>279</v>
      </c>
      <c r="P229" t="s">
        <v>152</v>
      </c>
      <c r="Q229" t="s">
        <v>847</v>
      </c>
      <c r="R229" t="str">
        <f t="shared" si="3"/>
        <v>MAMABE5</v>
      </c>
      <c r="S229" t="s">
        <v>848</v>
      </c>
      <c r="T229" t="s">
        <v>849</v>
      </c>
      <c r="U229" t="s">
        <v>850</v>
      </c>
      <c r="V229" t="s">
        <v>851</v>
      </c>
    </row>
    <row r="230" spans="15:22" x14ac:dyDescent="0.25">
      <c r="O230" t="s">
        <v>279</v>
      </c>
      <c r="P230" t="s">
        <v>152</v>
      </c>
      <c r="Q230" t="s">
        <v>852</v>
      </c>
      <c r="R230" t="str">
        <f t="shared" si="3"/>
        <v>MAMABF5</v>
      </c>
      <c r="S230" t="s">
        <v>853</v>
      </c>
      <c r="T230" t="s">
        <v>854</v>
      </c>
      <c r="U230" t="s">
        <v>855</v>
      </c>
      <c r="V230" t="s">
        <v>856</v>
      </c>
    </row>
    <row r="231" spans="15:22" x14ac:dyDescent="0.25">
      <c r="O231" t="s">
        <v>279</v>
      </c>
      <c r="P231" t="s">
        <v>152</v>
      </c>
      <c r="Q231" t="s">
        <v>857</v>
      </c>
      <c r="R231" t="str">
        <f t="shared" si="3"/>
        <v>MAMABG5</v>
      </c>
      <c r="S231" t="s">
        <v>858</v>
      </c>
      <c r="T231" t="s">
        <v>859</v>
      </c>
      <c r="U231" t="s">
        <v>860</v>
      </c>
      <c r="V231" t="s">
        <v>861</v>
      </c>
    </row>
    <row r="232" spans="15:22" x14ac:dyDescent="0.25">
      <c r="O232" t="s">
        <v>279</v>
      </c>
      <c r="P232" t="s">
        <v>152</v>
      </c>
      <c r="Q232" t="s">
        <v>862</v>
      </c>
      <c r="R232" t="str">
        <f t="shared" si="3"/>
        <v>MAMABH5</v>
      </c>
      <c r="S232" t="s">
        <v>863</v>
      </c>
      <c r="T232" t="s">
        <v>864</v>
      </c>
      <c r="U232" t="s">
        <v>865</v>
      </c>
      <c r="V232" t="s">
        <v>866</v>
      </c>
    </row>
    <row r="233" spans="15:22" x14ac:dyDescent="0.25">
      <c r="O233" t="s">
        <v>279</v>
      </c>
      <c r="P233" t="s">
        <v>152</v>
      </c>
      <c r="Q233" t="s">
        <v>867</v>
      </c>
      <c r="R233" t="str">
        <f t="shared" si="3"/>
        <v>MAMABA6</v>
      </c>
      <c r="S233" t="s">
        <v>868</v>
      </c>
      <c r="T233" t="s">
        <v>869</v>
      </c>
      <c r="U233" t="s">
        <v>870</v>
      </c>
      <c r="V233" t="s">
        <v>871</v>
      </c>
    </row>
    <row r="234" spans="15:22" x14ac:dyDescent="0.25">
      <c r="O234" t="s">
        <v>279</v>
      </c>
      <c r="P234" t="s">
        <v>152</v>
      </c>
      <c r="Q234" t="s">
        <v>872</v>
      </c>
      <c r="R234" t="str">
        <f t="shared" si="3"/>
        <v>MAMABB6</v>
      </c>
      <c r="S234" t="s">
        <v>873</v>
      </c>
      <c r="T234" t="s">
        <v>874</v>
      </c>
      <c r="U234" t="s">
        <v>875</v>
      </c>
      <c r="V234" t="s">
        <v>876</v>
      </c>
    </row>
    <row r="235" spans="15:22" x14ac:dyDescent="0.25">
      <c r="O235" t="s">
        <v>279</v>
      </c>
      <c r="P235" t="s">
        <v>152</v>
      </c>
      <c r="Q235" t="s">
        <v>877</v>
      </c>
      <c r="R235" t="str">
        <f t="shared" si="3"/>
        <v>MAMABC6</v>
      </c>
      <c r="S235" t="s">
        <v>878</v>
      </c>
      <c r="T235" t="s">
        <v>879</v>
      </c>
      <c r="U235" t="s">
        <v>880</v>
      </c>
      <c r="V235" t="s">
        <v>881</v>
      </c>
    </row>
    <row r="236" spans="15:22" x14ac:dyDescent="0.25">
      <c r="O236" t="s">
        <v>279</v>
      </c>
      <c r="P236" t="s">
        <v>152</v>
      </c>
      <c r="Q236" t="s">
        <v>882</v>
      </c>
      <c r="R236" t="str">
        <f t="shared" si="3"/>
        <v>MAMABD6</v>
      </c>
      <c r="S236" t="s">
        <v>883</v>
      </c>
      <c r="T236" t="s">
        <v>884</v>
      </c>
      <c r="U236" t="s">
        <v>885</v>
      </c>
      <c r="V236" t="s">
        <v>886</v>
      </c>
    </row>
    <row r="237" spans="15:22" x14ac:dyDescent="0.25">
      <c r="O237" t="s">
        <v>279</v>
      </c>
      <c r="P237" t="s">
        <v>152</v>
      </c>
      <c r="Q237" t="s">
        <v>887</v>
      </c>
      <c r="R237" t="str">
        <f t="shared" si="3"/>
        <v>MAMABE6</v>
      </c>
      <c r="S237" t="s">
        <v>888</v>
      </c>
      <c r="T237" t="s">
        <v>889</v>
      </c>
      <c r="U237" t="s">
        <v>890</v>
      </c>
      <c r="V237" t="s">
        <v>891</v>
      </c>
    </row>
    <row r="238" spans="15:22" x14ac:dyDescent="0.25">
      <c r="O238" t="s">
        <v>279</v>
      </c>
      <c r="P238" t="s">
        <v>152</v>
      </c>
      <c r="Q238" t="s">
        <v>892</v>
      </c>
      <c r="R238" t="str">
        <f t="shared" si="3"/>
        <v>MAMABF6</v>
      </c>
      <c r="S238" t="s">
        <v>893</v>
      </c>
      <c r="T238" t="s">
        <v>894</v>
      </c>
      <c r="U238" t="s">
        <v>895</v>
      </c>
      <c r="V238" t="s">
        <v>896</v>
      </c>
    </row>
    <row r="239" spans="15:22" x14ac:dyDescent="0.25">
      <c r="O239" t="s">
        <v>279</v>
      </c>
      <c r="P239" t="s">
        <v>152</v>
      </c>
      <c r="Q239" t="s">
        <v>897</v>
      </c>
      <c r="R239" t="str">
        <f t="shared" si="3"/>
        <v>MAMABG6</v>
      </c>
      <c r="S239" t="s">
        <v>898</v>
      </c>
      <c r="T239" t="s">
        <v>899</v>
      </c>
      <c r="U239" t="s">
        <v>900</v>
      </c>
      <c r="V239" t="s">
        <v>901</v>
      </c>
    </row>
    <row r="240" spans="15:22" x14ac:dyDescent="0.25">
      <c r="O240" t="s">
        <v>279</v>
      </c>
      <c r="P240" t="s">
        <v>152</v>
      </c>
      <c r="Q240" t="s">
        <v>902</v>
      </c>
      <c r="R240" t="str">
        <f t="shared" si="3"/>
        <v>MAMABH6</v>
      </c>
      <c r="S240" t="s">
        <v>903</v>
      </c>
      <c r="T240" t="s">
        <v>904</v>
      </c>
      <c r="U240" t="s">
        <v>905</v>
      </c>
      <c r="V240" t="s">
        <v>906</v>
      </c>
    </row>
    <row r="241" spans="15:22" x14ac:dyDescent="0.25">
      <c r="O241" t="s">
        <v>279</v>
      </c>
      <c r="P241" t="s">
        <v>152</v>
      </c>
      <c r="Q241" t="s">
        <v>907</v>
      </c>
      <c r="R241" t="str">
        <f t="shared" si="3"/>
        <v>MAMABA7</v>
      </c>
      <c r="S241" t="s">
        <v>908</v>
      </c>
      <c r="T241" t="s">
        <v>909</v>
      </c>
      <c r="U241" t="s">
        <v>910</v>
      </c>
      <c r="V241" t="s">
        <v>911</v>
      </c>
    </row>
    <row r="242" spans="15:22" x14ac:dyDescent="0.25">
      <c r="O242" t="s">
        <v>279</v>
      </c>
      <c r="P242" t="s">
        <v>152</v>
      </c>
      <c r="Q242" t="s">
        <v>912</v>
      </c>
      <c r="R242" t="str">
        <f t="shared" si="3"/>
        <v>MAMABB7</v>
      </c>
      <c r="S242" t="s">
        <v>913</v>
      </c>
      <c r="T242" t="s">
        <v>914</v>
      </c>
      <c r="U242" t="s">
        <v>915</v>
      </c>
      <c r="V242" t="s">
        <v>916</v>
      </c>
    </row>
    <row r="243" spans="15:22" x14ac:dyDescent="0.25">
      <c r="O243" t="s">
        <v>279</v>
      </c>
      <c r="P243" t="s">
        <v>152</v>
      </c>
      <c r="Q243" t="s">
        <v>917</v>
      </c>
      <c r="R243" t="str">
        <f t="shared" si="3"/>
        <v>MAMABC7</v>
      </c>
      <c r="S243" t="s">
        <v>918</v>
      </c>
      <c r="T243" t="s">
        <v>919</v>
      </c>
      <c r="U243" t="s">
        <v>920</v>
      </c>
      <c r="V243" t="s">
        <v>921</v>
      </c>
    </row>
    <row r="244" spans="15:22" x14ac:dyDescent="0.25">
      <c r="O244" t="s">
        <v>279</v>
      </c>
      <c r="P244" t="s">
        <v>152</v>
      </c>
      <c r="Q244" t="s">
        <v>922</v>
      </c>
      <c r="R244" t="str">
        <f t="shared" si="3"/>
        <v>MAMABD7</v>
      </c>
      <c r="S244" t="s">
        <v>923</v>
      </c>
      <c r="T244" t="s">
        <v>924</v>
      </c>
      <c r="U244" t="s">
        <v>925</v>
      </c>
      <c r="V244" t="s">
        <v>926</v>
      </c>
    </row>
    <row r="245" spans="15:22" x14ac:dyDescent="0.25">
      <c r="O245" t="s">
        <v>279</v>
      </c>
      <c r="P245" t="s">
        <v>152</v>
      </c>
      <c r="Q245" t="s">
        <v>927</v>
      </c>
      <c r="R245" t="str">
        <f t="shared" si="3"/>
        <v>MAMABE7</v>
      </c>
      <c r="S245" t="s">
        <v>928</v>
      </c>
      <c r="T245" t="s">
        <v>929</v>
      </c>
      <c r="U245" t="s">
        <v>930</v>
      </c>
      <c r="V245" t="s">
        <v>931</v>
      </c>
    </row>
    <row r="246" spans="15:22" x14ac:dyDescent="0.25">
      <c r="O246" t="s">
        <v>279</v>
      </c>
      <c r="P246" t="s">
        <v>152</v>
      </c>
      <c r="Q246" t="s">
        <v>932</v>
      </c>
      <c r="R246" t="str">
        <f t="shared" si="3"/>
        <v>MAMABF7</v>
      </c>
      <c r="S246" t="s">
        <v>933</v>
      </c>
      <c r="T246" t="s">
        <v>934</v>
      </c>
      <c r="U246" t="s">
        <v>935</v>
      </c>
      <c r="V246" t="s">
        <v>936</v>
      </c>
    </row>
    <row r="247" spans="15:22" x14ac:dyDescent="0.25">
      <c r="O247" t="s">
        <v>279</v>
      </c>
      <c r="P247" t="s">
        <v>152</v>
      </c>
      <c r="Q247" t="s">
        <v>937</v>
      </c>
      <c r="R247" t="str">
        <f t="shared" si="3"/>
        <v>MAMABG7</v>
      </c>
      <c r="S247" t="s">
        <v>938</v>
      </c>
      <c r="T247" t="s">
        <v>939</v>
      </c>
      <c r="U247" t="s">
        <v>940</v>
      </c>
      <c r="V247" t="s">
        <v>941</v>
      </c>
    </row>
    <row r="248" spans="15:22" x14ac:dyDescent="0.25">
      <c r="O248" t="s">
        <v>279</v>
      </c>
      <c r="P248" t="s">
        <v>152</v>
      </c>
      <c r="Q248" t="s">
        <v>942</v>
      </c>
      <c r="R248" t="str">
        <f t="shared" si="3"/>
        <v>MAMABH7</v>
      </c>
      <c r="S248" t="s">
        <v>943</v>
      </c>
      <c r="T248" t="s">
        <v>944</v>
      </c>
      <c r="U248" t="s">
        <v>945</v>
      </c>
      <c r="V248" t="s">
        <v>946</v>
      </c>
    </row>
    <row r="249" spans="15:22" x14ac:dyDescent="0.25">
      <c r="O249" t="s">
        <v>279</v>
      </c>
      <c r="P249" t="s">
        <v>152</v>
      </c>
      <c r="Q249" t="s">
        <v>947</v>
      </c>
      <c r="R249" t="str">
        <f t="shared" si="3"/>
        <v>MAMABA8</v>
      </c>
      <c r="S249" t="s">
        <v>948</v>
      </c>
      <c r="T249" t="s">
        <v>949</v>
      </c>
      <c r="U249" t="s">
        <v>950</v>
      </c>
      <c r="V249" t="s">
        <v>951</v>
      </c>
    </row>
    <row r="250" spans="15:22" x14ac:dyDescent="0.25">
      <c r="O250" t="s">
        <v>279</v>
      </c>
      <c r="P250" t="s">
        <v>152</v>
      </c>
      <c r="Q250" t="s">
        <v>952</v>
      </c>
      <c r="R250" t="str">
        <f t="shared" si="3"/>
        <v>MAMABB8</v>
      </c>
      <c r="S250" t="s">
        <v>953</v>
      </c>
      <c r="T250" t="s">
        <v>954</v>
      </c>
      <c r="U250" t="s">
        <v>955</v>
      </c>
      <c r="V250" t="s">
        <v>956</v>
      </c>
    </row>
    <row r="251" spans="15:22" x14ac:dyDescent="0.25">
      <c r="O251" t="s">
        <v>279</v>
      </c>
      <c r="P251" t="s">
        <v>152</v>
      </c>
      <c r="Q251" t="s">
        <v>957</v>
      </c>
      <c r="R251" t="str">
        <f t="shared" si="3"/>
        <v>MAMABC8</v>
      </c>
      <c r="S251" t="s">
        <v>958</v>
      </c>
      <c r="T251" t="s">
        <v>959</v>
      </c>
      <c r="U251" t="s">
        <v>960</v>
      </c>
      <c r="V251" t="s">
        <v>961</v>
      </c>
    </row>
    <row r="252" spans="15:22" x14ac:dyDescent="0.25">
      <c r="O252" t="s">
        <v>279</v>
      </c>
      <c r="P252" t="s">
        <v>152</v>
      </c>
      <c r="Q252" t="s">
        <v>962</v>
      </c>
      <c r="R252" t="str">
        <f t="shared" si="3"/>
        <v>MAMABD8</v>
      </c>
      <c r="S252" t="s">
        <v>963</v>
      </c>
      <c r="T252" t="s">
        <v>964</v>
      </c>
      <c r="U252" t="s">
        <v>965</v>
      </c>
      <c r="V252" t="s">
        <v>966</v>
      </c>
    </row>
    <row r="253" spans="15:22" x14ac:dyDescent="0.25">
      <c r="O253" t="s">
        <v>279</v>
      </c>
      <c r="P253" t="s">
        <v>152</v>
      </c>
      <c r="Q253" t="s">
        <v>967</v>
      </c>
      <c r="R253" t="str">
        <f t="shared" si="3"/>
        <v>MAMABE8</v>
      </c>
      <c r="S253" t="s">
        <v>968</v>
      </c>
      <c r="T253" t="s">
        <v>969</v>
      </c>
      <c r="U253" t="s">
        <v>970</v>
      </c>
      <c r="V253" t="s">
        <v>971</v>
      </c>
    </row>
    <row r="254" spans="15:22" x14ac:dyDescent="0.25">
      <c r="O254" t="s">
        <v>279</v>
      </c>
      <c r="P254" t="s">
        <v>152</v>
      </c>
      <c r="Q254" t="s">
        <v>972</v>
      </c>
      <c r="R254" t="str">
        <f t="shared" si="3"/>
        <v>MAMABF8</v>
      </c>
      <c r="S254" t="s">
        <v>973</v>
      </c>
      <c r="T254" t="s">
        <v>974</v>
      </c>
      <c r="U254" t="s">
        <v>975</v>
      </c>
      <c r="V254" t="s">
        <v>976</v>
      </c>
    </row>
    <row r="255" spans="15:22" x14ac:dyDescent="0.25">
      <c r="O255" t="s">
        <v>279</v>
      </c>
      <c r="P255" t="s">
        <v>152</v>
      </c>
      <c r="Q255" t="s">
        <v>977</v>
      </c>
      <c r="R255" t="str">
        <f t="shared" si="3"/>
        <v>MAMABG8</v>
      </c>
      <c r="S255" t="s">
        <v>978</v>
      </c>
      <c r="T255" t="s">
        <v>979</v>
      </c>
      <c r="U255" t="s">
        <v>980</v>
      </c>
      <c r="V255" t="s">
        <v>981</v>
      </c>
    </row>
    <row r="256" spans="15:22" x14ac:dyDescent="0.25">
      <c r="O256" t="s">
        <v>279</v>
      </c>
      <c r="P256" t="s">
        <v>152</v>
      </c>
      <c r="Q256" t="s">
        <v>982</v>
      </c>
      <c r="R256" t="str">
        <f t="shared" si="3"/>
        <v>MAMABH8</v>
      </c>
      <c r="S256" t="s">
        <v>983</v>
      </c>
      <c r="T256" t="s">
        <v>984</v>
      </c>
      <c r="U256" t="s">
        <v>985</v>
      </c>
      <c r="V256" t="s">
        <v>986</v>
      </c>
    </row>
    <row r="257" spans="15:22" x14ac:dyDescent="0.25">
      <c r="O257" t="s">
        <v>279</v>
      </c>
      <c r="P257" t="s">
        <v>152</v>
      </c>
      <c r="Q257" t="s">
        <v>987</v>
      </c>
      <c r="R257" t="str">
        <f t="shared" ref="R257:R320" si="4">O257&amp;P257&amp;Q257</f>
        <v>MAMABA9</v>
      </c>
      <c r="S257" t="s">
        <v>988</v>
      </c>
      <c r="T257" t="s">
        <v>989</v>
      </c>
      <c r="U257" t="s">
        <v>990</v>
      </c>
      <c r="V257" t="s">
        <v>991</v>
      </c>
    </row>
    <row r="258" spans="15:22" x14ac:dyDescent="0.25">
      <c r="O258" t="s">
        <v>279</v>
      </c>
      <c r="P258" t="s">
        <v>152</v>
      </c>
      <c r="Q258" t="s">
        <v>992</v>
      </c>
      <c r="R258" t="str">
        <f t="shared" si="4"/>
        <v>MAMABB9</v>
      </c>
      <c r="S258" t="s">
        <v>993</v>
      </c>
      <c r="T258" t="s">
        <v>994</v>
      </c>
      <c r="U258" t="s">
        <v>995</v>
      </c>
      <c r="V258" t="s">
        <v>996</v>
      </c>
    </row>
    <row r="259" spans="15:22" x14ac:dyDescent="0.25">
      <c r="O259" t="s">
        <v>279</v>
      </c>
      <c r="P259" t="s">
        <v>152</v>
      </c>
      <c r="Q259" t="s">
        <v>997</v>
      </c>
      <c r="R259" t="str">
        <f t="shared" si="4"/>
        <v>MAMABC9</v>
      </c>
      <c r="S259" t="s">
        <v>998</v>
      </c>
      <c r="T259" t="s">
        <v>999</v>
      </c>
      <c r="U259" t="s">
        <v>1000</v>
      </c>
      <c r="V259" t="s">
        <v>1001</v>
      </c>
    </row>
    <row r="260" spans="15:22" x14ac:dyDescent="0.25">
      <c r="O260" t="s">
        <v>279</v>
      </c>
      <c r="P260" t="s">
        <v>152</v>
      </c>
      <c r="Q260" t="s">
        <v>1002</v>
      </c>
      <c r="R260" t="str">
        <f t="shared" si="4"/>
        <v>MAMABD9</v>
      </c>
      <c r="S260" t="s">
        <v>1003</v>
      </c>
      <c r="T260" t="s">
        <v>1004</v>
      </c>
      <c r="U260" t="s">
        <v>1005</v>
      </c>
      <c r="V260" t="s">
        <v>1006</v>
      </c>
    </row>
    <row r="261" spans="15:22" x14ac:dyDescent="0.25">
      <c r="O261" t="s">
        <v>279</v>
      </c>
      <c r="P261" t="s">
        <v>152</v>
      </c>
      <c r="Q261" t="s">
        <v>1007</v>
      </c>
      <c r="R261" t="str">
        <f t="shared" si="4"/>
        <v>MAMABE9</v>
      </c>
      <c r="S261" t="s">
        <v>1008</v>
      </c>
      <c r="T261" t="s">
        <v>1009</v>
      </c>
      <c r="U261" t="s">
        <v>1010</v>
      </c>
      <c r="V261" t="s">
        <v>1011</v>
      </c>
    </row>
    <row r="262" spans="15:22" x14ac:dyDescent="0.25">
      <c r="O262" t="s">
        <v>279</v>
      </c>
      <c r="P262" t="s">
        <v>152</v>
      </c>
      <c r="Q262" t="s">
        <v>1012</v>
      </c>
      <c r="R262" t="str">
        <f t="shared" si="4"/>
        <v>MAMABF9</v>
      </c>
      <c r="S262" t="s">
        <v>1013</v>
      </c>
      <c r="T262" t="s">
        <v>1014</v>
      </c>
      <c r="U262" t="s">
        <v>1015</v>
      </c>
      <c r="V262" t="s">
        <v>1016</v>
      </c>
    </row>
    <row r="263" spans="15:22" x14ac:dyDescent="0.25">
      <c r="O263" t="s">
        <v>279</v>
      </c>
      <c r="P263" t="s">
        <v>152</v>
      </c>
      <c r="Q263" t="s">
        <v>1017</v>
      </c>
      <c r="R263" t="str">
        <f t="shared" si="4"/>
        <v>MAMABG9</v>
      </c>
      <c r="S263" t="s">
        <v>1018</v>
      </c>
      <c r="T263" t="s">
        <v>1019</v>
      </c>
      <c r="U263" t="s">
        <v>1020</v>
      </c>
      <c r="V263" t="s">
        <v>1021</v>
      </c>
    </row>
    <row r="264" spans="15:22" x14ac:dyDescent="0.25">
      <c r="O264" t="s">
        <v>279</v>
      </c>
      <c r="P264" t="s">
        <v>152</v>
      </c>
      <c r="Q264" t="s">
        <v>1022</v>
      </c>
      <c r="R264" t="str">
        <f t="shared" si="4"/>
        <v>MAMABH9</v>
      </c>
      <c r="S264" t="s">
        <v>1023</v>
      </c>
      <c r="T264" t="s">
        <v>1024</v>
      </c>
      <c r="U264" t="s">
        <v>1025</v>
      </c>
      <c r="V264" t="s">
        <v>1026</v>
      </c>
    </row>
    <row r="265" spans="15:22" x14ac:dyDescent="0.25">
      <c r="O265" t="s">
        <v>279</v>
      </c>
      <c r="P265" t="s">
        <v>152</v>
      </c>
      <c r="Q265" t="s">
        <v>238</v>
      </c>
      <c r="R265" t="str">
        <f t="shared" si="4"/>
        <v>MAMABA10</v>
      </c>
      <c r="S265" t="s">
        <v>1027</v>
      </c>
      <c r="T265" t="s">
        <v>1028</v>
      </c>
      <c r="U265" t="s">
        <v>1029</v>
      </c>
      <c r="V265" t="s">
        <v>1030</v>
      </c>
    </row>
    <row r="266" spans="15:22" x14ac:dyDescent="0.25">
      <c r="O266" t="s">
        <v>279</v>
      </c>
      <c r="P266" t="s">
        <v>152</v>
      </c>
      <c r="Q266" t="s">
        <v>239</v>
      </c>
      <c r="R266" t="str">
        <f t="shared" si="4"/>
        <v>MAMABB10</v>
      </c>
      <c r="S266" t="s">
        <v>1031</v>
      </c>
      <c r="T266" t="s">
        <v>1032</v>
      </c>
      <c r="U266" t="s">
        <v>1033</v>
      </c>
      <c r="V266" t="s">
        <v>1034</v>
      </c>
    </row>
    <row r="267" spans="15:22" x14ac:dyDescent="0.25">
      <c r="O267" t="s">
        <v>279</v>
      </c>
      <c r="P267" t="s">
        <v>152</v>
      </c>
      <c r="Q267" t="s">
        <v>240</v>
      </c>
      <c r="R267" t="str">
        <f t="shared" si="4"/>
        <v>MAMABC10</v>
      </c>
      <c r="S267" t="s">
        <v>1035</v>
      </c>
      <c r="T267" t="s">
        <v>1036</v>
      </c>
      <c r="U267" t="s">
        <v>1037</v>
      </c>
      <c r="V267" t="s">
        <v>1038</v>
      </c>
    </row>
    <row r="268" spans="15:22" x14ac:dyDescent="0.25">
      <c r="O268" t="s">
        <v>279</v>
      </c>
      <c r="P268" t="s">
        <v>152</v>
      </c>
      <c r="Q268" t="s">
        <v>241</v>
      </c>
      <c r="R268" t="str">
        <f t="shared" si="4"/>
        <v>MAMABD10</v>
      </c>
      <c r="S268" t="s">
        <v>1039</v>
      </c>
      <c r="T268" t="s">
        <v>1040</v>
      </c>
      <c r="U268" t="s">
        <v>1041</v>
      </c>
      <c r="V268" t="s">
        <v>1042</v>
      </c>
    </row>
    <row r="269" spans="15:22" x14ac:dyDescent="0.25">
      <c r="O269" t="s">
        <v>279</v>
      </c>
      <c r="P269" t="s">
        <v>152</v>
      </c>
      <c r="Q269" t="s">
        <v>242</v>
      </c>
      <c r="R269" t="str">
        <f t="shared" si="4"/>
        <v>MAMABE10</v>
      </c>
      <c r="S269" t="s">
        <v>1043</v>
      </c>
      <c r="T269" t="s">
        <v>1044</v>
      </c>
      <c r="U269" t="s">
        <v>1045</v>
      </c>
      <c r="V269" t="s">
        <v>1046</v>
      </c>
    </row>
    <row r="270" spans="15:22" x14ac:dyDescent="0.25">
      <c r="O270" t="s">
        <v>279</v>
      </c>
      <c r="P270" t="s">
        <v>152</v>
      </c>
      <c r="Q270" t="s">
        <v>243</v>
      </c>
      <c r="R270" t="str">
        <f t="shared" si="4"/>
        <v>MAMABF10</v>
      </c>
      <c r="S270" t="s">
        <v>1047</v>
      </c>
      <c r="T270" t="s">
        <v>1048</v>
      </c>
      <c r="U270" t="s">
        <v>1049</v>
      </c>
      <c r="V270" t="s">
        <v>1050</v>
      </c>
    </row>
    <row r="271" spans="15:22" x14ac:dyDescent="0.25">
      <c r="O271" t="s">
        <v>279</v>
      </c>
      <c r="P271" t="s">
        <v>152</v>
      </c>
      <c r="Q271" t="s">
        <v>244</v>
      </c>
      <c r="R271" t="str">
        <f t="shared" si="4"/>
        <v>MAMABG10</v>
      </c>
      <c r="S271" t="s">
        <v>1051</v>
      </c>
      <c r="T271" t="s">
        <v>1052</v>
      </c>
      <c r="U271" t="s">
        <v>1053</v>
      </c>
      <c r="V271" t="s">
        <v>1054</v>
      </c>
    </row>
    <row r="272" spans="15:22" x14ac:dyDescent="0.25">
      <c r="O272" t="s">
        <v>279</v>
      </c>
      <c r="P272" t="s">
        <v>152</v>
      </c>
      <c r="Q272" t="s">
        <v>246</v>
      </c>
      <c r="R272" t="str">
        <f t="shared" si="4"/>
        <v>MAMABH10</v>
      </c>
      <c r="S272" t="s">
        <v>1055</v>
      </c>
      <c r="T272" t="s">
        <v>1056</v>
      </c>
      <c r="U272" t="s">
        <v>1057</v>
      </c>
      <c r="V272" t="s">
        <v>1058</v>
      </c>
    </row>
    <row r="273" spans="15:22" x14ac:dyDescent="0.25">
      <c r="O273" t="s">
        <v>279</v>
      </c>
      <c r="P273" t="s">
        <v>152</v>
      </c>
      <c r="Q273" t="s">
        <v>248</v>
      </c>
      <c r="R273" t="str">
        <f t="shared" si="4"/>
        <v>MAMABA11</v>
      </c>
      <c r="S273" t="s">
        <v>1059</v>
      </c>
      <c r="T273" t="s">
        <v>1060</v>
      </c>
      <c r="U273" t="s">
        <v>1061</v>
      </c>
      <c r="V273" t="s">
        <v>1062</v>
      </c>
    </row>
    <row r="274" spans="15:22" x14ac:dyDescent="0.25">
      <c r="O274" t="s">
        <v>279</v>
      </c>
      <c r="P274" t="s">
        <v>152</v>
      </c>
      <c r="Q274" t="s">
        <v>250</v>
      </c>
      <c r="R274" t="str">
        <f t="shared" si="4"/>
        <v>MAMABB11</v>
      </c>
      <c r="S274" t="s">
        <v>1063</v>
      </c>
      <c r="T274" t="s">
        <v>1064</v>
      </c>
      <c r="U274" t="s">
        <v>1065</v>
      </c>
      <c r="V274" t="s">
        <v>1066</v>
      </c>
    </row>
    <row r="275" spans="15:22" x14ac:dyDescent="0.25">
      <c r="O275" t="s">
        <v>279</v>
      </c>
      <c r="P275" t="s">
        <v>152</v>
      </c>
      <c r="Q275" t="s">
        <v>252</v>
      </c>
      <c r="R275" t="str">
        <f t="shared" si="4"/>
        <v>MAMABC11</v>
      </c>
      <c r="S275" t="s">
        <v>1067</v>
      </c>
      <c r="T275" t="s">
        <v>1068</v>
      </c>
      <c r="U275" t="s">
        <v>1069</v>
      </c>
      <c r="V275" t="s">
        <v>1070</v>
      </c>
    </row>
    <row r="276" spans="15:22" x14ac:dyDescent="0.25">
      <c r="O276" t="s">
        <v>279</v>
      </c>
      <c r="P276" t="s">
        <v>152</v>
      </c>
      <c r="Q276" t="s">
        <v>254</v>
      </c>
      <c r="R276" t="str">
        <f t="shared" si="4"/>
        <v>MAMABD11</v>
      </c>
      <c r="S276" t="s">
        <v>1071</v>
      </c>
      <c r="T276" t="s">
        <v>1072</v>
      </c>
      <c r="U276" t="s">
        <v>1073</v>
      </c>
      <c r="V276" t="s">
        <v>1074</v>
      </c>
    </row>
    <row r="277" spans="15:22" x14ac:dyDescent="0.25">
      <c r="O277" t="s">
        <v>279</v>
      </c>
      <c r="P277" t="s">
        <v>152</v>
      </c>
      <c r="Q277" t="s">
        <v>256</v>
      </c>
      <c r="R277" t="str">
        <f t="shared" si="4"/>
        <v>MAMABE11</v>
      </c>
      <c r="S277" t="s">
        <v>1075</v>
      </c>
      <c r="T277" t="s">
        <v>1076</v>
      </c>
      <c r="U277" t="s">
        <v>1077</v>
      </c>
      <c r="V277" t="s">
        <v>1078</v>
      </c>
    </row>
    <row r="278" spans="15:22" x14ac:dyDescent="0.25">
      <c r="O278" t="s">
        <v>279</v>
      </c>
      <c r="P278" t="s">
        <v>152</v>
      </c>
      <c r="Q278" t="s">
        <v>258</v>
      </c>
      <c r="R278" t="str">
        <f t="shared" si="4"/>
        <v>MAMABF11</v>
      </c>
      <c r="S278" t="s">
        <v>1079</v>
      </c>
      <c r="T278" t="s">
        <v>1080</v>
      </c>
      <c r="U278" t="s">
        <v>1081</v>
      </c>
      <c r="V278" t="s">
        <v>1082</v>
      </c>
    </row>
    <row r="279" spans="15:22" x14ac:dyDescent="0.25">
      <c r="O279" t="s">
        <v>279</v>
      </c>
      <c r="P279" t="s">
        <v>152</v>
      </c>
      <c r="Q279" t="s">
        <v>259</v>
      </c>
      <c r="R279" t="str">
        <f t="shared" si="4"/>
        <v>MAMABG11</v>
      </c>
      <c r="S279" t="s">
        <v>1083</v>
      </c>
      <c r="T279" t="s">
        <v>1084</v>
      </c>
      <c r="U279" t="s">
        <v>1085</v>
      </c>
      <c r="V279" t="s">
        <v>1086</v>
      </c>
    </row>
    <row r="280" spans="15:22" x14ac:dyDescent="0.25">
      <c r="O280" t="s">
        <v>279</v>
      </c>
      <c r="P280" t="s">
        <v>152</v>
      </c>
      <c r="Q280" t="s">
        <v>261</v>
      </c>
      <c r="R280" t="str">
        <f t="shared" si="4"/>
        <v>MAMABH11</v>
      </c>
      <c r="S280" t="s">
        <v>1087</v>
      </c>
      <c r="T280" t="s">
        <v>1088</v>
      </c>
      <c r="U280" t="s">
        <v>1089</v>
      </c>
      <c r="V280" t="s">
        <v>1090</v>
      </c>
    </row>
    <row r="281" spans="15:22" x14ac:dyDescent="0.25">
      <c r="O281" t="s">
        <v>279</v>
      </c>
      <c r="P281" t="s">
        <v>152</v>
      </c>
      <c r="Q281" t="s">
        <v>263</v>
      </c>
      <c r="R281" t="str">
        <f t="shared" si="4"/>
        <v>MAMABA12</v>
      </c>
      <c r="S281" t="s">
        <v>1091</v>
      </c>
      <c r="T281" t="s">
        <v>1092</v>
      </c>
      <c r="U281" t="s">
        <v>1093</v>
      </c>
      <c r="V281" t="s">
        <v>1094</v>
      </c>
    </row>
    <row r="282" spans="15:22" x14ac:dyDescent="0.25">
      <c r="O282" t="s">
        <v>279</v>
      </c>
      <c r="P282" t="s">
        <v>152</v>
      </c>
      <c r="Q282" t="s">
        <v>265</v>
      </c>
      <c r="R282" t="str">
        <f t="shared" si="4"/>
        <v>MAMABB12</v>
      </c>
      <c r="S282" t="s">
        <v>1095</v>
      </c>
      <c r="T282" t="s">
        <v>1096</v>
      </c>
      <c r="U282" t="s">
        <v>1097</v>
      </c>
      <c r="V282" t="s">
        <v>1098</v>
      </c>
    </row>
    <row r="283" spans="15:22" x14ac:dyDescent="0.25">
      <c r="O283" t="s">
        <v>279</v>
      </c>
      <c r="P283" t="s">
        <v>152</v>
      </c>
      <c r="Q283" t="s">
        <v>267</v>
      </c>
      <c r="R283" t="str">
        <f t="shared" si="4"/>
        <v>MAMABC12</v>
      </c>
      <c r="S283" t="s">
        <v>1099</v>
      </c>
      <c r="T283" t="s">
        <v>1100</v>
      </c>
      <c r="U283" t="s">
        <v>1101</v>
      </c>
      <c r="V283" t="s">
        <v>1102</v>
      </c>
    </row>
    <row r="284" spans="15:22" x14ac:dyDescent="0.25">
      <c r="O284" t="s">
        <v>279</v>
      </c>
      <c r="P284" t="s">
        <v>152</v>
      </c>
      <c r="Q284" t="s">
        <v>269</v>
      </c>
      <c r="R284" t="str">
        <f t="shared" si="4"/>
        <v>MAMABD12</v>
      </c>
      <c r="S284" t="s">
        <v>1103</v>
      </c>
      <c r="T284" t="s">
        <v>1104</v>
      </c>
      <c r="U284" t="s">
        <v>1105</v>
      </c>
      <c r="V284" t="s">
        <v>1106</v>
      </c>
    </row>
    <row r="285" spans="15:22" x14ac:dyDescent="0.25">
      <c r="O285" t="s">
        <v>279</v>
      </c>
      <c r="P285" t="s">
        <v>152</v>
      </c>
      <c r="Q285" t="s">
        <v>271</v>
      </c>
      <c r="R285" t="str">
        <f t="shared" si="4"/>
        <v>MAMABE12</v>
      </c>
      <c r="S285" t="s">
        <v>1107</v>
      </c>
      <c r="T285" t="s">
        <v>1108</v>
      </c>
      <c r="U285" t="s">
        <v>1109</v>
      </c>
      <c r="V285" t="s">
        <v>1110</v>
      </c>
    </row>
    <row r="286" spans="15:22" x14ac:dyDescent="0.25">
      <c r="O286" t="s">
        <v>279</v>
      </c>
      <c r="P286" t="s">
        <v>152</v>
      </c>
      <c r="Q286" t="s">
        <v>273</v>
      </c>
      <c r="R286" t="str">
        <f t="shared" si="4"/>
        <v>MAMABF12</v>
      </c>
      <c r="S286" t="s">
        <v>1111</v>
      </c>
      <c r="T286" t="s">
        <v>1112</v>
      </c>
      <c r="U286" t="s">
        <v>1113</v>
      </c>
      <c r="V286" t="s">
        <v>1114</v>
      </c>
    </row>
    <row r="287" spans="15:22" x14ac:dyDescent="0.25">
      <c r="O287" t="s">
        <v>279</v>
      </c>
      <c r="P287" t="s">
        <v>152</v>
      </c>
      <c r="Q287" t="s">
        <v>275</v>
      </c>
      <c r="R287" t="str">
        <f t="shared" si="4"/>
        <v>MAMABG12</v>
      </c>
      <c r="S287" t="s">
        <v>1115</v>
      </c>
      <c r="T287" t="s">
        <v>1116</v>
      </c>
      <c r="U287" t="s">
        <v>1117</v>
      </c>
      <c r="V287" t="s">
        <v>1118</v>
      </c>
    </row>
    <row r="288" spans="15:22" x14ac:dyDescent="0.25">
      <c r="O288" t="s">
        <v>279</v>
      </c>
      <c r="P288" t="s">
        <v>152</v>
      </c>
      <c r="Q288" t="s">
        <v>277</v>
      </c>
      <c r="R288" t="str">
        <f t="shared" si="4"/>
        <v>MAMABH12</v>
      </c>
      <c r="S288" t="s">
        <v>1119</v>
      </c>
      <c r="T288" t="s">
        <v>1120</v>
      </c>
      <c r="U288" t="s">
        <v>1121</v>
      </c>
      <c r="V288" t="s">
        <v>1122</v>
      </c>
    </row>
    <row r="289" spans="15:22" x14ac:dyDescent="0.25">
      <c r="O289" t="s">
        <v>279</v>
      </c>
      <c r="P289" t="s">
        <v>156</v>
      </c>
      <c r="Q289" t="s">
        <v>667</v>
      </c>
      <c r="R289" t="str">
        <f t="shared" si="4"/>
        <v>MAMACA1</v>
      </c>
      <c r="S289" t="s">
        <v>1123</v>
      </c>
      <c r="T289" t="s">
        <v>1124</v>
      </c>
      <c r="U289" t="s">
        <v>1125</v>
      </c>
      <c r="V289" t="s">
        <v>1126</v>
      </c>
    </row>
    <row r="290" spans="15:22" x14ac:dyDescent="0.25">
      <c r="O290" t="s">
        <v>279</v>
      </c>
      <c r="P290" t="s">
        <v>156</v>
      </c>
      <c r="Q290" t="s">
        <v>672</v>
      </c>
      <c r="R290" t="str">
        <f t="shared" si="4"/>
        <v>MAMACB1</v>
      </c>
      <c r="S290" t="s">
        <v>1127</v>
      </c>
      <c r="T290" t="s">
        <v>1128</v>
      </c>
      <c r="U290" t="s">
        <v>1129</v>
      </c>
      <c r="V290" t="s">
        <v>1130</v>
      </c>
    </row>
    <row r="291" spans="15:22" x14ac:dyDescent="0.25">
      <c r="O291" t="s">
        <v>279</v>
      </c>
      <c r="P291" t="s">
        <v>156</v>
      </c>
      <c r="Q291" t="s">
        <v>677</v>
      </c>
      <c r="R291" t="str">
        <f t="shared" si="4"/>
        <v>MAMACC1</v>
      </c>
      <c r="S291" t="s">
        <v>1131</v>
      </c>
      <c r="T291" t="s">
        <v>1132</v>
      </c>
      <c r="U291" t="s">
        <v>1133</v>
      </c>
      <c r="V291" t="s">
        <v>1134</v>
      </c>
    </row>
    <row r="292" spans="15:22" x14ac:dyDescent="0.25">
      <c r="O292" t="s">
        <v>279</v>
      </c>
      <c r="P292" t="s">
        <v>156</v>
      </c>
      <c r="Q292" t="s">
        <v>682</v>
      </c>
      <c r="R292" t="str">
        <f t="shared" si="4"/>
        <v>MAMACD1</v>
      </c>
      <c r="S292" t="s">
        <v>1135</v>
      </c>
      <c r="T292" t="s">
        <v>1136</v>
      </c>
      <c r="U292" t="s">
        <v>1137</v>
      </c>
      <c r="V292" t="s">
        <v>1138</v>
      </c>
    </row>
    <row r="293" spans="15:22" x14ac:dyDescent="0.25">
      <c r="O293" t="s">
        <v>279</v>
      </c>
      <c r="P293" t="s">
        <v>156</v>
      </c>
      <c r="Q293" t="s">
        <v>687</v>
      </c>
      <c r="R293" t="str">
        <f t="shared" si="4"/>
        <v>MAMACE1</v>
      </c>
      <c r="S293" t="s">
        <v>1139</v>
      </c>
      <c r="T293" t="s">
        <v>1140</v>
      </c>
      <c r="U293" t="s">
        <v>1141</v>
      </c>
      <c r="V293" t="s">
        <v>1142</v>
      </c>
    </row>
    <row r="294" spans="15:22" x14ac:dyDescent="0.25">
      <c r="O294" t="s">
        <v>279</v>
      </c>
      <c r="P294" t="s">
        <v>156</v>
      </c>
      <c r="Q294" t="s">
        <v>692</v>
      </c>
      <c r="R294" t="str">
        <f t="shared" si="4"/>
        <v>MAMACF1</v>
      </c>
      <c r="S294" t="s">
        <v>1143</v>
      </c>
      <c r="T294" t="s">
        <v>1144</v>
      </c>
      <c r="U294" t="s">
        <v>1145</v>
      </c>
      <c r="V294" t="s">
        <v>1146</v>
      </c>
    </row>
    <row r="295" spans="15:22" x14ac:dyDescent="0.25">
      <c r="O295" t="s">
        <v>279</v>
      </c>
      <c r="P295" t="s">
        <v>156</v>
      </c>
      <c r="Q295" t="s">
        <v>697</v>
      </c>
      <c r="R295" t="str">
        <f t="shared" si="4"/>
        <v>MAMACG1</v>
      </c>
      <c r="S295" t="s">
        <v>1147</v>
      </c>
      <c r="T295" t="s">
        <v>1148</v>
      </c>
      <c r="U295" t="s">
        <v>1149</v>
      </c>
      <c r="V295" t="s">
        <v>1150</v>
      </c>
    </row>
    <row r="296" spans="15:22" x14ac:dyDescent="0.25">
      <c r="O296" t="s">
        <v>279</v>
      </c>
      <c r="P296" t="s">
        <v>156</v>
      </c>
      <c r="Q296" t="s">
        <v>702</v>
      </c>
      <c r="R296" t="str">
        <f t="shared" si="4"/>
        <v>MAMACH1</v>
      </c>
      <c r="S296" t="s">
        <v>1151</v>
      </c>
      <c r="T296" t="s">
        <v>1152</v>
      </c>
      <c r="U296" t="s">
        <v>1153</v>
      </c>
      <c r="V296" t="s">
        <v>1154</v>
      </c>
    </row>
    <row r="297" spans="15:22" x14ac:dyDescent="0.25">
      <c r="O297" t="s">
        <v>279</v>
      </c>
      <c r="P297" t="s">
        <v>156</v>
      </c>
      <c r="Q297" t="s">
        <v>707</v>
      </c>
      <c r="R297" t="str">
        <f t="shared" si="4"/>
        <v>MAMACA2</v>
      </c>
      <c r="S297" t="s">
        <v>1155</v>
      </c>
      <c r="T297" t="s">
        <v>1156</v>
      </c>
      <c r="U297" t="s">
        <v>1157</v>
      </c>
      <c r="V297" t="s">
        <v>1158</v>
      </c>
    </row>
    <row r="298" spans="15:22" x14ac:dyDescent="0.25">
      <c r="O298" t="s">
        <v>279</v>
      </c>
      <c r="P298" t="s">
        <v>156</v>
      </c>
      <c r="Q298" t="s">
        <v>712</v>
      </c>
      <c r="R298" t="str">
        <f t="shared" si="4"/>
        <v>MAMACB2</v>
      </c>
      <c r="S298" t="s">
        <v>1159</v>
      </c>
      <c r="T298" t="s">
        <v>1160</v>
      </c>
      <c r="U298" t="s">
        <v>1161</v>
      </c>
      <c r="V298" t="s">
        <v>1162</v>
      </c>
    </row>
    <row r="299" spans="15:22" x14ac:dyDescent="0.25">
      <c r="O299" t="s">
        <v>279</v>
      </c>
      <c r="P299" t="s">
        <v>156</v>
      </c>
      <c r="Q299" t="s">
        <v>717</v>
      </c>
      <c r="R299" t="str">
        <f t="shared" si="4"/>
        <v>MAMACC2</v>
      </c>
      <c r="S299" t="s">
        <v>1163</v>
      </c>
      <c r="T299" t="s">
        <v>1164</v>
      </c>
      <c r="U299" t="s">
        <v>1165</v>
      </c>
      <c r="V299" t="s">
        <v>1166</v>
      </c>
    </row>
    <row r="300" spans="15:22" x14ac:dyDescent="0.25">
      <c r="O300" t="s">
        <v>279</v>
      </c>
      <c r="P300" t="s">
        <v>156</v>
      </c>
      <c r="Q300" t="s">
        <v>722</v>
      </c>
      <c r="R300" t="str">
        <f t="shared" si="4"/>
        <v>MAMACD2</v>
      </c>
      <c r="S300" t="s">
        <v>1167</v>
      </c>
      <c r="T300" t="s">
        <v>1168</v>
      </c>
      <c r="U300" t="s">
        <v>1169</v>
      </c>
      <c r="V300" t="s">
        <v>1170</v>
      </c>
    </row>
    <row r="301" spans="15:22" x14ac:dyDescent="0.25">
      <c r="O301" t="s">
        <v>279</v>
      </c>
      <c r="P301" t="s">
        <v>156</v>
      </c>
      <c r="Q301" t="s">
        <v>727</v>
      </c>
      <c r="R301" t="str">
        <f t="shared" si="4"/>
        <v>MAMACE2</v>
      </c>
      <c r="S301" t="s">
        <v>1171</v>
      </c>
      <c r="T301" t="s">
        <v>1172</v>
      </c>
      <c r="U301" t="s">
        <v>1173</v>
      </c>
      <c r="V301" t="s">
        <v>1174</v>
      </c>
    </row>
    <row r="302" spans="15:22" x14ac:dyDescent="0.25">
      <c r="O302" t="s">
        <v>279</v>
      </c>
      <c r="P302" t="s">
        <v>156</v>
      </c>
      <c r="Q302" t="s">
        <v>732</v>
      </c>
      <c r="R302" t="str">
        <f t="shared" si="4"/>
        <v>MAMACF2</v>
      </c>
      <c r="S302" t="s">
        <v>1175</v>
      </c>
      <c r="T302" t="s">
        <v>1176</v>
      </c>
      <c r="U302" t="s">
        <v>1177</v>
      </c>
      <c r="V302" t="s">
        <v>1178</v>
      </c>
    </row>
    <row r="303" spans="15:22" x14ac:dyDescent="0.25">
      <c r="O303" t="s">
        <v>279</v>
      </c>
      <c r="P303" t="s">
        <v>156</v>
      </c>
      <c r="Q303" t="s">
        <v>737</v>
      </c>
      <c r="R303" t="str">
        <f t="shared" si="4"/>
        <v>MAMACG2</v>
      </c>
      <c r="S303" t="s">
        <v>1179</v>
      </c>
      <c r="T303" t="s">
        <v>1180</v>
      </c>
      <c r="U303" t="s">
        <v>1181</v>
      </c>
      <c r="V303" t="s">
        <v>1182</v>
      </c>
    </row>
    <row r="304" spans="15:22" x14ac:dyDescent="0.25">
      <c r="O304" t="s">
        <v>279</v>
      </c>
      <c r="P304" t="s">
        <v>156</v>
      </c>
      <c r="Q304" t="s">
        <v>742</v>
      </c>
      <c r="R304" t="str">
        <f t="shared" si="4"/>
        <v>MAMACH2</v>
      </c>
      <c r="S304" t="s">
        <v>1183</v>
      </c>
      <c r="T304" t="s">
        <v>1184</v>
      </c>
      <c r="U304" t="s">
        <v>1185</v>
      </c>
      <c r="V304" t="s">
        <v>1186</v>
      </c>
    </row>
    <row r="305" spans="15:22" x14ac:dyDescent="0.25">
      <c r="O305" t="s">
        <v>279</v>
      </c>
      <c r="P305" t="s">
        <v>156</v>
      </c>
      <c r="Q305" t="s">
        <v>747</v>
      </c>
      <c r="R305" t="str">
        <f t="shared" si="4"/>
        <v>MAMACA3</v>
      </c>
      <c r="S305" t="s">
        <v>1187</v>
      </c>
      <c r="T305" t="s">
        <v>1188</v>
      </c>
      <c r="U305" t="s">
        <v>1189</v>
      </c>
      <c r="V305" t="s">
        <v>1190</v>
      </c>
    </row>
    <row r="306" spans="15:22" x14ac:dyDescent="0.25">
      <c r="O306" t="s">
        <v>279</v>
      </c>
      <c r="P306" t="s">
        <v>156</v>
      </c>
      <c r="Q306" t="s">
        <v>752</v>
      </c>
      <c r="R306" t="str">
        <f t="shared" si="4"/>
        <v>MAMACB3</v>
      </c>
      <c r="S306" t="s">
        <v>1191</v>
      </c>
      <c r="T306" t="s">
        <v>1192</v>
      </c>
      <c r="U306" t="s">
        <v>1193</v>
      </c>
      <c r="V306" t="s">
        <v>1194</v>
      </c>
    </row>
    <row r="307" spans="15:22" x14ac:dyDescent="0.25">
      <c r="O307" t="s">
        <v>279</v>
      </c>
      <c r="P307" t="s">
        <v>156</v>
      </c>
      <c r="Q307" t="s">
        <v>757</v>
      </c>
      <c r="R307" t="str">
        <f t="shared" si="4"/>
        <v>MAMACC3</v>
      </c>
      <c r="S307" t="s">
        <v>1195</v>
      </c>
      <c r="T307" t="s">
        <v>1196</v>
      </c>
      <c r="U307" t="s">
        <v>1197</v>
      </c>
      <c r="V307" t="s">
        <v>1198</v>
      </c>
    </row>
    <row r="308" spans="15:22" x14ac:dyDescent="0.25">
      <c r="O308" t="s">
        <v>279</v>
      </c>
      <c r="P308" t="s">
        <v>156</v>
      </c>
      <c r="Q308" t="s">
        <v>762</v>
      </c>
      <c r="R308" t="str">
        <f t="shared" si="4"/>
        <v>MAMACD3</v>
      </c>
      <c r="S308" t="s">
        <v>1199</v>
      </c>
      <c r="T308" t="s">
        <v>1200</v>
      </c>
      <c r="U308" t="s">
        <v>1201</v>
      </c>
      <c r="V308" t="s">
        <v>1202</v>
      </c>
    </row>
    <row r="309" spans="15:22" x14ac:dyDescent="0.25">
      <c r="O309" t="s">
        <v>279</v>
      </c>
      <c r="P309" t="s">
        <v>156</v>
      </c>
      <c r="Q309" t="s">
        <v>767</v>
      </c>
      <c r="R309" t="str">
        <f t="shared" si="4"/>
        <v>MAMACE3</v>
      </c>
      <c r="S309" t="s">
        <v>1203</v>
      </c>
      <c r="T309" t="s">
        <v>1204</v>
      </c>
      <c r="U309" t="s">
        <v>1205</v>
      </c>
      <c r="V309" t="s">
        <v>1206</v>
      </c>
    </row>
    <row r="310" spans="15:22" x14ac:dyDescent="0.25">
      <c r="O310" t="s">
        <v>279</v>
      </c>
      <c r="P310" t="s">
        <v>156</v>
      </c>
      <c r="Q310" t="s">
        <v>772</v>
      </c>
      <c r="R310" t="str">
        <f t="shared" si="4"/>
        <v>MAMACF3</v>
      </c>
      <c r="S310" t="s">
        <v>1207</v>
      </c>
      <c r="T310" t="s">
        <v>1208</v>
      </c>
      <c r="U310" t="s">
        <v>1209</v>
      </c>
      <c r="V310" t="s">
        <v>1210</v>
      </c>
    </row>
    <row r="311" spans="15:22" x14ac:dyDescent="0.25">
      <c r="O311" t="s">
        <v>279</v>
      </c>
      <c r="P311" t="s">
        <v>156</v>
      </c>
      <c r="Q311" t="s">
        <v>777</v>
      </c>
      <c r="R311" t="str">
        <f t="shared" si="4"/>
        <v>MAMACG3</v>
      </c>
      <c r="S311" t="s">
        <v>1211</v>
      </c>
      <c r="T311" t="s">
        <v>1212</v>
      </c>
      <c r="U311" t="s">
        <v>1213</v>
      </c>
      <c r="V311" t="s">
        <v>1214</v>
      </c>
    </row>
    <row r="312" spans="15:22" x14ac:dyDescent="0.25">
      <c r="O312" t="s">
        <v>279</v>
      </c>
      <c r="P312" t="s">
        <v>156</v>
      </c>
      <c r="Q312" t="s">
        <v>782</v>
      </c>
      <c r="R312" t="str">
        <f t="shared" si="4"/>
        <v>MAMACH3</v>
      </c>
      <c r="S312" t="s">
        <v>1215</v>
      </c>
      <c r="T312" t="s">
        <v>1216</v>
      </c>
      <c r="U312" t="s">
        <v>1217</v>
      </c>
      <c r="V312" t="s">
        <v>1218</v>
      </c>
    </row>
    <row r="313" spans="15:22" x14ac:dyDescent="0.25">
      <c r="O313" t="s">
        <v>279</v>
      </c>
      <c r="P313" t="s">
        <v>156</v>
      </c>
      <c r="Q313" t="s">
        <v>787</v>
      </c>
      <c r="R313" t="str">
        <f t="shared" si="4"/>
        <v>MAMACA4</v>
      </c>
      <c r="S313" t="s">
        <v>1219</v>
      </c>
      <c r="T313" t="s">
        <v>1220</v>
      </c>
      <c r="U313" t="s">
        <v>1221</v>
      </c>
      <c r="V313" t="s">
        <v>1222</v>
      </c>
    </row>
    <row r="314" spans="15:22" x14ac:dyDescent="0.25">
      <c r="O314" t="s">
        <v>279</v>
      </c>
      <c r="P314" t="s">
        <v>156</v>
      </c>
      <c r="Q314" t="s">
        <v>792</v>
      </c>
      <c r="R314" t="str">
        <f t="shared" si="4"/>
        <v>MAMACB4</v>
      </c>
      <c r="S314" t="s">
        <v>1223</v>
      </c>
      <c r="T314" t="s">
        <v>1224</v>
      </c>
      <c r="U314" t="s">
        <v>1225</v>
      </c>
      <c r="V314" t="s">
        <v>1226</v>
      </c>
    </row>
    <row r="315" spans="15:22" x14ac:dyDescent="0.25">
      <c r="O315" t="s">
        <v>279</v>
      </c>
      <c r="P315" t="s">
        <v>156</v>
      </c>
      <c r="Q315" t="s">
        <v>797</v>
      </c>
      <c r="R315" t="str">
        <f t="shared" si="4"/>
        <v>MAMACC4</v>
      </c>
      <c r="S315" t="s">
        <v>1227</v>
      </c>
      <c r="T315" t="s">
        <v>1228</v>
      </c>
      <c r="U315" t="s">
        <v>1229</v>
      </c>
      <c r="V315" t="s">
        <v>1230</v>
      </c>
    </row>
    <row r="316" spans="15:22" x14ac:dyDescent="0.25">
      <c r="O316" t="s">
        <v>279</v>
      </c>
      <c r="P316" t="s">
        <v>156</v>
      </c>
      <c r="Q316" t="s">
        <v>802</v>
      </c>
      <c r="R316" t="str">
        <f t="shared" si="4"/>
        <v>MAMACD4</v>
      </c>
      <c r="S316" t="s">
        <v>1231</v>
      </c>
      <c r="T316" t="s">
        <v>1232</v>
      </c>
      <c r="U316" t="s">
        <v>1233</v>
      </c>
      <c r="V316" t="s">
        <v>1234</v>
      </c>
    </row>
    <row r="317" spans="15:22" x14ac:dyDescent="0.25">
      <c r="O317" t="s">
        <v>279</v>
      </c>
      <c r="P317" t="s">
        <v>156</v>
      </c>
      <c r="Q317" t="s">
        <v>807</v>
      </c>
      <c r="R317" t="str">
        <f t="shared" si="4"/>
        <v>MAMACE4</v>
      </c>
      <c r="S317" t="s">
        <v>1235</v>
      </c>
      <c r="T317" t="s">
        <v>1236</v>
      </c>
      <c r="U317" t="s">
        <v>1237</v>
      </c>
      <c r="V317" t="s">
        <v>1238</v>
      </c>
    </row>
    <row r="318" spans="15:22" x14ac:dyDescent="0.25">
      <c r="O318" t="s">
        <v>279</v>
      </c>
      <c r="P318" t="s">
        <v>156</v>
      </c>
      <c r="Q318" t="s">
        <v>812</v>
      </c>
      <c r="R318" t="str">
        <f t="shared" si="4"/>
        <v>MAMACF4</v>
      </c>
      <c r="S318" t="s">
        <v>1239</v>
      </c>
      <c r="T318" t="s">
        <v>1240</v>
      </c>
      <c r="U318" t="s">
        <v>1241</v>
      </c>
      <c r="V318" t="s">
        <v>1242</v>
      </c>
    </row>
    <row r="319" spans="15:22" x14ac:dyDescent="0.25">
      <c r="O319" t="s">
        <v>279</v>
      </c>
      <c r="P319" t="s">
        <v>156</v>
      </c>
      <c r="Q319" t="s">
        <v>817</v>
      </c>
      <c r="R319" t="str">
        <f t="shared" si="4"/>
        <v>MAMACG4</v>
      </c>
      <c r="S319" t="s">
        <v>1243</v>
      </c>
      <c r="T319" t="s">
        <v>1244</v>
      </c>
      <c r="U319" t="s">
        <v>1245</v>
      </c>
      <c r="V319" t="s">
        <v>1246</v>
      </c>
    </row>
    <row r="320" spans="15:22" x14ac:dyDescent="0.25">
      <c r="O320" t="s">
        <v>279</v>
      </c>
      <c r="P320" t="s">
        <v>156</v>
      </c>
      <c r="Q320" t="s">
        <v>822</v>
      </c>
      <c r="R320" t="str">
        <f t="shared" si="4"/>
        <v>MAMACH4</v>
      </c>
      <c r="S320" t="s">
        <v>1247</v>
      </c>
      <c r="T320" t="s">
        <v>1248</v>
      </c>
      <c r="U320" t="s">
        <v>1249</v>
      </c>
      <c r="V320" t="s">
        <v>1250</v>
      </c>
    </row>
    <row r="321" spans="15:22" x14ac:dyDescent="0.25">
      <c r="O321" t="s">
        <v>279</v>
      </c>
      <c r="P321" t="s">
        <v>156</v>
      </c>
      <c r="Q321" t="s">
        <v>827</v>
      </c>
      <c r="R321" t="str">
        <f t="shared" ref="R321:R384" si="5">O321&amp;P321&amp;Q321</f>
        <v>MAMACA5</v>
      </c>
      <c r="S321" t="s">
        <v>1251</v>
      </c>
      <c r="T321" t="s">
        <v>1252</v>
      </c>
      <c r="U321" t="s">
        <v>1253</v>
      </c>
      <c r="V321" t="s">
        <v>1254</v>
      </c>
    </row>
    <row r="322" spans="15:22" x14ac:dyDescent="0.25">
      <c r="O322" t="s">
        <v>279</v>
      </c>
      <c r="P322" t="s">
        <v>156</v>
      </c>
      <c r="Q322" t="s">
        <v>832</v>
      </c>
      <c r="R322" t="str">
        <f t="shared" si="5"/>
        <v>MAMACB5</v>
      </c>
      <c r="S322" t="s">
        <v>1255</v>
      </c>
      <c r="T322" t="s">
        <v>1256</v>
      </c>
      <c r="U322" t="s">
        <v>1257</v>
      </c>
      <c r="V322" t="s">
        <v>1258</v>
      </c>
    </row>
    <row r="323" spans="15:22" x14ac:dyDescent="0.25">
      <c r="O323" t="s">
        <v>279</v>
      </c>
      <c r="P323" t="s">
        <v>156</v>
      </c>
      <c r="Q323" t="s">
        <v>837</v>
      </c>
      <c r="R323" t="str">
        <f t="shared" si="5"/>
        <v>MAMACC5</v>
      </c>
      <c r="S323" t="s">
        <v>1259</v>
      </c>
      <c r="T323" t="s">
        <v>1260</v>
      </c>
      <c r="U323" t="s">
        <v>1261</v>
      </c>
      <c r="V323" t="s">
        <v>1262</v>
      </c>
    </row>
    <row r="324" spans="15:22" x14ac:dyDescent="0.25">
      <c r="O324" t="s">
        <v>279</v>
      </c>
      <c r="P324" t="s">
        <v>156</v>
      </c>
      <c r="Q324" t="s">
        <v>842</v>
      </c>
      <c r="R324" t="str">
        <f t="shared" si="5"/>
        <v>MAMACD5</v>
      </c>
      <c r="S324" t="s">
        <v>1263</v>
      </c>
      <c r="T324" t="s">
        <v>1264</v>
      </c>
      <c r="U324" t="s">
        <v>1265</v>
      </c>
      <c r="V324" t="s">
        <v>1266</v>
      </c>
    </row>
    <row r="325" spans="15:22" x14ac:dyDescent="0.25">
      <c r="O325" t="s">
        <v>279</v>
      </c>
      <c r="P325" t="s">
        <v>156</v>
      </c>
      <c r="Q325" t="s">
        <v>847</v>
      </c>
      <c r="R325" t="str">
        <f t="shared" si="5"/>
        <v>MAMACE5</v>
      </c>
      <c r="S325" t="s">
        <v>1267</v>
      </c>
      <c r="T325" t="s">
        <v>1268</v>
      </c>
      <c r="U325" t="s">
        <v>1269</v>
      </c>
      <c r="V325" t="s">
        <v>1270</v>
      </c>
    </row>
    <row r="326" spans="15:22" x14ac:dyDescent="0.25">
      <c r="O326" t="s">
        <v>279</v>
      </c>
      <c r="P326" t="s">
        <v>156</v>
      </c>
      <c r="Q326" t="s">
        <v>852</v>
      </c>
      <c r="R326" t="str">
        <f t="shared" si="5"/>
        <v>MAMACF5</v>
      </c>
      <c r="S326" t="s">
        <v>1271</v>
      </c>
      <c r="T326" t="s">
        <v>1272</v>
      </c>
      <c r="U326" t="s">
        <v>1273</v>
      </c>
      <c r="V326" t="s">
        <v>1274</v>
      </c>
    </row>
    <row r="327" spans="15:22" x14ac:dyDescent="0.25">
      <c r="O327" t="s">
        <v>279</v>
      </c>
      <c r="P327" t="s">
        <v>156</v>
      </c>
      <c r="Q327" t="s">
        <v>857</v>
      </c>
      <c r="R327" t="str">
        <f t="shared" si="5"/>
        <v>MAMACG5</v>
      </c>
      <c r="S327" t="s">
        <v>1275</v>
      </c>
      <c r="T327" t="s">
        <v>1276</v>
      </c>
      <c r="U327" t="s">
        <v>1277</v>
      </c>
      <c r="V327" t="s">
        <v>1278</v>
      </c>
    </row>
    <row r="328" spans="15:22" x14ac:dyDescent="0.25">
      <c r="O328" t="s">
        <v>279</v>
      </c>
      <c r="P328" t="s">
        <v>156</v>
      </c>
      <c r="Q328" t="s">
        <v>862</v>
      </c>
      <c r="R328" t="str">
        <f t="shared" si="5"/>
        <v>MAMACH5</v>
      </c>
      <c r="S328" t="s">
        <v>1279</v>
      </c>
      <c r="T328" t="s">
        <v>1280</v>
      </c>
      <c r="U328" t="s">
        <v>1281</v>
      </c>
      <c r="V328" t="s">
        <v>1282</v>
      </c>
    </row>
    <row r="329" spans="15:22" x14ac:dyDescent="0.25">
      <c r="O329" t="s">
        <v>279</v>
      </c>
      <c r="P329" t="s">
        <v>156</v>
      </c>
      <c r="Q329" t="s">
        <v>867</v>
      </c>
      <c r="R329" t="str">
        <f t="shared" si="5"/>
        <v>MAMACA6</v>
      </c>
      <c r="S329" t="s">
        <v>1283</v>
      </c>
      <c r="T329" t="s">
        <v>1284</v>
      </c>
      <c r="U329" t="s">
        <v>1285</v>
      </c>
      <c r="V329" t="s">
        <v>1286</v>
      </c>
    </row>
    <row r="330" spans="15:22" x14ac:dyDescent="0.25">
      <c r="O330" t="s">
        <v>279</v>
      </c>
      <c r="P330" t="s">
        <v>156</v>
      </c>
      <c r="Q330" t="s">
        <v>872</v>
      </c>
      <c r="R330" t="str">
        <f t="shared" si="5"/>
        <v>MAMACB6</v>
      </c>
      <c r="S330" t="s">
        <v>1287</v>
      </c>
      <c r="T330" t="s">
        <v>1288</v>
      </c>
      <c r="U330" t="s">
        <v>1289</v>
      </c>
      <c r="V330" t="s">
        <v>1290</v>
      </c>
    </row>
    <row r="331" spans="15:22" x14ac:dyDescent="0.25">
      <c r="O331" t="s">
        <v>279</v>
      </c>
      <c r="P331" t="s">
        <v>156</v>
      </c>
      <c r="Q331" t="s">
        <v>877</v>
      </c>
      <c r="R331" t="str">
        <f t="shared" si="5"/>
        <v>MAMACC6</v>
      </c>
      <c r="S331" t="s">
        <v>1291</v>
      </c>
      <c r="T331" t="s">
        <v>1292</v>
      </c>
      <c r="U331" t="s">
        <v>1293</v>
      </c>
      <c r="V331" t="s">
        <v>1294</v>
      </c>
    </row>
    <row r="332" spans="15:22" x14ac:dyDescent="0.25">
      <c r="O332" t="s">
        <v>279</v>
      </c>
      <c r="P332" t="s">
        <v>156</v>
      </c>
      <c r="Q332" t="s">
        <v>882</v>
      </c>
      <c r="R332" t="str">
        <f t="shared" si="5"/>
        <v>MAMACD6</v>
      </c>
      <c r="S332" t="s">
        <v>1295</v>
      </c>
      <c r="T332" t="s">
        <v>1296</v>
      </c>
      <c r="U332" t="s">
        <v>1297</v>
      </c>
      <c r="V332" t="s">
        <v>1298</v>
      </c>
    </row>
    <row r="333" spans="15:22" x14ac:dyDescent="0.25">
      <c r="O333" t="s">
        <v>279</v>
      </c>
      <c r="P333" t="s">
        <v>156</v>
      </c>
      <c r="Q333" t="s">
        <v>887</v>
      </c>
      <c r="R333" t="str">
        <f t="shared" si="5"/>
        <v>MAMACE6</v>
      </c>
      <c r="S333" t="s">
        <v>1299</v>
      </c>
      <c r="T333" t="s">
        <v>1300</v>
      </c>
      <c r="U333" t="s">
        <v>1301</v>
      </c>
      <c r="V333" t="s">
        <v>1302</v>
      </c>
    </row>
    <row r="334" spans="15:22" x14ac:dyDescent="0.25">
      <c r="O334" t="s">
        <v>279</v>
      </c>
      <c r="P334" t="s">
        <v>156</v>
      </c>
      <c r="Q334" t="s">
        <v>892</v>
      </c>
      <c r="R334" t="str">
        <f t="shared" si="5"/>
        <v>MAMACF6</v>
      </c>
      <c r="S334" t="s">
        <v>1303</v>
      </c>
      <c r="T334" t="s">
        <v>1304</v>
      </c>
      <c r="U334" t="s">
        <v>1305</v>
      </c>
      <c r="V334" t="s">
        <v>1306</v>
      </c>
    </row>
    <row r="335" spans="15:22" x14ac:dyDescent="0.25">
      <c r="O335" t="s">
        <v>279</v>
      </c>
      <c r="P335" t="s">
        <v>156</v>
      </c>
      <c r="Q335" t="s">
        <v>897</v>
      </c>
      <c r="R335" t="str">
        <f t="shared" si="5"/>
        <v>MAMACG6</v>
      </c>
      <c r="S335" t="s">
        <v>1307</v>
      </c>
      <c r="T335" t="s">
        <v>1308</v>
      </c>
      <c r="U335" t="s">
        <v>1309</v>
      </c>
      <c r="V335" t="s">
        <v>1310</v>
      </c>
    </row>
    <row r="336" spans="15:22" x14ac:dyDescent="0.25">
      <c r="O336" t="s">
        <v>279</v>
      </c>
      <c r="P336" t="s">
        <v>156</v>
      </c>
      <c r="Q336" t="s">
        <v>902</v>
      </c>
      <c r="R336" t="str">
        <f t="shared" si="5"/>
        <v>MAMACH6</v>
      </c>
      <c r="S336" t="s">
        <v>1311</v>
      </c>
      <c r="T336" t="s">
        <v>1312</v>
      </c>
      <c r="U336" t="s">
        <v>1313</v>
      </c>
      <c r="V336" t="s">
        <v>1314</v>
      </c>
    </row>
    <row r="337" spans="15:22" x14ac:dyDescent="0.25">
      <c r="O337" t="s">
        <v>279</v>
      </c>
      <c r="P337" t="s">
        <v>156</v>
      </c>
      <c r="Q337" t="s">
        <v>907</v>
      </c>
      <c r="R337" t="str">
        <f t="shared" si="5"/>
        <v>MAMACA7</v>
      </c>
      <c r="S337" t="s">
        <v>1315</v>
      </c>
      <c r="T337" t="s">
        <v>1316</v>
      </c>
      <c r="U337" t="s">
        <v>1317</v>
      </c>
      <c r="V337" t="s">
        <v>1318</v>
      </c>
    </row>
    <row r="338" spans="15:22" x14ac:dyDescent="0.25">
      <c r="O338" t="s">
        <v>279</v>
      </c>
      <c r="P338" t="s">
        <v>156</v>
      </c>
      <c r="Q338" t="s">
        <v>912</v>
      </c>
      <c r="R338" t="str">
        <f t="shared" si="5"/>
        <v>MAMACB7</v>
      </c>
      <c r="S338" t="s">
        <v>1319</v>
      </c>
      <c r="T338" t="s">
        <v>1320</v>
      </c>
      <c r="U338" t="s">
        <v>1321</v>
      </c>
      <c r="V338" t="s">
        <v>1322</v>
      </c>
    </row>
    <row r="339" spans="15:22" x14ac:dyDescent="0.25">
      <c r="O339" t="s">
        <v>279</v>
      </c>
      <c r="P339" t="s">
        <v>156</v>
      </c>
      <c r="Q339" t="s">
        <v>917</v>
      </c>
      <c r="R339" t="str">
        <f t="shared" si="5"/>
        <v>MAMACC7</v>
      </c>
      <c r="S339" t="s">
        <v>1323</v>
      </c>
      <c r="T339" t="s">
        <v>1324</v>
      </c>
      <c r="U339" t="s">
        <v>1325</v>
      </c>
      <c r="V339" t="s">
        <v>1326</v>
      </c>
    </row>
    <row r="340" spans="15:22" x14ac:dyDescent="0.25">
      <c r="O340" t="s">
        <v>279</v>
      </c>
      <c r="P340" t="s">
        <v>156</v>
      </c>
      <c r="Q340" t="s">
        <v>922</v>
      </c>
      <c r="R340" t="str">
        <f t="shared" si="5"/>
        <v>MAMACD7</v>
      </c>
      <c r="S340" t="s">
        <v>1327</v>
      </c>
      <c r="T340" t="s">
        <v>1328</v>
      </c>
      <c r="U340" t="s">
        <v>1329</v>
      </c>
      <c r="V340" t="s">
        <v>1330</v>
      </c>
    </row>
    <row r="341" spans="15:22" x14ac:dyDescent="0.25">
      <c r="O341" t="s">
        <v>279</v>
      </c>
      <c r="P341" t="s">
        <v>156</v>
      </c>
      <c r="Q341" t="s">
        <v>927</v>
      </c>
      <c r="R341" t="str">
        <f t="shared" si="5"/>
        <v>MAMACE7</v>
      </c>
      <c r="S341" t="s">
        <v>1331</v>
      </c>
      <c r="T341" t="s">
        <v>1332</v>
      </c>
      <c r="U341" t="s">
        <v>1333</v>
      </c>
      <c r="V341" t="s">
        <v>1334</v>
      </c>
    </row>
    <row r="342" spans="15:22" x14ac:dyDescent="0.25">
      <c r="O342" t="s">
        <v>279</v>
      </c>
      <c r="P342" t="s">
        <v>156</v>
      </c>
      <c r="Q342" t="s">
        <v>932</v>
      </c>
      <c r="R342" t="str">
        <f t="shared" si="5"/>
        <v>MAMACF7</v>
      </c>
      <c r="S342" t="s">
        <v>1335</v>
      </c>
      <c r="T342" t="s">
        <v>1336</v>
      </c>
      <c r="U342" t="s">
        <v>1337</v>
      </c>
      <c r="V342" t="s">
        <v>1338</v>
      </c>
    </row>
    <row r="343" spans="15:22" x14ac:dyDescent="0.25">
      <c r="O343" t="s">
        <v>279</v>
      </c>
      <c r="P343" t="s">
        <v>156</v>
      </c>
      <c r="Q343" t="s">
        <v>937</v>
      </c>
      <c r="R343" t="str">
        <f t="shared" si="5"/>
        <v>MAMACG7</v>
      </c>
      <c r="S343" t="s">
        <v>1339</v>
      </c>
      <c r="T343" t="s">
        <v>1340</v>
      </c>
      <c r="U343" t="s">
        <v>1341</v>
      </c>
      <c r="V343" t="s">
        <v>1342</v>
      </c>
    </row>
    <row r="344" spans="15:22" x14ac:dyDescent="0.25">
      <c r="O344" t="s">
        <v>279</v>
      </c>
      <c r="P344" t="s">
        <v>156</v>
      </c>
      <c r="Q344" t="s">
        <v>942</v>
      </c>
      <c r="R344" t="str">
        <f t="shared" si="5"/>
        <v>MAMACH7</v>
      </c>
      <c r="S344" t="s">
        <v>1343</v>
      </c>
      <c r="T344" t="s">
        <v>1344</v>
      </c>
      <c r="U344" t="s">
        <v>1345</v>
      </c>
      <c r="V344" t="s">
        <v>1346</v>
      </c>
    </row>
    <row r="345" spans="15:22" x14ac:dyDescent="0.25">
      <c r="O345" t="s">
        <v>279</v>
      </c>
      <c r="P345" t="s">
        <v>156</v>
      </c>
      <c r="Q345" t="s">
        <v>947</v>
      </c>
      <c r="R345" t="str">
        <f t="shared" si="5"/>
        <v>MAMACA8</v>
      </c>
      <c r="S345" t="s">
        <v>1347</v>
      </c>
      <c r="T345" t="s">
        <v>1348</v>
      </c>
      <c r="U345" t="s">
        <v>1349</v>
      </c>
      <c r="V345" t="s">
        <v>1350</v>
      </c>
    </row>
    <row r="346" spans="15:22" x14ac:dyDescent="0.25">
      <c r="O346" t="s">
        <v>279</v>
      </c>
      <c r="P346" t="s">
        <v>156</v>
      </c>
      <c r="Q346" t="s">
        <v>952</v>
      </c>
      <c r="R346" t="str">
        <f t="shared" si="5"/>
        <v>MAMACB8</v>
      </c>
      <c r="S346" t="s">
        <v>1351</v>
      </c>
      <c r="T346" t="s">
        <v>1352</v>
      </c>
      <c r="U346" t="s">
        <v>1353</v>
      </c>
      <c r="V346" t="s">
        <v>1354</v>
      </c>
    </row>
    <row r="347" spans="15:22" x14ac:dyDescent="0.25">
      <c r="O347" t="s">
        <v>279</v>
      </c>
      <c r="P347" t="s">
        <v>156</v>
      </c>
      <c r="Q347" t="s">
        <v>957</v>
      </c>
      <c r="R347" t="str">
        <f t="shared" si="5"/>
        <v>MAMACC8</v>
      </c>
      <c r="S347" t="s">
        <v>1355</v>
      </c>
      <c r="T347" t="s">
        <v>1356</v>
      </c>
      <c r="U347" t="s">
        <v>1357</v>
      </c>
      <c r="V347" t="s">
        <v>1358</v>
      </c>
    </row>
    <row r="348" spans="15:22" x14ac:dyDescent="0.25">
      <c r="O348" t="s">
        <v>279</v>
      </c>
      <c r="P348" t="s">
        <v>156</v>
      </c>
      <c r="Q348" t="s">
        <v>962</v>
      </c>
      <c r="R348" t="str">
        <f t="shared" si="5"/>
        <v>MAMACD8</v>
      </c>
      <c r="S348" t="s">
        <v>1359</v>
      </c>
      <c r="T348" t="s">
        <v>1360</v>
      </c>
      <c r="U348" t="s">
        <v>1361</v>
      </c>
      <c r="V348" t="s">
        <v>1362</v>
      </c>
    </row>
    <row r="349" spans="15:22" x14ac:dyDescent="0.25">
      <c r="O349" t="s">
        <v>279</v>
      </c>
      <c r="P349" t="s">
        <v>156</v>
      </c>
      <c r="Q349" t="s">
        <v>967</v>
      </c>
      <c r="R349" t="str">
        <f t="shared" si="5"/>
        <v>MAMACE8</v>
      </c>
      <c r="S349" t="s">
        <v>1363</v>
      </c>
      <c r="T349" t="s">
        <v>1364</v>
      </c>
      <c r="U349" t="s">
        <v>1365</v>
      </c>
      <c r="V349" t="s">
        <v>1366</v>
      </c>
    </row>
    <row r="350" spans="15:22" x14ac:dyDescent="0.25">
      <c r="O350" t="s">
        <v>279</v>
      </c>
      <c r="P350" t="s">
        <v>156</v>
      </c>
      <c r="Q350" t="s">
        <v>972</v>
      </c>
      <c r="R350" t="str">
        <f t="shared" si="5"/>
        <v>MAMACF8</v>
      </c>
      <c r="S350" t="s">
        <v>1367</v>
      </c>
      <c r="T350" t="s">
        <v>1368</v>
      </c>
      <c r="U350" t="s">
        <v>1369</v>
      </c>
      <c r="V350" t="s">
        <v>1370</v>
      </c>
    </row>
    <row r="351" spans="15:22" x14ac:dyDescent="0.25">
      <c r="O351" t="s">
        <v>279</v>
      </c>
      <c r="P351" t="s">
        <v>156</v>
      </c>
      <c r="Q351" t="s">
        <v>977</v>
      </c>
      <c r="R351" t="str">
        <f t="shared" si="5"/>
        <v>MAMACG8</v>
      </c>
      <c r="S351" t="s">
        <v>1371</v>
      </c>
      <c r="T351" t="s">
        <v>1372</v>
      </c>
      <c r="U351" t="s">
        <v>1373</v>
      </c>
      <c r="V351" t="s">
        <v>1374</v>
      </c>
    </row>
    <row r="352" spans="15:22" x14ac:dyDescent="0.25">
      <c r="O352" t="s">
        <v>279</v>
      </c>
      <c r="P352" t="s">
        <v>156</v>
      </c>
      <c r="Q352" t="s">
        <v>982</v>
      </c>
      <c r="R352" t="str">
        <f t="shared" si="5"/>
        <v>MAMACH8</v>
      </c>
      <c r="S352" t="s">
        <v>1375</v>
      </c>
      <c r="T352" t="s">
        <v>1376</v>
      </c>
      <c r="U352" t="s">
        <v>1377</v>
      </c>
      <c r="V352" t="s">
        <v>1378</v>
      </c>
    </row>
    <row r="353" spans="15:22" x14ac:dyDescent="0.25">
      <c r="O353" t="s">
        <v>279</v>
      </c>
      <c r="P353" t="s">
        <v>156</v>
      </c>
      <c r="Q353" t="s">
        <v>987</v>
      </c>
      <c r="R353" t="str">
        <f t="shared" si="5"/>
        <v>MAMACA9</v>
      </c>
      <c r="S353" t="s">
        <v>1379</v>
      </c>
      <c r="T353" t="s">
        <v>1380</v>
      </c>
      <c r="U353" t="s">
        <v>1381</v>
      </c>
      <c r="V353" t="s">
        <v>1382</v>
      </c>
    </row>
    <row r="354" spans="15:22" x14ac:dyDescent="0.25">
      <c r="O354" t="s">
        <v>279</v>
      </c>
      <c r="P354" t="s">
        <v>156</v>
      </c>
      <c r="Q354" t="s">
        <v>992</v>
      </c>
      <c r="R354" t="str">
        <f t="shared" si="5"/>
        <v>MAMACB9</v>
      </c>
      <c r="S354" t="s">
        <v>1383</v>
      </c>
      <c r="T354" t="s">
        <v>1384</v>
      </c>
      <c r="U354" t="s">
        <v>1385</v>
      </c>
      <c r="V354" t="s">
        <v>1386</v>
      </c>
    </row>
    <row r="355" spans="15:22" x14ac:dyDescent="0.25">
      <c r="O355" t="s">
        <v>279</v>
      </c>
      <c r="P355" t="s">
        <v>156</v>
      </c>
      <c r="Q355" t="s">
        <v>997</v>
      </c>
      <c r="R355" t="str">
        <f t="shared" si="5"/>
        <v>MAMACC9</v>
      </c>
      <c r="S355" t="s">
        <v>1387</v>
      </c>
      <c r="T355" t="s">
        <v>1388</v>
      </c>
      <c r="U355" t="s">
        <v>1389</v>
      </c>
      <c r="V355" t="s">
        <v>1390</v>
      </c>
    </row>
    <row r="356" spans="15:22" x14ac:dyDescent="0.25">
      <c r="O356" t="s">
        <v>279</v>
      </c>
      <c r="P356" t="s">
        <v>156</v>
      </c>
      <c r="Q356" t="s">
        <v>1002</v>
      </c>
      <c r="R356" t="str">
        <f t="shared" si="5"/>
        <v>MAMACD9</v>
      </c>
      <c r="S356" t="s">
        <v>1391</v>
      </c>
      <c r="T356" t="s">
        <v>1392</v>
      </c>
      <c r="U356" t="s">
        <v>1393</v>
      </c>
      <c r="V356" t="s">
        <v>1394</v>
      </c>
    </row>
    <row r="357" spans="15:22" x14ac:dyDescent="0.25">
      <c r="O357" t="s">
        <v>279</v>
      </c>
      <c r="P357" t="s">
        <v>156</v>
      </c>
      <c r="Q357" t="s">
        <v>1007</v>
      </c>
      <c r="R357" t="str">
        <f t="shared" si="5"/>
        <v>MAMACE9</v>
      </c>
      <c r="S357" t="s">
        <v>1395</v>
      </c>
      <c r="T357" t="s">
        <v>1396</v>
      </c>
      <c r="U357" t="s">
        <v>1397</v>
      </c>
      <c r="V357" t="s">
        <v>1398</v>
      </c>
    </row>
    <row r="358" spans="15:22" x14ac:dyDescent="0.25">
      <c r="O358" t="s">
        <v>279</v>
      </c>
      <c r="P358" t="s">
        <v>156</v>
      </c>
      <c r="Q358" t="s">
        <v>1012</v>
      </c>
      <c r="R358" t="str">
        <f t="shared" si="5"/>
        <v>MAMACF9</v>
      </c>
      <c r="S358" t="s">
        <v>1399</v>
      </c>
      <c r="T358" t="s">
        <v>1400</v>
      </c>
      <c r="U358" t="s">
        <v>1401</v>
      </c>
      <c r="V358" t="s">
        <v>1402</v>
      </c>
    </row>
    <row r="359" spans="15:22" x14ac:dyDescent="0.25">
      <c r="O359" t="s">
        <v>279</v>
      </c>
      <c r="P359" t="s">
        <v>156</v>
      </c>
      <c r="Q359" t="s">
        <v>1017</v>
      </c>
      <c r="R359" t="str">
        <f t="shared" si="5"/>
        <v>MAMACG9</v>
      </c>
      <c r="S359" t="s">
        <v>1403</v>
      </c>
      <c r="T359" t="s">
        <v>1404</v>
      </c>
      <c r="U359" t="s">
        <v>1405</v>
      </c>
      <c r="V359" t="s">
        <v>1406</v>
      </c>
    </row>
    <row r="360" spans="15:22" x14ac:dyDescent="0.25">
      <c r="O360" t="s">
        <v>279</v>
      </c>
      <c r="P360" t="s">
        <v>156</v>
      </c>
      <c r="Q360" t="s">
        <v>1022</v>
      </c>
      <c r="R360" t="str">
        <f t="shared" si="5"/>
        <v>MAMACH9</v>
      </c>
      <c r="S360" t="s">
        <v>1407</v>
      </c>
      <c r="T360" t="s">
        <v>1408</v>
      </c>
      <c r="U360" t="s">
        <v>1409</v>
      </c>
      <c r="V360" t="s">
        <v>1410</v>
      </c>
    </row>
    <row r="361" spans="15:22" x14ac:dyDescent="0.25">
      <c r="O361" t="s">
        <v>279</v>
      </c>
      <c r="P361" t="s">
        <v>156</v>
      </c>
      <c r="Q361" t="s">
        <v>238</v>
      </c>
      <c r="R361" t="str">
        <f t="shared" si="5"/>
        <v>MAMACA10</v>
      </c>
      <c r="S361" t="s">
        <v>1411</v>
      </c>
      <c r="T361" t="s">
        <v>1412</v>
      </c>
      <c r="U361" t="s">
        <v>1413</v>
      </c>
      <c r="V361" t="s">
        <v>1414</v>
      </c>
    </row>
    <row r="362" spans="15:22" x14ac:dyDescent="0.25">
      <c r="O362" t="s">
        <v>279</v>
      </c>
      <c r="P362" t="s">
        <v>156</v>
      </c>
      <c r="Q362" t="s">
        <v>239</v>
      </c>
      <c r="R362" t="str">
        <f t="shared" si="5"/>
        <v>MAMACB10</v>
      </c>
      <c r="S362" t="s">
        <v>1415</v>
      </c>
      <c r="T362" t="s">
        <v>1416</v>
      </c>
      <c r="U362" t="s">
        <v>1417</v>
      </c>
      <c r="V362" t="s">
        <v>1418</v>
      </c>
    </row>
    <row r="363" spans="15:22" x14ac:dyDescent="0.25">
      <c r="O363" t="s">
        <v>279</v>
      </c>
      <c r="P363" t="s">
        <v>156</v>
      </c>
      <c r="Q363" t="s">
        <v>240</v>
      </c>
      <c r="R363" t="str">
        <f t="shared" si="5"/>
        <v>MAMACC10</v>
      </c>
      <c r="S363" t="s">
        <v>1419</v>
      </c>
      <c r="T363" t="s">
        <v>1420</v>
      </c>
      <c r="U363" t="s">
        <v>1421</v>
      </c>
      <c r="V363" t="s">
        <v>1422</v>
      </c>
    </row>
    <row r="364" spans="15:22" x14ac:dyDescent="0.25">
      <c r="O364" t="s">
        <v>279</v>
      </c>
      <c r="P364" t="s">
        <v>156</v>
      </c>
      <c r="Q364" t="s">
        <v>241</v>
      </c>
      <c r="R364" t="str">
        <f t="shared" si="5"/>
        <v>MAMACD10</v>
      </c>
      <c r="S364" t="s">
        <v>1423</v>
      </c>
      <c r="T364" t="s">
        <v>1424</v>
      </c>
      <c r="U364" t="s">
        <v>1425</v>
      </c>
      <c r="V364" t="s">
        <v>1426</v>
      </c>
    </row>
    <row r="365" spans="15:22" x14ac:dyDescent="0.25">
      <c r="O365" t="s">
        <v>279</v>
      </c>
      <c r="P365" t="s">
        <v>156</v>
      </c>
      <c r="Q365" t="s">
        <v>242</v>
      </c>
      <c r="R365" t="str">
        <f t="shared" si="5"/>
        <v>MAMACE10</v>
      </c>
      <c r="S365" t="s">
        <v>1427</v>
      </c>
      <c r="T365" t="s">
        <v>1428</v>
      </c>
      <c r="U365" t="s">
        <v>1429</v>
      </c>
      <c r="V365" t="s">
        <v>1430</v>
      </c>
    </row>
    <row r="366" spans="15:22" x14ac:dyDescent="0.25">
      <c r="O366" t="s">
        <v>279</v>
      </c>
      <c r="P366" t="s">
        <v>156</v>
      </c>
      <c r="Q366" t="s">
        <v>243</v>
      </c>
      <c r="R366" t="str">
        <f t="shared" si="5"/>
        <v>MAMACF10</v>
      </c>
      <c r="S366" t="s">
        <v>1431</v>
      </c>
      <c r="T366" t="s">
        <v>1432</v>
      </c>
      <c r="U366" t="s">
        <v>1433</v>
      </c>
      <c r="V366" t="s">
        <v>1434</v>
      </c>
    </row>
    <row r="367" spans="15:22" x14ac:dyDescent="0.25">
      <c r="O367" t="s">
        <v>279</v>
      </c>
      <c r="P367" t="s">
        <v>156</v>
      </c>
      <c r="Q367" t="s">
        <v>244</v>
      </c>
      <c r="R367" t="str">
        <f t="shared" si="5"/>
        <v>MAMACG10</v>
      </c>
      <c r="S367" t="s">
        <v>1435</v>
      </c>
      <c r="T367" t="s">
        <v>1436</v>
      </c>
      <c r="U367" t="s">
        <v>1437</v>
      </c>
      <c r="V367" t="s">
        <v>1438</v>
      </c>
    </row>
    <row r="368" spans="15:22" x14ac:dyDescent="0.25">
      <c r="O368" t="s">
        <v>279</v>
      </c>
      <c r="P368" t="s">
        <v>156</v>
      </c>
      <c r="Q368" t="s">
        <v>246</v>
      </c>
      <c r="R368" t="str">
        <f t="shared" si="5"/>
        <v>MAMACH10</v>
      </c>
      <c r="S368" t="s">
        <v>1439</v>
      </c>
      <c r="T368" t="s">
        <v>1440</v>
      </c>
      <c r="U368" t="s">
        <v>1441</v>
      </c>
      <c r="V368" t="s">
        <v>1442</v>
      </c>
    </row>
    <row r="369" spans="15:22" x14ac:dyDescent="0.25">
      <c r="O369" t="s">
        <v>279</v>
      </c>
      <c r="P369" t="s">
        <v>156</v>
      </c>
      <c r="Q369" t="s">
        <v>248</v>
      </c>
      <c r="R369" t="str">
        <f t="shared" si="5"/>
        <v>MAMACA11</v>
      </c>
      <c r="S369" t="s">
        <v>1443</v>
      </c>
      <c r="T369" t="s">
        <v>1444</v>
      </c>
      <c r="U369" t="s">
        <v>1445</v>
      </c>
      <c r="V369" t="s">
        <v>1446</v>
      </c>
    </row>
    <row r="370" spans="15:22" x14ac:dyDescent="0.25">
      <c r="O370" t="s">
        <v>279</v>
      </c>
      <c r="P370" t="s">
        <v>156</v>
      </c>
      <c r="Q370" t="s">
        <v>250</v>
      </c>
      <c r="R370" t="str">
        <f t="shared" si="5"/>
        <v>MAMACB11</v>
      </c>
      <c r="S370" t="s">
        <v>1447</v>
      </c>
      <c r="T370" t="s">
        <v>1448</v>
      </c>
      <c r="U370" t="s">
        <v>1449</v>
      </c>
      <c r="V370" t="s">
        <v>1450</v>
      </c>
    </row>
    <row r="371" spans="15:22" x14ac:dyDescent="0.25">
      <c r="O371" t="s">
        <v>279</v>
      </c>
      <c r="P371" t="s">
        <v>156</v>
      </c>
      <c r="Q371" t="s">
        <v>252</v>
      </c>
      <c r="R371" t="str">
        <f t="shared" si="5"/>
        <v>MAMACC11</v>
      </c>
      <c r="S371" t="s">
        <v>1451</v>
      </c>
      <c r="T371" t="s">
        <v>1452</v>
      </c>
      <c r="U371" t="s">
        <v>1453</v>
      </c>
      <c r="V371" t="s">
        <v>1454</v>
      </c>
    </row>
    <row r="372" spans="15:22" x14ac:dyDescent="0.25">
      <c r="O372" t="s">
        <v>279</v>
      </c>
      <c r="P372" t="s">
        <v>156</v>
      </c>
      <c r="Q372" t="s">
        <v>254</v>
      </c>
      <c r="R372" t="str">
        <f t="shared" si="5"/>
        <v>MAMACD11</v>
      </c>
      <c r="S372" t="s">
        <v>1455</v>
      </c>
      <c r="T372" t="s">
        <v>1456</v>
      </c>
      <c r="U372" t="s">
        <v>1457</v>
      </c>
      <c r="V372" t="s">
        <v>1458</v>
      </c>
    </row>
    <row r="373" spans="15:22" x14ac:dyDescent="0.25">
      <c r="O373" t="s">
        <v>279</v>
      </c>
      <c r="P373" t="s">
        <v>156</v>
      </c>
      <c r="Q373" t="s">
        <v>256</v>
      </c>
      <c r="R373" t="str">
        <f t="shared" si="5"/>
        <v>MAMACE11</v>
      </c>
      <c r="S373" t="s">
        <v>1459</v>
      </c>
      <c r="T373" t="s">
        <v>1460</v>
      </c>
      <c r="U373" t="s">
        <v>1461</v>
      </c>
      <c r="V373" t="s">
        <v>1462</v>
      </c>
    </row>
    <row r="374" spans="15:22" x14ac:dyDescent="0.25">
      <c r="O374" t="s">
        <v>279</v>
      </c>
      <c r="P374" t="s">
        <v>156</v>
      </c>
      <c r="Q374" t="s">
        <v>258</v>
      </c>
      <c r="R374" t="str">
        <f t="shared" si="5"/>
        <v>MAMACF11</v>
      </c>
      <c r="S374" t="s">
        <v>1463</v>
      </c>
      <c r="T374" t="s">
        <v>1464</v>
      </c>
      <c r="U374" t="s">
        <v>1465</v>
      </c>
      <c r="V374" t="s">
        <v>1466</v>
      </c>
    </row>
    <row r="375" spans="15:22" x14ac:dyDescent="0.25">
      <c r="O375" t="s">
        <v>279</v>
      </c>
      <c r="P375" t="s">
        <v>156</v>
      </c>
      <c r="Q375" t="s">
        <v>259</v>
      </c>
      <c r="R375" t="str">
        <f t="shared" si="5"/>
        <v>MAMACG11</v>
      </c>
      <c r="S375" t="s">
        <v>1467</v>
      </c>
      <c r="T375" t="s">
        <v>1468</v>
      </c>
      <c r="U375" t="s">
        <v>1469</v>
      </c>
      <c r="V375" t="s">
        <v>1470</v>
      </c>
    </row>
    <row r="376" spans="15:22" x14ac:dyDescent="0.25">
      <c r="O376" t="s">
        <v>279</v>
      </c>
      <c r="P376" t="s">
        <v>156</v>
      </c>
      <c r="Q376" t="s">
        <v>261</v>
      </c>
      <c r="R376" t="str">
        <f t="shared" si="5"/>
        <v>MAMACH11</v>
      </c>
      <c r="S376" t="s">
        <v>1471</v>
      </c>
      <c r="T376" t="s">
        <v>1472</v>
      </c>
      <c r="U376" t="s">
        <v>1473</v>
      </c>
      <c r="V376" t="s">
        <v>1474</v>
      </c>
    </row>
    <row r="377" spans="15:22" x14ac:dyDescent="0.25">
      <c r="O377" t="s">
        <v>279</v>
      </c>
      <c r="P377" t="s">
        <v>156</v>
      </c>
      <c r="Q377" t="s">
        <v>263</v>
      </c>
      <c r="R377" t="str">
        <f t="shared" si="5"/>
        <v>MAMACA12</v>
      </c>
      <c r="S377" t="s">
        <v>1475</v>
      </c>
      <c r="T377" t="s">
        <v>1476</v>
      </c>
      <c r="U377" t="s">
        <v>1477</v>
      </c>
      <c r="V377" t="s">
        <v>1478</v>
      </c>
    </row>
    <row r="378" spans="15:22" x14ac:dyDescent="0.25">
      <c r="O378" t="s">
        <v>279</v>
      </c>
      <c r="P378" t="s">
        <v>156</v>
      </c>
      <c r="Q378" t="s">
        <v>265</v>
      </c>
      <c r="R378" t="str">
        <f t="shared" si="5"/>
        <v>MAMACB12</v>
      </c>
      <c r="S378" t="s">
        <v>1479</v>
      </c>
      <c r="T378" t="s">
        <v>1480</v>
      </c>
      <c r="U378" t="s">
        <v>1481</v>
      </c>
      <c r="V378" t="s">
        <v>1482</v>
      </c>
    </row>
    <row r="379" spans="15:22" x14ac:dyDescent="0.25">
      <c r="O379" t="s">
        <v>279</v>
      </c>
      <c r="P379" t="s">
        <v>156</v>
      </c>
      <c r="Q379" t="s">
        <v>267</v>
      </c>
      <c r="R379" t="str">
        <f t="shared" si="5"/>
        <v>MAMACC12</v>
      </c>
      <c r="S379" t="s">
        <v>1483</v>
      </c>
      <c r="T379" t="s">
        <v>1484</v>
      </c>
      <c r="U379" t="s">
        <v>1485</v>
      </c>
      <c r="V379" t="s">
        <v>1486</v>
      </c>
    </row>
    <row r="380" spans="15:22" x14ac:dyDescent="0.25">
      <c r="O380" t="s">
        <v>279</v>
      </c>
      <c r="P380" t="s">
        <v>156</v>
      </c>
      <c r="Q380" t="s">
        <v>269</v>
      </c>
      <c r="R380" t="str">
        <f t="shared" si="5"/>
        <v>MAMACD12</v>
      </c>
      <c r="S380" t="s">
        <v>1487</v>
      </c>
      <c r="T380" t="s">
        <v>1488</v>
      </c>
      <c r="U380" t="s">
        <v>1489</v>
      </c>
      <c r="V380" t="s">
        <v>1490</v>
      </c>
    </row>
    <row r="381" spans="15:22" x14ac:dyDescent="0.25">
      <c r="O381" t="s">
        <v>279</v>
      </c>
      <c r="P381" t="s">
        <v>156</v>
      </c>
      <c r="Q381" t="s">
        <v>271</v>
      </c>
      <c r="R381" t="str">
        <f t="shared" si="5"/>
        <v>MAMACE12</v>
      </c>
      <c r="S381" t="s">
        <v>1491</v>
      </c>
      <c r="T381" t="s">
        <v>1492</v>
      </c>
      <c r="U381" t="s">
        <v>1493</v>
      </c>
      <c r="V381" t="s">
        <v>1494</v>
      </c>
    </row>
    <row r="382" spans="15:22" x14ac:dyDescent="0.25">
      <c r="O382" t="s">
        <v>279</v>
      </c>
      <c r="P382" t="s">
        <v>156</v>
      </c>
      <c r="Q382" t="s">
        <v>273</v>
      </c>
      <c r="R382" t="str">
        <f t="shared" si="5"/>
        <v>MAMACF12</v>
      </c>
      <c r="S382" t="s">
        <v>1495</v>
      </c>
      <c r="T382" t="s">
        <v>1496</v>
      </c>
      <c r="U382" t="s">
        <v>1497</v>
      </c>
      <c r="V382" t="s">
        <v>1498</v>
      </c>
    </row>
    <row r="383" spans="15:22" x14ac:dyDescent="0.25">
      <c r="O383" t="s">
        <v>279</v>
      </c>
      <c r="P383" t="s">
        <v>156</v>
      </c>
      <c r="Q383" t="s">
        <v>275</v>
      </c>
      <c r="R383" t="str">
        <f t="shared" si="5"/>
        <v>MAMACG12</v>
      </c>
      <c r="S383" t="s">
        <v>1499</v>
      </c>
      <c r="T383" t="s">
        <v>1500</v>
      </c>
      <c r="U383" t="s">
        <v>1501</v>
      </c>
      <c r="V383" t="s">
        <v>1502</v>
      </c>
    </row>
    <row r="384" spans="15:22" x14ac:dyDescent="0.25">
      <c r="O384" t="s">
        <v>279</v>
      </c>
      <c r="P384" t="s">
        <v>156</v>
      </c>
      <c r="Q384" t="s">
        <v>277</v>
      </c>
      <c r="R384" t="str">
        <f t="shared" si="5"/>
        <v>MAMACH12</v>
      </c>
      <c r="S384" t="s">
        <v>1503</v>
      </c>
      <c r="T384" t="s">
        <v>1504</v>
      </c>
      <c r="U384" t="s">
        <v>1505</v>
      </c>
      <c r="V384" t="s">
        <v>1506</v>
      </c>
    </row>
    <row r="385" spans="15:22" x14ac:dyDescent="0.25">
      <c r="O385" t="s">
        <v>279</v>
      </c>
      <c r="P385" t="s">
        <v>160</v>
      </c>
      <c r="Q385" t="s">
        <v>667</v>
      </c>
      <c r="R385" t="str">
        <f t="shared" ref="R385:R448" si="6">O385&amp;P385&amp;Q385</f>
        <v>MAMADA1</v>
      </c>
      <c r="S385" t="s">
        <v>1507</v>
      </c>
      <c r="T385" t="s">
        <v>1508</v>
      </c>
      <c r="U385" t="s">
        <v>1509</v>
      </c>
      <c r="V385" t="s">
        <v>1510</v>
      </c>
    </row>
    <row r="386" spans="15:22" x14ac:dyDescent="0.25">
      <c r="O386" t="s">
        <v>279</v>
      </c>
      <c r="P386" t="s">
        <v>160</v>
      </c>
      <c r="Q386" t="s">
        <v>672</v>
      </c>
      <c r="R386" t="str">
        <f t="shared" si="6"/>
        <v>MAMADB1</v>
      </c>
      <c r="S386" t="s">
        <v>1511</v>
      </c>
      <c r="T386" t="s">
        <v>1512</v>
      </c>
      <c r="U386" t="s">
        <v>1513</v>
      </c>
      <c r="V386" t="s">
        <v>1514</v>
      </c>
    </row>
    <row r="387" spans="15:22" x14ac:dyDescent="0.25">
      <c r="O387" t="s">
        <v>279</v>
      </c>
      <c r="P387" t="s">
        <v>160</v>
      </c>
      <c r="Q387" t="s">
        <v>677</v>
      </c>
      <c r="R387" t="str">
        <f t="shared" si="6"/>
        <v>MAMADC1</v>
      </c>
      <c r="S387" t="s">
        <v>1515</v>
      </c>
      <c r="T387" t="s">
        <v>1516</v>
      </c>
      <c r="U387" t="s">
        <v>1517</v>
      </c>
      <c r="V387" t="s">
        <v>1518</v>
      </c>
    </row>
    <row r="388" spans="15:22" x14ac:dyDescent="0.25">
      <c r="O388" t="s">
        <v>279</v>
      </c>
      <c r="P388" t="s">
        <v>160</v>
      </c>
      <c r="Q388" t="s">
        <v>682</v>
      </c>
      <c r="R388" t="str">
        <f t="shared" si="6"/>
        <v>MAMADD1</v>
      </c>
      <c r="S388" t="s">
        <v>1519</v>
      </c>
      <c r="T388" t="s">
        <v>1520</v>
      </c>
      <c r="U388" t="s">
        <v>1521</v>
      </c>
      <c r="V388" t="s">
        <v>1522</v>
      </c>
    </row>
    <row r="389" spans="15:22" x14ac:dyDescent="0.25">
      <c r="O389" t="s">
        <v>279</v>
      </c>
      <c r="P389" t="s">
        <v>160</v>
      </c>
      <c r="Q389" t="s">
        <v>687</v>
      </c>
      <c r="R389" t="str">
        <f t="shared" si="6"/>
        <v>MAMADE1</v>
      </c>
      <c r="S389" t="s">
        <v>1523</v>
      </c>
      <c r="T389" t="s">
        <v>1524</v>
      </c>
      <c r="U389" t="s">
        <v>1525</v>
      </c>
      <c r="V389" t="s">
        <v>1526</v>
      </c>
    </row>
    <row r="390" spans="15:22" x14ac:dyDescent="0.25">
      <c r="O390" t="s">
        <v>279</v>
      </c>
      <c r="P390" t="s">
        <v>160</v>
      </c>
      <c r="Q390" t="s">
        <v>692</v>
      </c>
      <c r="R390" t="str">
        <f t="shared" si="6"/>
        <v>MAMADF1</v>
      </c>
      <c r="S390" t="s">
        <v>1527</v>
      </c>
      <c r="T390" t="s">
        <v>1528</v>
      </c>
      <c r="U390" t="s">
        <v>1529</v>
      </c>
      <c r="V390" t="s">
        <v>1530</v>
      </c>
    </row>
    <row r="391" spans="15:22" x14ac:dyDescent="0.25">
      <c r="O391" t="s">
        <v>279</v>
      </c>
      <c r="P391" t="s">
        <v>160</v>
      </c>
      <c r="Q391" t="s">
        <v>697</v>
      </c>
      <c r="R391" t="str">
        <f t="shared" si="6"/>
        <v>MAMADG1</v>
      </c>
      <c r="S391" t="s">
        <v>1531</v>
      </c>
      <c r="T391" t="s">
        <v>1532</v>
      </c>
      <c r="U391" t="s">
        <v>1533</v>
      </c>
      <c r="V391" t="s">
        <v>1534</v>
      </c>
    </row>
    <row r="392" spans="15:22" x14ac:dyDescent="0.25">
      <c r="O392" t="s">
        <v>279</v>
      </c>
      <c r="P392" t="s">
        <v>160</v>
      </c>
      <c r="Q392" t="s">
        <v>702</v>
      </c>
      <c r="R392" t="str">
        <f t="shared" si="6"/>
        <v>MAMADH1</v>
      </c>
      <c r="S392" t="s">
        <v>1535</v>
      </c>
      <c r="T392" t="s">
        <v>1536</v>
      </c>
      <c r="U392" t="s">
        <v>1537</v>
      </c>
      <c r="V392" t="s">
        <v>1538</v>
      </c>
    </row>
    <row r="393" spans="15:22" x14ac:dyDescent="0.25">
      <c r="O393" t="s">
        <v>279</v>
      </c>
      <c r="P393" t="s">
        <v>160</v>
      </c>
      <c r="Q393" t="s">
        <v>707</v>
      </c>
      <c r="R393" t="str">
        <f t="shared" si="6"/>
        <v>MAMADA2</v>
      </c>
      <c r="S393" t="s">
        <v>1539</v>
      </c>
      <c r="T393" t="s">
        <v>1540</v>
      </c>
      <c r="U393" t="s">
        <v>1541</v>
      </c>
      <c r="V393" t="s">
        <v>1542</v>
      </c>
    </row>
    <row r="394" spans="15:22" x14ac:dyDescent="0.25">
      <c r="O394" t="s">
        <v>279</v>
      </c>
      <c r="P394" t="s">
        <v>160</v>
      </c>
      <c r="Q394" t="s">
        <v>712</v>
      </c>
      <c r="R394" t="str">
        <f t="shared" si="6"/>
        <v>MAMADB2</v>
      </c>
      <c r="S394" t="s">
        <v>1543</v>
      </c>
      <c r="T394" t="s">
        <v>1544</v>
      </c>
      <c r="U394" t="s">
        <v>1545</v>
      </c>
      <c r="V394" t="s">
        <v>1546</v>
      </c>
    </row>
    <row r="395" spans="15:22" x14ac:dyDescent="0.25">
      <c r="O395" t="s">
        <v>279</v>
      </c>
      <c r="P395" t="s">
        <v>160</v>
      </c>
      <c r="Q395" t="s">
        <v>717</v>
      </c>
      <c r="R395" t="str">
        <f t="shared" si="6"/>
        <v>MAMADC2</v>
      </c>
      <c r="S395" t="s">
        <v>1547</v>
      </c>
      <c r="T395" t="s">
        <v>1548</v>
      </c>
      <c r="U395" t="s">
        <v>1549</v>
      </c>
      <c r="V395" t="s">
        <v>1550</v>
      </c>
    </row>
    <row r="396" spans="15:22" x14ac:dyDescent="0.25">
      <c r="O396" t="s">
        <v>279</v>
      </c>
      <c r="P396" t="s">
        <v>160</v>
      </c>
      <c r="Q396" t="s">
        <v>722</v>
      </c>
      <c r="R396" t="str">
        <f t="shared" si="6"/>
        <v>MAMADD2</v>
      </c>
      <c r="S396" t="s">
        <v>1551</v>
      </c>
      <c r="T396" t="s">
        <v>1552</v>
      </c>
      <c r="U396" t="s">
        <v>1553</v>
      </c>
      <c r="V396" t="s">
        <v>1554</v>
      </c>
    </row>
    <row r="397" spans="15:22" x14ac:dyDescent="0.25">
      <c r="O397" t="s">
        <v>279</v>
      </c>
      <c r="P397" t="s">
        <v>160</v>
      </c>
      <c r="Q397" t="s">
        <v>727</v>
      </c>
      <c r="R397" t="str">
        <f t="shared" si="6"/>
        <v>MAMADE2</v>
      </c>
      <c r="S397" t="s">
        <v>1555</v>
      </c>
      <c r="T397" t="s">
        <v>1556</v>
      </c>
      <c r="U397" t="s">
        <v>1557</v>
      </c>
      <c r="V397" t="s">
        <v>1558</v>
      </c>
    </row>
    <row r="398" spans="15:22" x14ac:dyDescent="0.25">
      <c r="O398" t="s">
        <v>279</v>
      </c>
      <c r="P398" t="s">
        <v>160</v>
      </c>
      <c r="Q398" t="s">
        <v>732</v>
      </c>
      <c r="R398" t="str">
        <f t="shared" si="6"/>
        <v>MAMADF2</v>
      </c>
      <c r="S398" t="s">
        <v>1559</v>
      </c>
      <c r="T398" t="s">
        <v>1560</v>
      </c>
      <c r="U398" t="s">
        <v>1561</v>
      </c>
      <c r="V398" t="s">
        <v>1562</v>
      </c>
    </row>
    <row r="399" spans="15:22" x14ac:dyDescent="0.25">
      <c r="O399" t="s">
        <v>279</v>
      </c>
      <c r="P399" t="s">
        <v>160</v>
      </c>
      <c r="Q399" t="s">
        <v>737</v>
      </c>
      <c r="R399" t="str">
        <f t="shared" si="6"/>
        <v>MAMADG2</v>
      </c>
      <c r="S399" t="s">
        <v>1563</v>
      </c>
      <c r="T399" t="s">
        <v>1564</v>
      </c>
      <c r="U399" t="s">
        <v>1565</v>
      </c>
      <c r="V399" t="s">
        <v>1566</v>
      </c>
    </row>
    <row r="400" spans="15:22" x14ac:dyDescent="0.25">
      <c r="O400" t="s">
        <v>279</v>
      </c>
      <c r="P400" t="s">
        <v>160</v>
      </c>
      <c r="Q400" t="s">
        <v>742</v>
      </c>
      <c r="R400" t="str">
        <f t="shared" si="6"/>
        <v>MAMADH2</v>
      </c>
      <c r="S400" t="s">
        <v>1567</v>
      </c>
      <c r="T400" t="s">
        <v>1568</v>
      </c>
      <c r="U400" t="s">
        <v>1569</v>
      </c>
      <c r="V400" t="s">
        <v>1570</v>
      </c>
    </row>
    <row r="401" spans="15:22" x14ac:dyDescent="0.25">
      <c r="O401" t="s">
        <v>279</v>
      </c>
      <c r="P401" t="s">
        <v>160</v>
      </c>
      <c r="Q401" t="s">
        <v>747</v>
      </c>
      <c r="R401" t="str">
        <f t="shared" si="6"/>
        <v>MAMADA3</v>
      </c>
      <c r="S401" t="s">
        <v>1571</v>
      </c>
      <c r="T401" t="s">
        <v>1572</v>
      </c>
      <c r="U401" t="s">
        <v>1573</v>
      </c>
      <c r="V401" t="s">
        <v>1574</v>
      </c>
    </row>
    <row r="402" spans="15:22" x14ac:dyDescent="0.25">
      <c r="O402" t="s">
        <v>279</v>
      </c>
      <c r="P402" t="s">
        <v>160</v>
      </c>
      <c r="Q402" t="s">
        <v>752</v>
      </c>
      <c r="R402" t="str">
        <f t="shared" si="6"/>
        <v>MAMADB3</v>
      </c>
      <c r="S402" t="s">
        <v>1575</v>
      </c>
      <c r="T402" t="s">
        <v>1576</v>
      </c>
      <c r="U402" t="s">
        <v>1577</v>
      </c>
      <c r="V402" t="s">
        <v>1578</v>
      </c>
    </row>
    <row r="403" spans="15:22" x14ac:dyDescent="0.25">
      <c r="O403" t="s">
        <v>279</v>
      </c>
      <c r="P403" t="s">
        <v>160</v>
      </c>
      <c r="Q403" t="s">
        <v>757</v>
      </c>
      <c r="R403" t="str">
        <f t="shared" si="6"/>
        <v>MAMADC3</v>
      </c>
      <c r="S403" t="s">
        <v>1579</v>
      </c>
      <c r="T403" t="s">
        <v>1580</v>
      </c>
      <c r="U403" t="s">
        <v>1581</v>
      </c>
      <c r="V403" t="s">
        <v>1582</v>
      </c>
    </row>
    <row r="404" spans="15:22" x14ac:dyDescent="0.25">
      <c r="O404" t="s">
        <v>279</v>
      </c>
      <c r="P404" t="s">
        <v>160</v>
      </c>
      <c r="Q404" t="s">
        <v>762</v>
      </c>
      <c r="R404" t="str">
        <f t="shared" si="6"/>
        <v>MAMADD3</v>
      </c>
      <c r="S404" t="s">
        <v>1583</v>
      </c>
      <c r="T404" t="s">
        <v>1584</v>
      </c>
      <c r="U404" t="s">
        <v>1585</v>
      </c>
      <c r="V404" t="s">
        <v>1586</v>
      </c>
    </row>
    <row r="405" spans="15:22" x14ac:dyDescent="0.25">
      <c r="O405" t="s">
        <v>279</v>
      </c>
      <c r="P405" t="s">
        <v>160</v>
      </c>
      <c r="Q405" t="s">
        <v>767</v>
      </c>
      <c r="R405" t="str">
        <f t="shared" si="6"/>
        <v>MAMADE3</v>
      </c>
      <c r="S405" t="s">
        <v>1587</v>
      </c>
      <c r="T405" t="s">
        <v>1588</v>
      </c>
      <c r="U405" t="s">
        <v>1589</v>
      </c>
      <c r="V405" t="s">
        <v>1590</v>
      </c>
    </row>
    <row r="406" spans="15:22" x14ac:dyDescent="0.25">
      <c r="O406" t="s">
        <v>279</v>
      </c>
      <c r="P406" t="s">
        <v>160</v>
      </c>
      <c r="Q406" t="s">
        <v>772</v>
      </c>
      <c r="R406" t="str">
        <f t="shared" si="6"/>
        <v>MAMADF3</v>
      </c>
      <c r="S406" t="s">
        <v>1591</v>
      </c>
      <c r="T406" t="s">
        <v>1592</v>
      </c>
      <c r="U406" t="s">
        <v>1593</v>
      </c>
      <c r="V406" t="s">
        <v>1594</v>
      </c>
    </row>
    <row r="407" spans="15:22" x14ac:dyDescent="0.25">
      <c r="O407" t="s">
        <v>279</v>
      </c>
      <c r="P407" t="s">
        <v>160</v>
      </c>
      <c r="Q407" t="s">
        <v>777</v>
      </c>
      <c r="R407" t="str">
        <f t="shared" si="6"/>
        <v>MAMADG3</v>
      </c>
      <c r="S407" t="s">
        <v>1595</v>
      </c>
      <c r="T407" t="s">
        <v>1596</v>
      </c>
      <c r="U407" t="s">
        <v>1597</v>
      </c>
      <c r="V407" t="s">
        <v>1598</v>
      </c>
    </row>
    <row r="408" spans="15:22" x14ac:dyDescent="0.25">
      <c r="O408" t="s">
        <v>279</v>
      </c>
      <c r="P408" t="s">
        <v>160</v>
      </c>
      <c r="Q408" t="s">
        <v>782</v>
      </c>
      <c r="R408" t="str">
        <f t="shared" si="6"/>
        <v>MAMADH3</v>
      </c>
      <c r="S408" t="s">
        <v>1599</v>
      </c>
      <c r="T408" t="s">
        <v>1600</v>
      </c>
      <c r="U408" t="s">
        <v>1601</v>
      </c>
      <c r="V408" t="s">
        <v>1602</v>
      </c>
    </row>
    <row r="409" spans="15:22" x14ac:dyDescent="0.25">
      <c r="O409" t="s">
        <v>279</v>
      </c>
      <c r="P409" t="s">
        <v>160</v>
      </c>
      <c r="Q409" t="s">
        <v>787</v>
      </c>
      <c r="R409" t="str">
        <f t="shared" si="6"/>
        <v>MAMADA4</v>
      </c>
      <c r="S409" t="s">
        <v>1603</v>
      </c>
      <c r="T409" t="s">
        <v>1604</v>
      </c>
      <c r="U409" t="s">
        <v>1605</v>
      </c>
      <c r="V409" t="s">
        <v>1606</v>
      </c>
    </row>
    <row r="410" spans="15:22" x14ac:dyDescent="0.25">
      <c r="O410" t="s">
        <v>279</v>
      </c>
      <c r="P410" t="s">
        <v>160</v>
      </c>
      <c r="Q410" t="s">
        <v>792</v>
      </c>
      <c r="R410" t="str">
        <f t="shared" si="6"/>
        <v>MAMADB4</v>
      </c>
      <c r="S410" t="s">
        <v>1607</v>
      </c>
      <c r="T410" t="s">
        <v>1608</v>
      </c>
      <c r="U410" t="s">
        <v>1609</v>
      </c>
      <c r="V410" t="s">
        <v>1610</v>
      </c>
    </row>
    <row r="411" spans="15:22" x14ac:dyDescent="0.25">
      <c r="O411" t="s">
        <v>279</v>
      </c>
      <c r="P411" t="s">
        <v>160</v>
      </c>
      <c r="Q411" t="s">
        <v>797</v>
      </c>
      <c r="R411" t="str">
        <f t="shared" si="6"/>
        <v>MAMADC4</v>
      </c>
      <c r="S411" t="s">
        <v>1611</v>
      </c>
      <c r="T411" t="s">
        <v>1612</v>
      </c>
      <c r="U411" t="s">
        <v>1613</v>
      </c>
      <c r="V411" t="s">
        <v>1614</v>
      </c>
    </row>
    <row r="412" spans="15:22" x14ac:dyDescent="0.25">
      <c r="O412" t="s">
        <v>279</v>
      </c>
      <c r="P412" t="s">
        <v>160</v>
      </c>
      <c r="Q412" t="s">
        <v>802</v>
      </c>
      <c r="R412" t="str">
        <f t="shared" si="6"/>
        <v>MAMADD4</v>
      </c>
      <c r="S412" t="s">
        <v>1615</v>
      </c>
      <c r="T412" t="s">
        <v>1616</v>
      </c>
      <c r="U412" t="s">
        <v>1617</v>
      </c>
      <c r="V412" t="s">
        <v>1618</v>
      </c>
    </row>
    <row r="413" spans="15:22" x14ac:dyDescent="0.25">
      <c r="O413" t="s">
        <v>279</v>
      </c>
      <c r="P413" t="s">
        <v>160</v>
      </c>
      <c r="Q413" t="s">
        <v>807</v>
      </c>
      <c r="R413" t="str">
        <f t="shared" si="6"/>
        <v>MAMADE4</v>
      </c>
      <c r="S413" t="s">
        <v>1619</v>
      </c>
      <c r="T413" t="s">
        <v>1620</v>
      </c>
      <c r="U413" t="s">
        <v>1621</v>
      </c>
      <c r="V413" t="s">
        <v>1622</v>
      </c>
    </row>
    <row r="414" spans="15:22" x14ac:dyDescent="0.25">
      <c r="O414" t="s">
        <v>279</v>
      </c>
      <c r="P414" t="s">
        <v>160</v>
      </c>
      <c r="Q414" t="s">
        <v>812</v>
      </c>
      <c r="R414" t="str">
        <f t="shared" si="6"/>
        <v>MAMADF4</v>
      </c>
      <c r="S414" t="s">
        <v>1623</v>
      </c>
      <c r="T414" t="s">
        <v>1624</v>
      </c>
      <c r="U414" t="s">
        <v>1625</v>
      </c>
      <c r="V414" t="s">
        <v>1626</v>
      </c>
    </row>
    <row r="415" spans="15:22" x14ac:dyDescent="0.25">
      <c r="O415" t="s">
        <v>279</v>
      </c>
      <c r="P415" t="s">
        <v>160</v>
      </c>
      <c r="Q415" t="s">
        <v>817</v>
      </c>
      <c r="R415" t="str">
        <f t="shared" si="6"/>
        <v>MAMADG4</v>
      </c>
      <c r="S415" t="s">
        <v>1627</v>
      </c>
      <c r="T415" t="s">
        <v>1628</v>
      </c>
      <c r="U415" t="s">
        <v>1629</v>
      </c>
      <c r="V415" t="s">
        <v>1630</v>
      </c>
    </row>
    <row r="416" spans="15:22" x14ac:dyDescent="0.25">
      <c r="O416" t="s">
        <v>279</v>
      </c>
      <c r="P416" t="s">
        <v>160</v>
      </c>
      <c r="Q416" t="s">
        <v>822</v>
      </c>
      <c r="R416" t="str">
        <f t="shared" si="6"/>
        <v>MAMADH4</v>
      </c>
      <c r="S416" t="s">
        <v>1631</v>
      </c>
      <c r="T416" t="s">
        <v>1632</v>
      </c>
      <c r="U416" t="s">
        <v>1633</v>
      </c>
      <c r="V416" t="s">
        <v>1634</v>
      </c>
    </row>
    <row r="417" spans="15:22" x14ac:dyDescent="0.25">
      <c r="O417" t="s">
        <v>279</v>
      </c>
      <c r="P417" t="s">
        <v>160</v>
      </c>
      <c r="Q417" t="s">
        <v>827</v>
      </c>
      <c r="R417" t="str">
        <f t="shared" si="6"/>
        <v>MAMADA5</v>
      </c>
      <c r="S417" t="s">
        <v>1635</v>
      </c>
      <c r="T417" t="s">
        <v>1636</v>
      </c>
      <c r="U417" t="s">
        <v>1637</v>
      </c>
      <c r="V417" t="s">
        <v>1638</v>
      </c>
    </row>
    <row r="418" spans="15:22" x14ac:dyDescent="0.25">
      <c r="O418" t="s">
        <v>279</v>
      </c>
      <c r="P418" t="s">
        <v>160</v>
      </c>
      <c r="Q418" t="s">
        <v>832</v>
      </c>
      <c r="R418" t="str">
        <f t="shared" si="6"/>
        <v>MAMADB5</v>
      </c>
      <c r="S418" t="s">
        <v>1639</v>
      </c>
      <c r="T418" t="s">
        <v>1640</v>
      </c>
      <c r="U418" t="s">
        <v>1641</v>
      </c>
      <c r="V418" t="s">
        <v>1642</v>
      </c>
    </row>
    <row r="419" spans="15:22" x14ac:dyDescent="0.25">
      <c r="O419" t="s">
        <v>279</v>
      </c>
      <c r="P419" t="s">
        <v>160</v>
      </c>
      <c r="Q419" t="s">
        <v>837</v>
      </c>
      <c r="R419" t="str">
        <f t="shared" si="6"/>
        <v>MAMADC5</v>
      </c>
      <c r="S419" t="s">
        <v>1643</v>
      </c>
      <c r="T419" t="s">
        <v>1644</v>
      </c>
      <c r="U419" t="s">
        <v>1645</v>
      </c>
      <c r="V419" t="s">
        <v>1646</v>
      </c>
    </row>
    <row r="420" spans="15:22" x14ac:dyDescent="0.25">
      <c r="O420" t="s">
        <v>279</v>
      </c>
      <c r="P420" t="s">
        <v>160</v>
      </c>
      <c r="Q420" t="s">
        <v>842</v>
      </c>
      <c r="R420" t="str">
        <f t="shared" si="6"/>
        <v>MAMADD5</v>
      </c>
      <c r="S420" t="s">
        <v>1647</v>
      </c>
      <c r="T420" t="s">
        <v>1648</v>
      </c>
      <c r="U420" t="s">
        <v>1649</v>
      </c>
      <c r="V420" t="s">
        <v>1650</v>
      </c>
    </row>
    <row r="421" spans="15:22" x14ac:dyDescent="0.25">
      <c r="O421" t="s">
        <v>279</v>
      </c>
      <c r="P421" t="s">
        <v>160</v>
      </c>
      <c r="Q421" t="s">
        <v>847</v>
      </c>
      <c r="R421" t="str">
        <f t="shared" si="6"/>
        <v>MAMADE5</v>
      </c>
      <c r="S421" t="s">
        <v>1651</v>
      </c>
      <c r="T421" t="s">
        <v>1652</v>
      </c>
      <c r="U421" t="s">
        <v>1653</v>
      </c>
      <c r="V421" t="s">
        <v>1654</v>
      </c>
    </row>
    <row r="422" spans="15:22" x14ac:dyDescent="0.25">
      <c r="O422" t="s">
        <v>279</v>
      </c>
      <c r="P422" t="s">
        <v>160</v>
      </c>
      <c r="Q422" t="s">
        <v>852</v>
      </c>
      <c r="R422" t="str">
        <f t="shared" si="6"/>
        <v>MAMADF5</v>
      </c>
      <c r="S422" t="s">
        <v>1655</v>
      </c>
      <c r="T422" t="s">
        <v>1656</v>
      </c>
      <c r="U422" t="s">
        <v>1657</v>
      </c>
      <c r="V422" t="s">
        <v>1658</v>
      </c>
    </row>
    <row r="423" spans="15:22" x14ac:dyDescent="0.25">
      <c r="O423" t="s">
        <v>279</v>
      </c>
      <c r="P423" t="s">
        <v>160</v>
      </c>
      <c r="Q423" t="s">
        <v>857</v>
      </c>
      <c r="R423" t="str">
        <f t="shared" si="6"/>
        <v>MAMADG5</v>
      </c>
      <c r="S423" t="s">
        <v>1659</v>
      </c>
      <c r="T423" t="s">
        <v>1660</v>
      </c>
      <c r="U423" t="s">
        <v>1661</v>
      </c>
      <c r="V423" t="s">
        <v>1662</v>
      </c>
    </row>
    <row r="424" spans="15:22" x14ac:dyDescent="0.25">
      <c r="O424" t="s">
        <v>279</v>
      </c>
      <c r="P424" t="s">
        <v>160</v>
      </c>
      <c r="Q424" t="s">
        <v>862</v>
      </c>
      <c r="R424" t="str">
        <f t="shared" si="6"/>
        <v>MAMADH5</v>
      </c>
      <c r="S424" t="s">
        <v>1663</v>
      </c>
      <c r="T424" t="s">
        <v>1664</v>
      </c>
      <c r="U424" t="s">
        <v>1665</v>
      </c>
      <c r="V424" t="s">
        <v>1666</v>
      </c>
    </row>
    <row r="425" spans="15:22" x14ac:dyDescent="0.25">
      <c r="O425" t="s">
        <v>279</v>
      </c>
      <c r="P425" t="s">
        <v>160</v>
      </c>
      <c r="Q425" t="s">
        <v>867</v>
      </c>
      <c r="R425" t="str">
        <f t="shared" si="6"/>
        <v>MAMADA6</v>
      </c>
      <c r="S425" t="s">
        <v>1667</v>
      </c>
      <c r="T425" t="s">
        <v>1668</v>
      </c>
      <c r="U425" t="s">
        <v>1669</v>
      </c>
      <c r="V425" t="s">
        <v>1670</v>
      </c>
    </row>
    <row r="426" spans="15:22" x14ac:dyDescent="0.25">
      <c r="O426" t="s">
        <v>279</v>
      </c>
      <c r="P426" t="s">
        <v>160</v>
      </c>
      <c r="Q426" t="s">
        <v>872</v>
      </c>
      <c r="R426" t="str">
        <f t="shared" si="6"/>
        <v>MAMADB6</v>
      </c>
      <c r="S426" t="s">
        <v>1671</v>
      </c>
      <c r="T426" t="s">
        <v>1672</v>
      </c>
      <c r="U426" t="s">
        <v>1673</v>
      </c>
      <c r="V426" t="s">
        <v>1674</v>
      </c>
    </row>
    <row r="427" spans="15:22" x14ac:dyDescent="0.25">
      <c r="O427" t="s">
        <v>279</v>
      </c>
      <c r="P427" t="s">
        <v>160</v>
      </c>
      <c r="Q427" t="s">
        <v>877</v>
      </c>
      <c r="R427" t="str">
        <f t="shared" si="6"/>
        <v>MAMADC6</v>
      </c>
      <c r="S427" t="s">
        <v>1675</v>
      </c>
      <c r="T427" t="s">
        <v>1676</v>
      </c>
      <c r="U427" t="s">
        <v>1677</v>
      </c>
      <c r="V427" t="s">
        <v>1678</v>
      </c>
    </row>
    <row r="428" spans="15:22" x14ac:dyDescent="0.25">
      <c r="O428" t="s">
        <v>279</v>
      </c>
      <c r="P428" t="s">
        <v>160</v>
      </c>
      <c r="Q428" t="s">
        <v>882</v>
      </c>
      <c r="R428" t="str">
        <f t="shared" si="6"/>
        <v>MAMADD6</v>
      </c>
      <c r="S428" t="s">
        <v>1679</v>
      </c>
      <c r="T428" t="s">
        <v>1680</v>
      </c>
      <c r="U428" t="s">
        <v>1681</v>
      </c>
      <c r="V428" t="s">
        <v>1682</v>
      </c>
    </row>
    <row r="429" spans="15:22" x14ac:dyDescent="0.25">
      <c r="O429" t="s">
        <v>279</v>
      </c>
      <c r="P429" t="s">
        <v>160</v>
      </c>
      <c r="Q429" t="s">
        <v>887</v>
      </c>
      <c r="R429" t="str">
        <f t="shared" si="6"/>
        <v>MAMADE6</v>
      </c>
      <c r="S429" t="s">
        <v>1683</v>
      </c>
      <c r="T429" t="s">
        <v>1684</v>
      </c>
      <c r="U429" t="s">
        <v>1685</v>
      </c>
      <c r="V429" t="s">
        <v>1686</v>
      </c>
    </row>
    <row r="430" spans="15:22" x14ac:dyDescent="0.25">
      <c r="O430" t="s">
        <v>279</v>
      </c>
      <c r="P430" t="s">
        <v>160</v>
      </c>
      <c r="Q430" t="s">
        <v>892</v>
      </c>
      <c r="R430" t="str">
        <f t="shared" si="6"/>
        <v>MAMADF6</v>
      </c>
      <c r="S430" t="s">
        <v>1687</v>
      </c>
      <c r="T430" t="s">
        <v>1688</v>
      </c>
      <c r="U430" t="s">
        <v>1689</v>
      </c>
      <c r="V430" t="s">
        <v>1690</v>
      </c>
    </row>
    <row r="431" spans="15:22" x14ac:dyDescent="0.25">
      <c r="O431" t="s">
        <v>279</v>
      </c>
      <c r="P431" t="s">
        <v>160</v>
      </c>
      <c r="Q431" t="s">
        <v>897</v>
      </c>
      <c r="R431" t="str">
        <f t="shared" si="6"/>
        <v>MAMADG6</v>
      </c>
      <c r="S431" t="s">
        <v>1691</v>
      </c>
      <c r="T431" t="s">
        <v>1692</v>
      </c>
      <c r="U431" t="s">
        <v>1693</v>
      </c>
      <c r="V431" t="s">
        <v>1694</v>
      </c>
    </row>
    <row r="432" spans="15:22" x14ac:dyDescent="0.25">
      <c r="O432" t="s">
        <v>279</v>
      </c>
      <c r="P432" t="s">
        <v>160</v>
      </c>
      <c r="Q432" t="s">
        <v>902</v>
      </c>
      <c r="R432" t="str">
        <f t="shared" si="6"/>
        <v>MAMADH6</v>
      </c>
      <c r="S432" t="s">
        <v>1695</v>
      </c>
      <c r="T432" t="s">
        <v>1696</v>
      </c>
      <c r="U432" t="s">
        <v>1697</v>
      </c>
      <c r="V432" t="s">
        <v>1698</v>
      </c>
    </row>
    <row r="433" spans="15:22" x14ac:dyDescent="0.25">
      <c r="O433" t="s">
        <v>279</v>
      </c>
      <c r="P433" t="s">
        <v>160</v>
      </c>
      <c r="Q433" t="s">
        <v>907</v>
      </c>
      <c r="R433" t="str">
        <f t="shared" si="6"/>
        <v>MAMADA7</v>
      </c>
      <c r="S433" t="s">
        <v>1699</v>
      </c>
      <c r="T433" t="s">
        <v>1700</v>
      </c>
      <c r="U433" t="s">
        <v>1701</v>
      </c>
      <c r="V433" t="s">
        <v>1702</v>
      </c>
    </row>
    <row r="434" spans="15:22" x14ac:dyDescent="0.25">
      <c r="O434" t="s">
        <v>279</v>
      </c>
      <c r="P434" t="s">
        <v>160</v>
      </c>
      <c r="Q434" t="s">
        <v>912</v>
      </c>
      <c r="R434" t="str">
        <f t="shared" si="6"/>
        <v>MAMADB7</v>
      </c>
      <c r="S434" t="s">
        <v>1703</v>
      </c>
      <c r="T434" t="s">
        <v>1704</v>
      </c>
      <c r="U434" t="s">
        <v>1705</v>
      </c>
      <c r="V434" t="s">
        <v>1706</v>
      </c>
    </row>
    <row r="435" spans="15:22" x14ac:dyDescent="0.25">
      <c r="O435" t="s">
        <v>279</v>
      </c>
      <c r="P435" t="s">
        <v>160</v>
      </c>
      <c r="Q435" t="s">
        <v>917</v>
      </c>
      <c r="R435" t="str">
        <f t="shared" si="6"/>
        <v>MAMADC7</v>
      </c>
      <c r="S435" t="s">
        <v>1707</v>
      </c>
      <c r="T435" t="s">
        <v>1708</v>
      </c>
      <c r="U435" t="s">
        <v>1709</v>
      </c>
      <c r="V435" t="s">
        <v>1710</v>
      </c>
    </row>
    <row r="436" spans="15:22" x14ac:dyDescent="0.25">
      <c r="O436" t="s">
        <v>279</v>
      </c>
      <c r="P436" t="s">
        <v>160</v>
      </c>
      <c r="Q436" t="s">
        <v>922</v>
      </c>
      <c r="R436" t="str">
        <f t="shared" si="6"/>
        <v>MAMADD7</v>
      </c>
      <c r="S436" t="s">
        <v>1711</v>
      </c>
      <c r="T436" t="s">
        <v>1712</v>
      </c>
      <c r="U436" t="s">
        <v>1713</v>
      </c>
      <c r="V436" t="s">
        <v>1714</v>
      </c>
    </row>
    <row r="437" spans="15:22" x14ac:dyDescent="0.25">
      <c r="O437" t="s">
        <v>279</v>
      </c>
      <c r="P437" t="s">
        <v>160</v>
      </c>
      <c r="Q437" t="s">
        <v>927</v>
      </c>
      <c r="R437" t="str">
        <f t="shared" si="6"/>
        <v>MAMADE7</v>
      </c>
      <c r="S437" t="s">
        <v>1715</v>
      </c>
      <c r="T437" t="s">
        <v>1716</v>
      </c>
      <c r="U437" t="s">
        <v>1717</v>
      </c>
      <c r="V437" t="s">
        <v>1718</v>
      </c>
    </row>
    <row r="438" spans="15:22" x14ac:dyDescent="0.25">
      <c r="O438" t="s">
        <v>279</v>
      </c>
      <c r="P438" t="s">
        <v>160</v>
      </c>
      <c r="Q438" t="s">
        <v>932</v>
      </c>
      <c r="R438" t="str">
        <f t="shared" si="6"/>
        <v>MAMADF7</v>
      </c>
      <c r="S438" t="s">
        <v>1719</v>
      </c>
      <c r="T438" t="s">
        <v>1720</v>
      </c>
      <c r="U438" t="s">
        <v>1721</v>
      </c>
      <c r="V438" t="s">
        <v>1722</v>
      </c>
    </row>
    <row r="439" spans="15:22" x14ac:dyDescent="0.25">
      <c r="O439" t="s">
        <v>279</v>
      </c>
      <c r="P439" t="s">
        <v>160</v>
      </c>
      <c r="Q439" t="s">
        <v>937</v>
      </c>
      <c r="R439" t="str">
        <f t="shared" si="6"/>
        <v>MAMADG7</v>
      </c>
      <c r="S439" t="s">
        <v>1723</v>
      </c>
      <c r="T439" t="s">
        <v>1724</v>
      </c>
      <c r="U439" t="s">
        <v>1725</v>
      </c>
      <c r="V439" t="s">
        <v>1726</v>
      </c>
    </row>
    <row r="440" spans="15:22" x14ac:dyDescent="0.25">
      <c r="O440" t="s">
        <v>279</v>
      </c>
      <c r="P440" t="s">
        <v>160</v>
      </c>
      <c r="Q440" t="s">
        <v>942</v>
      </c>
      <c r="R440" t="str">
        <f t="shared" si="6"/>
        <v>MAMADH7</v>
      </c>
      <c r="S440" t="s">
        <v>1727</v>
      </c>
      <c r="T440" t="s">
        <v>1728</v>
      </c>
      <c r="U440" t="s">
        <v>1729</v>
      </c>
      <c r="V440" t="s">
        <v>1730</v>
      </c>
    </row>
    <row r="441" spans="15:22" x14ac:dyDescent="0.25">
      <c r="O441" t="s">
        <v>279</v>
      </c>
      <c r="P441" t="s">
        <v>160</v>
      </c>
      <c r="Q441" t="s">
        <v>947</v>
      </c>
      <c r="R441" t="str">
        <f t="shared" si="6"/>
        <v>MAMADA8</v>
      </c>
      <c r="S441" t="s">
        <v>1731</v>
      </c>
      <c r="T441" t="s">
        <v>1732</v>
      </c>
      <c r="U441" t="s">
        <v>1733</v>
      </c>
      <c r="V441" t="s">
        <v>1734</v>
      </c>
    </row>
    <row r="442" spans="15:22" x14ac:dyDescent="0.25">
      <c r="O442" t="s">
        <v>279</v>
      </c>
      <c r="P442" t="s">
        <v>160</v>
      </c>
      <c r="Q442" t="s">
        <v>952</v>
      </c>
      <c r="R442" t="str">
        <f t="shared" si="6"/>
        <v>MAMADB8</v>
      </c>
      <c r="S442" t="s">
        <v>1735</v>
      </c>
      <c r="T442" t="s">
        <v>1736</v>
      </c>
      <c r="U442" t="s">
        <v>1737</v>
      </c>
      <c r="V442" t="s">
        <v>1738</v>
      </c>
    </row>
    <row r="443" spans="15:22" x14ac:dyDescent="0.25">
      <c r="O443" t="s">
        <v>279</v>
      </c>
      <c r="P443" t="s">
        <v>160</v>
      </c>
      <c r="Q443" t="s">
        <v>957</v>
      </c>
      <c r="R443" t="str">
        <f t="shared" si="6"/>
        <v>MAMADC8</v>
      </c>
      <c r="S443" t="s">
        <v>1739</v>
      </c>
      <c r="T443" t="s">
        <v>1740</v>
      </c>
      <c r="U443" t="s">
        <v>1741</v>
      </c>
      <c r="V443" t="s">
        <v>1742</v>
      </c>
    </row>
    <row r="444" spans="15:22" x14ac:dyDescent="0.25">
      <c r="O444" t="s">
        <v>279</v>
      </c>
      <c r="P444" t="s">
        <v>160</v>
      </c>
      <c r="Q444" t="s">
        <v>962</v>
      </c>
      <c r="R444" t="str">
        <f t="shared" si="6"/>
        <v>MAMADD8</v>
      </c>
      <c r="S444" t="s">
        <v>1743</v>
      </c>
      <c r="T444" t="s">
        <v>1744</v>
      </c>
      <c r="U444" t="s">
        <v>1745</v>
      </c>
      <c r="V444" t="s">
        <v>1746</v>
      </c>
    </row>
    <row r="445" spans="15:22" x14ac:dyDescent="0.25">
      <c r="O445" t="s">
        <v>279</v>
      </c>
      <c r="P445" t="s">
        <v>160</v>
      </c>
      <c r="Q445" t="s">
        <v>967</v>
      </c>
      <c r="R445" t="str">
        <f t="shared" si="6"/>
        <v>MAMADE8</v>
      </c>
      <c r="S445" t="s">
        <v>1747</v>
      </c>
      <c r="T445" t="s">
        <v>1748</v>
      </c>
      <c r="U445" t="s">
        <v>1749</v>
      </c>
      <c r="V445" t="s">
        <v>1750</v>
      </c>
    </row>
    <row r="446" spans="15:22" x14ac:dyDescent="0.25">
      <c r="O446" t="s">
        <v>279</v>
      </c>
      <c r="P446" t="s">
        <v>160</v>
      </c>
      <c r="Q446" t="s">
        <v>972</v>
      </c>
      <c r="R446" t="str">
        <f t="shared" si="6"/>
        <v>MAMADF8</v>
      </c>
      <c r="S446" t="s">
        <v>1751</v>
      </c>
      <c r="T446" t="s">
        <v>1752</v>
      </c>
      <c r="U446" t="s">
        <v>1753</v>
      </c>
      <c r="V446" t="s">
        <v>1754</v>
      </c>
    </row>
    <row r="447" spans="15:22" x14ac:dyDescent="0.25">
      <c r="O447" t="s">
        <v>279</v>
      </c>
      <c r="P447" t="s">
        <v>160</v>
      </c>
      <c r="Q447" t="s">
        <v>977</v>
      </c>
      <c r="R447" t="str">
        <f t="shared" si="6"/>
        <v>MAMADG8</v>
      </c>
      <c r="S447" t="s">
        <v>1755</v>
      </c>
      <c r="T447" t="s">
        <v>1756</v>
      </c>
      <c r="U447" t="s">
        <v>1757</v>
      </c>
      <c r="V447" t="s">
        <v>1758</v>
      </c>
    </row>
    <row r="448" spans="15:22" x14ac:dyDescent="0.25">
      <c r="O448" t="s">
        <v>279</v>
      </c>
      <c r="P448" t="s">
        <v>160</v>
      </c>
      <c r="Q448" t="s">
        <v>982</v>
      </c>
      <c r="R448" t="str">
        <f t="shared" si="6"/>
        <v>MAMADH8</v>
      </c>
      <c r="S448" t="s">
        <v>1759</v>
      </c>
      <c r="T448" t="s">
        <v>1760</v>
      </c>
      <c r="U448" t="s">
        <v>1761</v>
      </c>
      <c r="V448" t="s">
        <v>1762</v>
      </c>
    </row>
    <row r="449" spans="15:22" x14ac:dyDescent="0.25">
      <c r="O449" t="s">
        <v>279</v>
      </c>
      <c r="P449" t="s">
        <v>160</v>
      </c>
      <c r="Q449" t="s">
        <v>987</v>
      </c>
      <c r="R449" t="str">
        <f t="shared" ref="R449:R512" si="7">O449&amp;P449&amp;Q449</f>
        <v>MAMADA9</v>
      </c>
      <c r="S449" t="s">
        <v>1763</v>
      </c>
      <c r="T449" t="s">
        <v>1764</v>
      </c>
      <c r="U449" t="s">
        <v>1765</v>
      </c>
      <c r="V449" t="s">
        <v>1766</v>
      </c>
    </row>
    <row r="450" spans="15:22" x14ac:dyDescent="0.25">
      <c r="O450" t="s">
        <v>279</v>
      </c>
      <c r="P450" t="s">
        <v>160</v>
      </c>
      <c r="Q450" t="s">
        <v>992</v>
      </c>
      <c r="R450" t="str">
        <f t="shared" si="7"/>
        <v>MAMADB9</v>
      </c>
      <c r="S450" t="s">
        <v>1767</v>
      </c>
      <c r="T450" t="s">
        <v>1768</v>
      </c>
      <c r="U450" t="s">
        <v>1769</v>
      </c>
      <c r="V450" t="s">
        <v>1770</v>
      </c>
    </row>
    <row r="451" spans="15:22" x14ac:dyDescent="0.25">
      <c r="O451" t="s">
        <v>279</v>
      </c>
      <c r="P451" t="s">
        <v>160</v>
      </c>
      <c r="Q451" t="s">
        <v>997</v>
      </c>
      <c r="R451" t="str">
        <f t="shared" si="7"/>
        <v>MAMADC9</v>
      </c>
      <c r="S451" t="s">
        <v>1771</v>
      </c>
      <c r="T451" t="s">
        <v>1772</v>
      </c>
      <c r="U451" t="s">
        <v>1773</v>
      </c>
      <c r="V451" t="s">
        <v>1774</v>
      </c>
    </row>
    <row r="452" spans="15:22" x14ac:dyDescent="0.25">
      <c r="O452" t="s">
        <v>279</v>
      </c>
      <c r="P452" t="s">
        <v>160</v>
      </c>
      <c r="Q452" t="s">
        <v>1002</v>
      </c>
      <c r="R452" t="str">
        <f t="shared" si="7"/>
        <v>MAMADD9</v>
      </c>
      <c r="S452" t="s">
        <v>1775</v>
      </c>
      <c r="T452" t="s">
        <v>1776</v>
      </c>
      <c r="U452" t="s">
        <v>1777</v>
      </c>
      <c r="V452" t="s">
        <v>1778</v>
      </c>
    </row>
    <row r="453" spans="15:22" x14ac:dyDescent="0.25">
      <c r="O453" t="s">
        <v>279</v>
      </c>
      <c r="P453" t="s">
        <v>160</v>
      </c>
      <c r="Q453" t="s">
        <v>1007</v>
      </c>
      <c r="R453" t="str">
        <f t="shared" si="7"/>
        <v>MAMADE9</v>
      </c>
      <c r="S453" t="s">
        <v>1779</v>
      </c>
      <c r="T453" t="s">
        <v>1780</v>
      </c>
      <c r="U453" t="s">
        <v>1781</v>
      </c>
      <c r="V453" t="s">
        <v>1782</v>
      </c>
    </row>
    <row r="454" spans="15:22" x14ac:dyDescent="0.25">
      <c r="O454" t="s">
        <v>279</v>
      </c>
      <c r="P454" t="s">
        <v>160</v>
      </c>
      <c r="Q454" t="s">
        <v>1012</v>
      </c>
      <c r="R454" t="str">
        <f t="shared" si="7"/>
        <v>MAMADF9</v>
      </c>
      <c r="S454" t="s">
        <v>1783</v>
      </c>
      <c r="T454" t="s">
        <v>1784</v>
      </c>
      <c r="U454" t="s">
        <v>1785</v>
      </c>
      <c r="V454" t="s">
        <v>1786</v>
      </c>
    </row>
    <row r="455" spans="15:22" x14ac:dyDescent="0.25">
      <c r="O455" t="s">
        <v>279</v>
      </c>
      <c r="P455" t="s">
        <v>160</v>
      </c>
      <c r="Q455" t="s">
        <v>1017</v>
      </c>
      <c r="R455" t="str">
        <f t="shared" si="7"/>
        <v>MAMADG9</v>
      </c>
      <c r="S455" t="s">
        <v>1787</v>
      </c>
      <c r="T455" t="s">
        <v>1788</v>
      </c>
      <c r="U455" t="s">
        <v>1789</v>
      </c>
      <c r="V455" t="s">
        <v>1790</v>
      </c>
    </row>
    <row r="456" spans="15:22" x14ac:dyDescent="0.25">
      <c r="O456" t="s">
        <v>279</v>
      </c>
      <c r="P456" t="s">
        <v>160</v>
      </c>
      <c r="Q456" t="s">
        <v>1022</v>
      </c>
      <c r="R456" t="str">
        <f t="shared" si="7"/>
        <v>MAMADH9</v>
      </c>
      <c r="S456" t="s">
        <v>1791</v>
      </c>
      <c r="T456" t="s">
        <v>1792</v>
      </c>
      <c r="U456" t="s">
        <v>1793</v>
      </c>
      <c r="V456" t="s">
        <v>1794</v>
      </c>
    </row>
    <row r="457" spans="15:22" x14ac:dyDescent="0.25">
      <c r="O457" t="s">
        <v>279</v>
      </c>
      <c r="P457" t="s">
        <v>160</v>
      </c>
      <c r="Q457" t="s">
        <v>238</v>
      </c>
      <c r="R457" t="str">
        <f t="shared" si="7"/>
        <v>MAMADA10</v>
      </c>
      <c r="S457" t="s">
        <v>1795</v>
      </c>
      <c r="T457" t="s">
        <v>1796</v>
      </c>
      <c r="U457" t="s">
        <v>1797</v>
      </c>
      <c r="V457" t="s">
        <v>1798</v>
      </c>
    </row>
    <row r="458" spans="15:22" x14ac:dyDescent="0.25">
      <c r="O458" t="s">
        <v>279</v>
      </c>
      <c r="P458" t="s">
        <v>160</v>
      </c>
      <c r="Q458" t="s">
        <v>239</v>
      </c>
      <c r="R458" t="str">
        <f t="shared" si="7"/>
        <v>MAMADB10</v>
      </c>
      <c r="S458" t="s">
        <v>1799</v>
      </c>
      <c r="T458" t="s">
        <v>1800</v>
      </c>
      <c r="U458" t="s">
        <v>1801</v>
      </c>
      <c r="V458" t="s">
        <v>1802</v>
      </c>
    </row>
    <row r="459" spans="15:22" x14ac:dyDescent="0.25">
      <c r="O459" t="s">
        <v>279</v>
      </c>
      <c r="P459" t="s">
        <v>160</v>
      </c>
      <c r="Q459" t="s">
        <v>240</v>
      </c>
      <c r="R459" t="str">
        <f t="shared" si="7"/>
        <v>MAMADC10</v>
      </c>
      <c r="S459" t="s">
        <v>1803</v>
      </c>
      <c r="T459" t="s">
        <v>1804</v>
      </c>
      <c r="U459" t="s">
        <v>1805</v>
      </c>
      <c r="V459" t="s">
        <v>1806</v>
      </c>
    </row>
    <row r="460" spans="15:22" x14ac:dyDescent="0.25">
      <c r="O460" t="s">
        <v>279</v>
      </c>
      <c r="P460" t="s">
        <v>160</v>
      </c>
      <c r="Q460" t="s">
        <v>241</v>
      </c>
      <c r="R460" t="str">
        <f t="shared" si="7"/>
        <v>MAMADD10</v>
      </c>
      <c r="S460" t="s">
        <v>1807</v>
      </c>
      <c r="T460" t="s">
        <v>1808</v>
      </c>
      <c r="U460" t="s">
        <v>1809</v>
      </c>
      <c r="V460" t="s">
        <v>1810</v>
      </c>
    </row>
    <row r="461" spans="15:22" x14ac:dyDescent="0.25">
      <c r="O461" t="s">
        <v>279</v>
      </c>
      <c r="P461" t="s">
        <v>160</v>
      </c>
      <c r="Q461" t="s">
        <v>242</v>
      </c>
      <c r="R461" t="str">
        <f t="shared" si="7"/>
        <v>MAMADE10</v>
      </c>
      <c r="S461" t="s">
        <v>1811</v>
      </c>
      <c r="T461" t="s">
        <v>1812</v>
      </c>
      <c r="U461" t="s">
        <v>1813</v>
      </c>
      <c r="V461" t="s">
        <v>1814</v>
      </c>
    </row>
    <row r="462" spans="15:22" x14ac:dyDescent="0.25">
      <c r="O462" t="s">
        <v>279</v>
      </c>
      <c r="P462" t="s">
        <v>160</v>
      </c>
      <c r="Q462" t="s">
        <v>243</v>
      </c>
      <c r="R462" t="str">
        <f t="shared" si="7"/>
        <v>MAMADF10</v>
      </c>
      <c r="S462" t="s">
        <v>1815</v>
      </c>
      <c r="T462" t="s">
        <v>1816</v>
      </c>
      <c r="U462" t="s">
        <v>1817</v>
      </c>
      <c r="V462" t="s">
        <v>1818</v>
      </c>
    </row>
    <row r="463" spans="15:22" x14ac:dyDescent="0.25">
      <c r="O463" t="s">
        <v>279</v>
      </c>
      <c r="P463" t="s">
        <v>160</v>
      </c>
      <c r="Q463" t="s">
        <v>244</v>
      </c>
      <c r="R463" t="str">
        <f t="shared" si="7"/>
        <v>MAMADG10</v>
      </c>
      <c r="S463" t="s">
        <v>1819</v>
      </c>
      <c r="T463" t="s">
        <v>1820</v>
      </c>
      <c r="U463" t="s">
        <v>1821</v>
      </c>
      <c r="V463" t="s">
        <v>1822</v>
      </c>
    </row>
    <row r="464" spans="15:22" x14ac:dyDescent="0.25">
      <c r="O464" t="s">
        <v>279</v>
      </c>
      <c r="P464" t="s">
        <v>160</v>
      </c>
      <c r="Q464" t="s">
        <v>246</v>
      </c>
      <c r="R464" t="str">
        <f t="shared" si="7"/>
        <v>MAMADH10</v>
      </c>
      <c r="S464" t="s">
        <v>1823</v>
      </c>
      <c r="T464" t="s">
        <v>1824</v>
      </c>
      <c r="U464" t="s">
        <v>1825</v>
      </c>
      <c r="V464" t="s">
        <v>1826</v>
      </c>
    </row>
    <row r="465" spans="15:22" x14ac:dyDescent="0.25">
      <c r="O465" t="s">
        <v>279</v>
      </c>
      <c r="P465" t="s">
        <v>160</v>
      </c>
      <c r="Q465" t="s">
        <v>248</v>
      </c>
      <c r="R465" t="str">
        <f t="shared" si="7"/>
        <v>MAMADA11</v>
      </c>
      <c r="S465" t="s">
        <v>1827</v>
      </c>
      <c r="T465" t="s">
        <v>1828</v>
      </c>
      <c r="U465" t="s">
        <v>1829</v>
      </c>
      <c r="V465" t="s">
        <v>1830</v>
      </c>
    </row>
    <row r="466" spans="15:22" x14ac:dyDescent="0.25">
      <c r="O466" t="s">
        <v>279</v>
      </c>
      <c r="P466" t="s">
        <v>160</v>
      </c>
      <c r="Q466" t="s">
        <v>250</v>
      </c>
      <c r="R466" t="str">
        <f t="shared" si="7"/>
        <v>MAMADB11</v>
      </c>
      <c r="S466" t="s">
        <v>1831</v>
      </c>
      <c r="T466" t="s">
        <v>1832</v>
      </c>
      <c r="U466" t="s">
        <v>1833</v>
      </c>
      <c r="V466" t="s">
        <v>1834</v>
      </c>
    </row>
    <row r="467" spans="15:22" x14ac:dyDescent="0.25">
      <c r="O467" t="s">
        <v>279</v>
      </c>
      <c r="P467" t="s">
        <v>160</v>
      </c>
      <c r="Q467" t="s">
        <v>252</v>
      </c>
      <c r="R467" t="str">
        <f t="shared" si="7"/>
        <v>MAMADC11</v>
      </c>
      <c r="S467" t="s">
        <v>1835</v>
      </c>
      <c r="T467" t="s">
        <v>1836</v>
      </c>
      <c r="U467" t="s">
        <v>1837</v>
      </c>
      <c r="V467" t="s">
        <v>1838</v>
      </c>
    </row>
    <row r="468" spans="15:22" x14ac:dyDescent="0.25">
      <c r="O468" t="s">
        <v>279</v>
      </c>
      <c r="P468" t="s">
        <v>160</v>
      </c>
      <c r="Q468" t="s">
        <v>254</v>
      </c>
      <c r="R468" t="str">
        <f t="shared" si="7"/>
        <v>MAMADD11</v>
      </c>
      <c r="S468" t="s">
        <v>1839</v>
      </c>
      <c r="T468" t="s">
        <v>1840</v>
      </c>
      <c r="U468" t="s">
        <v>1841</v>
      </c>
      <c r="V468" t="s">
        <v>1842</v>
      </c>
    </row>
    <row r="469" spans="15:22" x14ac:dyDescent="0.25">
      <c r="O469" t="s">
        <v>279</v>
      </c>
      <c r="P469" t="s">
        <v>160</v>
      </c>
      <c r="Q469" t="s">
        <v>256</v>
      </c>
      <c r="R469" t="str">
        <f t="shared" si="7"/>
        <v>MAMADE11</v>
      </c>
      <c r="S469" t="s">
        <v>1843</v>
      </c>
      <c r="T469" t="s">
        <v>1844</v>
      </c>
      <c r="U469" t="s">
        <v>1845</v>
      </c>
      <c r="V469" t="s">
        <v>1846</v>
      </c>
    </row>
    <row r="470" spans="15:22" x14ac:dyDescent="0.25">
      <c r="O470" t="s">
        <v>279</v>
      </c>
      <c r="P470" t="s">
        <v>160</v>
      </c>
      <c r="Q470" t="s">
        <v>258</v>
      </c>
      <c r="R470" t="str">
        <f t="shared" si="7"/>
        <v>MAMADF11</v>
      </c>
      <c r="S470" t="s">
        <v>1847</v>
      </c>
      <c r="T470" t="s">
        <v>1848</v>
      </c>
      <c r="U470" t="s">
        <v>1849</v>
      </c>
      <c r="V470" t="s">
        <v>1850</v>
      </c>
    </row>
    <row r="471" spans="15:22" x14ac:dyDescent="0.25">
      <c r="O471" t="s">
        <v>279</v>
      </c>
      <c r="P471" t="s">
        <v>160</v>
      </c>
      <c r="Q471" t="s">
        <v>259</v>
      </c>
      <c r="R471" t="str">
        <f t="shared" si="7"/>
        <v>MAMADG11</v>
      </c>
      <c r="S471" t="s">
        <v>1851</v>
      </c>
      <c r="T471" t="s">
        <v>1852</v>
      </c>
      <c r="U471" t="s">
        <v>1853</v>
      </c>
      <c r="V471" t="s">
        <v>1854</v>
      </c>
    </row>
    <row r="472" spans="15:22" x14ac:dyDescent="0.25">
      <c r="O472" t="s">
        <v>279</v>
      </c>
      <c r="P472" t="s">
        <v>160</v>
      </c>
      <c r="Q472" t="s">
        <v>261</v>
      </c>
      <c r="R472" t="str">
        <f t="shared" si="7"/>
        <v>MAMADH11</v>
      </c>
      <c r="S472" t="s">
        <v>1855</v>
      </c>
      <c r="T472" t="s">
        <v>1856</v>
      </c>
      <c r="U472" t="s">
        <v>1857</v>
      </c>
      <c r="V472" t="s">
        <v>1858</v>
      </c>
    </row>
    <row r="473" spans="15:22" x14ac:dyDescent="0.25">
      <c r="O473" t="s">
        <v>279</v>
      </c>
      <c r="P473" t="s">
        <v>160</v>
      </c>
      <c r="Q473" t="s">
        <v>263</v>
      </c>
      <c r="R473" t="str">
        <f t="shared" si="7"/>
        <v>MAMADA12</v>
      </c>
      <c r="S473" t="s">
        <v>1859</v>
      </c>
      <c r="T473" t="s">
        <v>1860</v>
      </c>
      <c r="U473" t="s">
        <v>1861</v>
      </c>
      <c r="V473" t="s">
        <v>1862</v>
      </c>
    </row>
    <row r="474" spans="15:22" x14ac:dyDescent="0.25">
      <c r="O474" t="s">
        <v>279</v>
      </c>
      <c r="P474" t="s">
        <v>160</v>
      </c>
      <c r="Q474" t="s">
        <v>265</v>
      </c>
      <c r="R474" t="str">
        <f t="shared" si="7"/>
        <v>MAMADB12</v>
      </c>
      <c r="S474" t="s">
        <v>1863</v>
      </c>
      <c r="T474" t="s">
        <v>1864</v>
      </c>
      <c r="U474" t="s">
        <v>1865</v>
      </c>
      <c r="V474" t="s">
        <v>1866</v>
      </c>
    </row>
    <row r="475" spans="15:22" x14ac:dyDescent="0.25">
      <c r="O475" t="s">
        <v>279</v>
      </c>
      <c r="P475" t="s">
        <v>160</v>
      </c>
      <c r="Q475" t="s">
        <v>267</v>
      </c>
      <c r="R475" t="str">
        <f t="shared" si="7"/>
        <v>MAMADC12</v>
      </c>
      <c r="S475" t="s">
        <v>1867</v>
      </c>
      <c r="T475" t="s">
        <v>1868</v>
      </c>
      <c r="U475" t="s">
        <v>1869</v>
      </c>
      <c r="V475" t="s">
        <v>1870</v>
      </c>
    </row>
    <row r="476" spans="15:22" x14ac:dyDescent="0.25">
      <c r="O476" t="s">
        <v>279</v>
      </c>
      <c r="P476" t="s">
        <v>160</v>
      </c>
      <c r="Q476" t="s">
        <v>269</v>
      </c>
      <c r="R476" t="str">
        <f t="shared" si="7"/>
        <v>MAMADD12</v>
      </c>
      <c r="S476" t="s">
        <v>1871</v>
      </c>
      <c r="T476" t="s">
        <v>1872</v>
      </c>
      <c r="U476" t="s">
        <v>1873</v>
      </c>
      <c r="V476" t="s">
        <v>1874</v>
      </c>
    </row>
    <row r="477" spans="15:22" x14ac:dyDescent="0.25">
      <c r="O477" t="s">
        <v>279</v>
      </c>
      <c r="P477" t="s">
        <v>160</v>
      </c>
      <c r="Q477" t="s">
        <v>271</v>
      </c>
      <c r="R477" t="str">
        <f t="shared" si="7"/>
        <v>MAMADE12</v>
      </c>
      <c r="S477" t="s">
        <v>1875</v>
      </c>
      <c r="T477" t="s">
        <v>1876</v>
      </c>
      <c r="U477" t="s">
        <v>1877</v>
      </c>
      <c r="V477" t="s">
        <v>1878</v>
      </c>
    </row>
    <row r="478" spans="15:22" x14ac:dyDescent="0.25">
      <c r="O478" t="s">
        <v>279</v>
      </c>
      <c r="P478" t="s">
        <v>160</v>
      </c>
      <c r="Q478" t="s">
        <v>273</v>
      </c>
      <c r="R478" t="str">
        <f t="shared" si="7"/>
        <v>MAMADF12</v>
      </c>
      <c r="S478" t="s">
        <v>1879</v>
      </c>
      <c r="T478" t="s">
        <v>1880</v>
      </c>
      <c r="U478" t="s">
        <v>1881</v>
      </c>
      <c r="V478" t="s">
        <v>1882</v>
      </c>
    </row>
    <row r="479" spans="15:22" x14ac:dyDescent="0.25">
      <c r="O479" t="s">
        <v>279</v>
      </c>
      <c r="P479" t="s">
        <v>160</v>
      </c>
      <c r="Q479" t="s">
        <v>275</v>
      </c>
      <c r="R479" t="str">
        <f t="shared" si="7"/>
        <v>MAMADG12</v>
      </c>
      <c r="S479" t="s">
        <v>1883</v>
      </c>
      <c r="T479" t="s">
        <v>1884</v>
      </c>
      <c r="U479" t="s">
        <v>1885</v>
      </c>
      <c r="V479" t="s">
        <v>1886</v>
      </c>
    </row>
    <row r="480" spans="15:22" x14ac:dyDescent="0.25">
      <c r="O480" t="s">
        <v>279</v>
      </c>
      <c r="P480" t="s">
        <v>160</v>
      </c>
      <c r="Q480" t="s">
        <v>277</v>
      </c>
      <c r="R480" t="str">
        <f t="shared" si="7"/>
        <v>MAMADH12</v>
      </c>
      <c r="S480" t="s">
        <v>1887</v>
      </c>
      <c r="T480" t="s">
        <v>1888</v>
      </c>
      <c r="U480" t="s">
        <v>1889</v>
      </c>
      <c r="V480" t="s">
        <v>1890</v>
      </c>
    </row>
    <row r="481" spans="15:22" x14ac:dyDescent="0.25">
      <c r="O481" t="s">
        <v>1891</v>
      </c>
      <c r="P481" t="s">
        <v>79</v>
      </c>
      <c r="Q481" t="s">
        <v>80</v>
      </c>
      <c r="R481" t="str">
        <f t="shared" si="7"/>
        <v>ONCOAA01</v>
      </c>
      <c r="S481" t="s">
        <v>280</v>
      </c>
      <c r="T481" t="s">
        <v>281</v>
      </c>
      <c r="U481" t="s">
        <v>282</v>
      </c>
      <c r="V481" t="s">
        <v>283</v>
      </c>
    </row>
    <row r="482" spans="15:22" x14ac:dyDescent="0.25">
      <c r="O482" t="s">
        <v>1891</v>
      </c>
      <c r="P482" t="s">
        <v>79</v>
      </c>
      <c r="Q482" t="s">
        <v>86</v>
      </c>
      <c r="R482" t="str">
        <f t="shared" si="7"/>
        <v>ONCOAB01</v>
      </c>
      <c r="S482" t="s">
        <v>284</v>
      </c>
      <c r="T482" t="s">
        <v>285</v>
      </c>
      <c r="U482" t="s">
        <v>286</v>
      </c>
      <c r="V482" t="s">
        <v>287</v>
      </c>
    </row>
    <row r="483" spans="15:22" x14ac:dyDescent="0.25">
      <c r="O483" t="s">
        <v>1891</v>
      </c>
      <c r="P483" t="s">
        <v>79</v>
      </c>
      <c r="Q483" t="s">
        <v>94</v>
      </c>
      <c r="R483" t="str">
        <f t="shared" si="7"/>
        <v>ONCOAC01</v>
      </c>
      <c r="S483" t="s">
        <v>288</v>
      </c>
      <c r="T483" t="s">
        <v>289</v>
      </c>
      <c r="U483" t="s">
        <v>290</v>
      </c>
      <c r="V483" t="s">
        <v>291</v>
      </c>
    </row>
    <row r="484" spans="15:22" x14ac:dyDescent="0.25">
      <c r="O484" t="s">
        <v>1891</v>
      </c>
      <c r="P484" t="s">
        <v>79</v>
      </c>
      <c r="Q484" t="s">
        <v>103</v>
      </c>
      <c r="R484" t="str">
        <f t="shared" si="7"/>
        <v>ONCOAD01</v>
      </c>
      <c r="S484" t="s">
        <v>293</v>
      </c>
      <c r="T484" t="s">
        <v>294</v>
      </c>
      <c r="U484" t="s">
        <v>295</v>
      </c>
      <c r="V484" t="s">
        <v>296</v>
      </c>
    </row>
    <row r="485" spans="15:22" x14ac:dyDescent="0.25">
      <c r="O485" t="s">
        <v>1891</v>
      </c>
      <c r="P485" t="s">
        <v>79</v>
      </c>
      <c r="Q485" t="s">
        <v>109</v>
      </c>
      <c r="R485" t="str">
        <f t="shared" si="7"/>
        <v>ONCOAE01</v>
      </c>
      <c r="S485" t="s">
        <v>297</v>
      </c>
      <c r="T485" t="s">
        <v>298</v>
      </c>
      <c r="U485" t="s">
        <v>299</v>
      </c>
      <c r="V485" t="s">
        <v>300</v>
      </c>
    </row>
    <row r="486" spans="15:22" x14ac:dyDescent="0.25">
      <c r="O486" t="s">
        <v>1891</v>
      </c>
      <c r="P486" t="s">
        <v>79</v>
      </c>
      <c r="Q486" t="s">
        <v>114</v>
      </c>
      <c r="R486" t="str">
        <f t="shared" si="7"/>
        <v>ONCOAF01</v>
      </c>
      <c r="S486" t="s">
        <v>302</v>
      </c>
      <c r="T486" t="s">
        <v>303</v>
      </c>
      <c r="U486" t="s">
        <v>304</v>
      </c>
      <c r="V486" t="s">
        <v>305</v>
      </c>
    </row>
    <row r="487" spans="15:22" x14ac:dyDescent="0.25">
      <c r="O487" t="s">
        <v>1891</v>
      </c>
      <c r="P487" t="s">
        <v>79</v>
      </c>
      <c r="Q487" t="s">
        <v>120</v>
      </c>
      <c r="R487" t="str">
        <f t="shared" si="7"/>
        <v>ONCOAG01</v>
      </c>
      <c r="S487" t="s">
        <v>307</v>
      </c>
      <c r="T487" t="s">
        <v>308</v>
      </c>
      <c r="U487" t="s">
        <v>309</v>
      </c>
      <c r="V487" t="s">
        <v>310</v>
      </c>
    </row>
    <row r="488" spans="15:22" x14ac:dyDescent="0.25">
      <c r="O488" t="s">
        <v>1891</v>
      </c>
      <c r="P488" t="s">
        <v>79</v>
      </c>
      <c r="Q488" t="s">
        <v>125</v>
      </c>
      <c r="R488" t="str">
        <f t="shared" si="7"/>
        <v>ONCOAH01</v>
      </c>
      <c r="S488" t="s">
        <v>311</v>
      </c>
      <c r="T488" t="s">
        <v>312</v>
      </c>
      <c r="U488" t="s">
        <v>313</v>
      </c>
      <c r="V488" t="s">
        <v>314</v>
      </c>
    </row>
    <row r="489" spans="15:22" x14ac:dyDescent="0.25">
      <c r="O489" t="s">
        <v>1891</v>
      </c>
      <c r="P489" t="s">
        <v>79</v>
      </c>
      <c r="Q489" t="s">
        <v>129</v>
      </c>
      <c r="R489" t="str">
        <f t="shared" si="7"/>
        <v>ONCOAA02</v>
      </c>
      <c r="S489" t="s">
        <v>315</v>
      </c>
      <c r="T489" t="s">
        <v>316</v>
      </c>
      <c r="U489" t="s">
        <v>317</v>
      </c>
      <c r="V489" t="s">
        <v>318</v>
      </c>
    </row>
    <row r="490" spans="15:22" x14ac:dyDescent="0.25">
      <c r="O490" t="s">
        <v>1891</v>
      </c>
      <c r="P490" t="s">
        <v>79</v>
      </c>
      <c r="Q490" t="s">
        <v>132</v>
      </c>
      <c r="R490" t="str">
        <f t="shared" si="7"/>
        <v>ONCOAB02</v>
      </c>
      <c r="S490" t="s">
        <v>319</v>
      </c>
      <c r="T490" t="s">
        <v>320</v>
      </c>
      <c r="U490" t="s">
        <v>321</v>
      </c>
      <c r="V490" t="s">
        <v>322</v>
      </c>
    </row>
    <row r="491" spans="15:22" x14ac:dyDescent="0.25">
      <c r="O491" t="s">
        <v>1891</v>
      </c>
      <c r="P491" t="s">
        <v>79</v>
      </c>
      <c r="Q491" t="s">
        <v>134</v>
      </c>
      <c r="R491" t="str">
        <f t="shared" si="7"/>
        <v>ONCOAC02</v>
      </c>
      <c r="S491" t="s">
        <v>323</v>
      </c>
      <c r="T491" t="s">
        <v>324</v>
      </c>
      <c r="U491" t="s">
        <v>325</v>
      </c>
      <c r="V491" t="s">
        <v>326</v>
      </c>
    </row>
    <row r="492" spans="15:22" x14ac:dyDescent="0.25">
      <c r="O492" t="s">
        <v>1891</v>
      </c>
      <c r="P492" t="s">
        <v>79</v>
      </c>
      <c r="Q492" t="s">
        <v>137</v>
      </c>
      <c r="R492" t="str">
        <f t="shared" si="7"/>
        <v>ONCOAD02</v>
      </c>
      <c r="S492" t="s">
        <v>327</v>
      </c>
      <c r="T492" t="s">
        <v>328</v>
      </c>
      <c r="U492" t="s">
        <v>329</v>
      </c>
      <c r="V492" t="s">
        <v>330</v>
      </c>
    </row>
    <row r="493" spans="15:22" x14ac:dyDescent="0.25">
      <c r="O493" t="s">
        <v>1891</v>
      </c>
      <c r="P493" t="s">
        <v>79</v>
      </c>
      <c r="Q493" t="s">
        <v>140</v>
      </c>
      <c r="R493" t="str">
        <f t="shared" si="7"/>
        <v>ONCOAE02</v>
      </c>
      <c r="S493" t="s">
        <v>331</v>
      </c>
      <c r="T493" t="s">
        <v>332</v>
      </c>
      <c r="U493" t="s">
        <v>333</v>
      </c>
      <c r="V493" t="s">
        <v>334</v>
      </c>
    </row>
    <row r="494" spans="15:22" x14ac:dyDescent="0.25">
      <c r="O494" t="s">
        <v>1891</v>
      </c>
      <c r="P494" t="s">
        <v>79</v>
      </c>
      <c r="Q494" t="s">
        <v>142</v>
      </c>
      <c r="R494" t="str">
        <f t="shared" si="7"/>
        <v>ONCOAF02</v>
      </c>
      <c r="S494" t="s">
        <v>335</v>
      </c>
      <c r="T494" t="s">
        <v>336</v>
      </c>
      <c r="U494" t="s">
        <v>337</v>
      </c>
      <c r="V494" t="s">
        <v>338</v>
      </c>
    </row>
    <row r="495" spans="15:22" x14ac:dyDescent="0.25">
      <c r="O495" t="s">
        <v>1891</v>
      </c>
      <c r="P495" t="s">
        <v>79</v>
      </c>
      <c r="Q495" t="s">
        <v>144</v>
      </c>
      <c r="R495" t="str">
        <f t="shared" si="7"/>
        <v>ONCOAG02</v>
      </c>
      <c r="S495" t="s">
        <v>339</v>
      </c>
      <c r="T495" t="s">
        <v>340</v>
      </c>
      <c r="U495" t="s">
        <v>341</v>
      </c>
      <c r="V495" t="s">
        <v>342</v>
      </c>
    </row>
    <row r="496" spans="15:22" x14ac:dyDescent="0.25">
      <c r="O496" t="s">
        <v>1891</v>
      </c>
      <c r="P496" t="s">
        <v>79</v>
      </c>
      <c r="Q496" t="s">
        <v>148</v>
      </c>
      <c r="R496" t="str">
        <f t="shared" si="7"/>
        <v>ONCOAH02</v>
      </c>
      <c r="S496" t="s">
        <v>343</v>
      </c>
      <c r="T496" t="s">
        <v>344</v>
      </c>
      <c r="U496" t="s">
        <v>345</v>
      </c>
      <c r="V496" t="s">
        <v>346</v>
      </c>
    </row>
    <row r="497" spans="15:22" x14ac:dyDescent="0.25">
      <c r="O497" t="s">
        <v>1891</v>
      </c>
      <c r="P497" t="s">
        <v>79</v>
      </c>
      <c r="Q497" t="s">
        <v>153</v>
      </c>
      <c r="R497" t="str">
        <f t="shared" si="7"/>
        <v>ONCOAA03</v>
      </c>
      <c r="S497" t="s">
        <v>347</v>
      </c>
      <c r="T497" t="s">
        <v>348</v>
      </c>
      <c r="U497" t="s">
        <v>349</v>
      </c>
      <c r="V497" t="s">
        <v>350</v>
      </c>
    </row>
    <row r="498" spans="15:22" x14ac:dyDescent="0.25">
      <c r="O498" t="s">
        <v>1891</v>
      </c>
      <c r="P498" t="s">
        <v>79</v>
      </c>
      <c r="Q498" t="s">
        <v>157</v>
      </c>
      <c r="R498" t="str">
        <f t="shared" si="7"/>
        <v>ONCOAB03</v>
      </c>
      <c r="S498" t="s">
        <v>351</v>
      </c>
      <c r="T498" t="s">
        <v>352</v>
      </c>
      <c r="U498" t="s">
        <v>353</v>
      </c>
      <c r="V498" t="s">
        <v>354</v>
      </c>
    </row>
    <row r="499" spans="15:22" x14ac:dyDescent="0.25">
      <c r="O499" t="s">
        <v>1891</v>
      </c>
      <c r="P499" t="s">
        <v>79</v>
      </c>
      <c r="Q499" t="s">
        <v>161</v>
      </c>
      <c r="R499" t="str">
        <f t="shared" si="7"/>
        <v>ONCOAC03</v>
      </c>
      <c r="S499" t="s">
        <v>355</v>
      </c>
      <c r="T499" t="s">
        <v>356</v>
      </c>
      <c r="U499" t="s">
        <v>357</v>
      </c>
      <c r="V499" t="s">
        <v>358</v>
      </c>
    </row>
    <row r="500" spans="15:22" x14ac:dyDescent="0.25">
      <c r="O500" t="s">
        <v>1891</v>
      </c>
      <c r="P500" t="s">
        <v>79</v>
      </c>
      <c r="Q500" t="s">
        <v>162</v>
      </c>
      <c r="R500" t="str">
        <f t="shared" si="7"/>
        <v>ONCOAD03</v>
      </c>
      <c r="S500" t="s">
        <v>359</v>
      </c>
      <c r="T500" t="s">
        <v>360</v>
      </c>
      <c r="U500" t="s">
        <v>361</v>
      </c>
      <c r="V500" t="s">
        <v>362</v>
      </c>
    </row>
    <row r="501" spans="15:22" x14ac:dyDescent="0.25">
      <c r="O501" t="s">
        <v>1891</v>
      </c>
      <c r="P501" t="s">
        <v>79</v>
      </c>
      <c r="Q501" t="s">
        <v>163</v>
      </c>
      <c r="R501" t="str">
        <f t="shared" si="7"/>
        <v>ONCOAE03</v>
      </c>
      <c r="S501" t="s">
        <v>363</v>
      </c>
      <c r="T501" t="s">
        <v>364</v>
      </c>
      <c r="U501" t="s">
        <v>365</v>
      </c>
      <c r="V501" t="s">
        <v>366</v>
      </c>
    </row>
    <row r="502" spans="15:22" x14ac:dyDescent="0.25">
      <c r="O502" t="s">
        <v>1891</v>
      </c>
      <c r="P502" t="s">
        <v>79</v>
      </c>
      <c r="Q502" t="s">
        <v>164</v>
      </c>
      <c r="R502" t="str">
        <f t="shared" si="7"/>
        <v>ONCOAF03</v>
      </c>
      <c r="S502" t="s">
        <v>367</v>
      </c>
      <c r="T502" t="s">
        <v>368</v>
      </c>
      <c r="U502" t="s">
        <v>369</v>
      </c>
      <c r="V502" t="s">
        <v>370</v>
      </c>
    </row>
    <row r="503" spans="15:22" x14ac:dyDescent="0.25">
      <c r="O503" t="s">
        <v>1891</v>
      </c>
      <c r="P503" t="s">
        <v>79</v>
      </c>
      <c r="Q503" t="s">
        <v>165</v>
      </c>
      <c r="R503" t="str">
        <f t="shared" si="7"/>
        <v>ONCOAG03</v>
      </c>
      <c r="S503" t="s">
        <v>371</v>
      </c>
      <c r="T503" t="s">
        <v>372</v>
      </c>
      <c r="U503" t="s">
        <v>373</v>
      </c>
      <c r="V503" t="s">
        <v>374</v>
      </c>
    </row>
    <row r="504" spans="15:22" x14ac:dyDescent="0.25">
      <c r="O504" t="s">
        <v>1891</v>
      </c>
      <c r="P504" t="s">
        <v>79</v>
      </c>
      <c r="Q504" t="s">
        <v>166</v>
      </c>
      <c r="R504" t="str">
        <f t="shared" si="7"/>
        <v>ONCOAH03</v>
      </c>
      <c r="S504" t="s">
        <v>375</v>
      </c>
      <c r="T504" t="s">
        <v>376</v>
      </c>
      <c r="U504" t="s">
        <v>377</v>
      </c>
      <c r="V504" t="s">
        <v>378</v>
      </c>
    </row>
    <row r="505" spans="15:22" x14ac:dyDescent="0.25">
      <c r="O505" t="s">
        <v>1891</v>
      </c>
      <c r="P505" t="s">
        <v>79</v>
      </c>
      <c r="Q505" t="s">
        <v>167</v>
      </c>
      <c r="R505" t="str">
        <f t="shared" si="7"/>
        <v>ONCOAA04</v>
      </c>
      <c r="S505" t="s">
        <v>379</v>
      </c>
      <c r="T505" t="s">
        <v>380</v>
      </c>
      <c r="U505" t="s">
        <v>381</v>
      </c>
      <c r="V505" t="s">
        <v>382</v>
      </c>
    </row>
    <row r="506" spans="15:22" x14ac:dyDescent="0.25">
      <c r="O506" t="s">
        <v>1891</v>
      </c>
      <c r="P506" t="s">
        <v>79</v>
      </c>
      <c r="Q506" t="s">
        <v>168</v>
      </c>
      <c r="R506" t="str">
        <f t="shared" si="7"/>
        <v>ONCOAB04</v>
      </c>
      <c r="S506" t="s">
        <v>383</v>
      </c>
      <c r="T506" t="s">
        <v>384</v>
      </c>
      <c r="U506" t="s">
        <v>385</v>
      </c>
      <c r="V506" t="s">
        <v>386</v>
      </c>
    </row>
    <row r="507" spans="15:22" x14ac:dyDescent="0.25">
      <c r="O507" t="s">
        <v>1891</v>
      </c>
      <c r="P507" t="s">
        <v>79</v>
      </c>
      <c r="Q507" t="s">
        <v>169</v>
      </c>
      <c r="R507" t="str">
        <f t="shared" si="7"/>
        <v>ONCOAC04</v>
      </c>
      <c r="S507" t="s">
        <v>387</v>
      </c>
      <c r="T507" t="s">
        <v>388</v>
      </c>
      <c r="U507" t="s">
        <v>389</v>
      </c>
      <c r="V507" t="s">
        <v>390</v>
      </c>
    </row>
    <row r="508" spans="15:22" x14ac:dyDescent="0.25">
      <c r="O508" t="s">
        <v>1891</v>
      </c>
      <c r="P508" t="s">
        <v>79</v>
      </c>
      <c r="Q508" t="s">
        <v>173</v>
      </c>
      <c r="R508" t="str">
        <f t="shared" si="7"/>
        <v>ONCOAD04</v>
      </c>
      <c r="S508" t="s">
        <v>391</v>
      </c>
      <c r="T508" t="s">
        <v>392</v>
      </c>
      <c r="U508" t="s">
        <v>393</v>
      </c>
      <c r="V508" t="s">
        <v>394</v>
      </c>
    </row>
    <row r="509" spans="15:22" x14ac:dyDescent="0.25">
      <c r="O509" t="s">
        <v>1891</v>
      </c>
      <c r="P509" t="s">
        <v>79</v>
      </c>
      <c r="Q509" t="s">
        <v>174</v>
      </c>
      <c r="R509" t="str">
        <f t="shared" si="7"/>
        <v>ONCOAE04</v>
      </c>
      <c r="S509" t="s">
        <v>395</v>
      </c>
      <c r="T509" t="s">
        <v>396</v>
      </c>
      <c r="U509" t="s">
        <v>397</v>
      </c>
      <c r="V509" t="s">
        <v>398</v>
      </c>
    </row>
    <row r="510" spans="15:22" x14ac:dyDescent="0.25">
      <c r="O510" t="s">
        <v>1891</v>
      </c>
      <c r="P510" t="s">
        <v>79</v>
      </c>
      <c r="Q510" t="s">
        <v>175</v>
      </c>
      <c r="R510" t="str">
        <f t="shared" si="7"/>
        <v>ONCOAF04</v>
      </c>
      <c r="S510" t="s">
        <v>399</v>
      </c>
      <c r="T510" t="s">
        <v>400</v>
      </c>
      <c r="U510" t="s">
        <v>401</v>
      </c>
      <c r="V510" t="s">
        <v>402</v>
      </c>
    </row>
    <row r="511" spans="15:22" x14ac:dyDescent="0.25">
      <c r="O511" t="s">
        <v>1891</v>
      </c>
      <c r="P511" t="s">
        <v>79</v>
      </c>
      <c r="Q511" t="s">
        <v>176</v>
      </c>
      <c r="R511" t="str">
        <f t="shared" si="7"/>
        <v>ONCOAG04</v>
      </c>
      <c r="S511" t="s">
        <v>403</v>
      </c>
      <c r="T511" t="s">
        <v>404</v>
      </c>
      <c r="U511" t="s">
        <v>405</v>
      </c>
      <c r="V511" t="s">
        <v>406</v>
      </c>
    </row>
    <row r="512" spans="15:22" x14ac:dyDescent="0.25">
      <c r="O512" t="s">
        <v>1891</v>
      </c>
      <c r="P512" t="s">
        <v>79</v>
      </c>
      <c r="Q512" t="s">
        <v>177</v>
      </c>
      <c r="R512" t="str">
        <f t="shared" si="7"/>
        <v>ONCOAH04</v>
      </c>
      <c r="S512" t="s">
        <v>407</v>
      </c>
      <c r="T512" t="s">
        <v>408</v>
      </c>
      <c r="U512" t="s">
        <v>409</v>
      </c>
      <c r="V512" t="s">
        <v>410</v>
      </c>
    </row>
    <row r="513" spans="15:22" x14ac:dyDescent="0.25">
      <c r="O513" t="s">
        <v>1891</v>
      </c>
      <c r="P513" t="s">
        <v>79</v>
      </c>
      <c r="Q513" t="s">
        <v>178</v>
      </c>
      <c r="R513" t="str">
        <f t="shared" ref="R513:R576" si="8">O513&amp;P513&amp;Q513</f>
        <v>ONCOAA05</v>
      </c>
      <c r="S513" t="s">
        <v>411</v>
      </c>
      <c r="T513" t="s">
        <v>412</v>
      </c>
      <c r="U513" t="s">
        <v>413</v>
      </c>
      <c r="V513" t="s">
        <v>414</v>
      </c>
    </row>
    <row r="514" spans="15:22" x14ac:dyDescent="0.25">
      <c r="O514" t="s">
        <v>1891</v>
      </c>
      <c r="P514" t="s">
        <v>79</v>
      </c>
      <c r="Q514" t="s">
        <v>179</v>
      </c>
      <c r="R514" t="str">
        <f t="shared" si="8"/>
        <v>ONCOAB05</v>
      </c>
      <c r="S514" t="s">
        <v>415</v>
      </c>
      <c r="T514" t="s">
        <v>416</v>
      </c>
      <c r="U514" t="s">
        <v>417</v>
      </c>
      <c r="V514" t="s">
        <v>418</v>
      </c>
    </row>
    <row r="515" spans="15:22" x14ac:dyDescent="0.25">
      <c r="O515" t="s">
        <v>1891</v>
      </c>
      <c r="P515" t="s">
        <v>79</v>
      </c>
      <c r="Q515" t="s">
        <v>180</v>
      </c>
      <c r="R515" t="str">
        <f t="shared" si="8"/>
        <v>ONCOAC05</v>
      </c>
      <c r="S515" t="s">
        <v>419</v>
      </c>
      <c r="T515" t="s">
        <v>420</v>
      </c>
      <c r="U515" t="s">
        <v>421</v>
      </c>
      <c r="V515" t="s">
        <v>422</v>
      </c>
    </row>
    <row r="516" spans="15:22" x14ac:dyDescent="0.25">
      <c r="O516" t="s">
        <v>1891</v>
      </c>
      <c r="P516" t="s">
        <v>79</v>
      </c>
      <c r="Q516" t="s">
        <v>181</v>
      </c>
      <c r="R516" t="str">
        <f t="shared" si="8"/>
        <v>ONCOAD05</v>
      </c>
      <c r="S516" t="s">
        <v>423</v>
      </c>
      <c r="T516" t="s">
        <v>424</v>
      </c>
      <c r="U516" t="s">
        <v>425</v>
      </c>
      <c r="V516" t="s">
        <v>426</v>
      </c>
    </row>
    <row r="517" spans="15:22" x14ac:dyDescent="0.25">
      <c r="O517" t="s">
        <v>1891</v>
      </c>
      <c r="P517" t="s">
        <v>79</v>
      </c>
      <c r="Q517" t="s">
        <v>182</v>
      </c>
      <c r="R517" t="str">
        <f t="shared" si="8"/>
        <v>ONCOAE05</v>
      </c>
      <c r="S517" t="s">
        <v>427</v>
      </c>
      <c r="T517" t="s">
        <v>428</v>
      </c>
      <c r="U517" t="s">
        <v>429</v>
      </c>
      <c r="V517" t="s">
        <v>430</v>
      </c>
    </row>
    <row r="518" spans="15:22" x14ac:dyDescent="0.25">
      <c r="O518" t="s">
        <v>1891</v>
      </c>
      <c r="P518" t="s">
        <v>79</v>
      </c>
      <c r="Q518" t="s">
        <v>184</v>
      </c>
      <c r="R518" t="str">
        <f t="shared" si="8"/>
        <v>ONCOAF05</v>
      </c>
      <c r="S518" t="s">
        <v>431</v>
      </c>
      <c r="T518" t="s">
        <v>432</v>
      </c>
      <c r="U518" t="s">
        <v>433</v>
      </c>
      <c r="V518" t="s">
        <v>434</v>
      </c>
    </row>
    <row r="519" spans="15:22" x14ac:dyDescent="0.25">
      <c r="O519" t="s">
        <v>1891</v>
      </c>
      <c r="P519" t="s">
        <v>79</v>
      </c>
      <c r="Q519" t="s">
        <v>186</v>
      </c>
      <c r="R519" t="str">
        <f t="shared" si="8"/>
        <v>ONCOAG05</v>
      </c>
      <c r="S519" t="s">
        <v>435</v>
      </c>
      <c r="T519" t="s">
        <v>436</v>
      </c>
      <c r="U519" t="s">
        <v>437</v>
      </c>
      <c r="V519" t="s">
        <v>438</v>
      </c>
    </row>
    <row r="520" spans="15:22" x14ac:dyDescent="0.25">
      <c r="O520" t="s">
        <v>1891</v>
      </c>
      <c r="P520" t="s">
        <v>79</v>
      </c>
      <c r="Q520" t="s">
        <v>188</v>
      </c>
      <c r="R520" t="str">
        <f t="shared" si="8"/>
        <v>ONCOAH05</v>
      </c>
      <c r="S520" t="s">
        <v>439</v>
      </c>
      <c r="T520" t="s">
        <v>440</v>
      </c>
      <c r="U520" t="s">
        <v>441</v>
      </c>
      <c r="V520" t="s">
        <v>442</v>
      </c>
    </row>
    <row r="521" spans="15:22" x14ac:dyDescent="0.25">
      <c r="O521" t="s">
        <v>1891</v>
      </c>
      <c r="P521" t="s">
        <v>79</v>
      </c>
      <c r="Q521" t="s">
        <v>190</v>
      </c>
      <c r="R521" t="str">
        <f t="shared" si="8"/>
        <v>ONCOAA06</v>
      </c>
      <c r="S521" t="s">
        <v>443</v>
      </c>
      <c r="T521" t="s">
        <v>444</v>
      </c>
      <c r="U521" t="s">
        <v>445</v>
      </c>
      <c r="V521" t="s">
        <v>446</v>
      </c>
    </row>
    <row r="522" spans="15:22" x14ac:dyDescent="0.25">
      <c r="O522" t="s">
        <v>1891</v>
      </c>
      <c r="P522" t="s">
        <v>79</v>
      </c>
      <c r="Q522" t="s">
        <v>192</v>
      </c>
      <c r="R522" t="str">
        <f t="shared" si="8"/>
        <v>ONCOAB06</v>
      </c>
      <c r="S522" t="s">
        <v>447</v>
      </c>
      <c r="T522" t="s">
        <v>448</v>
      </c>
      <c r="U522" t="s">
        <v>449</v>
      </c>
      <c r="V522" t="s">
        <v>450</v>
      </c>
    </row>
    <row r="523" spans="15:22" x14ac:dyDescent="0.25">
      <c r="O523" t="s">
        <v>1891</v>
      </c>
      <c r="P523" t="s">
        <v>79</v>
      </c>
      <c r="Q523" t="s">
        <v>194</v>
      </c>
      <c r="R523" t="str">
        <f t="shared" si="8"/>
        <v>ONCOAC06</v>
      </c>
      <c r="S523" t="s">
        <v>451</v>
      </c>
      <c r="T523" t="s">
        <v>452</v>
      </c>
      <c r="U523" t="s">
        <v>453</v>
      </c>
      <c r="V523" t="s">
        <v>454</v>
      </c>
    </row>
    <row r="524" spans="15:22" x14ac:dyDescent="0.25">
      <c r="O524" t="s">
        <v>1891</v>
      </c>
      <c r="P524" t="s">
        <v>79</v>
      </c>
      <c r="Q524" t="s">
        <v>196</v>
      </c>
      <c r="R524" t="str">
        <f t="shared" si="8"/>
        <v>ONCOAD06</v>
      </c>
      <c r="S524" t="s">
        <v>455</v>
      </c>
      <c r="T524" t="s">
        <v>456</v>
      </c>
      <c r="U524" t="s">
        <v>457</v>
      </c>
      <c r="V524" t="s">
        <v>458</v>
      </c>
    </row>
    <row r="525" spans="15:22" x14ac:dyDescent="0.25">
      <c r="O525" t="s">
        <v>1891</v>
      </c>
      <c r="P525" t="s">
        <v>79</v>
      </c>
      <c r="Q525" t="s">
        <v>198</v>
      </c>
      <c r="R525" t="str">
        <f t="shared" si="8"/>
        <v>ONCOAE06</v>
      </c>
      <c r="S525" t="s">
        <v>459</v>
      </c>
      <c r="T525" t="s">
        <v>460</v>
      </c>
      <c r="U525" t="s">
        <v>461</v>
      </c>
      <c r="V525" t="s">
        <v>462</v>
      </c>
    </row>
    <row r="526" spans="15:22" x14ac:dyDescent="0.25">
      <c r="O526" t="s">
        <v>1891</v>
      </c>
      <c r="P526" t="s">
        <v>79</v>
      </c>
      <c r="Q526" t="s">
        <v>200</v>
      </c>
      <c r="R526" t="str">
        <f t="shared" si="8"/>
        <v>ONCOAF06</v>
      </c>
      <c r="S526" t="s">
        <v>463</v>
      </c>
      <c r="T526" t="s">
        <v>464</v>
      </c>
      <c r="U526" t="s">
        <v>465</v>
      </c>
      <c r="V526" t="s">
        <v>466</v>
      </c>
    </row>
    <row r="527" spans="15:22" x14ac:dyDescent="0.25">
      <c r="O527" t="s">
        <v>1891</v>
      </c>
      <c r="P527" t="s">
        <v>79</v>
      </c>
      <c r="Q527" t="s">
        <v>202</v>
      </c>
      <c r="R527" t="str">
        <f t="shared" si="8"/>
        <v>ONCOAG06</v>
      </c>
      <c r="S527" t="s">
        <v>467</v>
      </c>
      <c r="T527" t="s">
        <v>468</v>
      </c>
      <c r="U527" t="s">
        <v>469</v>
      </c>
      <c r="V527" t="s">
        <v>470</v>
      </c>
    </row>
    <row r="528" spans="15:22" x14ac:dyDescent="0.25">
      <c r="O528" t="s">
        <v>1891</v>
      </c>
      <c r="P528" t="s">
        <v>79</v>
      </c>
      <c r="Q528" t="s">
        <v>204</v>
      </c>
      <c r="R528" t="str">
        <f t="shared" si="8"/>
        <v>ONCOAH06</v>
      </c>
      <c r="S528" t="s">
        <v>471</v>
      </c>
      <c r="T528" t="s">
        <v>472</v>
      </c>
      <c r="U528" t="s">
        <v>473</v>
      </c>
      <c r="V528" t="s">
        <v>474</v>
      </c>
    </row>
    <row r="529" spans="15:22" x14ac:dyDescent="0.25">
      <c r="O529" t="s">
        <v>1891</v>
      </c>
      <c r="P529" t="s">
        <v>79</v>
      </c>
      <c r="Q529" t="s">
        <v>206</v>
      </c>
      <c r="R529" t="str">
        <f t="shared" si="8"/>
        <v>ONCOAA07</v>
      </c>
      <c r="S529" t="s">
        <v>475</v>
      </c>
      <c r="T529" t="s">
        <v>476</v>
      </c>
      <c r="U529" t="s">
        <v>477</v>
      </c>
      <c r="V529" t="s">
        <v>478</v>
      </c>
    </row>
    <row r="530" spans="15:22" x14ac:dyDescent="0.25">
      <c r="O530" t="s">
        <v>1891</v>
      </c>
      <c r="P530" t="s">
        <v>79</v>
      </c>
      <c r="Q530" t="s">
        <v>208</v>
      </c>
      <c r="R530" t="str">
        <f t="shared" si="8"/>
        <v>ONCOAB07</v>
      </c>
      <c r="S530" t="s">
        <v>479</v>
      </c>
      <c r="T530" t="s">
        <v>480</v>
      </c>
      <c r="U530" t="s">
        <v>481</v>
      </c>
      <c r="V530" t="s">
        <v>482</v>
      </c>
    </row>
    <row r="531" spans="15:22" x14ac:dyDescent="0.25">
      <c r="O531" t="s">
        <v>1891</v>
      </c>
      <c r="P531" t="s">
        <v>79</v>
      </c>
      <c r="Q531" t="s">
        <v>210</v>
      </c>
      <c r="R531" t="str">
        <f t="shared" si="8"/>
        <v>ONCOAC07</v>
      </c>
      <c r="S531" t="s">
        <v>483</v>
      </c>
      <c r="T531" t="s">
        <v>484</v>
      </c>
      <c r="U531" t="s">
        <v>485</v>
      </c>
      <c r="V531" t="s">
        <v>486</v>
      </c>
    </row>
    <row r="532" spans="15:22" x14ac:dyDescent="0.25">
      <c r="O532" t="s">
        <v>1891</v>
      </c>
      <c r="P532" t="s">
        <v>79</v>
      </c>
      <c r="Q532" t="s">
        <v>212</v>
      </c>
      <c r="R532" t="str">
        <f t="shared" si="8"/>
        <v>ONCOAD07</v>
      </c>
      <c r="S532" t="s">
        <v>487</v>
      </c>
      <c r="T532" t="s">
        <v>488</v>
      </c>
      <c r="U532" t="s">
        <v>489</v>
      </c>
      <c r="V532" t="s">
        <v>490</v>
      </c>
    </row>
    <row r="533" spans="15:22" x14ac:dyDescent="0.25">
      <c r="O533" t="s">
        <v>1891</v>
      </c>
      <c r="P533" t="s">
        <v>79</v>
      </c>
      <c r="Q533" t="s">
        <v>213</v>
      </c>
      <c r="R533" t="str">
        <f t="shared" si="8"/>
        <v>ONCOAE07</v>
      </c>
      <c r="S533" t="s">
        <v>491</v>
      </c>
      <c r="T533" t="s">
        <v>492</v>
      </c>
      <c r="U533" t="s">
        <v>493</v>
      </c>
      <c r="V533" t="s">
        <v>494</v>
      </c>
    </row>
    <row r="534" spans="15:22" x14ac:dyDescent="0.25">
      <c r="O534" t="s">
        <v>1891</v>
      </c>
      <c r="P534" t="s">
        <v>79</v>
      </c>
      <c r="Q534" t="s">
        <v>215</v>
      </c>
      <c r="R534" t="str">
        <f t="shared" si="8"/>
        <v>ONCOAF07</v>
      </c>
      <c r="S534" t="s">
        <v>495</v>
      </c>
      <c r="T534" t="s">
        <v>496</v>
      </c>
      <c r="U534" t="s">
        <v>497</v>
      </c>
      <c r="V534" t="s">
        <v>498</v>
      </c>
    </row>
    <row r="535" spans="15:22" x14ac:dyDescent="0.25">
      <c r="O535" t="s">
        <v>1891</v>
      </c>
      <c r="P535" t="s">
        <v>79</v>
      </c>
      <c r="Q535" t="s">
        <v>217</v>
      </c>
      <c r="R535" t="str">
        <f t="shared" si="8"/>
        <v>ONCOAG07</v>
      </c>
      <c r="S535" t="s">
        <v>499</v>
      </c>
      <c r="T535" t="s">
        <v>500</v>
      </c>
      <c r="U535" t="s">
        <v>501</v>
      </c>
      <c r="V535" t="s">
        <v>502</v>
      </c>
    </row>
    <row r="536" spans="15:22" x14ac:dyDescent="0.25">
      <c r="O536" t="s">
        <v>1891</v>
      </c>
      <c r="P536" t="s">
        <v>79</v>
      </c>
      <c r="Q536" t="s">
        <v>218</v>
      </c>
      <c r="R536" t="str">
        <f t="shared" si="8"/>
        <v>ONCOAH07</v>
      </c>
      <c r="S536" t="s">
        <v>503</v>
      </c>
      <c r="T536" t="s">
        <v>504</v>
      </c>
      <c r="U536" t="s">
        <v>505</v>
      </c>
      <c r="V536" t="s">
        <v>506</v>
      </c>
    </row>
    <row r="537" spans="15:22" x14ac:dyDescent="0.25">
      <c r="O537" t="s">
        <v>1891</v>
      </c>
      <c r="P537" t="s">
        <v>79</v>
      </c>
      <c r="Q537" t="s">
        <v>219</v>
      </c>
      <c r="R537" t="str">
        <f t="shared" si="8"/>
        <v>ONCOAA08</v>
      </c>
      <c r="S537" t="s">
        <v>507</v>
      </c>
      <c r="T537" t="s">
        <v>508</v>
      </c>
      <c r="U537" t="s">
        <v>509</v>
      </c>
      <c r="V537" t="s">
        <v>510</v>
      </c>
    </row>
    <row r="538" spans="15:22" x14ac:dyDescent="0.25">
      <c r="O538" t="s">
        <v>1891</v>
      </c>
      <c r="P538" t="s">
        <v>79</v>
      </c>
      <c r="Q538" t="s">
        <v>220</v>
      </c>
      <c r="R538" t="str">
        <f t="shared" si="8"/>
        <v>ONCOAB08</v>
      </c>
      <c r="S538" t="s">
        <v>511</v>
      </c>
      <c r="T538" t="s">
        <v>512</v>
      </c>
      <c r="U538" t="s">
        <v>513</v>
      </c>
      <c r="V538" t="s">
        <v>514</v>
      </c>
    </row>
    <row r="539" spans="15:22" x14ac:dyDescent="0.25">
      <c r="O539" t="s">
        <v>1891</v>
      </c>
      <c r="P539" t="s">
        <v>79</v>
      </c>
      <c r="Q539" t="s">
        <v>221</v>
      </c>
      <c r="R539" t="str">
        <f t="shared" si="8"/>
        <v>ONCOAC08</v>
      </c>
      <c r="S539" t="s">
        <v>515</v>
      </c>
      <c r="T539" t="s">
        <v>516</v>
      </c>
      <c r="U539" t="s">
        <v>517</v>
      </c>
      <c r="V539" t="s">
        <v>518</v>
      </c>
    </row>
    <row r="540" spans="15:22" x14ac:dyDescent="0.25">
      <c r="O540" t="s">
        <v>1891</v>
      </c>
      <c r="P540" t="s">
        <v>79</v>
      </c>
      <c r="Q540" t="s">
        <v>222</v>
      </c>
      <c r="R540" t="str">
        <f t="shared" si="8"/>
        <v>ONCOAD08</v>
      </c>
      <c r="S540" t="s">
        <v>519</v>
      </c>
      <c r="T540" t="s">
        <v>520</v>
      </c>
      <c r="U540" t="s">
        <v>521</v>
      </c>
      <c r="V540" t="s">
        <v>522</v>
      </c>
    </row>
    <row r="541" spans="15:22" x14ac:dyDescent="0.25">
      <c r="O541" t="s">
        <v>1891</v>
      </c>
      <c r="P541" t="s">
        <v>79</v>
      </c>
      <c r="Q541" t="s">
        <v>223</v>
      </c>
      <c r="R541" t="str">
        <f t="shared" si="8"/>
        <v>ONCOAE08</v>
      </c>
      <c r="S541" t="s">
        <v>523</v>
      </c>
      <c r="T541" t="s">
        <v>524</v>
      </c>
      <c r="U541" t="s">
        <v>525</v>
      </c>
      <c r="V541" t="s">
        <v>526</v>
      </c>
    </row>
    <row r="542" spans="15:22" x14ac:dyDescent="0.25">
      <c r="O542" t="s">
        <v>1891</v>
      </c>
      <c r="P542" t="s">
        <v>79</v>
      </c>
      <c r="Q542" t="s">
        <v>225</v>
      </c>
      <c r="R542" t="str">
        <f t="shared" si="8"/>
        <v>ONCOAF08</v>
      </c>
      <c r="S542" t="s">
        <v>527</v>
      </c>
      <c r="T542" t="s">
        <v>528</v>
      </c>
      <c r="U542" t="s">
        <v>529</v>
      </c>
      <c r="V542" t="s">
        <v>530</v>
      </c>
    </row>
    <row r="543" spans="15:22" x14ac:dyDescent="0.25">
      <c r="O543" t="s">
        <v>1891</v>
      </c>
      <c r="P543" t="s">
        <v>79</v>
      </c>
      <c r="Q543" t="s">
        <v>226</v>
      </c>
      <c r="R543" t="str">
        <f t="shared" si="8"/>
        <v>ONCOAG08</v>
      </c>
      <c r="S543" t="s">
        <v>531</v>
      </c>
      <c r="T543" t="s">
        <v>532</v>
      </c>
      <c r="U543" t="s">
        <v>533</v>
      </c>
      <c r="V543" t="s">
        <v>534</v>
      </c>
    </row>
    <row r="544" spans="15:22" x14ac:dyDescent="0.25">
      <c r="O544" t="s">
        <v>1891</v>
      </c>
      <c r="P544" t="s">
        <v>79</v>
      </c>
      <c r="Q544" t="s">
        <v>227</v>
      </c>
      <c r="R544" t="str">
        <f t="shared" si="8"/>
        <v>ONCOAH08</v>
      </c>
      <c r="S544" t="s">
        <v>535</v>
      </c>
      <c r="T544" t="s">
        <v>536</v>
      </c>
      <c r="U544" t="s">
        <v>537</v>
      </c>
      <c r="V544" t="s">
        <v>538</v>
      </c>
    </row>
    <row r="545" spans="15:22" x14ac:dyDescent="0.25">
      <c r="O545" t="s">
        <v>1891</v>
      </c>
      <c r="P545" t="s">
        <v>79</v>
      </c>
      <c r="Q545" t="s">
        <v>228</v>
      </c>
      <c r="R545" t="str">
        <f t="shared" si="8"/>
        <v>ONCOAA09</v>
      </c>
      <c r="S545" t="s">
        <v>539</v>
      </c>
      <c r="T545" t="s">
        <v>540</v>
      </c>
      <c r="U545" t="s">
        <v>541</v>
      </c>
      <c r="V545" t="s">
        <v>542</v>
      </c>
    </row>
    <row r="546" spans="15:22" x14ac:dyDescent="0.25">
      <c r="O546" t="s">
        <v>1891</v>
      </c>
      <c r="P546" t="s">
        <v>79</v>
      </c>
      <c r="Q546" t="s">
        <v>229</v>
      </c>
      <c r="R546" t="str">
        <f t="shared" si="8"/>
        <v>ONCOAB09</v>
      </c>
      <c r="S546" t="s">
        <v>543</v>
      </c>
      <c r="T546" t="s">
        <v>544</v>
      </c>
      <c r="U546" t="s">
        <v>545</v>
      </c>
      <c r="V546" t="s">
        <v>546</v>
      </c>
    </row>
    <row r="547" spans="15:22" x14ac:dyDescent="0.25">
      <c r="O547" t="s">
        <v>1891</v>
      </c>
      <c r="P547" t="s">
        <v>79</v>
      </c>
      <c r="Q547" t="s">
        <v>230</v>
      </c>
      <c r="R547" t="str">
        <f t="shared" si="8"/>
        <v>ONCOAC09</v>
      </c>
      <c r="S547" t="s">
        <v>547</v>
      </c>
      <c r="T547" t="s">
        <v>548</v>
      </c>
      <c r="U547" t="s">
        <v>549</v>
      </c>
      <c r="V547" t="s">
        <v>550</v>
      </c>
    </row>
    <row r="548" spans="15:22" x14ac:dyDescent="0.25">
      <c r="O548" t="s">
        <v>1891</v>
      </c>
      <c r="P548" t="s">
        <v>79</v>
      </c>
      <c r="Q548" t="s">
        <v>232</v>
      </c>
      <c r="R548" t="str">
        <f t="shared" si="8"/>
        <v>ONCOAD09</v>
      </c>
      <c r="S548" t="s">
        <v>551</v>
      </c>
      <c r="T548" t="s">
        <v>552</v>
      </c>
      <c r="U548" t="s">
        <v>553</v>
      </c>
      <c r="V548" t="s">
        <v>554</v>
      </c>
    </row>
    <row r="549" spans="15:22" x14ac:dyDescent="0.25">
      <c r="O549" t="s">
        <v>1891</v>
      </c>
      <c r="P549" t="s">
        <v>79</v>
      </c>
      <c r="Q549" t="s">
        <v>234</v>
      </c>
      <c r="R549" t="str">
        <f t="shared" si="8"/>
        <v>ONCOAE09</v>
      </c>
      <c r="S549" t="s">
        <v>555</v>
      </c>
      <c r="T549" t="s">
        <v>556</v>
      </c>
      <c r="U549" t="s">
        <v>557</v>
      </c>
      <c r="V549" t="s">
        <v>558</v>
      </c>
    </row>
    <row r="550" spans="15:22" x14ac:dyDescent="0.25">
      <c r="O550" t="s">
        <v>1891</v>
      </c>
      <c r="P550" t="s">
        <v>79</v>
      </c>
      <c r="Q550" t="s">
        <v>235</v>
      </c>
      <c r="R550" t="str">
        <f t="shared" si="8"/>
        <v>ONCOAF09</v>
      </c>
      <c r="S550" t="s">
        <v>559</v>
      </c>
      <c r="T550" t="s">
        <v>560</v>
      </c>
      <c r="U550" t="s">
        <v>561</v>
      </c>
      <c r="V550" t="s">
        <v>562</v>
      </c>
    </row>
    <row r="551" spans="15:22" x14ac:dyDescent="0.25">
      <c r="O551" t="s">
        <v>1891</v>
      </c>
      <c r="P551" t="s">
        <v>79</v>
      </c>
      <c r="Q551" t="s">
        <v>236</v>
      </c>
      <c r="R551" t="str">
        <f t="shared" si="8"/>
        <v>ONCOAG09</v>
      </c>
      <c r="S551" t="s">
        <v>563</v>
      </c>
      <c r="T551" t="s">
        <v>564</v>
      </c>
      <c r="U551" t="s">
        <v>565</v>
      </c>
      <c r="V551" t="s">
        <v>566</v>
      </c>
    </row>
    <row r="552" spans="15:22" x14ac:dyDescent="0.25">
      <c r="O552" t="s">
        <v>1891</v>
      </c>
      <c r="P552" t="s">
        <v>79</v>
      </c>
      <c r="Q552" t="s">
        <v>237</v>
      </c>
      <c r="R552" t="str">
        <f t="shared" si="8"/>
        <v>ONCOAH09</v>
      </c>
      <c r="S552" t="s">
        <v>567</v>
      </c>
      <c r="T552" t="s">
        <v>568</v>
      </c>
      <c r="U552" t="s">
        <v>569</v>
      </c>
      <c r="V552" t="s">
        <v>570</v>
      </c>
    </row>
    <row r="553" spans="15:22" x14ac:dyDescent="0.25">
      <c r="O553" t="s">
        <v>1891</v>
      </c>
      <c r="P553" t="s">
        <v>79</v>
      </c>
      <c r="Q553" t="s">
        <v>238</v>
      </c>
      <c r="R553" t="str">
        <f t="shared" si="8"/>
        <v>ONCOAA10</v>
      </c>
      <c r="S553" t="s">
        <v>571</v>
      </c>
      <c r="T553" t="s">
        <v>572</v>
      </c>
      <c r="U553" t="s">
        <v>573</v>
      </c>
      <c r="V553" t="s">
        <v>574</v>
      </c>
    </row>
    <row r="554" spans="15:22" x14ac:dyDescent="0.25">
      <c r="O554" t="s">
        <v>1891</v>
      </c>
      <c r="P554" t="s">
        <v>79</v>
      </c>
      <c r="Q554" t="s">
        <v>239</v>
      </c>
      <c r="R554" t="str">
        <f t="shared" si="8"/>
        <v>ONCOAB10</v>
      </c>
      <c r="S554" t="s">
        <v>575</v>
      </c>
      <c r="T554" t="s">
        <v>576</v>
      </c>
      <c r="U554" t="s">
        <v>577</v>
      </c>
      <c r="V554" t="s">
        <v>578</v>
      </c>
    </row>
    <row r="555" spans="15:22" x14ac:dyDescent="0.25">
      <c r="O555" t="s">
        <v>1891</v>
      </c>
      <c r="P555" t="s">
        <v>79</v>
      </c>
      <c r="Q555" t="s">
        <v>240</v>
      </c>
      <c r="R555" t="str">
        <f t="shared" si="8"/>
        <v>ONCOAC10</v>
      </c>
      <c r="S555" t="s">
        <v>579</v>
      </c>
      <c r="T555" t="s">
        <v>580</v>
      </c>
      <c r="U555" t="s">
        <v>581</v>
      </c>
      <c r="V555" t="s">
        <v>582</v>
      </c>
    </row>
    <row r="556" spans="15:22" x14ac:dyDescent="0.25">
      <c r="O556" t="s">
        <v>1891</v>
      </c>
      <c r="P556" t="s">
        <v>79</v>
      </c>
      <c r="Q556" t="s">
        <v>241</v>
      </c>
      <c r="R556" t="str">
        <f t="shared" si="8"/>
        <v>ONCOAD10</v>
      </c>
      <c r="S556" t="s">
        <v>583</v>
      </c>
      <c r="T556" t="s">
        <v>584</v>
      </c>
      <c r="U556" t="s">
        <v>585</v>
      </c>
      <c r="V556" t="s">
        <v>586</v>
      </c>
    </row>
    <row r="557" spans="15:22" x14ac:dyDescent="0.25">
      <c r="O557" t="s">
        <v>1891</v>
      </c>
      <c r="P557" t="s">
        <v>79</v>
      </c>
      <c r="Q557" t="s">
        <v>242</v>
      </c>
      <c r="R557" t="str">
        <f t="shared" si="8"/>
        <v>ONCOAE10</v>
      </c>
      <c r="S557" t="s">
        <v>587</v>
      </c>
      <c r="T557" t="s">
        <v>588</v>
      </c>
      <c r="U557" t="s">
        <v>589</v>
      </c>
      <c r="V557" t="s">
        <v>590</v>
      </c>
    </row>
    <row r="558" spans="15:22" x14ac:dyDescent="0.25">
      <c r="O558" t="s">
        <v>1891</v>
      </c>
      <c r="P558" t="s">
        <v>79</v>
      </c>
      <c r="Q558" t="s">
        <v>243</v>
      </c>
      <c r="R558" t="str">
        <f t="shared" si="8"/>
        <v>ONCOAF10</v>
      </c>
      <c r="S558" t="s">
        <v>591</v>
      </c>
      <c r="T558" t="s">
        <v>592</v>
      </c>
      <c r="U558" t="s">
        <v>593</v>
      </c>
      <c r="V558" t="s">
        <v>594</v>
      </c>
    </row>
    <row r="559" spans="15:22" x14ac:dyDescent="0.25">
      <c r="O559" t="s">
        <v>1891</v>
      </c>
      <c r="P559" t="s">
        <v>79</v>
      </c>
      <c r="Q559" t="s">
        <v>244</v>
      </c>
      <c r="R559" t="str">
        <f t="shared" si="8"/>
        <v>ONCOAG10</v>
      </c>
      <c r="S559" t="s">
        <v>595</v>
      </c>
      <c r="T559" t="s">
        <v>596</v>
      </c>
      <c r="U559" t="s">
        <v>597</v>
      </c>
      <c r="V559" t="s">
        <v>598</v>
      </c>
    </row>
    <row r="560" spans="15:22" x14ac:dyDescent="0.25">
      <c r="O560" t="s">
        <v>1891</v>
      </c>
      <c r="P560" t="s">
        <v>79</v>
      </c>
      <c r="Q560" t="s">
        <v>246</v>
      </c>
      <c r="R560" t="str">
        <f t="shared" si="8"/>
        <v>ONCOAH10</v>
      </c>
      <c r="S560" t="s">
        <v>599</v>
      </c>
      <c r="T560" t="s">
        <v>600</v>
      </c>
      <c r="U560" t="s">
        <v>601</v>
      </c>
      <c r="V560" t="s">
        <v>602</v>
      </c>
    </row>
    <row r="561" spans="15:22" x14ac:dyDescent="0.25">
      <c r="O561" t="s">
        <v>1891</v>
      </c>
      <c r="P561" t="s">
        <v>79</v>
      </c>
      <c r="Q561" t="s">
        <v>248</v>
      </c>
      <c r="R561" t="str">
        <f t="shared" si="8"/>
        <v>ONCOAA11</v>
      </c>
      <c r="S561" t="s">
        <v>603</v>
      </c>
      <c r="T561" t="s">
        <v>604</v>
      </c>
      <c r="U561" t="s">
        <v>605</v>
      </c>
      <c r="V561" t="s">
        <v>606</v>
      </c>
    </row>
    <row r="562" spans="15:22" x14ac:dyDescent="0.25">
      <c r="O562" t="s">
        <v>1891</v>
      </c>
      <c r="P562" t="s">
        <v>79</v>
      </c>
      <c r="Q562" t="s">
        <v>250</v>
      </c>
      <c r="R562" t="str">
        <f t="shared" si="8"/>
        <v>ONCOAB11</v>
      </c>
      <c r="S562" t="s">
        <v>607</v>
      </c>
      <c r="T562" t="s">
        <v>608</v>
      </c>
      <c r="U562" t="s">
        <v>609</v>
      </c>
      <c r="V562" t="s">
        <v>610</v>
      </c>
    </row>
    <row r="563" spans="15:22" x14ac:dyDescent="0.25">
      <c r="O563" t="s">
        <v>1891</v>
      </c>
      <c r="P563" t="s">
        <v>79</v>
      </c>
      <c r="Q563" t="s">
        <v>252</v>
      </c>
      <c r="R563" t="str">
        <f t="shared" si="8"/>
        <v>ONCOAC11</v>
      </c>
      <c r="S563" t="s">
        <v>611</v>
      </c>
      <c r="T563" t="s">
        <v>612</v>
      </c>
      <c r="U563" t="s">
        <v>613</v>
      </c>
      <c r="V563" t="s">
        <v>614</v>
      </c>
    </row>
    <row r="564" spans="15:22" x14ac:dyDescent="0.25">
      <c r="O564" t="s">
        <v>1891</v>
      </c>
      <c r="P564" t="s">
        <v>79</v>
      </c>
      <c r="Q564" t="s">
        <v>254</v>
      </c>
      <c r="R564" t="str">
        <f t="shared" si="8"/>
        <v>ONCOAD11</v>
      </c>
      <c r="S564" t="s">
        <v>615</v>
      </c>
      <c r="T564" t="s">
        <v>616</v>
      </c>
      <c r="U564" t="s">
        <v>617</v>
      </c>
      <c r="V564" t="s">
        <v>618</v>
      </c>
    </row>
    <row r="565" spans="15:22" x14ac:dyDescent="0.25">
      <c r="O565" t="s">
        <v>1891</v>
      </c>
      <c r="P565" t="s">
        <v>79</v>
      </c>
      <c r="Q565" t="s">
        <v>256</v>
      </c>
      <c r="R565" t="str">
        <f t="shared" si="8"/>
        <v>ONCOAE11</v>
      </c>
      <c r="S565" t="s">
        <v>619</v>
      </c>
      <c r="T565" t="s">
        <v>620</v>
      </c>
      <c r="U565" t="s">
        <v>621</v>
      </c>
      <c r="V565" t="s">
        <v>622</v>
      </c>
    </row>
    <row r="566" spans="15:22" x14ac:dyDescent="0.25">
      <c r="O566" t="s">
        <v>1891</v>
      </c>
      <c r="P566" t="s">
        <v>79</v>
      </c>
      <c r="Q566" t="s">
        <v>258</v>
      </c>
      <c r="R566" t="str">
        <f t="shared" si="8"/>
        <v>ONCOAF11</v>
      </c>
      <c r="S566" t="s">
        <v>623</v>
      </c>
      <c r="T566" t="s">
        <v>624</v>
      </c>
      <c r="U566" t="s">
        <v>625</v>
      </c>
      <c r="V566" t="s">
        <v>626</v>
      </c>
    </row>
    <row r="567" spans="15:22" x14ac:dyDescent="0.25">
      <c r="O567" t="s">
        <v>1891</v>
      </c>
      <c r="P567" t="s">
        <v>79</v>
      </c>
      <c r="Q567" t="s">
        <v>259</v>
      </c>
      <c r="R567" t="str">
        <f t="shared" si="8"/>
        <v>ONCOAG11</v>
      </c>
      <c r="S567" t="s">
        <v>627</v>
      </c>
      <c r="T567" t="s">
        <v>628</v>
      </c>
      <c r="U567" t="s">
        <v>629</v>
      </c>
      <c r="V567" t="s">
        <v>630</v>
      </c>
    </row>
    <row r="568" spans="15:22" x14ac:dyDescent="0.25">
      <c r="O568" t="s">
        <v>1891</v>
      </c>
      <c r="P568" t="s">
        <v>79</v>
      </c>
      <c r="Q568" t="s">
        <v>261</v>
      </c>
      <c r="R568" t="str">
        <f t="shared" si="8"/>
        <v>ONCOAH11</v>
      </c>
      <c r="S568" t="s">
        <v>631</v>
      </c>
      <c r="T568" t="s">
        <v>632</v>
      </c>
      <c r="U568" t="s">
        <v>633</v>
      </c>
      <c r="V568" t="s">
        <v>634</v>
      </c>
    </row>
    <row r="569" spans="15:22" x14ac:dyDescent="0.25">
      <c r="O569" t="s">
        <v>1891</v>
      </c>
      <c r="P569" t="s">
        <v>79</v>
      </c>
      <c r="Q569" t="s">
        <v>263</v>
      </c>
      <c r="R569" t="str">
        <f t="shared" si="8"/>
        <v>ONCOAA12</v>
      </c>
      <c r="S569" t="s">
        <v>635</v>
      </c>
      <c r="T569" t="s">
        <v>636</v>
      </c>
      <c r="U569" t="s">
        <v>637</v>
      </c>
      <c r="V569" t="s">
        <v>638</v>
      </c>
    </row>
    <row r="570" spans="15:22" x14ac:dyDescent="0.25">
      <c r="O570" t="s">
        <v>1891</v>
      </c>
      <c r="P570" t="s">
        <v>79</v>
      </c>
      <c r="Q570" t="s">
        <v>265</v>
      </c>
      <c r="R570" t="str">
        <f t="shared" si="8"/>
        <v>ONCOAB12</v>
      </c>
      <c r="S570" t="s">
        <v>639</v>
      </c>
      <c r="T570" t="s">
        <v>640</v>
      </c>
      <c r="U570" t="s">
        <v>641</v>
      </c>
      <c r="V570" t="s">
        <v>642</v>
      </c>
    </row>
    <row r="571" spans="15:22" x14ac:dyDescent="0.25">
      <c r="O571" t="s">
        <v>1891</v>
      </c>
      <c r="P571" t="s">
        <v>79</v>
      </c>
      <c r="Q571" t="s">
        <v>267</v>
      </c>
      <c r="R571" t="str">
        <f t="shared" si="8"/>
        <v>ONCOAC12</v>
      </c>
      <c r="S571" t="s">
        <v>643</v>
      </c>
      <c r="T571" t="s">
        <v>644</v>
      </c>
      <c r="U571" t="s">
        <v>645</v>
      </c>
      <c r="V571" t="s">
        <v>646</v>
      </c>
    </row>
    <row r="572" spans="15:22" x14ac:dyDescent="0.25">
      <c r="O572" t="s">
        <v>1891</v>
      </c>
      <c r="P572" t="s">
        <v>79</v>
      </c>
      <c r="Q572" t="s">
        <v>269</v>
      </c>
      <c r="R572" t="str">
        <f t="shared" si="8"/>
        <v>ONCOAD12</v>
      </c>
      <c r="S572" t="s">
        <v>647</v>
      </c>
      <c r="T572" t="s">
        <v>648</v>
      </c>
      <c r="U572" t="s">
        <v>649</v>
      </c>
      <c r="V572" t="s">
        <v>650</v>
      </c>
    </row>
    <row r="573" spans="15:22" x14ac:dyDescent="0.25">
      <c r="O573" t="s">
        <v>1891</v>
      </c>
      <c r="P573" t="s">
        <v>79</v>
      </c>
      <c r="Q573" t="s">
        <v>271</v>
      </c>
      <c r="R573" t="str">
        <f t="shared" si="8"/>
        <v>ONCOAE12</v>
      </c>
      <c r="S573" t="s">
        <v>651</v>
      </c>
      <c r="T573" t="s">
        <v>652</v>
      </c>
      <c r="U573" t="s">
        <v>653</v>
      </c>
      <c r="V573" t="s">
        <v>654</v>
      </c>
    </row>
    <row r="574" spans="15:22" x14ac:dyDescent="0.25">
      <c r="O574" t="s">
        <v>1891</v>
      </c>
      <c r="P574" t="s">
        <v>79</v>
      </c>
      <c r="Q574" t="s">
        <v>273</v>
      </c>
      <c r="R574" t="str">
        <f t="shared" si="8"/>
        <v>ONCOAF12</v>
      </c>
      <c r="S574" t="s">
        <v>655</v>
      </c>
      <c r="T574" t="s">
        <v>656</v>
      </c>
      <c r="U574" t="s">
        <v>657</v>
      </c>
      <c r="V574" t="s">
        <v>658</v>
      </c>
    </row>
    <row r="575" spans="15:22" x14ac:dyDescent="0.25">
      <c r="O575" t="s">
        <v>1891</v>
      </c>
      <c r="P575" t="s">
        <v>79</v>
      </c>
      <c r="Q575" t="s">
        <v>275</v>
      </c>
      <c r="R575" t="str">
        <f t="shared" si="8"/>
        <v>ONCOAG12</v>
      </c>
      <c r="S575" t="s">
        <v>659</v>
      </c>
      <c r="T575" t="s">
        <v>660</v>
      </c>
      <c r="U575" t="s">
        <v>661</v>
      </c>
      <c r="V575" t="s">
        <v>662</v>
      </c>
    </row>
    <row r="576" spans="15:22" x14ac:dyDescent="0.25">
      <c r="O576" t="s">
        <v>1891</v>
      </c>
      <c r="P576" t="s">
        <v>79</v>
      </c>
      <c r="Q576" t="s">
        <v>277</v>
      </c>
      <c r="R576" t="str">
        <f t="shared" si="8"/>
        <v>ONCOAH12</v>
      </c>
      <c r="S576" t="s">
        <v>663</v>
      </c>
      <c r="T576" t="s">
        <v>664</v>
      </c>
      <c r="U576" t="s">
        <v>665</v>
      </c>
      <c r="V576" t="s">
        <v>666</v>
      </c>
    </row>
    <row r="577" spans="15:22" x14ac:dyDescent="0.25">
      <c r="O577" t="s">
        <v>1891</v>
      </c>
      <c r="P577" t="s">
        <v>152</v>
      </c>
      <c r="Q577" t="s">
        <v>667</v>
      </c>
      <c r="R577" t="str">
        <f t="shared" ref="R577:R640" si="9">O577&amp;P577&amp;Q577</f>
        <v>ONCOBA1</v>
      </c>
      <c r="S577" t="s">
        <v>668</v>
      </c>
      <c r="T577" t="s">
        <v>669</v>
      </c>
      <c r="U577" t="s">
        <v>670</v>
      </c>
      <c r="V577" t="s">
        <v>671</v>
      </c>
    </row>
    <row r="578" spans="15:22" x14ac:dyDescent="0.25">
      <c r="O578" t="s">
        <v>1891</v>
      </c>
      <c r="P578" t="s">
        <v>152</v>
      </c>
      <c r="Q578" t="s">
        <v>672</v>
      </c>
      <c r="R578" t="str">
        <f t="shared" si="9"/>
        <v>ONCOBB1</v>
      </c>
      <c r="S578" t="s">
        <v>673</v>
      </c>
      <c r="T578" t="s">
        <v>674</v>
      </c>
      <c r="U578" t="s">
        <v>675</v>
      </c>
      <c r="V578" t="s">
        <v>676</v>
      </c>
    </row>
    <row r="579" spans="15:22" x14ac:dyDescent="0.25">
      <c r="O579" t="s">
        <v>1891</v>
      </c>
      <c r="P579" t="s">
        <v>152</v>
      </c>
      <c r="Q579" t="s">
        <v>677</v>
      </c>
      <c r="R579" t="str">
        <f t="shared" si="9"/>
        <v>ONCOBC1</v>
      </c>
      <c r="S579" t="s">
        <v>678</v>
      </c>
      <c r="T579" t="s">
        <v>679</v>
      </c>
      <c r="U579" t="s">
        <v>680</v>
      </c>
      <c r="V579" t="s">
        <v>681</v>
      </c>
    </row>
    <row r="580" spans="15:22" x14ac:dyDescent="0.25">
      <c r="O580" t="s">
        <v>1891</v>
      </c>
      <c r="P580" t="s">
        <v>152</v>
      </c>
      <c r="Q580" t="s">
        <v>682</v>
      </c>
      <c r="R580" t="str">
        <f t="shared" si="9"/>
        <v>ONCOBD1</v>
      </c>
      <c r="S580" t="s">
        <v>683</v>
      </c>
      <c r="T580" t="s">
        <v>684</v>
      </c>
      <c r="U580" t="s">
        <v>685</v>
      </c>
      <c r="V580" t="s">
        <v>686</v>
      </c>
    </row>
    <row r="581" spans="15:22" x14ac:dyDescent="0.25">
      <c r="O581" t="s">
        <v>1891</v>
      </c>
      <c r="P581" t="s">
        <v>152</v>
      </c>
      <c r="Q581" t="s">
        <v>687</v>
      </c>
      <c r="R581" t="str">
        <f t="shared" si="9"/>
        <v>ONCOBE1</v>
      </c>
      <c r="S581" t="s">
        <v>688</v>
      </c>
      <c r="T581" t="s">
        <v>689</v>
      </c>
      <c r="U581" t="s">
        <v>690</v>
      </c>
      <c r="V581" t="s">
        <v>691</v>
      </c>
    </row>
    <row r="582" spans="15:22" x14ac:dyDescent="0.25">
      <c r="O582" t="s">
        <v>1891</v>
      </c>
      <c r="P582" t="s">
        <v>152</v>
      </c>
      <c r="Q582" t="s">
        <v>692</v>
      </c>
      <c r="R582" t="str">
        <f t="shared" si="9"/>
        <v>ONCOBF1</v>
      </c>
      <c r="S582" t="s">
        <v>693</v>
      </c>
      <c r="T582" t="s">
        <v>694</v>
      </c>
      <c r="U582" t="s">
        <v>695</v>
      </c>
      <c r="V582" t="s">
        <v>696</v>
      </c>
    </row>
    <row r="583" spans="15:22" x14ac:dyDescent="0.25">
      <c r="O583" t="s">
        <v>1891</v>
      </c>
      <c r="P583" t="s">
        <v>152</v>
      </c>
      <c r="Q583" t="s">
        <v>697</v>
      </c>
      <c r="R583" t="str">
        <f t="shared" si="9"/>
        <v>ONCOBG1</v>
      </c>
      <c r="S583" t="s">
        <v>698</v>
      </c>
      <c r="T583" t="s">
        <v>699</v>
      </c>
      <c r="U583" t="s">
        <v>700</v>
      </c>
      <c r="V583" t="s">
        <v>701</v>
      </c>
    </row>
    <row r="584" spans="15:22" x14ac:dyDescent="0.25">
      <c r="O584" t="s">
        <v>1891</v>
      </c>
      <c r="P584" t="s">
        <v>152</v>
      </c>
      <c r="Q584" t="s">
        <v>702</v>
      </c>
      <c r="R584" t="str">
        <f t="shared" si="9"/>
        <v>ONCOBH1</v>
      </c>
      <c r="S584" t="s">
        <v>703</v>
      </c>
      <c r="T584" t="s">
        <v>704</v>
      </c>
      <c r="U584" t="s">
        <v>705</v>
      </c>
      <c r="V584" t="s">
        <v>706</v>
      </c>
    </row>
    <row r="585" spans="15:22" x14ac:dyDescent="0.25">
      <c r="O585" t="s">
        <v>1891</v>
      </c>
      <c r="P585" t="s">
        <v>152</v>
      </c>
      <c r="Q585" t="s">
        <v>707</v>
      </c>
      <c r="R585" t="str">
        <f t="shared" si="9"/>
        <v>ONCOBA2</v>
      </c>
      <c r="S585" t="s">
        <v>708</v>
      </c>
      <c r="T585" t="s">
        <v>709</v>
      </c>
      <c r="U585" t="s">
        <v>710</v>
      </c>
      <c r="V585" t="s">
        <v>711</v>
      </c>
    </row>
    <row r="586" spans="15:22" x14ac:dyDescent="0.25">
      <c r="O586" t="s">
        <v>1891</v>
      </c>
      <c r="P586" t="s">
        <v>152</v>
      </c>
      <c r="Q586" t="s">
        <v>712</v>
      </c>
      <c r="R586" t="str">
        <f t="shared" si="9"/>
        <v>ONCOBB2</v>
      </c>
      <c r="S586" t="s">
        <v>713</v>
      </c>
      <c r="T586" t="s">
        <v>714</v>
      </c>
      <c r="U586" t="s">
        <v>715</v>
      </c>
      <c r="V586" t="s">
        <v>716</v>
      </c>
    </row>
    <row r="587" spans="15:22" x14ac:dyDescent="0.25">
      <c r="O587" t="s">
        <v>1891</v>
      </c>
      <c r="P587" t="s">
        <v>152</v>
      </c>
      <c r="Q587" t="s">
        <v>717</v>
      </c>
      <c r="R587" t="str">
        <f t="shared" si="9"/>
        <v>ONCOBC2</v>
      </c>
      <c r="S587" t="s">
        <v>718</v>
      </c>
      <c r="T587" t="s">
        <v>719</v>
      </c>
      <c r="U587" t="s">
        <v>720</v>
      </c>
      <c r="V587" t="s">
        <v>721</v>
      </c>
    </row>
    <row r="588" spans="15:22" x14ac:dyDescent="0.25">
      <c r="O588" t="s">
        <v>1891</v>
      </c>
      <c r="P588" t="s">
        <v>152</v>
      </c>
      <c r="Q588" t="s">
        <v>722</v>
      </c>
      <c r="R588" t="str">
        <f t="shared" si="9"/>
        <v>ONCOBD2</v>
      </c>
      <c r="S588" t="s">
        <v>723</v>
      </c>
      <c r="T588" t="s">
        <v>724</v>
      </c>
      <c r="U588" t="s">
        <v>725</v>
      </c>
      <c r="V588" t="s">
        <v>726</v>
      </c>
    </row>
    <row r="589" spans="15:22" x14ac:dyDescent="0.25">
      <c r="O589" t="s">
        <v>1891</v>
      </c>
      <c r="P589" t="s">
        <v>152</v>
      </c>
      <c r="Q589" t="s">
        <v>727</v>
      </c>
      <c r="R589" t="str">
        <f t="shared" si="9"/>
        <v>ONCOBE2</v>
      </c>
      <c r="S589" t="s">
        <v>728</v>
      </c>
      <c r="T589" t="s">
        <v>729</v>
      </c>
      <c r="U589" t="s">
        <v>730</v>
      </c>
      <c r="V589" t="s">
        <v>731</v>
      </c>
    </row>
    <row r="590" spans="15:22" x14ac:dyDescent="0.25">
      <c r="O590" t="s">
        <v>1891</v>
      </c>
      <c r="P590" t="s">
        <v>152</v>
      </c>
      <c r="Q590" t="s">
        <v>732</v>
      </c>
      <c r="R590" t="str">
        <f t="shared" si="9"/>
        <v>ONCOBF2</v>
      </c>
      <c r="S590" t="s">
        <v>733</v>
      </c>
      <c r="T590" t="s">
        <v>734</v>
      </c>
      <c r="U590" t="s">
        <v>735</v>
      </c>
      <c r="V590" t="s">
        <v>736</v>
      </c>
    </row>
    <row r="591" spans="15:22" x14ac:dyDescent="0.25">
      <c r="O591" t="s">
        <v>1891</v>
      </c>
      <c r="P591" t="s">
        <v>152</v>
      </c>
      <c r="Q591" t="s">
        <v>737</v>
      </c>
      <c r="R591" t="str">
        <f t="shared" si="9"/>
        <v>ONCOBG2</v>
      </c>
      <c r="S591" t="s">
        <v>738</v>
      </c>
      <c r="T591" t="s">
        <v>739</v>
      </c>
      <c r="U591" t="s">
        <v>740</v>
      </c>
      <c r="V591" t="s">
        <v>741</v>
      </c>
    </row>
    <row r="592" spans="15:22" x14ac:dyDescent="0.25">
      <c r="O592" t="s">
        <v>1891</v>
      </c>
      <c r="P592" t="s">
        <v>152</v>
      </c>
      <c r="Q592" t="s">
        <v>742</v>
      </c>
      <c r="R592" t="str">
        <f t="shared" si="9"/>
        <v>ONCOBH2</v>
      </c>
      <c r="S592" t="s">
        <v>743</v>
      </c>
      <c r="T592" t="s">
        <v>744</v>
      </c>
      <c r="U592" t="s">
        <v>745</v>
      </c>
      <c r="V592" t="s">
        <v>746</v>
      </c>
    </row>
    <row r="593" spans="15:22" x14ac:dyDescent="0.25">
      <c r="O593" t="s">
        <v>1891</v>
      </c>
      <c r="P593" t="s">
        <v>152</v>
      </c>
      <c r="Q593" t="s">
        <v>747</v>
      </c>
      <c r="R593" t="str">
        <f t="shared" si="9"/>
        <v>ONCOBA3</v>
      </c>
      <c r="S593" t="s">
        <v>748</v>
      </c>
      <c r="T593" t="s">
        <v>749</v>
      </c>
      <c r="U593" t="s">
        <v>750</v>
      </c>
      <c r="V593" t="s">
        <v>751</v>
      </c>
    </row>
    <row r="594" spans="15:22" x14ac:dyDescent="0.25">
      <c r="O594" t="s">
        <v>1891</v>
      </c>
      <c r="P594" t="s">
        <v>152</v>
      </c>
      <c r="Q594" t="s">
        <v>752</v>
      </c>
      <c r="R594" t="str">
        <f t="shared" si="9"/>
        <v>ONCOBB3</v>
      </c>
      <c r="S594" t="s">
        <v>753</v>
      </c>
      <c r="T594" t="s">
        <v>754</v>
      </c>
      <c r="U594" t="s">
        <v>755</v>
      </c>
      <c r="V594" t="s">
        <v>756</v>
      </c>
    </row>
    <row r="595" spans="15:22" x14ac:dyDescent="0.25">
      <c r="O595" t="s">
        <v>1891</v>
      </c>
      <c r="P595" t="s">
        <v>152</v>
      </c>
      <c r="Q595" t="s">
        <v>757</v>
      </c>
      <c r="R595" t="str">
        <f t="shared" si="9"/>
        <v>ONCOBC3</v>
      </c>
      <c r="S595" t="s">
        <v>758</v>
      </c>
      <c r="T595" t="s">
        <v>759</v>
      </c>
      <c r="U595" t="s">
        <v>760</v>
      </c>
      <c r="V595" t="s">
        <v>761</v>
      </c>
    </row>
    <row r="596" spans="15:22" x14ac:dyDescent="0.25">
      <c r="O596" t="s">
        <v>1891</v>
      </c>
      <c r="P596" t="s">
        <v>152</v>
      </c>
      <c r="Q596" t="s">
        <v>762</v>
      </c>
      <c r="R596" t="str">
        <f t="shared" si="9"/>
        <v>ONCOBD3</v>
      </c>
      <c r="S596" t="s">
        <v>763</v>
      </c>
      <c r="T596" t="s">
        <v>764</v>
      </c>
      <c r="U596" t="s">
        <v>765</v>
      </c>
      <c r="V596" t="s">
        <v>766</v>
      </c>
    </row>
    <row r="597" spans="15:22" x14ac:dyDescent="0.25">
      <c r="O597" t="s">
        <v>1891</v>
      </c>
      <c r="P597" t="s">
        <v>152</v>
      </c>
      <c r="Q597" t="s">
        <v>767</v>
      </c>
      <c r="R597" t="str">
        <f t="shared" si="9"/>
        <v>ONCOBE3</v>
      </c>
      <c r="S597" t="s">
        <v>768</v>
      </c>
      <c r="T597" t="s">
        <v>769</v>
      </c>
      <c r="U597" t="s">
        <v>770</v>
      </c>
      <c r="V597" t="s">
        <v>771</v>
      </c>
    </row>
    <row r="598" spans="15:22" x14ac:dyDescent="0.25">
      <c r="O598" t="s">
        <v>1891</v>
      </c>
      <c r="P598" t="s">
        <v>152</v>
      </c>
      <c r="Q598" t="s">
        <v>772</v>
      </c>
      <c r="R598" t="str">
        <f t="shared" si="9"/>
        <v>ONCOBF3</v>
      </c>
      <c r="S598" t="s">
        <v>773</v>
      </c>
      <c r="T598" t="s">
        <v>774</v>
      </c>
      <c r="U598" t="s">
        <v>775</v>
      </c>
      <c r="V598" t="s">
        <v>776</v>
      </c>
    </row>
    <row r="599" spans="15:22" x14ac:dyDescent="0.25">
      <c r="O599" t="s">
        <v>1891</v>
      </c>
      <c r="P599" t="s">
        <v>152</v>
      </c>
      <c r="Q599" t="s">
        <v>777</v>
      </c>
      <c r="R599" t="str">
        <f t="shared" si="9"/>
        <v>ONCOBG3</v>
      </c>
      <c r="S599" t="s">
        <v>778</v>
      </c>
      <c r="T599" t="s">
        <v>779</v>
      </c>
      <c r="U599" t="s">
        <v>780</v>
      </c>
      <c r="V599" t="s">
        <v>781</v>
      </c>
    </row>
    <row r="600" spans="15:22" x14ac:dyDescent="0.25">
      <c r="O600" t="s">
        <v>1891</v>
      </c>
      <c r="P600" t="s">
        <v>152</v>
      </c>
      <c r="Q600" t="s">
        <v>782</v>
      </c>
      <c r="R600" t="str">
        <f t="shared" si="9"/>
        <v>ONCOBH3</v>
      </c>
      <c r="S600" t="s">
        <v>783</v>
      </c>
      <c r="T600" t="s">
        <v>784</v>
      </c>
      <c r="U600" t="s">
        <v>785</v>
      </c>
      <c r="V600" t="s">
        <v>786</v>
      </c>
    </row>
    <row r="601" spans="15:22" x14ac:dyDescent="0.25">
      <c r="O601" t="s">
        <v>1891</v>
      </c>
      <c r="P601" t="s">
        <v>152</v>
      </c>
      <c r="Q601" t="s">
        <v>787</v>
      </c>
      <c r="R601" t="str">
        <f t="shared" si="9"/>
        <v>ONCOBA4</v>
      </c>
      <c r="S601" t="s">
        <v>788</v>
      </c>
      <c r="T601" t="s">
        <v>789</v>
      </c>
      <c r="U601" t="s">
        <v>790</v>
      </c>
      <c r="V601" t="s">
        <v>791</v>
      </c>
    </row>
    <row r="602" spans="15:22" x14ac:dyDescent="0.25">
      <c r="O602" t="s">
        <v>1891</v>
      </c>
      <c r="P602" t="s">
        <v>152</v>
      </c>
      <c r="Q602" t="s">
        <v>792</v>
      </c>
      <c r="R602" t="str">
        <f t="shared" si="9"/>
        <v>ONCOBB4</v>
      </c>
      <c r="S602" t="s">
        <v>793</v>
      </c>
      <c r="T602" t="s">
        <v>794</v>
      </c>
      <c r="U602" t="s">
        <v>795</v>
      </c>
      <c r="V602" t="s">
        <v>796</v>
      </c>
    </row>
    <row r="603" spans="15:22" x14ac:dyDescent="0.25">
      <c r="O603" t="s">
        <v>1891</v>
      </c>
      <c r="P603" t="s">
        <v>152</v>
      </c>
      <c r="Q603" t="s">
        <v>797</v>
      </c>
      <c r="R603" t="str">
        <f t="shared" si="9"/>
        <v>ONCOBC4</v>
      </c>
      <c r="S603" t="s">
        <v>798</v>
      </c>
      <c r="T603" t="s">
        <v>799</v>
      </c>
      <c r="U603" t="s">
        <v>800</v>
      </c>
      <c r="V603" t="s">
        <v>801</v>
      </c>
    </row>
    <row r="604" spans="15:22" x14ac:dyDescent="0.25">
      <c r="O604" t="s">
        <v>1891</v>
      </c>
      <c r="P604" t="s">
        <v>152</v>
      </c>
      <c r="Q604" t="s">
        <v>802</v>
      </c>
      <c r="R604" t="str">
        <f t="shared" si="9"/>
        <v>ONCOBD4</v>
      </c>
      <c r="S604" t="s">
        <v>803</v>
      </c>
      <c r="T604" t="s">
        <v>804</v>
      </c>
      <c r="U604" t="s">
        <v>805</v>
      </c>
      <c r="V604" t="s">
        <v>806</v>
      </c>
    </row>
    <row r="605" spans="15:22" x14ac:dyDescent="0.25">
      <c r="O605" t="s">
        <v>1891</v>
      </c>
      <c r="P605" t="s">
        <v>152</v>
      </c>
      <c r="Q605" t="s">
        <v>807</v>
      </c>
      <c r="R605" t="str">
        <f t="shared" si="9"/>
        <v>ONCOBE4</v>
      </c>
      <c r="S605" t="s">
        <v>808</v>
      </c>
      <c r="T605" t="s">
        <v>809</v>
      </c>
      <c r="U605" t="s">
        <v>810</v>
      </c>
      <c r="V605" t="s">
        <v>811</v>
      </c>
    </row>
    <row r="606" spans="15:22" x14ac:dyDescent="0.25">
      <c r="O606" t="s">
        <v>1891</v>
      </c>
      <c r="P606" t="s">
        <v>152</v>
      </c>
      <c r="Q606" t="s">
        <v>812</v>
      </c>
      <c r="R606" t="str">
        <f t="shared" si="9"/>
        <v>ONCOBF4</v>
      </c>
      <c r="S606" t="s">
        <v>813</v>
      </c>
      <c r="T606" t="s">
        <v>814</v>
      </c>
      <c r="U606" t="s">
        <v>815</v>
      </c>
      <c r="V606" t="s">
        <v>816</v>
      </c>
    </row>
    <row r="607" spans="15:22" x14ac:dyDescent="0.25">
      <c r="O607" t="s">
        <v>1891</v>
      </c>
      <c r="P607" t="s">
        <v>152</v>
      </c>
      <c r="Q607" t="s">
        <v>817</v>
      </c>
      <c r="R607" t="str">
        <f t="shared" si="9"/>
        <v>ONCOBG4</v>
      </c>
      <c r="S607" t="s">
        <v>818</v>
      </c>
      <c r="T607" t="s">
        <v>819</v>
      </c>
      <c r="U607" t="s">
        <v>820</v>
      </c>
      <c r="V607" t="s">
        <v>821</v>
      </c>
    </row>
    <row r="608" spans="15:22" x14ac:dyDescent="0.25">
      <c r="O608" t="s">
        <v>1891</v>
      </c>
      <c r="P608" t="s">
        <v>152</v>
      </c>
      <c r="Q608" t="s">
        <v>822</v>
      </c>
      <c r="R608" t="str">
        <f t="shared" si="9"/>
        <v>ONCOBH4</v>
      </c>
      <c r="S608" t="s">
        <v>823</v>
      </c>
      <c r="T608" t="s">
        <v>824</v>
      </c>
      <c r="U608" t="s">
        <v>825</v>
      </c>
      <c r="V608" t="s">
        <v>826</v>
      </c>
    </row>
    <row r="609" spans="15:22" x14ac:dyDescent="0.25">
      <c r="O609" t="s">
        <v>1891</v>
      </c>
      <c r="P609" t="s">
        <v>152</v>
      </c>
      <c r="Q609" t="s">
        <v>827</v>
      </c>
      <c r="R609" t="str">
        <f t="shared" si="9"/>
        <v>ONCOBA5</v>
      </c>
      <c r="S609" t="s">
        <v>828</v>
      </c>
      <c r="T609" t="s">
        <v>829</v>
      </c>
      <c r="U609" t="s">
        <v>830</v>
      </c>
      <c r="V609" t="s">
        <v>831</v>
      </c>
    </row>
    <row r="610" spans="15:22" x14ac:dyDescent="0.25">
      <c r="O610" t="s">
        <v>1891</v>
      </c>
      <c r="P610" t="s">
        <v>152</v>
      </c>
      <c r="Q610" t="s">
        <v>832</v>
      </c>
      <c r="R610" t="str">
        <f t="shared" si="9"/>
        <v>ONCOBB5</v>
      </c>
      <c r="S610" t="s">
        <v>833</v>
      </c>
      <c r="T610" t="s">
        <v>834</v>
      </c>
      <c r="U610" t="s">
        <v>835</v>
      </c>
      <c r="V610" t="s">
        <v>836</v>
      </c>
    </row>
    <row r="611" spans="15:22" x14ac:dyDescent="0.25">
      <c r="O611" t="s">
        <v>1891</v>
      </c>
      <c r="P611" t="s">
        <v>152</v>
      </c>
      <c r="Q611" t="s">
        <v>837</v>
      </c>
      <c r="R611" t="str">
        <f t="shared" si="9"/>
        <v>ONCOBC5</v>
      </c>
      <c r="S611" t="s">
        <v>838</v>
      </c>
      <c r="T611" t="s">
        <v>839</v>
      </c>
      <c r="U611" t="s">
        <v>840</v>
      </c>
      <c r="V611" t="s">
        <v>841</v>
      </c>
    </row>
    <row r="612" spans="15:22" x14ac:dyDescent="0.25">
      <c r="O612" t="s">
        <v>1891</v>
      </c>
      <c r="P612" t="s">
        <v>152</v>
      </c>
      <c r="Q612" t="s">
        <v>842</v>
      </c>
      <c r="R612" t="str">
        <f t="shared" si="9"/>
        <v>ONCOBD5</v>
      </c>
      <c r="S612" t="s">
        <v>843</v>
      </c>
      <c r="T612" t="s">
        <v>844</v>
      </c>
      <c r="U612" t="s">
        <v>845</v>
      </c>
      <c r="V612" t="s">
        <v>846</v>
      </c>
    </row>
    <row r="613" spans="15:22" x14ac:dyDescent="0.25">
      <c r="O613" t="s">
        <v>1891</v>
      </c>
      <c r="P613" t="s">
        <v>152</v>
      </c>
      <c r="Q613" t="s">
        <v>847</v>
      </c>
      <c r="R613" t="str">
        <f t="shared" si="9"/>
        <v>ONCOBE5</v>
      </c>
      <c r="S613" t="s">
        <v>848</v>
      </c>
      <c r="T613" t="s">
        <v>849</v>
      </c>
      <c r="U613" t="s">
        <v>850</v>
      </c>
      <c r="V613" t="s">
        <v>851</v>
      </c>
    </row>
    <row r="614" spans="15:22" x14ac:dyDescent="0.25">
      <c r="O614" t="s">
        <v>1891</v>
      </c>
      <c r="P614" t="s">
        <v>152</v>
      </c>
      <c r="Q614" t="s">
        <v>852</v>
      </c>
      <c r="R614" t="str">
        <f t="shared" si="9"/>
        <v>ONCOBF5</v>
      </c>
      <c r="S614" t="s">
        <v>853</v>
      </c>
      <c r="T614" t="s">
        <v>854</v>
      </c>
      <c r="U614" t="s">
        <v>855</v>
      </c>
      <c r="V614" t="s">
        <v>856</v>
      </c>
    </row>
    <row r="615" spans="15:22" x14ac:dyDescent="0.25">
      <c r="O615" t="s">
        <v>1891</v>
      </c>
      <c r="P615" t="s">
        <v>152</v>
      </c>
      <c r="Q615" t="s">
        <v>857</v>
      </c>
      <c r="R615" t="str">
        <f t="shared" si="9"/>
        <v>ONCOBG5</v>
      </c>
      <c r="S615" t="s">
        <v>858</v>
      </c>
      <c r="T615" t="s">
        <v>859</v>
      </c>
      <c r="U615" t="s">
        <v>860</v>
      </c>
      <c r="V615" t="s">
        <v>861</v>
      </c>
    </row>
    <row r="616" spans="15:22" x14ac:dyDescent="0.25">
      <c r="O616" t="s">
        <v>1891</v>
      </c>
      <c r="P616" t="s">
        <v>152</v>
      </c>
      <c r="Q616" t="s">
        <v>862</v>
      </c>
      <c r="R616" t="str">
        <f t="shared" si="9"/>
        <v>ONCOBH5</v>
      </c>
      <c r="S616" t="s">
        <v>863</v>
      </c>
      <c r="T616" t="s">
        <v>864</v>
      </c>
      <c r="U616" t="s">
        <v>865</v>
      </c>
      <c r="V616" t="s">
        <v>866</v>
      </c>
    </row>
    <row r="617" spans="15:22" x14ac:dyDescent="0.25">
      <c r="O617" t="s">
        <v>1891</v>
      </c>
      <c r="P617" t="s">
        <v>152</v>
      </c>
      <c r="Q617" t="s">
        <v>867</v>
      </c>
      <c r="R617" t="str">
        <f t="shared" si="9"/>
        <v>ONCOBA6</v>
      </c>
      <c r="S617" t="s">
        <v>868</v>
      </c>
      <c r="T617" t="s">
        <v>869</v>
      </c>
      <c r="U617" t="s">
        <v>870</v>
      </c>
      <c r="V617" t="s">
        <v>871</v>
      </c>
    </row>
    <row r="618" spans="15:22" x14ac:dyDescent="0.25">
      <c r="O618" t="s">
        <v>1891</v>
      </c>
      <c r="P618" t="s">
        <v>152</v>
      </c>
      <c r="Q618" t="s">
        <v>872</v>
      </c>
      <c r="R618" t="str">
        <f t="shared" si="9"/>
        <v>ONCOBB6</v>
      </c>
      <c r="S618" t="s">
        <v>873</v>
      </c>
      <c r="T618" t="s">
        <v>874</v>
      </c>
      <c r="U618" t="s">
        <v>875</v>
      </c>
      <c r="V618" t="s">
        <v>876</v>
      </c>
    </row>
    <row r="619" spans="15:22" x14ac:dyDescent="0.25">
      <c r="O619" t="s">
        <v>1891</v>
      </c>
      <c r="P619" t="s">
        <v>152</v>
      </c>
      <c r="Q619" t="s">
        <v>877</v>
      </c>
      <c r="R619" t="str">
        <f t="shared" si="9"/>
        <v>ONCOBC6</v>
      </c>
      <c r="S619" t="s">
        <v>878</v>
      </c>
      <c r="T619" t="s">
        <v>879</v>
      </c>
      <c r="U619" t="s">
        <v>880</v>
      </c>
      <c r="V619" t="s">
        <v>881</v>
      </c>
    </row>
    <row r="620" spans="15:22" x14ac:dyDescent="0.25">
      <c r="O620" t="s">
        <v>1891</v>
      </c>
      <c r="P620" t="s">
        <v>152</v>
      </c>
      <c r="Q620" t="s">
        <v>882</v>
      </c>
      <c r="R620" t="str">
        <f t="shared" si="9"/>
        <v>ONCOBD6</v>
      </c>
      <c r="S620" t="s">
        <v>883</v>
      </c>
      <c r="T620" t="s">
        <v>884</v>
      </c>
      <c r="U620" t="s">
        <v>885</v>
      </c>
      <c r="V620" t="s">
        <v>886</v>
      </c>
    </row>
    <row r="621" spans="15:22" x14ac:dyDescent="0.25">
      <c r="O621" t="s">
        <v>1891</v>
      </c>
      <c r="P621" t="s">
        <v>152</v>
      </c>
      <c r="Q621" t="s">
        <v>887</v>
      </c>
      <c r="R621" t="str">
        <f t="shared" si="9"/>
        <v>ONCOBE6</v>
      </c>
      <c r="S621" t="s">
        <v>888</v>
      </c>
      <c r="T621" t="s">
        <v>889</v>
      </c>
      <c r="U621" t="s">
        <v>890</v>
      </c>
      <c r="V621" t="s">
        <v>891</v>
      </c>
    </row>
    <row r="622" spans="15:22" x14ac:dyDescent="0.25">
      <c r="O622" t="s">
        <v>1891</v>
      </c>
      <c r="P622" t="s">
        <v>152</v>
      </c>
      <c r="Q622" t="s">
        <v>892</v>
      </c>
      <c r="R622" t="str">
        <f t="shared" si="9"/>
        <v>ONCOBF6</v>
      </c>
      <c r="S622" t="s">
        <v>893</v>
      </c>
      <c r="T622" t="s">
        <v>894</v>
      </c>
      <c r="U622" t="s">
        <v>895</v>
      </c>
      <c r="V622" t="s">
        <v>896</v>
      </c>
    </row>
    <row r="623" spans="15:22" x14ac:dyDescent="0.25">
      <c r="O623" t="s">
        <v>1891</v>
      </c>
      <c r="P623" t="s">
        <v>152</v>
      </c>
      <c r="Q623" t="s">
        <v>897</v>
      </c>
      <c r="R623" t="str">
        <f t="shared" si="9"/>
        <v>ONCOBG6</v>
      </c>
      <c r="S623" t="s">
        <v>898</v>
      </c>
      <c r="T623" t="s">
        <v>899</v>
      </c>
      <c r="U623" t="s">
        <v>900</v>
      </c>
      <c r="V623" t="s">
        <v>901</v>
      </c>
    </row>
    <row r="624" spans="15:22" x14ac:dyDescent="0.25">
      <c r="O624" t="s">
        <v>1891</v>
      </c>
      <c r="P624" t="s">
        <v>152</v>
      </c>
      <c r="Q624" t="s">
        <v>902</v>
      </c>
      <c r="R624" t="str">
        <f t="shared" si="9"/>
        <v>ONCOBH6</v>
      </c>
      <c r="S624" t="s">
        <v>903</v>
      </c>
      <c r="T624" t="s">
        <v>904</v>
      </c>
      <c r="U624" t="s">
        <v>905</v>
      </c>
      <c r="V624" t="s">
        <v>906</v>
      </c>
    </row>
    <row r="625" spans="15:22" x14ac:dyDescent="0.25">
      <c r="O625" t="s">
        <v>1891</v>
      </c>
      <c r="P625" t="s">
        <v>152</v>
      </c>
      <c r="Q625" t="s">
        <v>907</v>
      </c>
      <c r="R625" t="str">
        <f t="shared" si="9"/>
        <v>ONCOBA7</v>
      </c>
      <c r="S625" t="s">
        <v>908</v>
      </c>
      <c r="T625" t="s">
        <v>909</v>
      </c>
      <c r="U625" t="s">
        <v>910</v>
      </c>
      <c r="V625" t="s">
        <v>911</v>
      </c>
    </row>
    <row r="626" spans="15:22" x14ac:dyDescent="0.25">
      <c r="O626" t="s">
        <v>1891</v>
      </c>
      <c r="P626" t="s">
        <v>152</v>
      </c>
      <c r="Q626" t="s">
        <v>912</v>
      </c>
      <c r="R626" t="str">
        <f t="shared" si="9"/>
        <v>ONCOBB7</v>
      </c>
      <c r="S626" t="s">
        <v>913</v>
      </c>
      <c r="T626" t="s">
        <v>914</v>
      </c>
      <c r="U626" t="s">
        <v>915</v>
      </c>
      <c r="V626" t="s">
        <v>916</v>
      </c>
    </row>
    <row r="627" spans="15:22" x14ac:dyDescent="0.25">
      <c r="O627" t="s">
        <v>1891</v>
      </c>
      <c r="P627" t="s">
        <v>152</v>
      </c>
      <c r="Q627" t="s">
        <v>917</v>
      </c>
      <c r="R627" t="str">
        <f t="shared" si="9"/>
        <v>ONCOBC7</v>
      </c>
      <c r="S627" t="s">
        <v>918</v>
      </c>
      <c r="T627" t="s">
        <v>919</v>
      </c>
      <c r="U627" t="s">
        <v>920</v>
      </c>
      <c r="V627" t="s">
        <v>921</v>
      </c>
    </row>
    <row r="628" spans="15:22" x14ac:dyDescent="0.25">
      <c r="O628" t="s">
        <v>1891</v>
      </c>
      <c r="P628" t="s">
        <v>152</v>
      </c>
      <c r="Q628" t="s">
        <v>922</v>
      </c>
      <c r="R628" t="str">
        <f t="shared" si="9"/>
        <v>ONCOBD7</v>
      </c>
      <c r="S628" t="s">
        <v>923</v>
      </c>
      <c r="T628" t="s">
        <v>924</v>
      </c>
      <c r="U628" t="s">
        <v>925</v>
      </c>
      <c r="V628" t="s">
        <v>926</v>
      </c>
    </row>
    <row r="629" spans="15:22" x14ac:dyDescent="0.25">
      <c r="O629" t="s">
        <v>1891</v>
      </c>
      <c r="P629" t="s">
        <v>152</v>
      </c>
      <c r="Q629" t="s">
        <v>927</v>
      </c>
      <c r="R629" t="str">
        <f t="shared" si="9"/>
        <v>ONCOBE7</v>
      </c>
      <c r="S629" t="s">
        <v>928</v>
      </c>
      <c r="T629" t="s">
        <v>929</v>
      </c>
      <c r="U629" t="s">
        <v>930</v>
      </c>
      <c r="V629" t="s">
        <v>931</v>
      </c>
    </row>
    <row r="630" spans="15:22" x14ac:dyDescent="0.25">
      <c r="O630" t="s">
        <v>1891</v>
      </c>
      <c r="P630" t="s">
        <v>152</v>
      </c>
      <c r="Q630" t="s">
        <v>932</v>
      </c>
      <c r="R630" t="str">
        <f t="shared" si="9"/>
        <v>ONCOBF7</v>
      </c>
      <c r="S630" t="s">
        <v>933</v>
      </c>
      <c r="T630" t="s">
        <v>934</v>
      </c>
      <c r="U630" t="s">
        <v>935</v>
      </c>
      <c r="V630" t="s">
        <v>936</v>
      </c>
    </row>
    <row r="631" spans="15:22" x14ac:dyDescent="0.25">
      <c r="O631" t="s">
        <v>1891</v>
      </c>
      <c r="P631" t="s">
        <v>152</v>
      </c>
      <c r="Q631" t="s">
        <v>937</v>
      </c>
      <c r="R631" t="str">
        <f t="shared" si="9"/>
        <v>ONCOBG7</v>
      </c>
      <c r="S631" t="s">
        <v>938</v>
      </c>
      <c r="T631" t="s">
        <v>939</v>
      </c>
      <c r="U631" t="s">
        <v>940</v>
      </c>
      <c r="V631" t="s">
        <v>941</v>
      </c>
    </row>
    <row r="632" spans="15:22" x14ac:dyDescent="0.25">
      <c r="O632" t="s">
        <v>1891</v>
      </c>
      <c r="P632" t="s">
        <v>152</v>
      </c>
      <c r="Q632" t="s">
        <v>942</v>
      </c>
      <c r="R632" t="str">
        <f t="shared" si="9"/>
        <v>ONCOBH7</v>
      </c>
      <c r="S632" t="s">
        <v>943</v>
      </c>
      <c r="T632" t="s">
        <v>944</v>
      </c>
      <c r="U632" t="s">
        <v>945</v>
      </c>
      <c r="V632" t="s">
        <v>946</v>
      </c>
    </row>
    <row r="633" spans="15:22" x14ac:dyDescent="0.25">
      <c r="O633" t="s">
        <v>1891</v>
      </c>
      <c r="P633" t="s">
        <v>152</v>
      </c>
      <c r="Q633" t="s">
        <v>947</v>
      </c>
      <c r="R633" t="str">
        <f t="shared" si="9"/>
        <v>ONCOBA8</v>
      </c>
      <c r="S633" t="s">
        <v>948</v>
      </c>
      <c r="T633" t="s">
        <v>949</v>
      </c>
      <c r="U633" t="s">
        <v>950</v>
      </c>
      <c r="V633" t="s">
        <v>951</v>
      </c>
    </row>
    <row r="634" spans="15:22" x14ac:dyDescent="0.25">
      <c r="O634" t="s">
        <v>1891</v>
      </c>
      <c r="P634" t="s">
        <v>152</v>
      </c>
      <c r="Q634" t="s">
        <v>952</v>
      </c>
      <c r="R634" t="str">
        <f t="shared" si="9"/>
        <v>ONCOBB8</v>
      </c>
      <c r="S634" t="s">
        <v>953</v>
      </c>
      <c r="T634" t="s">
        <v>954</v>
      </c>
      <c r="U634" t="s">
        <v>955</v>
      </c>
      <c r="V634" t="s">
        <v>956</v>
      </c>
    </row>
    <row r="635" spans="15:22" x14ac:dyDescent="0.25">
      <c r="O635" t="s">
        <v>1891</v>
      </c>
      <c r="P635" t="s">
        <v>152</v>
      </c>
      <c r="Q635" t="s">
        <v>957</v>
      </c>
      <c r="R635" t="str">
        <f t="shared" si="9"/>
        <v>ONCOBC8</v>
      </c>
      <c r="S635" t="s">
        <v>958</v>
      </c>
      <c r="T635" t="s">
        <v>959</v>
      </c>
      <c r="U635" t="s">
        <v>960</v>
      </c>
      <c r="V635" t="s">
        <v>961</v>
      </c>
    </row>
    <row r="636" spans="15:22" x14ac:dyDescent="0.25">
      <c r="O636" t="s">
        <v>1891</v>
      </c>
      <c r="P636" t="s">
        <v>152</v>
      </c>
      <c r="Q636" t="s">
        <v>962</v>
      </c>
      <c r="R636" t="str">
        <f t="shared" si="9"/>
        <v>ONCOBD8</v>
      </c>
      <c r="S636" t="s">
        <v>963</v>
      </c>
      <c r="T636" t="s">
        <v>964</v>
      </c>
      <c r="U636" t="s">
        <v>965</v>
      </c>
      <c r="V636" t="s">
        <v>966</v>
      </c>
    </row>
    <row r="637" spans="15:22" x14ac:dyDescent="0.25">
      <c r="O637" t="s">
        <v>1891</v>
      </c>
      <c r="P637" t="s">
        <v>152</v>
      </c>
      <c r="Q637" t="s">
        <v>967</v>
      </c>
      <c r="R637" t="str">
        <f t="shared" si="9"/>
        <v>ONCOBE8</v>
      </c>
      <c r="S637" t="s">
        <v>968</v>
      </c>
      <c r="T637" t="s">
        <v>969</v>
      </c>
      <c r="U637" t="s">
        <v>970</v>
      </c>
      <c r="V637" t="s">
        <v>971</v>
      </c>
    </row>
    <row r="638" spans="15:22" x14ac:dyDescent="0.25">
      <c r="O638" t="s">
        <v>1891</v>
      </c>
      <c r="P638" t="s">
        <v>152</v>
      </c>
      <c r="Q638" t="s">
        <v>972</v>
      </c>
      <c r="R638" t="str">
        <f t="shared" si="9"/>
        <v>ONCOBF8</v>
      </c>
      <c r="S638" t="s">
        <v>973</v>
      </c>
      <c r="T638" t="s">
        <v>974</v>
      </c>
      <c r="U638" t="s">
        <v>975</v>
      </c>
      <c r="V638" t="s">
        <v>976</v>
      </c>
    </row>
    <row r="639" spans="15:22" x14ac:dyDescent="0.25">
      <c r="O639" t="s">
        <v>1891</v>
      </c>
      <c r="P639" t="s">
        <v>152</v>
      </c>
      <c r="Q639" t="s">
        <v>977</v>
      </c>
      <c r="R639" t="str">
        <f t="shared" si="9"/>
        <v>ONCOBG8</v>
      </c>
      <c r="S639" t="s">
        <v>978</v>
      </c>
      <c r="T639" t="s">
        <v>979</v>
      </c>
      <c r="U639" t="s">
        <v>980</v>
      </c>
      <c r="V639" t="s">
        <v>981</v>
      </c>
    </row>
    <row r="640" spans="15:22" x14ac:dyDescent="0.25">
      <c r="O640" t="s">
        <v>1891</v>
      </c>
      <c r="P640" t="s">
        <v>152</v>
      </c>
      <c r="Q640" t="s">
        <v>982</v>
      </c>
      <c r="R640" t="str">
        <f t="shared" si="9"/>
        <v>ONCOBH8</v>
      </c>
      <c r="S640" t="s">
        <v>983</v>
      </c>
      <c r="T640" t="s">
        <v>984</v>
      </c>
      <c r="U640" t="s">
        <v>985</v>
      </c>
      <c r="V640" t="s">
        <v>986</v>
      </c>
    </row>
    <row r="641" spans="15:22" x14ac:dyDescent="0.25">
      <c r="O641" t="s">
        <v>1891</v>
      </c>
      <c r="P641" t="s">
        <v>152</v>
      </c>
      <c r="Q641" t="s">
        <v>987</v>
      </c>
      <c r="R641" t="str">
        <f t="shared" ref="R641:R704" si="10">O641&amp;P641&amp;Q641</f>
        <v>ONCOBA9</v>
      </c>
      <c r="S641" t="s">
        <v>988</v>
      </c>
      <c r="T641" t="s">
        <v>989</v>
      </c>
      <c r="U641" t="s">
        <v>990</v>
      </c>
      <c r="V641" t="s">
        <v>991</v>
      </c>
    </row>
    <row r="642" spans="15:22" x14ac:dyDescent="0.25">
      <c r="O642" t="s">
        <v>1891</v>
      </c>
      <c r="P642" t="s">
        <v>152</v>
      </c>
      <c r="Q642" t="s">
        <v>992</v>
      </c>
      <c r="R642" t="str">
        <f t="shared" si="10"/>
        <v>ONCOBB9</v>
      </c>
      <c r="S642" t="s">
        <v>993</v>
      </c>
      <c r="T642" t="s">
        <v>994</v>
      </c>
      <c r="U642" t="s">
        <v>995</v>
      </c>
      <c r="V642" t="s">
        <v>996</v>
      </c>
    </row>
    <row r="643" spans="15:22" x14ac:dyDescent="0.25">
      <c r="O643" t="s">
        <v>1891</v>
      </c>
      <c r="P643" t="s">
        <v>152</v>
      </c>
      <c r="Q643" t="s">
        <v>997</v>
      </c>
      <c r="R643" t="str">
        <f t="shared" si="10"/>
        <v>ONCOBC9</v>
      </c>
      <c r="S643" t="s">
        <v>998</v>
      </c>
      <c r="T643" t="s">
        <v>999</v>
      </c>
      <c r="U643" t="s">
        <v>1000</v>
      </c>
      <c r="V643" t="s">
        <v>1001</v>
      </c>
    </row>
    <row r="644" spans="15:22" x14ac:dyDescent="0.25">
      <c r="O644" t="s">
        <v>1891</v>
      </c>
      <c r="P644" t="s">
        <v>152</v>
      </c>
      <c r="Q644" t="s">
        <v>1002</v>
      </c>
      <c r="R644" t="str">
        <f t="shared" si="10"/>
        <v>ONCOBD9</v>
      </c>
      <c r="S644" t="s">
        <v>1003</v>
      </c>
      <c r="T644" t="s">
        <v>1004</v>
      </c>
      <c r="U644" t="s">
        <v>1005</v>
      </c>
      <c r="V644" t="s">
        <v>1006</v>
      </c>
    </row>
    <row r="645" spans="15:22" x14ac:dyDescent="0.25">
      <c r="O645" t="s">
        <v>1891</v>
      </c>
      <c r="P645" t="s">
        <v>152</v>
      </c>
      <c r="Q645" t="s">
        <v>1007</v>
      </c>
      <c r="R645" t="str">
        <f t="shared" si="10"/>
        <v>ONCOBE9</v>
      </c>
      <c r="S645" t="s">
        <v>1008</v>
      </c>
      <c r="T645" t="s">
        <v>1009</v>
      </c>
      <c r="U645" t="s">
        <v>1010</v>
      </c>
      <c r="V645" t="s">
        <v>1011</v>
      </c>
    </row>
    <row r="646" spans="15:22" x14ac:dyDescent="0.25">
      <c r="O646" t="s">
        <v>1891</v>
      </c>
      <c r="P646" t="s">
        <v>152</v>
      </c>
      <c r="Q646" t="s">
        <v>1012</v>
      </c>
      <c r="R646" t="str">
        <f t="shared" si="10"/>
        <v>ONCOBF9</v>
      </c>
      <c r="S646" t="s">
        <v>1013</v>
      </c>
      <c r="T646" t="s">
        <v>1014</v>
      </c>
      <c r="U646" t="s">
        <v>1015</v>
      </c>
      <c r="V646" t="s">
        <v>1016</v>
      </c>
    </row>
    <row r="647" spans="15:22" x14ac:dyDescent="0.25">
      <c r="O647" t="s">
        <v>1891</v>
      </c>
      <c r="P647" t="s">
        <v>152</v>
      </c>
      <c r="Q647" t="s">
        <v>1017</v>
      </c>
      <c r="R647" t="str">
        <f t="shared" si="10"/>
        <v>ONCOBG9</v>
      </c>
      <c r="S647" t="s">
        <v>1018</v>
      </c>
      <c r="T647" t="s">
        <v>1019</v>
      </c>
      <c r="U647" t="s">
        <v>1020</v>
      </c>
      <c r="V647" t="s">
        <v>1021</v>
      </c>
    </row>
    <row r="648" spans="15:22" x14ac:dyDescent="0.25">
      <c r="O648" t="s">
        <v>1891</v>
      </c>
      <c r="P648" t="s">
        <v>152</v>
      </c>
      <c r="Q648" t="s">
        <v>1022</v>
      </c>
      <c r="R648" t="str">
        <f t="shared" si="10"/>
        <v>ONCOBH9</v>
      </c>
      <c r="S648" t="s">
        <v>1023</v>
      </c>
      <c r="T648" t="s">
        <v>1024</v>
      </c>
      <c r="U648" t="s">
        <v>1025</v>
      </c>
      <c r="V648" t="s">
        <v>1026</v>
      </c>
    </row>
    <row r="649" spans="15:22" x14ac:dyDescent="0.25">
      <c r="O649" t="s">
        <v>1891</v>
      </c>
      <c r="P649" t="s">
        <v>152</v>
      </c>
      <c r="Q649" t="s">
        <v>238</v>
      </c>
      <c r="R649" t="str">
        <f t="shared" si="10"/>
        <v>ONCOBA10</v>
      </c>
      <c r="S649" t="s">
        <v>1027</v>
      </c>
      <c r="T649" t="s">
        <v>1028</v>
      </c>
      <c r="U649" t="s">
        <v>1029</v>
      </c>
      <c r="V649" t="s">
        <v>1030</v>
      </c>
    </row>
    <row r="650" spans="15:22" x14ac:dyDescent="0.25">
      <c r="O650" t="s">
        <v>1891</v>
      </c>
      <c r="P650" t="s">
        <v>152</v>
      </c>
      <c r="Q650" t="s">
        <v>239</v>
      </c>
      <c r="R650" t="str">
        <f t="shared" si="10"/>
        <v>ONCOBB10</v>
      </c>
      <c r="S650" t="s">
        <v>1031</v>
      </c>
      <c r="T650" t="s">
        <v>1032</v>
      </c>
      <c r="U650" t="s">
        <v>1033</v>
      </c>
      <c r="V650" t="s">
        <v>1034</v>
      </c>
    </row>
    <row r="651" spans="15:22" x14ac:dyDescent="0.25">
      <c r="O651" t="s">
        <v>1891</v>
      </c>
      <c r="P651" t="s">
        <v>152</v>
      </c>
      <c r="Q651" t="s">
        <v>240</v>
      </c>
      <c r="R651" t="str">
        <f t="shared" si="10"/>
        <v>ONCOBC10</v>
      </c>
      <c r="S651" t="s">
        <v>1035</v>
      </c>
      <c r="T651" t="s">
        <v>1036</v>
      </c>
      <c r="U651" t="s">
        <v>1037</v>
      </c>
      <c r="V651" t="s">
        <v>1038</v>
      </c>
    </row>
    <row r="652" spans="15:22" x14ac:dyDescent="0.25">
      <c r="O652" t="s">
        <v>1891</v>
      </c>
      <c r="P652" t="s">
        <v>152</v>
      </c>
      <c r="Q652" t="s">
        <v>241</v>
      </c>
      <c r="R652" t="str">
        <f t="shared" si="10"/>
        <v>ONCOBD10</v>
      </c>
      <c r="S652" t="s">
        <v>1039</v>
      </c>
      <c r="T652" t="s">
        <v>1040</v>
      </c>
      <c r="U652" t="s">
        <v>1041</v>
      </c>
      <c r="V652" t="s">
        <v>1042</v>
      </c>
    </row>
    <row r="653" spans="15:22" x14ac:dyDescent="0.25">
      <c r="O653" t="s">
        <v>1891</v>
      </c>
      <c r="P653" t="s">
        <v>152</v>
      </c>
      <c r="Q653" t="s">
        <v>242</v>
      </c>
      <c r="R653" t="str">
        <f t="shared" si="10"/>
        <v>ONCOBE10</v>
      </c>
      <c r="S653" t="s">
        <v>1043</v>
      </c>
      <c r="T653" t="s">
        <v>1044</v>
      </c>
      <c r="U653" t="s">
        <v>1045</v>
      </c>
      <c r="V653" t="s">
        <v>1046</v>
      </c>
    </row>
    <row r="654" spans="15:22" x14ac:dyDescent="0.25">
      <c r="O654" t="s">
        <v>1891</v>
      </c>
      <c r="P654" t="s">
        <v>152</v>
      </c>
      <c r="Q654" t="s">
        <v>243</v>
      </c>
      <c r="R654" t="str">
        <f t="shared" si="10"/>
        <v>ONCOBF10</v>
      </c>
      <c r="S654" t="s">
        <v>1047</v>
      </c>
      <c r="T654" t="s">
        <v>1048</v>
      </c>
      <c r="U654" t="s">
        <v>1049</v>
      </c>
      <c r="V654" t="s">
        <v>1050</v>
      </c>
    </row>
    <row r="655" spans="15:22" x14ac:dyDescent="0.25">
      <c r="O655" t="s">
        <v>1891</v>
      </c>
      <c r="P655" t="s">
        <v>152</v>
      </c>
      <c r="Q655" t="s">
        <v>244</v>
      </c>
      <c r="R655" t="str">
        <f t="shared" si="10"/>
        <v>ONCOBG10</v>
      </c>
      <c r="S655" t="s">
        <v>1051</v>
      </c>
      <c r="T655" t="s">
        <v>1052</v>
      </c>
      <c r="U655" t="s">
        <v>1053</v>
      </c>
      <c r="V655" t="s">
        <v>1054</v>
      </c>
    </row>
    <row r="656" spans="15:22" x14ac:dyDescent="0.25">
      <c r="O656" t="s">
        <v>1891</v>
      </c>
      <c r="P656" t="s">
        <v>152</v>
      </c>
      <c r="Q656" t="s">
        <v>246</v>
      </c>
      <c r="R656" t="str">
        <f t="shared" si="10"/>
        <v>ONCOBH10</v>
      </c>
      <c r="S656" t="s">
        <v>1055</v>
      </c>
      <c r="T656" t="s">
        <v>1056</v>
      </c>
      <c r="U656" t="s">
        <v>1057</v>
      </c>
      <c r="V656" t="s">
        <v>1058</v>
      </c>
    </row>
    <row r="657" spans="15:22" x14ac:dyDescent="0.25">
      <c r="O657" t="s">
        <v>1891</v>
      </c>
      <c r="P657" t="s">
        <v>152</v>
      </c>
      <c r="Q657" t="s">
        <v>248</v>
      </c>
      <c r="R657" t="str">
        <f t="shared" si="10"/>
        <v>ONCOBA11</v>
      </c>
      <c r="S657" t="s">
        <v>1059</v>
      </c>
      <c r="T657" t="s">
        <v>1060</v>
      </c>
      <c r="U657" t="s">
        <v>1061</v>
      </c>
      <c r="V657" t="s">
        <v>1062</v>
      </c>
    </row>
    <row r="658" spans="15:22" x14ac:dyDescent="0.25">
      <c r="O658" t="s">
        <v>1891</v>
      </c>
      <c r="P658" t="s">
        <v>152</v>
      </c>
      <c r="Q658" t="s">
        <v>250</v>
      </c>
      <c r="R658" t="str">
        <f t="shared" si="10"/>
        <v>ONCOBB11</v>
      </c>
      <c r="S658" t="s">
        <v>1063</v>
      </c>
      <c r="T658" t="s">
        <v>1064</v>
      </c>
      <c r="U658" t="s">
        <v>1065</v>
      </c>
      <c r="V658" t="s">
        <v>1066</v>
      </c>
    </row>
    <row r="659" spans="15:22" x14ac:dyDescent="0.25">
      <c r="O659" t="s">
        <v>1891</v>
      </c>
      <c r="P659" t="s">
        <v>152</v>
      </c>
      <c r="Q659" t="s">
        <v>252</v>
      </c>
      <c r="R659" t="str">
        <f t="shared" si="10"/>
        <v>ONCOBC11</v>
      </c>
      <c r="S659" t="s">
        <v>1067</v>
      </c>
      <c r="T659" t="s">
        <v>1068</v>
      </c>
      <c r="U659" t="s">
        <v>1069</v>
      </c>
      <c r="V659" t="s">
        <v>1070</v>
      </c>
    </row>
    <row r="660" spans="15:22" x14ac:dyDescent="0.25">
      <c r="O660" t="s">
        <v>1891</v>
      </c>
      <c r="P660" t="s">
        <v>152</v>
      </c>
      <c r="Q660" t="s">
        <v>254</v>
      </c>
      <c r="R660" t="str">
        <f t="shared" si="10"/>
        <v>ONCOBD11</v>
      </c>
      <c r="S660" t="s">
        <v>1071</v>
      </c>
      <c r="T660" t="s">
        <v>1072</v>
      </c>
      <c r="U660" t="s">
        <v>1073</v>
      </c>
      <c r="V660" t="s">
        <v>1074</v>
      </c>
    </row>
    <row r="661" spans="15:22" x14ac:dyDescent="0.25">
      <c r="O661" t="s">
        <v>1891</v>
      </c>
      <c r="P661" t="s">
        <v>152</v>
      </c>
      <c r="Q661" t="s">
        <v>256</v>
      </c>
      <c r="R661" t="str">
        <f t="shared" si="10"/>
        <v>ONCOBE11</v>
      </c>
      <c r="S661" t="s">
        <v>1075</v>
      </c>
      <c r="T661" t="s">
        <v>1076</v>
      </c>
      <c r="U661" t="s">
        <v>1077</v>
      </c>
      <c r="V661" t="s">
        <v>1078</v>
      </c>
    </row>
    <row r="662" spans="15:22" x14ac:dyDescent="0.25">
      <c r="O662" t="s">
        <v>1891</v>
      </c>
      <c r="P662" t="s">
        <v>152</v>
      </c>
      <c r="Q662" t="s">
        <v>258</v>
      </c>
      <c r="R662" t="str">
        <f t="shared" si="10"/>
        <v>ONCOBF11</v>
      </c>
      <c r="S662" t="s">
        <v>1079</v>
      </c>
      <c r="T662" t="s">
        <v>1080</v>
      </c>
      <c r="U662" t="s">
        <v>1081</v>
      </c>
      <c r="V662" t="s">
        <v>1082</v>
      </c>
    </row>
    <row r="663" spans="15:22" x14ac:dyDescent="0.25">
      <c r="O663" t="s">
        <v>1891</v>
      </c>
      <c r="P663" t="s">
        <v>152</v>
      </c>
      <c r="Q663" t="s">
        <v>259</v>
      </c>
      <c r="R663" t="str">
        <f t="shared" si="10"/>
        <v>ONCOBG11</v>
      </c>
      <c r="S663" t="s">
        <v>1083</v>
      </c>
      <c r="T663" t="s">
        <v>1084</v>
      </c>
      <c r="U663" t="s">
        <v>1085</v>
      </c>
      <c r="V663" t="s">
        <v>1086</v>
      </c>
    </row>
    <row r="664" spans="15:22" x14ac:dyDescent="0.25">
      <c r="O664" t="s">
        <v>1891</v>
      </c>
      <c r="P664" t="s">
        <v>152</v>
      </c>
      <c r="Q664" t="s">
        <v>261</v>
      </c>
      <c r="R664" t="str">
        <f t="shared" si="10"/>
        <v>ONCOBH11</v>
      </c>
      <c r="S664" t="s">
        <v>1087</v>
      </c>
      <c r="T664" t="s">
        <v>1088</v>
      </c>
      <c r="U664" t="s">
        <v>1089</v>
      </c>
      <c r="V664" t="s">
        <v>1090</v>
      </c>
    </row>
    <row r="665" spans="15:22" x14ac:dyDescent="0.25">
      <c r="O665" t="s">
        <v>1891</v>
      </c>
      <c r="P665" t="s">
        <v>152</v>
      </c>
      <c r="Q665" t="s">
        <v>263</v>
      </c>
      <c r="R665" t="str">
        <f t="shared" si="10"/>
        <v>ONCOBA12</v>
      </c>
      <c r="S665" t="s">
        <v>1091</v>
      </c>
      <c r="T665" t="s">
        <v>1092</v>
      </c>
      <c r="U665" t="s">
        <v>1093</v>
      </c>
      <c r="V665" t="s">
        <v>1094</v>
      </c>
    </row>
    <row r="666" spans="15:22" x14ac:dyDescent="0.25">
      <c r="O666" t="s">
        <v>1891</v>
      </c>
      <c r="P666" t="s">
        <v>152</v>
      </c>
      <c r="Q666" t="s">
        <v>265</v>
      </c>
      <c r="R666" t="str">
        <f t="shared" si="10"/>
        <v>ONCOBB12</v>
      </c>
      <c r="S666" t="s">
        <v>1095</v>
      </c>
      <c r="T666" t="s">
        <v>1096</v>
      </c>
      <c r="U666" t="s">
        <v>1097</v>
      </c>
      <c r="V666" t="s">
        <v>1098</v>
      </c>
    </row>
    <row r="667" spans="15:22" x14ac:dyDescent="0.25">
      <c r="O667" t="s">
        <v>1891</v>
      </c>
      <c r="P667" t="s">
        <v>152</v>
      </c>
      <c r="Q667" t="s">
        <v>267</v>
      </c>
      <c r="R667" t="str">
        <f t="shared" si="10"/>
        <v>ONCOBC12</v>
      </c>
      <c r="S667" t="s">
        <v>1099</v>
      </c>
      <c r="T667" t="s">
        <v>1100</v>
      </c>
      <c r="U667" t="s">
        <v>1101</v>
      </c>
      <c r="V667" t="s">
        <v>1102</v>
      </c>
    </row>
    <row r="668" spans="15:22" x14ac:dyDescent="0.25">
      <c r="O668" t="s">
        <v>1891</v>
      </c>
      <c r="P668" t="s">
        <v>152</v>
      </c>
      <c r="Q668" t="s">
        <v>269</v>
      </c>
      <c r="R668" t="str">
        <f t="shared" si="10"/>
        <v>ONCOBD12</v>
      </c>
      <c r="S668" t="s">
        <v>1103</v>
      </c>
      <c r="T668" t="s">
        <v>1104</v>
      </c>
      <c r="U668" t="s">
        <v>1105</v>
      </c>
      <c r="V668" t="s">
        <v>1106</v>
      </c>
    </row>
    <row r="669" spans="15:22" x14ac:dyDescent="0.25">
      <c r="O669" t="s">
        <v>1891</v>
      </c>
      <c r="P669" t="s">
        <v>152</v>
      </c>
      <c r="Q669" t="s">
        <v>271</v>
      </c>
      <c r="R669" t="str">
        <f t="shared" si="10"/>
        <v>ONCOBE12</v>
      </c>
      <c r="S669" t="s">
        <v>1107</v>
      </c>
      <c r="T669" t="s">
        <v>1108</v>
      </c>
      <c r="U669" t="s">
        <v>1109</v>
      </c>
      <c r="V669" t="s">
        <v>1110</v>
      </c>
    </row>
    <row r="670" spans="15:22" x14ac:dyDescent="0.25">
      <c r="O670" t="s">
        <v>1891</v>
      </c>
      <c r="P670" t="s">
        <v>152</v>
      </c>
      <c r="Q670" t="s">
        <v>273</v>
      </c>
      <c r="R670" t="str">
        <f t="shared" si="10"/>
        <v>ONCOBF12</v>
      </c>
      <c r="S670" t="s">
        <v>1111</v>
      </c>
      <c r="T670" t="s">
        <v>1112</v>
      </c>
      <c r="U670" t="s">
        <v>1113</v>
      </c>
      <c r="V670" t="s">
        <v>1114</v>
      </c>
    </row>
    <row r="671" spans="15:22" x14ac:dyDescent="0.25">
      <c r="O671" t="s">
        <v>1891</v>
      </c>
      <c r="P671" t="s">
        <v>152</v>
      </c>
      <c r="Q671" t="s">
        <v>275</v>
      </c>
      <c r="R671" t="str">
        <f t="shared" si="10"/>
        <v>ONCOBG12</v>
      </c>
      <c r="S671" t="s">
        <v>1115</v>
      </c>
      <c r="T671" t="s">
        <v>1116</v>
      </c>
      <c r="U671" t="s">
        <v>1117</v>
      </c>
      <c r="V671" t="s">
        <v>1118</v>
      </c>
    </row>
    <row r="672" spans="15:22" x14ac:dyDescent="0.25">
      <c r="O672" t="s">
        <v>1891</v>
      </c>
      <c r="P672" t="s">
        <v>152</v>
      </c>
      <c r="Q672" t="s">
        <v>277</v>
      </c>
      <c r="R672" t="str">
        <f t="shared" si="10"/>
        <v>ONCOBH12</v>
      </c>
      <c r="S672" t="s">
        <v>1119</v>
      </c>
      <c r="T672" t="s">
        <v>1120</v>
      </c>
      <c r="U672" t="s">
        <v>1121</v>
      </c>
      <c r="V672" t="s">
        <v>1122</v>
      </c>
    </row>
    <row r="673" spans="15:22" x14ac:dyDescent="0.25">
      <c r="O673" t="s">
        <v>1891</v>
      </c>
      <c r="P673" t="s">
        <v>156</v>
      </c>
      <c r="Q673" t="s">
        <v>667</v>
      </c>
      <c r="R673" t="str">
        <f t="shared" si="10"/>
        <v>ONCOCA1</v>
      </c>
      <c r="S673" t="s">
        <v>1123</v>
      </c>
      <c r="T673" t="s">
        <v>1124</v>
      </c>
      <c r="U673" t="s">
        <v>1125</v>
      </c>
      <c r="V673" t="s">
        <v>1126</v>
      </c>
    </row>
    <row r="674" spans="15:22" x14ac:dyDescent="0.25">
      <c r="O674" t="s">
        <v>1891</v>
      </c>
      <c r="P674" t="s">
        <v>156</v>
      </c>
      <c r="Q674" t="s">
        <v>672</v>
      </c>
      <c r="R674" t="str">
        <f t="shared" si="10"/>
        <v>ONCOCB1</v>
      </c>
      <c r="S674" t="s">
        <v>1127</v>
      </c>
      <c r="T674" t="s">
        <v>1128</v>
      </c>
      <c r="U674" t="s">
        <v>1129</v>
      </c>
      <c r="V674" t="s">
        <v>1130</v>
      </c>
    </row>
    <row r="675" spans="15:22" x14ac:dyDescent="0.25">
      <c r="O675" t="s">
        <v>1891</v>
      </c>
      <c r="P675" t="s">
        <v>156</v>
      </c>
      <c r="Q675" t="s">
        <v>677</v>
      </c>
      <c r="R675" t="str">
        <f t="shared" si="10"/>
        <v>ONCOCC1</v>
      </c>
      <c r="S675" t="s">
        <v>1131</v>
      </c>
      <c r="T675" t="s">
        <v>1132</v>
      </c>
      <c r="U675" t="s">
        <v>1133</v>
      </c>
      <c r="V675" t="s">
        <v>1134</v>
      </c>
    </row>
    <row r="676" spans="15:22" x14ac:dyDescent="0.25">
      <c r="O676" t="s">
        <v>1891</v>
      </c>
      <c r="P676" t="s">
        <v>156</v>
      </c>
      <c r="Q676" t="s">
        <v>682</v>
      </c>
      <c r="R676" t="str">
        <f t="shared" si="10"/>
        <v>ONCOCD1</v>
      </c>
      <c r="S676" t="s">
        <v>1135</v>
      </c>
      <c r="T676" t="s">
        <v>1136</v>
      </c>
      <c r="U676" t="s">
        <v>1137</v>
      </c>
      <c r="V676" t="s">
        <v>1138</v>
      </c>
    </row>
    <row r="677" spans="15:22" x14ac:dyDescent="0.25">
      <c r="O677" t="s">
        <v>1891</v>
      </c>
      <c r="P677" t="s">
        <v>156</v>
      </c>
      <c r="Q677" t="s">
        <v>687</v>
      </c>
      <c r="R677" t="str">
        <f t="shared" si="10"/>
        <v>ONCOCE1</v>
      </c>
      <c r="S677" t="s">
        <v>1139</v>
      </c>
      <c r="T677" t="s">
        <v>1140</v>
      </c>
      <c r="U677" t="s">
        <v>1141</v>
      </c>
      <c r="V677" t="s">
        <v>1142</v>
      </c>
    </row>
    <row r="678" spans="15:22" x14ac:dyDescent="0.25">
      <c r="O678" t="s">
        <v>1891</v>
      </c>
      <c r="P678" t="s">
        <v>156</v>
      </c>
      <c r="Q678" t="s">
        <v>692</v>
      </c>
      <c r="R678" t="str">
        <f t="shared" si="10"/>
        <v>ONCOCF1</v>
      </c>
      <c r="S678" t="s">
        <v>1143</v>
      </c>
      <c r="T678" t="s">
        <v>1144</v>
      </c>
      <c r="U678" t="s">
        <v>1145</v>
      </c>
      <c r="V678" t="s">
        <v>1146</v>
      </c>
    </row>
    <row r="679" spans="15:22" x14ac:dyDescent="0.25">
      <c r="O679" t="s">
        <v>1891</v>
      </c>
      <c r="P679" t="s">
        <v>156</v>
      </c>
      <c r="Q679" t="s">
        <v>697</v>
      </c>
      <c r="R679" t="str">
        <f t="shared" si="10"/>
        <v>ONCOCG1</v>
      </c>
      <c r="S679" t="s">
        <v>1147</v>
      </c>
      <c r="T679" t="s">
        <v>1148</v>
      </c>
      <c r="U679" t="s">
        <v>1149</v>
      </c>
      <c r="V679" t="s">
        <v>1150</v>
      </c>
    </row>
    <row r="680" spans="15:22" x14ac:dyDescent="0.25">
      <c r="O680" t="s">
        <v>1891</v>
      </c>
      <c r="P680" t="s">
        <v>156</v>
      </c>
      <c r="Q680" t="s">
        <v>702</v>
      </c>
      <c r="R680" t="str">
        <f t="shared" si="10"/>
        <v>ONCOCH1</v>
      </c>
      <c r="S680" t="s">
        <v>1151</v>
      </c>
      <c r="T680" t="s">
        <v>1152</v>
      </c>
      <c r="U680" t="s">
        <v>1153</v>
      </c>
      <c r="V680" t="s">
        <v>1154</v>
      </c>
    </row>
    <row r="681" spans="15:22" x14ac:dyDescent="0.25">
      <c r="O681" t="s">
        <v>1891</v>
      </c>
      <c r="P681" t="s">
        <v>156</v>
      </c>
      <c r="Q681" t="s">
        <v>707</v>
      </c>
      <c r="R681" t="str">
        <f t="shared" si="10"/>
        <v>ONCOCA2</v>
      </c>
      <c r="S681" t="s">
        <v>1155</v>
      </c>
      <c r="T681" t="s">
        <v>1156</v>
      </c>
      <c r="U681" t="s">
        <v>1157</v>
      </c>
      <c r="V681" t="s">
        <v>1158</v>
      </c>
    </row>
    <row r="682" spans="15:22" x14ac:dyDescent="0.25">
      <c r="O682" t="s">
        <v>1891</v>
      </c>
      <c r="P682" t="s">
        <v>156</v>
      </c>
      <c r="Q682" t="s">
        <v>712</v>
      </c>
      <c r="R682" t="str">
        <f t="shared" si="10"/>
        <v>ONCOCB2</v>
      </c>
      <c r="S682" t="s">
        <v>1159</v>
      </c>
      <c r="T682" t="s">
        <v>1160</v>
      </c>
      <c r="U682" t="s">
        <v>1161</v>
      </c>
      <c r="V682" t="s">
        <v>1162</v>
      </c>
    </row>
    <row r="683" spans="15:22" x14ac:dyDescent="0.25">
      <c r="O683" t="s">
        <v>1891</v>
      </c>
      <c r="P683" t="s">
        <v>156</v>
      </c>
      <c r="Q683" t="s">
        <v>717</v>
      </c>
      <c r="R683" t="str">
        <f t="shared" si="10"/>
        <v>ONCOCC2</v>
      </c>
      <c r="S683" t="s">
        <v>1163</v>
      </c>
      <c r="T683" t="s">
        <v>1164</v>
      </c>
      <c r="U683" t="s">
        <v>1165</v>
      </c>
      <c r="V683" t="s">
        <v>1166</v>
      </c>
    </row>
    <row r="684" spans="15:22" x14ac:dyDescent="0.25">
      <c r="O684" t="s">
        <v>1891</v>
      </c>
      <c r="P684" t="s">
        <v>156</v>
      </c>
      <c r="Q684" t="s">
        <v>722</v>
      </c>
      <c r="R684" t="str">
        <f t="shared" si="10"/>
        <v>ONCOCD2</v>
      </c>
      <c r="S684" t="s">
        <v>1167</v>
      </c>
      <c r="T684" t="s">
        <v>1168</v>
      </c>
      <c r="U684" t="s">
        <v>1169</v>
      </c>
      <c r="V684" t="s">
        <v>1170</v>
      </c>
    </row>
    <row r="685" spans="15:22" x14ac:dyDescent="0.25">
      <c r="O685" t="s">
        <v>1891</v>
      </c>
      <c r="P685" t="s">
        <v>156</v>
      </c>
      <c r="Q685" t="s">
        <v>727</v>
      </c>
      <c r="R685" t="str">
        <f t="shared" si="10"/>
        <v>ONCOCE2</v>
      </c>
      <c r="S685" t="s">
        <v>1171</v>
      </c>
      <c r="T685" t="s">
        <v>1172</v>
      </c>
      <c r="U685" t="s">
        <v>1173</v>
      </c>
      <c r="V685" t="s">
        <v>1174</v>
      </c>
    </row>
    <row r="686" spans="15:22" x14ac:dyDescent="0.25">
      <c r="O686" t="s">
        <v>1891</v>
      </c>
      <c r="P686" t="s">
        <v>156</v>
      </c>
      <c r="Q686" t="s">
        <v>732</v>
      </c>
      <c r="R686" t="str">
        <f t="shared" si="10"/>
        <v>ONCOCF2</v>
      </c>
      <c r="S686" t="s">
        <v>1175</v>
      </c>
      <c r="T686" t="s">
        <v>1176</v>
      </c>
      <c r="U686" t="s">
        <v>1177</v>
      </c>
      <c r="V686" t="s">
        <v>1178</v>
      </c>
    </row>
    <row r="687" spans="15:22" x14ac:dyDescent="0.25">
      <c r="O687" t="s">
        <v>1891</v>
      </c>
      <c r="P687" t="s">
        <v>156</v>
      </c>
      <c r="Q687" t="s">
        <v>737</v>
      </c>
      <c r="R687" t="str">
        <f t="shared" si="10"/>
        <v>ONCOCG2</v>
      </c>
      <c r="S687" t="s">
        <v>1179</v>
      </c>
      <c r="T687" t="s">
        <v>1180</v>
      </c>
      <c r="U687" t="s">
        <v>1181</v>
      </c>
      <c r="V687" t="s">
        <v>1182</v>
      </c>
    </row>
    <row r="688" spans="15:22" x14ac:dyDescent="0.25">
      <c r="O688" t="s">
        <v>1891</v>
      </c>
      <c r="P688" t="s">
        <v>156</v>
      </c>
      <c r="Q688" t="s">
        <v>742</v>
      </c>
      <c r="R688" t="str">
        <f t="shared" si="10"/>
        <v>ONCOCH2</v>
      </c>
      <c r="S688" t="s">
        <v>1183</v>
      </c>
      <c r="T688" t="s">
        <v>1184</v>
      </c>
      <c r="U688" t="s">
        <v>1185</v>
      </c>
      <c r="V688" t="s">
        <v>1186</v>
      </c>
    </row>
    <row r="689" spans="15:22" x14ac:dyDescent="0.25">
      <c r="O689" t="s">
        <v>1891</v>
      </c>
      <c r="P689" t="s">
        <v>156</v>
      </c>
      <c r="Q689" t="s">
        <v>747</v>
      </c>
      <c r="R689" t="str">
        <f t="shared" si="10"/>
        <v>ONCOCA3</v>
      </c>
      <c r="S689" t="s">
        <v>1187</v>
      </c>
      <c r="T689" t="s">
        <v>1188</v>
      </c>
      <c r="U689" t="s">
        <v>1189</v>
      </c>
      <c r="V689" t="s">
        <v>1190</v>
      </c>
    </row>
    <row r="690" spans="15:22" x14ac:dyDescent="0.25">
      <c r="O690" t="s">
        <v>1891</v>
      </c>
      <c r="P690" t="s">
        <v>156</v>
      </c>
      <c r="Q690" t="s">
        <v>752</v>
      </c>
      <c r="R690" t="str">
        <f t="shared" si="10"/>
        <v>ONCOCB3</v>
      </c>
      <c r="S690" t="s">
        <v>1191</v>
      </c>
      <c r="T690" t="s">
        <v>1192</v>
      </c>
      <c r="U690" t="s">
        <v>1193</v>
      </c>
      <c r="V690" t="s">
        <v>1194</v>
      </c>
    </row>
    <row r="691" spans="15:22" x14ac:dyDescent="0.25">
      <c r="O691" t="s">
        <v>1891</v>
      </c>
      <c r="P691" t="s">
        <v>156</v>
      </c>
      <c r="Q691" t="s">
        <v>757</v>
      </c>
      <c r="R691" t="str">
        <f t="shared" si="10"/>
        <v>ONCOCC3</v>
      </c>
      <c r="S691" t="s">
        <v>1195</v>
      </c>
      <c r="T691" t="s">
        <v>1196</v>
      </c>
      <c r="U691" t="s">
        <v>1197</v>
      </c>
      <c r="V691" t="s">
        <v>1198</v>
      </c>
    </row>
    <row r="692" spans="15:22" x14ac:dyDescent="0.25">
      <c r="O692" t="s">
        <v>1891</v>
      </c>
      <c r="P692" t="s">
        <v>156</v>
      </c>
      <c r="Q692" t="s">
        <v>762</v>
      </c>
      <c r="R692" t="str">
        <f t="shared" si="10"/>
        <v>ONCOCD3</v>
      </c>
      <c r="S692" t="s">
        <v>1199</v>
      </c>
      <c r="T692" t="s">
        <v>1200</v>
      </c>
      <c r="U692" t="s">
        <v>1201</v>
      </c>
      <c r="V692" t="s">
        <v>1202</v>
      </c>
    </row>
    <row r="693" spans="15:22" x14ac:dyDescent="0.25">
      <c r="O693" t="s">
        <v>1891</v>
      </c>
      <c r="P693" t="s">
        <v>156</v>
      </c>
      <c r="Q693" t="s">
        <v>767</v>
      </c>
      <c r="R693" t="str">
        <f t="shared" si="10"/>
        <v>ONCOCE3</v>
      </c>
      <c r="S693" t="s">
        <v>1203</v>
      </c>
      <c r="T693" t="s">
        <v>1204</v>
      </c>
      <c r="U693" t="s">
        <v>1205</v>
      </c>
      <c r="V693" t="s">
        <v>1206</v>
      </c>
    </row>
    <row r="694" spans="15:22" x14ac:dyDescent="0.25">
      <c r="O694" t="s">
        <v>1891</v>
      </c>
      <c r="P694" t="s">
        <v>156</v>
      </c>
      <c r="Q694" t="s">
        <v>772</v>
      </c>
      <c r="R694" t="str">
        <f t="shared" si="10"/>
        <v>ONCOCF3</v>
      </c>
      <c r="S694" t="s">
        <v>1207</v>
      </c>
      <c r="T694" t="s">
        <v>1208</v>
      </c>
      <c r="U694" t="s">
        <v>1209</v>
      </c>
      <c r="V694" t="s">
        <v>1210</v>
      </c>
    </row>
    <row r="695" spans="15:22" x14ac:dyDescent="0.25">
      <c r="O695" t="s">
        <v>1891</v>
      </c>
      <c r="P695" t="s">
        <v>156</v>
      </c>
      <c r="Q695" t="s">
        <v>777</v>
      </c>
      <c r="R695" t="str">
        <f t="shared" si="10"/>
        <v>ONCOCG3</v>
      </c>
      <c r="S695" t="s">
        <v>1211</v>
      </c>
      <c r="T695" t="s">
        <v>1212</v>
      </c>
      <c r="U695" t="s">
        <v>1213</v>
      </c>
      <c r="V695" t="s">
        <v>1214</v>
      </c>
    </row>
    <row r="696" spans="15:22" x14ac:dyDescent="0.25">
      <c r="O696" t="s">
        <v>1891</v>
      </c>
      <c r="P696" t="s">
        <v>156</v>
      </c>
      <c r="Q696" t="s">
        <v>782</v>
      </c>
      <c r="R696" t="str">
        <f t="shared" si="10"/>
        <v>ONCOCH3</v>
      </c>
      <c r="S696" t="s">
        <v>1215</v>
      </c>
      <c r="T696" t="s">
        <v>1216</v>
      </c>
      <c r="U696" t="s">
        <v>1217</v>
      </c>
      <c r="V696" t="s">
        <v>1218</v>
      </c>
    </row>
    <row r="697" spans="15:22" x14ac:dyDescent="0.25">
      <c r="O697" t="s">
        <v>1891</v>
      </c>
      <c r="P697" t="s">
        <v>156</v>
      </c>
      <c r="Q697" t="s">
        <v>787</v>
      </c>
      <c r="R697" t="str">
        <f t="shared" si="10"/>
        <v>ONCOCA4</v>
      </c>
      <c r="S697" t="s">
        <v>1219</v>
      </c>
      <c r="T697" t="s">
        <v>1220</v>
      </c>
      <c r="U697" t="s">
        <v>1221</v>
      </c>
      <c r="V697" t="s">
        <v>1222</v>
      </c>
    </row>
    <row r="698" spans="15:22" x14ac:dyDescent="0.25">
      <c r="O698" t="s">
        <v>1891</v>
      </c>
      <c r="P698" t="s">
        <v>156</v>
      </c>
      <c r="Q698" t="s">
        <v>792</v>
      </c>
      <c r="R698" t="str">
        <f t="shared" si="10"/>
        <v>ONCOCB4</v>
      </c>
      <c r="S698" t="s">
        <v>1223</v>
      </c>
      <c r="T698" t="s">
        <v>1224</v>
      </c>
      <c r="U698" t="s">
        <v>1225</v>
      </c>
      <c r="V698" t="s">
        <v>1226</v>
      </c>
    </row>
    <row r="699" spans="15:22" x14ac:dyDescent="0.25">
      <c r="O699" t="s">
        <v>1891</v>
      </c>
      <c r="P699" t="s">
        <v>156</v>
      </c>
      <c r="Q699" t="s">
        <v>797</v>
      </c>
      <c r="R699" t="str">
        <f t="shared" si="10"/>
        <v>ONCOCC4</v>
      </c>
      <c r="S699" t="s">
        <v>1227</v>
      </c>
      <c r="T699" t="s">
        <v>1228</v>
      </c>
      <c r="U699" t="s">
        <v>1229</v>
      </c>
      <c r="V699" t="s">
        <v>1230</v>
      </c>
    </row>
    <row r="700" spans="15:22" x14ac:dyDescent="0.25">
      <c r="O700" t="s">
        <v>1891</v>
      </c>
      <c r="P700" t="s">
        <v>156</v>
      </c>
      <c r="Q700" t="s">
        <v>802</v>
      </c>
      <c r="R700" t="str">
        <f t="shared" si="10"/>
        <v>ONCOCD4</v>
      </c>
      <c r="S700" t="s">
        <v>1231</v>
      </c>
      <c r="T700" t="s">
        <v>1232</v>
      </c>
      <c r="U700" t="s">
        <v>1233</v>
      </c>
      <c r="V700" t="s">
        <v>1234</v>
      </c>
    </row>
    <row r="701" spans="15:22" x14ac:dyDescent="0.25">
      <c r="O701" t="s">
        <v>1891</v>
      </c>
      <c r="P701" t="s">
        <v>156</v>
      </c>
      <c r="Q701" t="s">
        <v>807</v>
      </c>
      <c r="R701" t="str">
        <f t="shared" si="10"/>
        <v>ONCOCE4</v>
      </c>
      <c r="S701" t="s">
        <v>1235</v>
      </c>
      <c r="T701" t="s">
        <v>1236</v>
      </c>
      <c r="U701" t="s">
        <v>1237</v>
      </c>
      <c r="V701" t="s">
        <v>1238</v>
      </c>
    </row>
    <row r="702" spans="15:22" x14ac:dyDescent="0.25">
      <c r="O702" t="s">
        <v>1891</v>
      </c>
      <c r="P702" t="s">
        <v>156</v>
      </c>
      <c r="Q702" t="s">
        <v>812</v>
      </c>
      <c r="R702" t="str">
        <f t="shared" si="10"/>
        <v>ONCOCF4</v>
      </c>
      <c r="S702" t="s">
        <v>1239</v>
      </c>
      <c r="T702" t="s">
        <v>1240</v>
      </c>
      <c r="U702" t="s">
        <v>1241</v>
      </c>
      <c r="V702" t="s">
        <v>1242</v>
      </c>
    </row>
    <row r="703" spans="15:22" x14ac:dyDescent="0.25">
      <c r="O703" t="s">
        <v>1891</v>
      </c>
      <c r="P703" t="s">
        <v>156</v>
      </c>
      <c r="Q703" t="s">
        <v>817</v>
      </c>
      <c r="R703" t="str">
        <f t="shared" si="10"/>
        <v>ONCOCG4</v>
      </c>
      <c r="S703" t="s">
        <v>1243</v>
      </c>
      <c r="T703" t="s">
        <v>1244</v>
      </c>
      <c r="U703" t="s">
        <v>1245</v>
      </c>
      <c r="V703" t="s">
        <v>1246</v>
      </c>
    </row>
    <row r="704" spans="15:22" x14ac:dyDescent="0.25">
      <c r="O704" t="s">
        <v>1891</v>
      </c>
      <c r="P704" t="s">
        <v>156</v>
      </c>
      <c r="Q704" t="s">
        <v>822</v>
      </c>
      <c r="R704" t="str">
        <f t="shared" si="10"/>
        <v>ONCOCH4</v>
      </c>
      <c r="S704" t="s">
        <v>1247</v>
      </c>
      <c r="T704" t="s">
        <v>1248</v>
      </c>
      <c r="U704" t="s">
        <v>1249</v>
      </c>
      <c r="V704" t="s">
        <v>1250</v>
      </c>
    </row>
    <row r="705" spans="15:22" x14ac:dyDescent="0.25">
      <c r="O705" t="s">
        <v>1891</v>
      </c>
      <c r="P705" t="s">
        <v>156</v>
      </c>
      <c r="Q705" t="s">
        <v>827</v>
      </c>
      <c r="R705" t="str">
        <f t="shared" ref="R705:R768" si="11">O705&amp;P705&amp;Q705</f>
        <v>ONCOCA5</v>
      </c>
      <c r="S705" t="s">
        <v>1251</v>
      </c>
      <c r="T705" t="s">
        <v>1252</v>
      </c>
      <c r="U705" t="s">
        <v>1253</v>
      </c>
      <c r="V705" t="s">
        <v>1254</v>
      </c>
    </row>
    <row r="706" spans="15:22" x14ac:dyDescent="0.25">
      <c r="O706" t="s">
        <v>1891</v>
      </c>
      <c r="P706" t="s">
        <v>156</v>
      </c>
      <c r="Q706" t="s">
        <v>832</v>
      </c>
      <c r="R706" t="str">
        <f t="shared" si="11"/>
        <v>ONCOCB5</v>
      </c>
      <c r="S706" t="s">
        <v>1255</v>
      </c>
      <c r="T706" t="s">
        <v>1256</v>
      </c>
      <c r="U706" t="s">
        <v>1257</v>
      </c>
      <c r="V706" t="s">
        <v>1258</v>
      </c>
    </row>
    <row r="707" spans="15:22" x14ac:dyDescent="0.25">
      <c r="O707" t="s">
        <v>1891</v>
      </c>
      <c r="P707" t="s">
        <v>156</v>
      </c>
      <c r="Q707" t="s">
        <v>837</v>
      </c>
      <c r="R707" t="str">
        <f t="shared" si="11"/>
        <v>ONCOCC5</v>
      </c>
      <c r="S707" t="s">
        <v>1259</v>
      </c>
      <c r="T707" t="s">
        <v>1260</v>
      </c>
      <c r="U707" t="s">
        <v>1261</v>
      </c>
      <c r="V707" t="s">
        <v>1262</v>
      </c>
    </row>
    <row r="708" spans="15:22" x14ac:dyDescent="0.25">
      <c r="O708" t="s">
        <v>1891</v>
      </c>
      <c r="P708" t="s">
        <v>156</v>
      </c>
      <c r="Q708" t="s">
        <v>842</v>
      </c>
      <c r="R708" t="str">
        <f t="shared" si="11"/>
        <v>ONCOCD5</v>
      </c>
      <c r="S708" t="s">
        <v>1263</v>
      </c>
      <c r="T708" t="s">
        <v>1264</v>
      </c>
      <c r="U708" t="s">
        <v>1265</v>
      </c>
      <c r="V708" t="s">
        <v>1266</v>
      </c>
    </row>
    <row r="709" spans="15:22" x14ac:dyDescent="0.25">
      <c r="O709" t="s">
        <v>1891</v>
      </c>
      <c r="P709" t="s">
        <v>156</v>
      </c>
      <c r="Q709" t="s">
        <v>847</v>
      </c>
      <c r="R709" t="str">
        <f t="shared" si="11"/>
        <v>ONCOCE5</v>
      </c>
      <c r="S709" t="s">
        <v>1267</v>
      </c>
      <c r="T709" t="s">
        <v>1268</v>
      </c>
      <c r="U709" t="s">
        <v>1269</v>
      </c>
      <c r="V709" t="s">
        <v>1270</v>
      </c>
    </row>
    <row r="710" spans="15:22" x14ac:dyDescent="0.25">
      <c r="O710" t="s">
        <v>1891</v>
      </c>
      <c r="P710" t="s">
        <v>156</v>
      </c>
      <c r="Q710" t="s">
        <v>852</v>
      </c>
      <c r="R710" t="str">
        <f t="shared" si="11"/>
        <v>ONCOCF5</v>
      </c>
      <c r="S710" t="s">
        <v>1271</v>
      </c>
      <c r="T710" t="s">
        <v>1272</v>
      </c>
      <c r="U710" t="s">
        <v>1273</v>
      </c>
      <c r="V710" t="s">
        <v>1274</v>
      </c>
    </row>
    <row r="711" spans="15:22" x14ac:dyDescent="0.25">
      <c r="O711" t="s">
        <v>1891</v>
      </c>
      <c r="P711" t="s">
        <v>156</v>
      </c>
      <c r="Q711" t="s">
        <v>857</v>
      </c>
      <c r="R711" t="str">
        <f t="shared" si="11"/>
        <v>ONCOCG5</v>
      </c>
      <c r="S711" t="s">
        <v>1275</v>
      </c>
      <c r="T711" t="s">
        <v>1276</v>
      </c>
      <c r="U711" t="s">
        <v>1277</v>
      </c>
      <c r="V711" t="s">
        <v>1278</v>
      </c>
    </row>
    <row r="712" spans="15:22" x14ac:dyDescent="0.25">
      <c r="O712" t="s">
        <v>1891</v>
      </c>
      <c r="P712" t="s">
        <v>156</v>
      </c>
      <c r="Q712" t="s">
        <v>862</v>
      </c>
      <c r="R712" t="str">
        <f t="shared" si="11"/>
        <v>ONCOCH5</v>
      </c>
      <c r="S712" t="s">
        <v>1279</v>
      </c>
      <c r="T712" t="s">
        <v>1280</v>
      </c>
      <c r="U712" t="s">
        <v>1281</v>
      </c>
      <c r="V712" t="s">
        <v>1282</v>
      </c>
    </row>
    <row r="713" spans="15:22" x14ac:dyDescent="0.25">
      <c r="O713" t="s">
        <v>1891</v>
      </c>
      <c r="P713" t="s">
        <v>156</v>
      </c>
      <c r="Q713" t="s">
        <v>867</v>
      </c>
      <c r="R713" t="str">
        <f t="shared" si="11"/>
        <v>ONCOCA6</v>
      </c>
      <c r="S713" t="s">
        <v>1283</v>
      </c>
      <c r="T713" t="s">
        <v>1284</v>
      </c>
      <c r="U713" t="s">
        <v>1285</v>
      </c>
      <c r="V713" t="s">
        <v>1286</v>
      </c>
    </row>
    <row r="714" spans="15:22" x14ac:dyDescent="0.25">
      <c r="O714" t="s">
        <v>1891</v>
      </c>
      <c r="P714" t="s">
        <v>156</v>
      </c>
      <c r="Q714" t="s">
        <v>872</v>
      </c>
      <c r="R714" t="str">
        <f t="shared" si="11"/>
        <v>ONCOCB6</v>
      </c>
      <c r="S714" t="s">
        <v>1287</v>
      </c>
      <c r="T714" t="s">
        <v>1288</v>
      </c>
      <c r="U714" t="s">
        <v>1289</v>
      </c>
      <c r="V714" t="s">
        <v>1290</v>
      </c>
    </row>
    <row r="715" spans="15:22" x14ac:dyDescent="0.25">
      <c r="O715" t="s">
        <v>1891</v>
      </c>
      <c r="P715" t="s">
        <v>156</v>
      </c>
      <c r="Q715" t="s">
        <v>877</v>
      </c>
      <c r="R715" t="str">
        <f t="shared" si="11"/>
        <v>ONCOCC6</v>
      </c>
      <c r="S715" t="s">
        <v>1291</v>
      </c>
      <c r="T715" t="s">
        <v>1292</v>
      </c>
      <c r="U715" t="s">
        <v>1293</v>
      </c>
      <c r="V715" t="s">
        <v>1294</v>
      </c>
    </row>
    <row r="716" spans="15:22" x14ac:dyDescent="0.25">
      <c r="O716" t="s">
        <v>1891</v>
      </c>
      <c r="P716" t="s">
        <v>156</v>
      </c>
      <c r="Q716" t="s">
        <v>882</v>
      </c>
      <c r="R716" t="str">
        <f t="shared" si="11"/>
        <v>ONCOCD6</v>
      </c>
      <c r="S716" t="s">
        <v>1295</v>
      </c>
      <c r="T716" t="s">
        <v>1296</v>
      </c>
      <c r="U716" t="s">
        <v>1297</v>
      </c>
      <c r="V716" t="s">
        <v>1298</v>
      </c>
    </row>
    <row r="717" spans="15:22" x14ac:dyDescent="0.25">
      <c r="O717" t="s">
        <v>1891</v>
      </c>
      <c r="P717" t="s">
        <v>156</v>
      </c>
      <c r="Q717" t="s">
        <v>887</v>
      </c>
      <c r="R717" t="str">
        <f t="shared" si="11"/>
        <v>ONCOCE6</v>
      </c>
      <c r="S717" t="s">
        <v>1299</v>
      </c>
      <c r="T717" t="s">
        <v>1300</v>
      </c>
      <c r="U717" t="s">
        <v>1301</v>
      </c>
      <c r="V717" t="s">
        <v>1302</v>
      </c>
    </row>
    <row r="718" spans="15:22" x14ac:dyDescent="0.25">
      <c r="O718" t="s">
        <v>1891</v>
      </c>
      <c r="P718" t="s">
        <v>156</v>
      </c>
      <c r="Q718" t="s">
        <v>892</v>
      </c>
      <c r="R718" t="str">
        <f t="shared" si="11"/>
        <v>ONCOCF6</v>
      </c>
      <c r="S718" t="s">
        <v>1303</v>
      </c>
      <c r="T718" t="s">
        <v>1304</v>
      </c>
      <c r="U718" t="s">
        <v>1305</v>
      </c>
      <c r="V718" t="s">
        <v>1306</v>
      </c>
    </row>
    <row r="719" spans="15:22" x14ac:dyDescent="0.25">
      <c r="O719" t="s">
        <v>1891</v>
      </c>
      <c r="P719" t="s">
        <v>156</v>
      </c>
      <c r="Q719" t="s">
        <v>897</v>
      </c>
      <c r="R719" t="str">
        <f t="shared" si="11"/>
        <v>ONCOCG6</v>
      </c>
      <c r="S719" t="s">
        <v>1307</v>
      </c>
      <c r="T719" t="s">
        <v>1308</v>
      </c>
      <c r="U719" t="s">
        <v>1309</v>
      </c>
      <c r="V719" t="s">
        <v>1310</v>
      </c>
    </row>
    <row r="720" spans="15:22" x14ac:dyDescent="0.25">
      <c r="O720" t="s">
        <v>1891</v>
      </c>
      <c r="P720" t="s">
        <v>156</v>
      </c>
      <c r="Q720" t="s">
        <v>902</v>
      </c>
      <c r="R720" t="str">
        <f t="shared" si="11"/>
        <v>ONCOCH6</v>
      </c>
      <c r="S720" t="s">
        <v>1311</v>
      </c>
      <c r="T720" t="s">
        <v>1312</v>
      </c>
      <c r="U720" t="s">
        <v>1313</v>
      </c>
      <c r="V720" t="s">
        <v>1314</v>
      </c>
    </row>
    <row r="721" spans="15:22" x14ac:dyDescent="0.25">
      <c r="O721" t="s">
        <v>1891</v>
      </c>
      <c r="P721" t="s">
        <v>156</v>
      </c>
      <c r="Q721" t="s">
        <v>907</v>
      </c>
      <c r="R721" t="str">
        <f t="shared" si="11"/>
        <v>ONCOCA7</v>
      </c>
      <c r="S721" t="s">
        <v>1315</v>
      </c>
      <c r="T721" t="s">
        <v>1316</v>
      </c>
      <c r="U721" t="s">
        <v>1317</v>
      </c>
      <c r="V721" t="s">
        <v>1318</v>
      </c>
    </row>
    <row r="722" spans="15:22" x14ac:dyDescent="0.25">
      <c r="O722" t="s">
        <v>1891</v>
      </c>
      <c r="P722" t="s">
        <v>156</v>
      </c>
      <c r="Q722" t="s">
        <v>912</v>
      </c>
      <c r="R722" t="str">
        <f t="shared" si="11"/>
        <v>ONCOCB7</v>
      </c>
      <c r="S722" t="s">
        <v>1319</v>
      </c>
      <c r="T722" t="s">
        <v>1320</v>
      </c>
      <c r="U722" t="s">
        <v>1321</v>
      </c>
      <c r="V722" t="s">
        <v>1322</v>
      </c>
    </row>
    <row r="723" spans="15:22" x14ac:dyDescent="0.25">
      <c r="O723" t="s">
        <v>1891</v>
      </c>
      <c r="P723" t="s">
        <v>156</v>
      </c>
      <c r="Q723" t="s">
        <v>917</v>
      </c>
      <c r="R723" t="str">
        <f t="shared" si="11"/>
        <v>ONCOCC7</v>
      </c>
      <c r="S723" t="s">
        <v>1323</v>
      </c>
      <c r="T723" t="s">
        <v>1324</v>
      </c>
      <c r="U723" t="s">
        <v>1325</v>
      </c>
      <c r="V723" t="s">
        <v>1326</v>
      </c>
    </row>
    <row r="724" spans="15:22" x14ac:dyDescent="0.25">
      <c r="O724" t="s">
        <v>1891</v>
      </c>
      <c r="P724" t="s">
        <v>156</v>
      </c>
      <c r="Q724" t="s">
        <v>922</v>
      </c>
      <c r="R724" t="str">
        <f t="shared" si="11"/>
        <v>ONCOCD7</v>
      </c>
      <c r="S724" t="s">
        <v>1327</v>
      </c>
      <c r="T724" t="s">
        <v>1328</v>
      </c>
      <c r="U724" t="s">
        <v>1329</v>
      </c>
      <c r="V724" t="s">
        <v>1330</v>
      </c>
    </row>
    <row r="725" spans="15:22" x14ac:dyDescent="0.25">
      <c r="O725" t="s">
        <v>1891</v>
      </c>
      <c r="P725" t="s">
        <v>156</v>
      </c>
      <c r="Q725" t="s">
        <v>927</v>
      </c>
      <c r="R725" t="str">
        <f t="shared" si="11"/>
        <v>ONCOCE7</v>
      </c>
      <c r="S725" t="s">
        <v>1331</v>
      </c>
      <c r="T725" t="s">
        <v>1332</v>
      </c>
      <c r="U725" t="s">
        <v>1333</v>
      </c>
      <c r="V725" t="s">
        <v>1334</v>
      </c>
    </row>
    <row r="726" spans="15:22" x14ac:dyDescent="0.25">
      <c r="O726" t="s">
        <v>1891</v>
      </c>
      <c r="P726" t="s">
        <v>156</v>
      </c>
      <c r="Q726" t="s">
        <v>932</v>
      </c>
      <c r="R726" t="str">
        <f t="shared" si="11"/>
        <v>ONCOCF7</v>
      </c>
      <c r="S726" t="s">
        <v>1335</v>
      </c>
      <c r="T726" t="s">
        <v>1336</v>
      </c>
      <c r="U726" t="s">
        <v>1337</v>
      </c>
      <c r="V726" t="s">
        <v>1338</v>
      </c>
    </row>
    <row r="727" spans="15:22" x14ac:dyDescent="0.25">
      <c r="O727" t="s">
        <v>1891</v>
      </c>
      <c r="P727" t="s">
        <v>156</v>
      </c>
      <c r="Q727" t="s">
        <v>937</v>
      </c>
      <c r="R727" t="str">
        <f t="shared" si="11"/>
        <v>ONCOCG7</v>
      </c>
      <c r="S727" t="s">
        <v>1339</v>
      </c>
      <c r="T727" t="s">
        <v>1340</v>
      </c>
      <c r="U727" t="s">
        <v>1341</v>
      </c>
      <c r="V727" t="s">
        <v>1342</v>
      </c>
    </row>
    <row r="728" spans="15:22" x14ac:dyDescent="0.25">
      <c r="O728" t="s">
        <v>1891</v>
      </c>
      <c r="P728" t="s">
        <v>156</v>
      </c>
      <c r="Q728" t="s">
        <v>942</v>
      </c>
      <c r="R728" t="str">
        <f t="shared" si="11"/>
        <v>ONCOCH7</v>
      </c>
      <c r="S728" t="s">
        <v>1343</v>
      </c>
      <c r="T728" t="s">
        <v>1344</v>
      </c>
      <c r="U728" t="s">
        <v>1345</v>
      </c>
      <c r="V728" t="s">
        <v>1346</v>
      </c>
    </row>
    <row r="729" spans="15:22" x14ac:dyDescent="0.25">
      <c r="O729" t="s">
        <v>1891</v>
      </c>
      <c r="P729" t="s">
        <v>156</v>
      </c>
      <c r="Q729" t="s">
        <v>947</v>
      </c>
      <c r="R729" t="str">
        <f t="shared" si="11"/>
        <v>ONCOCA8</v>
      </c>
      <c r="S729" t="s">
        <v>1347</v>
      </c>
      <c r="T729" t="s">
        <v>1348</v>
      </c>
      <c r="U729" t="s">
        <v>1349</v>
      </c>
      <c r="V729" t="s">
        <v>1350</v>
      </c>
    </row>
    <row r="730" spans="15:22" x14ac:dyDescent="0.25">
      <c r="O730" t="s">
        <v>1891</v>
      </c>
      <c r="P730" t="s">
        <v>156</v>
      </c>
      <c r="Q730" t="s">
        <v>952</v>
      </c>
      <c r="R730" t="str">
        <f t="shared" si="11"/>
        <v>ONCOCB8</v>
      </c>
      <c r="S730" t="s">
        <v>1351</v>
      </c>
      <c r="T730" t="s">
        <v>1352</v>
      </c>
      <c r="U730" t="s">
        <v>1353</v>
      </c>
      <c r="V730" t="s">
        <v>1354</v>
      </c>
    </row>
    <row r="731" spans="15:22" x14ac:dyDescent="0.25">
      <c r="O731" t="s">
        <v>1891</v>
      </c>
      <c r="P731" t="s">
        <v>156</v>
      </c>
      <c r="Q731" t="s">
        <v>957</v>
      </c>
      <c r="R731" t="str">
        <f t="shared" si="11"/>
        <v>ONCOCC8</v>
      </c>
      <c r="S731" t="s">
        <v>1355</v>
      </c>
      <c r="T731" t="s">
        <v>1356</v>
      </c>
      <c r="U731" t="s">
        <v>1357</v>
      </c>
      <c r="V731" t="s">
        <v>1358</v>
      </c>
    </row>
    <row r="732" spans="15:22" x14ac:dyDescent="0.25">
      <c r="O732" t="s">
        <v>1891</v>
      </c>
      <c r="P732" t="s">
        <v>156</v>
      </c>
      <c r="Q732" t="s">
        <v>962</v>
      </c>
      <c r="R732" t="str">
        <f t="shared" si="11"/>
        <v>ONCOCD8</v>
      </c>
      <c r="S732" t="s">
        <v>1359</v>
      </c>
      <c r="T732" t="s">
        <v>1360</v>
      </c>
      <c r="U732" t="s">
        <v>1361</v>
      </c>
      <c r="V732" t="s">
        <v>1362</v>
      </c>
    </row>
    <row r="733" spans="15:22" x14ac:dyDescent="0.25">
      <c r="O733" t="s">
        <v>1891</v>
      </c>
      <c r="P733" t="s">
        <v>156</v>
      </c>
      <c r="Q733" t="s">
        <v>967</v>
      </c>
      <c r="R733" t="str">
        <f t="shared" si="11"/>
        <v>ONCOCE8</v>
      </c>
      <c r="S733" t="s">
        <v>1363</v>
      </c>
      <c r="T733" t="s">
        <v>1364</v>
      </c>
      <c r="U733" t="s">
        <v>1365</v>
      </c>
      <c r="V733" t="s">
        <v>1366</v>
      </c>
    </row>
    <row r="734" spans="15:22" x14ac:dyDescent="0.25">
      <c r="O734" t="s">
        <v>1891</v>
      </c>
      <c r="P734" t="s">
        <v>156</v>
      </c>
      <c r="Q734" t="s">
        <v>972</v>
      </c>
      <c r="R734" t="str">
        <f t="shared" si="11"/>
        <v>ONCOCF8</v>
      </c>
      <c r="S734" t="s">
        <v>1367</v>
      </c>
      <c r="T734" t="s">
        <v>1368</v>
      </c>
      <c r="U734" t="s">
        <v>1369</v>
      </c>
      <c r="V734" t="s">
        <v>1370</v>
      </c>
    </row>
    <row r="735" spans="15:22" x14ac:dyDescent="0.25">
      <c r="O735" t="s">
        <v>1891</v>
      </c>
      <c r="P735" t="s">
        <v>156</v>
      </c>
      <c r="Q735" t="s">
        <v>977</v>
      </c>
      <c r="R735" t="str">
        <f t="shared" si="11"/>
        <v>ONCOCG8</v>
      </c>
      <c r="S735" t="s">
        <v>1371</v>
      </c>
      <c r="T735" t="s">
        <v>1372</v>
      </c>
      <c r="U735" t="s">
        <v>1373</v>
      </c>
      <c r="V735" t="s">
        <v>1374</v>
      </c>
    </row>
    <row r="736" spans="15:22" x14ac:dyDescent="0.25">
      <c r="O736" t="s">
        <v>1891</v>
      </c>
      <c r="P736" t="s">
        <v>156</v>
      </c>
      <c r="Q736" t="s">
        <v>982</v>
      </c>
      <c r="R736" t="str">
        <f t="shared" si="11"/>
        <v>ONCOCH8</v>
      </c>
      <c r="S736" t="s">
        <v>1375</v>
      </c>
      <c r="T736" t="s">
        <v>1376</v>
      </c>
      <c r="U736" t="s">
        <v>1377</v>
      </c>
      <c r="V736" t="s">
        <v>1378</v>
      </c>
    </row>
    <row r="737" spans="15:22" x14ac:dyDescent="0.25">
      <c r="O737" t="s">
        <v>1891</v>
      </c>
      <c r="P737" t="s">
        <v>156</v>
      </c>
      <c r="Q737" t="s">
        <v>987</v>
      </c>
      <c r="R737" t="str">
        <f t="shared" si="11"/>
        <v>ONCOCA9</v>
      </c>
      <c r="S737" t="s">
        <v>1379</v>
      </c>
      <c r="T737" t="s">
        <v>1380</v>
      </c>
      <c r="U737" t="s">
        <v>1381</v>
      </c>
      <c r="V737" t="s">
        <v>1382</v>
      </c>
    </row>
    <row r="738" spans="15:22" x14ac:dyDescent="0.25">
      <c r="O738" t="s">
        <v>1891</v>
      </c>
      <c r="P738" t="s">
        <v>156</v>
      </c>
      <c r="Q738" t="s">
        <v>992</v>
      </c>
      <c r="R738" t="str">
        <f t="shared" si="11"/>
        <v>ONCOCB9</v>
      </c>
      <c r="S738" t="s">
        <v>1383</v>
      </c>
      <c r="T738" t="s">
        <v>1384</v>
      </c>
      <c r="U738" t="s">
        <v>1385</v>
      </c>
      <c r="V738" t="s">
        <v>1386</v>
      </c>
    </row>
    <row r="739" spans="15:22" x14ac:dyDescent="0.25">
      <c r="O739" t="s">
        <v>1891</v>
      </c>
      <c r="P739" t="s">
        <v>156</v>
      </c>
      <c r="Q739" t="s">
        <v>997</v>
      </c>
      <c r="R739" t="str">
        <f t="shared" si="11"/>
        <v>ONCOCC9</v>
      </c>
      <c r="S739" t="s">
        <v>1387</v>
      </c>
      <c r="T739" t="s">
        <v>1388</v>
      </c>
      <c r="U739" t="s">
        <v>1389</v>
      </c>
      <c r="V739" t="s">
        <v>1390</v>
      </c>
    </row>
    <row r="740" spans="15:22" x14ac:dyDescent="0.25">
      <c r="O740" t="s">
        <v>1891</v>
      </c>
      <c r="P740" t="s">
        <v>156</v>
      </c>
      <c r="Q740" t="s">
        <v>1002</v>
      </c>
      <c r="R740" t="str">
        <f t="shared" si="11"/>
        <v>ONCOCD9</v>
      </c>
      <c r="S740" t="s">
        <v>1391</v>
      </c>
      <c r="T740" t="s">
        <v>1392</v>
      </c>
      <c r="U740" t="s">
        <v>1393</v>
      </c>
      <c r="V740" t="s">
        <v>1394</v>
      </c>
    </row>
    <row r="741" spans="15:22" x14ac:dyDescent="0.25">
      <c r="O741" t="s">
        <v>1891</v>
      </c>
      <c r="P741" t="s">
        <v>156</v>
      </c>
      <c r="Q741" t="s">
        <v>1007</v>
      </c>
      <c r="R741" t="str">
        <f t="shared" si="11"/>
        <v>ONCOCE9</v>
      </c>
      <c r="S741" t="s">
        <v>1395</v>
      </c>
      <c r="T741" t="s">
        <v>1396</v>
      </c>
      <c r="U741" t="s">
        <v>1397</v>
      </c>
      <c r="V741" t="s">
        <v>1398</v>
      </c>
    </row>
    <row r="742" spans="15:22" x14ac:dyDescent="0.25">
      <c r="O742" t="s">
        <v>1891</v>
      </c>
      <c r="P742" t="s">
        <v>156</v>
      </c>
      <c r="Q742" t="s">
        <v>1012</v>
      </c>
      <c r="R742" t="str">
        <f t="shared" si="11"/>
        <v>ONCOCF9</v>
      </c>
      <c r="S742" t="s">
        <v>1399</v>
      </c>
      <c r="T742" t="s">
        <v>1400</v>
      </c>
      <c r="U742" t="s">
        <v>1401</v>
      </c>
      <c r="V742" t="s">
        <v>1402</v>
      </c>
    </row>
    <row r="743" spans="15:22" x14ac:dyDescent="0.25">
      <c r="O743" t="s">
        <v>1891</v>
      </c>
      <c r="P743" t="s">
        <v>156</v>
      </c>
      <c r="Q743" t="s">
        <v>1017</v>
      </c>
      <c r="R743" t="str">
        <f t="shared" si="11"/>
        <v>ONCOCG9</v>
      </c>
      <c r="S743" t="s">
        <v>1403</v>
      </c>
      <c r="T743" t="s">
        <v>1404</v>
      </c>
      <c r="U743" t="s">
        <v>1405</v>
      </c>
      <c r="V743" t="s">
        <v>1406</v>
      </c>
    </row>
    <row r="744" spans="15:22" x14ac:dyDescent="0.25">
      <c r="O744" t="s">
        <v>1891</v>
      </c>
      <c r="P744" t="s">
        <v>156</v>
      </c>
      <c r="Q744" t="s">
        <v>1022</v>
      </c>
      <c r="R744" t="str">
        <f t="shared" si="11"/>
        <v>ONCOCH9</v>
      </c>
      <c r="S744" t="s">
        <v>1407</v>
      </c>
      <c r="T744" t="s">
        <v>1408</v>
      </c>
      <c r="U744" t="s">
        <v>1409</v>
      </c>
      <c r="V744" t="s">
        <v>1410</v>
      </c>
    </row>
    <row r="745" spans="15:22" x14ac:dyDescent="0.25">
      <c r="O745" t="s">
        <v>1891</v>
      </c>
      <c r="P745" t="s">
        <v>156</v>
      </c>
      <c r="Q745" t="s">
        <v>238</v>
      </c>
      <c r="R745" t="str">
        <f t="shared" si="11"/>
        <v>ONCOCA10</v>
      </c>
      <c r="S745" t="s">
        <v>1411</v>
      </c>
      <c r="T745" t="s">
        <v>1412</v>
      </c>
      <c r="U745" t="s">
        <v>1413</v>
      </c>
      <c r="V745" t="s">
        <v>1414</v>
      </c>
    </row>
    <row r="746" spans="15:22" x14ac:dyDescent="0.25">
      <c r="O746" t="s">
        <v>1891</v>
      </c>
      <c r="P746" t="s">
        <v>156</v>
      </c>
      <c r="Q746" t="s">
        <v>239</v>
      </c>
      <c r="R746" t="str">
        <f t="shared" si="11"/>
        <v>ONCOCB10</v>
      </c>
      <c r="S746" t="s">
        <v>1415</v>
      </c>
      <c r="T746" t="s">
        <v>1416</v>
      </c>
      <c r="U746" t="s">
        <v>1417</v>
      </c>
      <c r="V746" t="s">
        <v>1418</v>
      </c>
    </row>
    <row r="747" spans="15:22" x14ac:dyDescent="0.25">
      <c r="O747" t="s">
        <v>1891</v>
      </c>
      <c r="P747" t="s">
        <v>156</v>
      </c>
      <c r="Q747" t="s">
        <v>240</v>
      </c>
      <c r="R747" t="str">
        <f t="shared" si="11"/>
        <v>ONCOCC10</v>
      </c>
      <c r="S747" t="s">
        <v>1419</v>
      </c>
      <c r="T747" t="s">
        <v>1420</v>
      </c>
      <c r="U747" t="s">
        <v>1421</v>
      </c>
      <c r="V747" t="s">
        <v>1422</v>
      </c>
    </row>
    <row r="748" spans="15:22" x14ac:dyDescent="0.25">
      <c r="O748" t="s">
        <v>1891</v>
      </c>
      <c r="P748" t="s">
        <v>156</v>
      </c>
      <c r="Q748" t="s">
        <v>241</v>
      </c>
      <c r="R748" t="str">
        <f t="shared" si="11"/>
        <v>ONCOCD10</v>
      </c>
      <c r="S748" t="s">
        <v>1423</v>
      </c>
      <c r="T748" t="s">
        <v>1424</v>
      </c>
      <c r="U748" t="s">
        <v>1425</v>
      </c>
      <c r="V748" t="s">
        <v>1426</v>
      </c>
    </row>
    <row r="749" spans="15:22" x14ac:dyDescent="0.25">
      <c r="O749" t="s">
        <v>1891</v>
      </c>
      <c r="P749" t="s">
        <v>156</v>
      </c>
      <c r="Q749" t="s">
        <v>242</v>
      </c>
      <c r="R749" t="str">
        <f t="shared" si="11"/>
        <v>ONCOCE10</v>
      </c>
      <c r="S749" t="s">
        <v>1427</v>
      </c>
      <c r="T749" t="s">
        <v>1428</v>
      </c>
      <c r="U749" t="s">
        <v>1429</v>
      </c>
      <c r="V749" t="s">
        <v>1430</v>
      </c>
    </row>
    <row r="750" spans="15:22" x14ac:dyDescent="0.25">
      <c r="O750" t="s">
        <v>1891</v>
      </c>
      <c r="P750" t="s">
        <v>156</v>
      </c>
      <c r="Q750" t="s">
        <v>243</v>
      </c>
      <c r="R750" t="str">
        <f t="shared" si="11"/>
        <v>ONCOCF10</v>
      </c>
      <c r="S750" t="s">
        <v>1431</v>
      </c>
      <c r="T750" t="s">
        <v>1432</v>
      </c>
      <c r="U750" t="s">
        <v>1433</v>
      </c>
      <c r="V750" t="s">
        <v>1434</v>
      </c>
    </row>
    <row r="751" spans="15:22" x14ac:dyDescent="0.25">
      <c r="O751" t="s">
        <v>1891</v>
      </c>
      <c r="P751" t="s">
        <v>156</v>
      </c>
      <c r="Q751" t="s">
        <v>244</v>
      </c>
      <c r="R751" t="str">
        <f t="shared" si="11"/>
        <v>ONCOCG10</v>
      </c>
      <c r="S751" t="s">
        <v>1435</v>
      </c>
      <c r="T751" t="s">
        <v>1436</v>
      </c>
      <c r="U751" t="s">
        <v>1437</v>
      </c>
      <c r="V751" t="s">
        <v>1438</v>
      </c>
    </row>
    <row r="752" spans="15:22" x14ac:dyDescent="0.25">
      <c r="O752" t="s">
        <v>1891</v>
      </c>
      <c r="P752" t="s">
        <v>156</v>
      </c>
      <c r="Q752" t="s">
        <v>246</v>
      </c>
      <c r="R752" t="str">
        <f t="shared" si="11"/>
        <v>ONCOCH10</v>
      </c>
      <c r="S752" t="s">
        <v>1439</v>
      </c>
      <c r="T752" t="s">
        <v>1440</v>
      </c>
      <c r="U752" t="s">
        <v>1441</v>
      </c>
      <c r="V752" t="s">
        <v>1442</v>
      </c>
    </row>
    <row r="753" spans="15:22" x14ac:dyDescent="0.25">
      <c r="O753" t="s">
        <v>1891</v>
      </c>
      <c r="P753" t="s">
        <v>156</v>
      </c>
      <c r="Q753" t="s">
        <v>248</v>
      </c>
      <c r="R753" t="str">
        <f t="shared" si="11"/>
        <v>ONCOCA11</v>
      </c>
      <c r="S753" t="s">
        <v>1443</v>
      </c>
      <c r="T753" t="s">
        <v>1444</v>
      </c>
      <c r="U753" t="s">
        <v>1445</v>
      </c>
      <c r="V753" t="s">
        <v>1446</v>
      </c>
    </row>
    <row r="754" spans="15:22" x14ac:dyDescent="0.25">
      <c r="O754" t="s">
        <v>1891</v>
      </c>
      <c r="P754" t="s">
        <v>156</v>
      </c>
      <c r="Q754" t="s">
        <v>250</v>
      </c>
      <c r="R754" t="str">
        <f t="shared" si="11"/>
        <v>ONCOCB11</v>
      </c>
      <c r="S754" t="s">
        <v>1447</v>
      </c>
      <c r="T754" t="s">
        <v>1448</v>
      </c>
      <c r="U754" t="s">
        <v>1449</v>
      </c>
      <c r="V754" t="s">
        <v>1450</v>
      </c>
    </row>
    <row r="755" spans="15:22" x14ac:dyDescent="0.25">
      <c r="O755" t="s">
        <v>1891</v>
      </c>
      <c r="P755" t="s">
        <v>156</v>
      </c>
      <c r="Q755" t="s">
        <v>252</v>
      </c>
      <c r="R755" t="str">
        <f t="shared" si="11"/>
        <v>ONCOCC11</v>
      </c>
      <c r="S755" t="s">
        <v>1451</v>
      </c>
      <c r="T755" t="s">
        <v>1452</v>
      </c>
      <c r="U755" t="s">
        <v>1453</v>
      </c>
      <c r="V755" t="s">
        <v>1454</v>
      </c>
    </row>
    <row r="756" spans="15:22" x14ac:dyDescent="0.25">
      <c r="O756" t="s">
        <v>1891</v>
      </c>
      <c r="P756" t="s">
        <v>156</v>
      </c>
      <c r="Q756" t="s">
        <v>254</v>
      </c>
      <c r="R756" t="str">
        <f t="shared" si="11"/>
        <v>ONCOCD11</v>
      </c>
      <c r="S756" t="s">
        <v>1455</v>
      </c>
      <c r="T756" t="s">
        <v>1456</v>
      </c>
      <c r="U756" t="s">
        <v>1457</v>
      </c>
      <c r="V756" t="s">
        <v>1458</v>
      </c>
    </row>
    <row r="757" spans="15:22" x14ac:dyDescent="0.25">
      <c r="O757" t="s">
        <v>1891</v>
      </c>
      <c r="P757" t="s">
        <v>156</v>
      </c>
      <c r="Q757" t="s">
        <v>256</v>
      </c>
      <c r="R757" t="str">
        <f t="shared" si="11"/>
        <v>ONCOCE11</v>
      </c>
      <c r="S757" t="s">
        <v>1459</v>
      </c>
      <c r="T757" t="s">
        <v>1460</v>
      </c>
      <c r="U757" t="s">
        <v>1461</v>
      </c>
      <c r="V757" t="s">
        <v>1462</v>
      </c>
    </row>
    <row r="758" spans="15:22" x14ac:dyDescent="0.25">
      <c r="O758" t="s">
        <v>1891</v>
      </c>
      <c r="P758" t="s">
        <v>156</v>
      </c>
      <c r="Q758" t="s">
        <v>258</v>
      </c>
      <c r="R758" t="str">
        <f t="shared" si="11"/>
        <v>ONCOCF11</v>
      </c>
      <c r="S758" t="s">
        <v>1463</v>
      </c>
      <c r="T758" t="s">
        <v>1464</v>
      </c>
      <c r="U758" t="s">
        <v>1465</v>
      </c>
      <c r="V758" t="s">
        <v>1466</v>
      </c>
    </row>
    <row r="759" spans="15:22" x14ac:dyDescent="0.25">
      <c r="O759" t="s">
        <v>1891</v>
      </c>
      <c r="P759" t="s">
        <v>156</v>
      </c>
      <c r="Q759" t="s">
        <v>259</v>
      </c>
      <c r="R759" t="str">
        <f t="shared" si="11"/>
        <v>ONCOCG11</v>
      </c>
      <c r="S759" t="s">
        <v>1467</v>
      </c>
      <c r="T759" t="s">
        <v>1468</v>
      </c>
      <c r="U759" t="s">
        <v>1469</v>
      </c>
      <c r="V759" t="s">
        <v>1470</v>
      </c>
    </row>
    <row r="760" spans="15:22" x14ac:dyDescent="0.25">
      <c r="O760" t="s">
        <v>1891</v>
      </c>
      <c r="P760" t="s">
        <v>156</v>
      </c>
      <c r="Q760" t="s">
        <v>261</v>
      </c>
      <c r="R760" t="str">
        <f t="shared" si="11"/>
        <v>ONCOCH11</v>
      </c>
      <c r="S760" t="s">
        <v>1471</v>
      </c>
      <c r="T760" t="s">
        <v>1472</v>
      </c>
      <c r="U760" t="s">
        <v>1473</v>
      </c>
      <c r="V760" t="s">
        <v>1474</v>
      </c>
    </row>
    <row r="761" spans="15:22" x14ac:dyDescent="0.25">
      <c r="O761" t="s">
        <v>1891</v>
      </c>
      <c r="P761" t="s">
        <v>156</v>
      </c>
      <c r="Q761" t="s">
        <v>263</v>
      </c>
      <c r="R761" t="str">
        <f t="shared" si="11"/>
        <v>ONCOCA12</v>
      </c>
      <c r="S761" t="s">
        <v>1475</v>
      </c>
      <c r="T761" t="s">
        <v>1476</v>
      </c>
      <c r="U761" t="s">
        <v>1477</v>
      </c>
      <c r="V761" t="s">
        <v>1478</v>
      </c>
    </row>
    <row r="762" spans="15:22" x14ac:dyDescent="0.25">
      <c r="O762" t="s">
        <v>1891</v>
      </c>
      <c r="P762" t="s">
        <v>156</v>
      </c>
      <c r="Q762" t="s">
        <v>265</v>
      </c>
      <c r="R762" t="str">
        <f t="shared" si="11"/>
        <v>ONCOCB12</v>
      </c>
      <c r="S762" t="s">
        <v>1479</v>
      </c>
      <c r="T762" t="s">
        <v>1480</v>
      </c>
      <c r="U762" t="s">
        <v>1481</v>
      </c>
      <c r="V762" t="s">
        <v>1482</v>
      </c>
    </row>
    <row r="763" spans="15:22" x14ac:dyDescent="0.25">
      <c r="O763" t="s">
        <v>1891</v>
      </c>
      <c r="P763" t="s">
        <v>156</v>
      </c>
      <c r="Q763" t="s">
        <v>267</v>
      </c>
      <c r="R763" t="str">
        <f t="shared" si="11"/>
        <v>ONCOCC12</v>
      </c>
      <c r="S763" t="s">
        <v>1483</v>
      </c>
      <c r="T763" t="s">
        <v>1484</v>
      </c>
      <c r="U763" t="s">
        <v>1485</v>
      </c>
      <c r="V763" t="s">
        <v>1486</v>
      </c>
    </row>
    <row r="764" spans="15:22" x14ac:dyDescent="0.25">
      <c r="O764" t="s">
        <v>1891</v>
      </c>
      <c r="P764" t="s">
        <v>156</v>
      </c>
      <c r="Q764" t="s">
        <v>269</v>
      </c>
      <c r="R764" t="str">
        <f t="shared" si="11"/>
        <v>ONCOCD12</v>
      </c>
      <c r="S764" t="s">
        <v>1487</v>
      </c>
      <c r="T764" t="s">
        <v>1488</v>
      </c>
      <c r="U764" t="s">
        <v>1489</v>
      </c>
      <c r="V764" t="s">
        <v>1490</v>
      </c>
    </row>
    <row r="765" spans="15:22" x14ac:dyDescent="0.25">
      <c r="O765" t="s">
        <v>1891</v>
      </c>
      <c r="P765" t="s">
        <v>156</v>
      </c>
      <c r="Q765" t="s">
        <v>271</v>
      </c>
      <c r="R765" t="str">
        <f t="shared" si="11"/>
        <v>ONCOCE12</v>
      </c>
      <c r="S765" t="s">
        <v>1491</v>
      </c>
      <c r="T765" t="s">
        <v>1492</v>
      </c>
      <c r="U765" t="s">
        <v>1493</v>
      </c>
      <c r="V765" t="s">
        <v>1494</v>
      </c>
    </row>
    <row r="766" spans="15:22" x14ac:dyDescent="0.25">
      <c r="O766" t="s">
        <v>1891</v>
      </c>
      <c r="P766" t="s">
        <v>156</v>
      </c>
      <c r="Q766" t="s">
        <v>273</v>
      </c>
      <c r="R766" t="str">
        <f t="shared" si="11"/>
        <v>ONCOCF12</v>
      </c>
      <c r="S766" t="s">
        <v>1495</v>
      </c>
      <c r="T766" t="s">
        <v>1496</v>
      </c>
      <c r="U766" t="s">
        <v>1497</v>
      </c>
      <c r="V766" t="s">
        <v>1498</v>
      </c>
    </row>
    <row r="767" spans="15:22" x14ac:dyDescent="0.25">
      <c r="O767" t="s">
        <v>1891</v>
      </c>
      <c r="P767" t="s">
        <v>156</v>
      </c>
      <c r="Q767" t="s">
        <v>275</v>
      </c>
      <c r="R767" t="str">
        <f t="shared" si="11"/>
        <v>ONCOCG12</v>
      </c>
      <c r="S767" t="s">
        <v>1499</v>
      </c>
      <c r="T767" t="s">
        <v>1500</v>
      </c>
      <c r="U767" t="s">
        <v>1501</v>
      </c>
      <c r="V767" t="s">
        <v>1502</v>
      </c>
    </row>
    <row r="768" spans="15:22" x14ac:dyDescent="0.25">
      <c r="O768" t="s">
        <v>1891</v>
      </c>
      <c r="P768" t="s">
        <v>156</v>
      </c>
      <c r="Q768" t="s">
        <v>277</v>
      </c>
      <c r="R768" t="str">
        <f t="shared" si="11"/>
        <v>ONCOCH12</v>
      </c>
      <c r="S768" t="s">
        <v>1503</v>
      </c>
      <c r="T768" t="s">
        <v>1504</v>
      </c>
      <c r="U768" t="s">
        <v>1505</v>
      </c>
      <c r="V768" t="s">
        <v>1506</v>
      </c>
    </row>
    <row r="769" spans="15:22" x14ac:dyDescent="0.25">
      <c r="O769" t="s">
        <v>1891</v>
      </c>
      <c r="P769" t="s">
        <v>160</v>
      </c>
      <c r="Q769" t="s">
        <v>667</v>
      </c>
      <c r="R769" t="str">
        <f t="shared" ref="R769:R832" si="12">O769&amp;P769&amp;Q769</f>
        <v>ONCODA1</v>
      </c>
      <c r="S769" t="s">
        <v>1507</v>
      </c>
      <c r="T769" t="s">
        <v>1508</v>
      </c>
      <c r="U769" t="s">
        <v>1509</v>
      </c>
      <c r="V769" t="s">
        <v>1510</v>
      </c>
    </row>
    <row r="770" spans="15:22" x14ac:dyDescent="0.25">
      <c r="O770" t="s">
        <v>1891</v>
      </c>
      <c r="P770" t="s">
        <v>160</v>
      </c>
      <c r="Q770" t="s">
        <v>672</v>
      </c>
      <c r="R770" t="str">
        <f t="shared" si="12"/>
        <v>ONCODB1</v>
      </c>
      <c r="S770" t="s">
        <v>1511</v>
      </c>
      <c r="T770" t="s">
        <v>1512</v>
      </c>
      <c r="U770" t="s">
        <v>1513</v>
      </c>
      <c r="V770" t="s">
        <v>1514</v>
      </c>
    </row>
    <row r="771" spans="15:22" x14ac:dyDescent="0.25">
      <c r="O771" t="s">
        <v>1891</v>
      </c>
      <c r="P771" t="s">
        <v>160</v>
      </c>
      <c r="Q771" t="s">
        <v>677</v>
      </c>
      <c r="R771" t="str">
        <f t="shared" si="12"/>
        <v>ONCODC1</v>
      </c>
      <c r="S771" t="s">
        <v>1515</v>
      </c>
      <c r="T771" t="s">
        <v>1516</v>
      </c>
      <c r="U771" t="s">
        <v>1517</v>
      </c>
      <c r="V771" t="s">
        <v>1518</v>
      </c>
    </row>
    <row r="772" spans="15:22" x14ac:dyDescent="0.25">
      <c r="O772" t="s">
        <v>1891</v>
      </c>
      <c r="P772" t="s">
        <v>160</v>
      </c>
      <c r="Q772" t="s">
        <v>682</v>
      </c>
      <c r="R772" t="str">
        <f t="shared" si="12"/>
        <v>ONCODD1</v>
      </c>
      <c r="S772" t="s">
        <v>1519</v>
      </c>
      <c r="T772" t="s">
        <v>1520</v>
      </c>
      <c r="U772" t="s">
        <v>1521</v>
      </c>
      <c r="V772" t="s">
        <v>1522</v>
      </c>
    </row>
    <row r="773" spans="15:22" x14ac:dyDescent="0.25">
      <c r="O773" t="s">
        <v>1891</v>
      </c>
      <c r="P773" t="s">
        <v>160</v>
      </c>
      <c r="Q773" t="s">
        <v>687</v>
      </c>
      <c r="R773" t="str">
        <f t="shared" si="12"/>
        <v>ONCODE1</v>
      </c>
      <c r="S773" t="s">
        <v>1523</v>
      </c>
      <c r="T773" t="s">
        <v>1524</v>
      </c>
      <c r="U773" t="s">
        <v>1525</v>
      </c>
      <c r="V773" t="s">
        <v>1526</v>
      </c>
    </row>
    <row r="774" spans="15:22" x14ac:dyDescent="0.25">
      <c r="O774" t="s">
        <v>1891</v>
      </c>
      <c r="P774" t="s">
        <v>160</v>
      </c>
      <c r="Q774" t="s">
        <v>692</v>
      </c>
      <c r="R774" t="str">
        <f t="shared" si="12"/>
        <v>ONCODF1</v>
      </c>
      <c r="S774" t="s">
        <v>1527</v>
      </c>
      <c r="T774" t="s">
        <v>1528</v>
      </c>
      <c r="U774" t="s">
        <v>1529</v>
      </c>
      <c r="V774" t="s">
        <v>1530</v>
      </c>
    </row>
    <row r="775" spans="15:22" x14ac:dyDescent="0.25">
      <c r="O775" t="s">
        <v>1891</v>
      </c>
      <c r="P775" t="s">
        <v>160</v>
      </c>
      <c r="Q775" t="s">
        <v>697</v>
      </c>
      <c r="R775" t="str">
        <f t="shared" si="12"/>
        <v>ONCODG1</v>
      </c>
      <c r="S775" t="s">
        <v>1531</v>
      </c>
      <c r="T775" t="s">
        <v>1532</v>
      </c>
      <c r="U775" t="s">
        <v>1533</v>
      </c>
      <c r="V775" t="s">
        <v>1534</v>
      </c>
    </row>
    <row r="776" spans="15:22" x14ac:dyDescent="0.25">
      <c r="O776" t="s">
        <v>1891</v>
      </c>
      <c r="P776" t="s">
        <v>160</v>
      </c>
      <c r="Q776" t="s">
        <v>702</v>
      </c>
      <c r="R776" t="str">
        <f t="shared" si="12"/>
        <v>ONCODH1</v>
      </c>
      <c r="S776" t="s">
        <v>1535</v>
      </c>
      <c r="T776" t="s">
        <v>1536</v>
      </c>
      <c r="U776" t="s">
        <v>1537</v>
      </c>
      <c r="V776" t="s">
        <v>1538</v>
      </c>
    </row>
    <row r="777" spans="15:22" x14ac:dyDescent="0.25">
      <c r="O777" t="s">
        <v>1891</v>
      </c>
      <c r="P777" t="s">
        <v>160</v>
      </c>
      <c r="Q777" t="s">
        <v>707</v>
      </c>
      <c r="R777" t="str">
        <f t="shared" si="12"/>
        <v>ONCODA2</v>
      </c>
      <c r="S777" t="s">
        <v>1539</v>
      </c>
      <c r="T777" t="s">
        <v>1540</v>
      </c>
      <c r="U777" t="s">
        <v>1541</v>
      </c>
      <c r="V777" t="s">
        <v>1542</v>
      </c>
    </row>
    <row r="778" spans="15:22" x14ac:dyDescent="0.25">
      <c r="O778" t="s">
        <v>1891</v>
      </c>
      <c r="P778" t="s">
        <v>160</v>
      </c>
      <c r="Q778" t="s">
        <v>712</v>
      </c>
      <c r="R778" t="str">
        <f t="shared" si="12"/>
        <v>ONCODB2</v>
      </c>
      <c r="S778" t="s">
        <v>1543</v>
      </c>
      <c r="T778" t="s">
        <v>1544</v>
      </c>
      <c r="U778" t="s">
        <v>1545</v>
      </c>
      <c r="V778" t="s">
        <v>1546</v>
      </c>
    </row>
    <row r="779" spans="15:22" x14ac:dyDescent="0.25">
      <c r="O779" t="s">
        <v>1891</v>
      </c>
      <c r="P779" t="s">
        <v>160</v>
      </c>
      <c r="Q779" t="s">
        <v>717</v>
      </c>
      <c r="R779" t="str">
        <f t="shared" si="12"/>
        <v>ONCODC2</v>
      </c>
      <c r="S779" t="s">
        <v>1547</v>
      </c>
      <c r="T779" t="s">
        <v>1548</v>
      </c>
      <c r="U779" t="s">
        <v>1549</v>
      </c>
      <c r="V779" t="s">
        <v>1550</v>
      </c>
    </row>
    <row r="780" spans="15:22" x14ac:dyDescent="0.25">
      <c r="O780" t="s">
        <v>1891</v>
      </c>
      <c r="P780" t="s">
        <v>160</v>
      </c>
      <c r="Q780" t="s">
        <v>722</v>
      </c>
      <c r="R780" t="str">
        <f t="shared" si="12"/>
        <v>ONCODD2</v>
      </c>
      <c r="S780" t="s">
        <v>1551</v>
      </c>
      <c r="T780" t="s">
        <v>1552</v>
      </c>
      <c r="U780" t="s">
        <v>1553</v>
      </c>
      <c r="V780" t="s">
        <v>1554</v>
      </c>
    </row>
    <row r="781" spans="15:22" x14ac:dyDescent="0.25">
      <c r="O781" t="s">
        <v>1891</v>
      </c>
      <c r="P781" t="s">
        <v>160</v>
      </c>
      <c r="Q781" t="s">
        <v>727</v>
      </c>
      <c r="R781" t="str">
        <f t="shared" si="12"/>
        <v>ONCODE2</v>
      </c>
      <c r="S781" t="s">
        <v>1555</v>
      </c>
      <c r="T781" t="s">
        <v>1556</v>
      </c>
      <c r="U781" t="s">
        <v>1557</v>
      </c>
      <c r="V781" t="s">
        <v>1558</v>
      </c>
    </row>
    <row r="782" spans="15:22" x14ac:dyDescent="0.25">
      <c r="O782" t="s">
        <v>1891</v>
      </c>
      <c r="P782" t="s">
        <v>160</v>
      </c>
      <c r="Q782" t="s">
        <v>732</v>
      </c>
      <c r="R782" t="str">
        <f t="shared" si="12"/>
        <v>ONCODF2</v>
      </c>
      <c r="S782" t="s">
        <v>1559</v>
      </c>
      <c r="T782" t="s">
        <v>1560</v>
      </c>
      <c r="U782" t="s">
        <v>1561</v>
      </c>
      <c r="V782" t="s">
        <v>1562</v>
      </c>
    </row>
    <row r="783" spans="15:22" x14ac:dyDescent="0.25">
      <c r="O783" t="s">
        <v>1891</v>
      </c>
      <c r="P783" t="s">
        <v>160</v>
      </c>
      <c r="Q783" t="s">
        <v>737</v>
      </c>
      <c r="R783" t="str">
        <f t="shared" si="12"/>
        <v>ONCODG2</v>
      </c>
      <c r="S783" t="s">
        <v>1563</v>
      </c>
      <c r="T783" t="s">
        <v>1564</v>
      </c>
      <c r="U783" t="s">
        <v>1565</v>
      </c>
      <c r="V783" t="s">
        <v>1566</v>
      </c>
    </row>
    <row r="784" spans="15:22" x14ac:dyDescent="0.25">
      <c r="O784" t="s">
        <v>1891</v>
      </c>
      <c r="P784" t="s">
        <v>160</v>
      </c>
      <c r="Q784" t="s">
        <v>742</v>
      </c>
      <c r="R784" t="str">
        <f t="shared" si="12"/>
        <v>ONCODH2</v>
      </c>
      <c r="S784" t="s">
        <v>1567</v>
      </c>
      <c r="T784" t="s">
        <v>1568</v>
      </c>
      <c r="U784" t="s">
        <v>1569</v>
      </c>
      <c r="V784" t="s">
        <v>1570</v>
      </c>
    </row>
    <row r="785" spans="15:22" x14ac:dyDescent="0.25">
      <c r="O785" t="s">
        <v>1891</v>
      </c>
      <c r="P785" t="s">
        <v>160</v>
      </c>
      <c r="Q785" t="s">
        <v>747</v>
      </c>
      <c r="R785" t="str">
        <f t="shared" si="12"/>
        <v>ONCODA3</v>
      </c>
      <c r="S785" t="s">
        <v>1571</v>
      </c>
      <c r="T785" t="s">
        <v>1572</v>
      </c>
      <c r="U785" t="s">
        <v>1573</v>
      </c>
      <c r="V785" t="s">
        <v>1574</v>
      </c>
    </row>
    <row r="786" spans="15:22" x14ac:dyDescent="0.25">
      <c r="O786" t="s">
        <v>1891</v>
      </c>
      <c r="P786" t="s">
        <v>160</v>
      </c>
      <c r="Q786" t="s">
        <v>752</v>
      </c>
      <c r="R786" t="str">
        <f t="shared" si="12"/>
        <v>ONCODB3</v>
      </c>
      <c r="S786" t="s">
        <v>1575</v>
      </c>
      <c r="T786" t="s">
        <v>1576</v>
      </c>
      <c r="U786" t="s">
        <v>1577</v>
      </c>
      <c r="V786" t="s">
        <v>1578</v>
      </c>
    </row>
    <row r="787" spans="15:22" x14ac:dyDescent="0.25">
      <c r="O787" t="s">
        <v>1891</v>
      </c>
      <c r="P787" t="s">
        <v>160</v>
      </c>
      <c r="Q787" t="s">
        <v>757</v>
      </c>
      <c r="R787" t="str">
        <f t="shared" si="12"/>
        <v>ONCODC3</v>
      </c>
      <c r="S787" t="s">
        <v>1579</v>
      </c>
      <c r="T787" t="s">
        <v>1580</v>
      </c>
      <c r="U787" t="s">
        <v>1581</v>
      </c>
      <c r="V787" t="s">
        <v>1582</v>
      </c>
    </row>
    <row r="788" spans="15:22" x14ac:dyDescent="0.25">
      <c r="O788" t="s">
        <v>1891</v>
      </c>
      <c r="P788" t="s">
        <v>160</v>
      </c>
      <c r="Q788" t="s">
        <v>762</v>
      </c>
      <c r="R788" t="str">
        <f t="shared" si="12"/>
        <v>ONCODD3</v>
      </c>
      <c r="S788" t="s">
        <v>1583</v>
      </c>
      <c r="T788" t="s">
        <v>1584</v>
      </c>
      <c r="U788" t="s">
        <v>1585</v>
      </c>
      <c r="V788" t="s">
        <v>1586</v>
      </c>
    </row>
    <row r="789" spans="15:22" x14ac:dyDescent="0.25">
      <c r="O789" t="s">
        <v>1891</v>
      </c>
      <c r="P789" t="s">
        <v>160</v>
      </c>
      <c r="Q789" t="s">
        <v>767</v>
      </c>
      <c r="R789" t="str">
        <f t="shared" si="12"/>
        <v>ONCODE3</v>
      </c>
      <c r="S789" t="s">
        <v>1587</v>
      </c>
      <c r="T789" t="s">
        <v>1588</v>
      </c>
      <c r="U789" t="s">
        <v>1589</v>
      </c>
      <c r="V789" t="s">
        <v>1590</v>
      </c>
    </row>
    <row r="790" spans="15:22" x14ac:dyDescent="0.25">
      <c r="O790" t="s">
        <v>1891</v>
      </c>
      <c r="P790" t="s">
        <v>160</v>
      </c>
      <c r="Q790" t="s">
        <v>772</v>
      </c>
      <c r="R790" t="str">
        <f t="shared" si="12"/>
        <v>ONCODF3</v>
      </c>
      <c r="S790" t="s">
        <v>1591</v>
      </c>
      <c r="T790" t="s">
        <v>1592</v>
      </c>
      <c r="U790" t="s">
        <v>1593</v>
      </c>
      <c r="V790" t="s">
        <v>1594</v>
      </c>
    </row>
    <row r="791" spans="15:22" x14ac:dyDescent="0.25">
      <c r="O791" t="s">
        <v>1891</v>
      </c>
      <c r="P791" t="s">
        <v>160</v>
      </c>
      <c r="Q791" t="s">
        <v>777</v>
      </c>
      <c r="R791" t="str">
        <f t="shared" si="12"/>
        <v>ONCODG3</v>
      </c>
      <c r="S791" t="s">
        <v>1595</v>
      </c>
      <c r="T791" t="s">
        <v>1596</v>
      </c>
      <c r="U791" t="s">
        <v>1597</v>
      </c>
      <c r="V791" t="s">
        <v>1598</v>
      </c>
    </row>
    <row r="792" spans="15:22" x14ac:dyDescent="0.25">
      <c r="O792" t="s">
        <v>1891</v>
      </c>
      <c r="P792" t="s">
        <v>160</v>
      </c>
      <c r="Q792" t="s">
        <v>782</v>
      </c>
      <c r="R792" t="str">
        <f t="shared" si="12"/>
        <v>ONCODH3</v>
      </c>
      <c r="S792" t="s">
        <v>1599</v>
      </c>
      <c r="T792" t="s">
        <v>1600</v>
      </c>
      <c r="U792" t="s">
        <v>1601</v>
      </c>
      <c r="V792" t="s">
        <v>1602</v>
      </c>
    </row>
    <row r="793" spans="15:22" x14ac:dyDescent="0.25">
      <c r="O793" t="s">
        <v>1891</v>
      </c>
      <c r="P793" t="s">
        <v>160</v>
      </c>
      <c r="Q793" t="s">
        <v>787</v>
      </c>
      <c r="R793" t="str">
        <f t="shared" si="12"/>
        <v>ONCODA4</v>
      </c>
      <c r="S793" t="s">
        <v>1603</v>
      </c>
      <c r="T793" t="s">
        <v>1604</v>
      </c>
      <c r="U793" t="s">
        <v>1605</v>
      </c>
      <c r="V793" t="s">
        <v>1606</v>
      </c>
    </row>
    <row r="794" spans="15:22" x14ac:dyDescent="0.25">
      <c r="O794" t="s">
        <v>1891</v>
      </c>
      <c r="P794" t="s">
        <v>160</v>
      </c>
      <c r="Q794" t="s">
        <v>792</v>
      </c>
      <c r="R794" t="str">
        <f t="shared" si="12"/>
        <v>ONCODB4</v>
      </c>
      <c r="S794" t="s">
        <v>1607</v>
      </c>
      <c r="T794" t="s">
        <v>1608</v>
      </c>
      <c r="U794" t="s">
        <v>1609</v>
      </c>
      <c r="V794" t="s">
        <v>1610</v>
      </c>
    </row>
    <row r="795" spans="15:22" x14ac:dyDescent="0.25">
      <c r="O795" t="s">
        <v>1891</v>
      </c>
      <c r="P795" t="s">
        <v>160</v>
      </c>
      <c r="Q795" t="s">
        <v>797</v>
      </c>
      <c r="R795" t="str">
        <f t="shared" si="12"/>
        <v>ONCODC4</v>
      </c>
      <c r="S795" t="s">
        <v>1611</v>
      </c>
      <c r="T795" t="s">
        <v>1612</v>
      </c>
      <c r="U795" t="s">
        <v>1613</v>
      </c>
      <c r="V795" t="s">
        <v>1614</v>
      </c>
    </row>
    <row r="796" spans="15:22" x14ac:dyDescent="0.25">
      <c r="O796" t="s">
        <v>1891</v>
      </c>
      <c r="P796" t="s">
        <v>160</v>
      </c>
      <c r="Q796" t="s">
        <v>802</v>
      </c>
      <c r="R796" t="str">
        <f t="shared" si="12"/>
        <v>ONCODD4</v>
      </c>
      <c r="S796" t="s">
        <v>1615</v>
      </c>
      <c r="T796" t="s">
        <v>1616</v>
      </c>
      <c r="U796" t="s">
        <v>1617</v>
      </c>
      <c r="V796" t="s">
        <v>1618</v>
      </c>
    </row>
    <row r="797" spans="15:22" x14ac:dyDescent="0.25">
      <c r="O797" t="s">
        <v>1891</v>
      </c>
      <c r="P797" t="s">
        <v>160</v>
      </c>
      <c r="Q797" t="s">
        <v>807</v>
      </c>
      <c r="R797" t="str">
        <f t="shared" si="12"/>
        <v>ONCODE4</v>
      </c>
      <c r="S797" t="s">
        <v>1619</v>
      </c>
      <c r="T797" t="s">
        <v>1620</v>
      </c>
      <c r="U797" t="s">
        <v>1621</v>
      </c>
      <c r="V797" t="s">
        <v>1622</v>
      </c>
    </row>
    <row r="798" spans="15:22" x14ac:dyDescent="0.25">
      <c r="O798" t="s">
        <v>1891</v>
      </c>
      <c r="P798" t="s">
        <v>160</v>
      </c>
      <c r="Q798" t="s">
        <v>812</v>
      </c>
      <c r="R798" t="str">
        <f t="shared" si="12"/>
        <v>ONCODF4</v>
      </c>
      <c r="S798" t="s">
        <v>1623</v>
      </c>
      <c r="T798" t="s">
        <v>1624</v>
      </c>
      <c r="U798" t="s">
        <v>1625</v>
      </c>
      <c r="V798" t="s">
        <v>1626</v>
      </c>
    </row>
    <row r="799" spans="15:22" x14ac:dyDescent="0.25">
      <c r="O799" t="s">
        <v>1891</v>
      </c>
      <c r="P799" t="s">
        <v>160</v>
      </c>
      <c r="Q799" t="s">
        <v>817</v>
      </c>
      <c r="R799" t="str">
        <f t="shared" si="12"/>
        <v>ONCODG4</v>
      </c>
      <c r="S799" t="s">
        <v>1627</v>
      </c>
      <c r="T799" t="s">
        <v>1628</v>
      </c>
      <c r="U799" t="s">
        <v>1629</v>
      </c>
      <c r="V799" t="s">
        <v>1630</v>
      </c>
    </row>
    <row r="800" spans="15:22" x14ac:dyDescent="0.25">
      <c r="O800" t="s">
        <v>1891</v>
      </c>
      <c r="P800" t="s">
        <v>160</v>
      </c>
      <c r="Q800" t="s">
        <v>822</v>
      </c>
      <c r="R800" t="str">
        <f t="shared" si="12"/>
        <v>ONCODH4</v>
      </c>
      <c r="S800" t="s">
        <v>1631</v>
      </c>
      <c r="T800" t="s">
        <v>1632</v>
      </c>
      <c r="U800" t="s">
        <v>1633</v>
      </c>
      <c r="V800" t="s">
        <v>1634</v>
      </c>
    </row>
    <row r="801" spans="15:22" x14ac:dyDescent="0.25">
      <c r="O801" t="s">
        <v>1891</v>
      </c>
      <c r="P801" t="s">
        <v>160</v>
      </c>
      <c r="Q801" t="s">
        <v>827</v>
      </c>
      <c r="R801" t="str">
        <f t="shared" si="12"/>
        <v>ONCODA5</v>
      </c>
      <c r="S801" t="s">
        <v>1635</v>
      </c>
      <c r="T801" t="s">
        <v>1636</v>
      </c>
      <c r="U801" t="s">
        <v>1637</v>
      </c>
      <c r="V801" t="s">
        <v>1638</v>
      </c>
    </row>
    <row r="802" spans="15:22" x14ac:dyDescent="0.25">
      <c r="O802" t="s">
        <v>1891</v>
      </c>
      <c r="P802" t="s">
        <v>160</v>
      </c>
      <c r="Q802" t="s">
        <v>832</v>
      </c>
      <c r="R802" t="str">
        <f t="shared" si="12"/>
        <v>ONCODB5</v>
      </c>
      <c r="S802" t="s">
        <v>1639</v>
      </c>
      <c r="T802" t="s">
        <v>1640</v>
      </c>
      <c r="U802" t="s">
        <v>1641</v>
      </c>
      <c r="V802" t="s">
        <v>1642</v>
      </c>
    </row>
    <row r="803" spans="15:22" x14ac:dyDescent="0.25">
      <c r="O803" t="s">
        <v>1891</v>
      </c>
      <c r="P803" t="s">
        <v>160</v>
      </c>
      <c r="Q803" t="s">
        <v>837</v>
      </c>
      <c r="R803" t="str">
        <f t="shared" si="12"/>
        <v>ONCODC5</v>
      </c>
      <c r="S803" t="s">
        <v>1643</v>
      </c>
      <c r="T803" t="s">
        <v>1644</v>
      </c>
      <c r="U803" t="s">
        <v>1645</v>
      </c>
      <c r="V803" t="s">
        <v>1646</v>
      </c>
    </row>
    <row r="804" spans="15:22" x14ac:dyDescent="0.25">
      <c r="O804" t="s">
        <v>1891</v>
      </c>
      <c r="P804" t="s">
        <v>160</v>
      </c>
      <c r="Q804" t="s">
        <v>842</v>
      </c>
      <c r="R804" t="str">
        <f t="shared" si="12"/>
        <v>ONCODD5</v>
      </c>
      <c r="S804" t="s">
        <v>1647</v>
      </c>
      <c r="T804" t="s">
        <v>1648</v>
      </c>
      <c r="U804" t="s">
        <v>1649</v>
      </c>
      <c r="V804" t="s">
        <v>1650</v>
      </c>
    </row>
    <row r="805" spans="15:22" x14ac:dyDescent="0.25">
      <c r="O805" t="s">
        <v>1891</v>
      </c>
      <c r="P805" t="s">
        <v>160</v>
      </c>
      <c r="Q805" t="s">
        <v>847</v>
      </c>
      <c r="R805" t="str">
        <f t="shared" si="12"/>
        <v>ONCODE5</v>
      </c>
      <c r="S805" t="s">
        <v>1651</v>
      </c>
      <c r="T805" t="s">
        <v>1652</v>
      </c>
      <c r="U805" t="s">
        <v>1653</v>
      </c>
      <c r="V805" t="s">
        <v>1654</v>
      </c>
    </row>
    <row r="806" spans="15:22" x14ac:dyDescent="0.25">
      <c r="O806" t="s">
        <v>1891</v>
      </c>
      <c r="P806" t="s">
        <v>160</v>
      </c>
      <c r="Q806" t="s">
        <v>852</v>
      </c>
      <c r="R806" t="str">
        <f t="shared" si="12"/>
        <v>ONCODF5</v>
      </c>
      <c r="S806" t="s">
        <v>1655</v>
      </c>
      <c r="T806" t="s">
        <v>1656</v>
      </c>
      <c r="U806" t="s">
        <v>1657</v>
      </c>
      <c r="V806" t="s">
        <v>1658</v>
      </c>
    </row>
    <row r="807" spans="15:22" x14ac:dyDescent="0.25">
      <c r="O807" t="s">
        <v>1891</v>
      </c>
      <c r="P807" t="s">
        <v>160</v>
      </c>
      <c r="Q807" t="s">
        <v>857</v>
      </c>
      <c r="R807" t="str">
        <f t="shared" si="12"/>
        <v>ONCODG5</v>
      </c>
      <c r="S807" t="s">
        <v>1659</v>
      </c>
      <c r="T807" t="s">
        <v>1660</v>
      </c>
      <c r="U807" t="s">
        <v>1661</v>
      </c>
      <c r="V807" t="s">
        <v>1662</v>
      </c>
    </row>
    <row r="808" spans="15:22" x14ac:dyDescent="0.25">
      <c r="O808" t="s">
        <v>1891</v>
      </c>
      <c r="P808" t="s">
        <v>160</v>
      </c>
      <c r="Q808" t="s">
        <v>862</v>
      </c>
      <c r="R808" t="str">
        <f t="shared" si="12"/>
        <v>ONCODH5</v>
      </c>
      <c r="S808" t="s">
        <v>1663</v>
      </c>
      <c r="T808" t="s">
        <v>1664</v>
      </c>
      <c r="U808" t="s">
        <v>1665</v>
      </c>
      <c r="V808" t="s">
        <v>1666</v>
      </c>
    </row>
    <row r="809" spans="15:22" x14ac:dyDescent="0.25">
      <c r="O809" t="s">
        <v>1891</v>
      </c>
      <c r="P809" t="s">
        <v>160</v>
      </c>
      <c r="Q809" t="s">
        <v>867</v>
      </c>
      <c r="R809" t="str">
        <f t="shared" si="12"/>
        <v>ONCODA6</v>
      </c>
      <c r="S809" t="s">
        <v>1667</v>
      </c>
      <c r="T809" t="s">
        <v>1668</v>
      </c>
      <c r="U809" t="s">
        <v>1669</v>
      </c>
      <c r="V809" t="s">
        <v>1670</v>
      </c>
    </row>
    <row r="810" spans="15:22" x14ac:dyDescent="0.25">
      <c r="O810" t="s">
        <v>1891</v>
      </c>
      <c r="P810" t="s">
        <v>160</v>
      </c>
      <c r="Q810" t="s">
        <v>872</v>
      </c>
      <c r="R810" t="str">
        <f t="shared" si="12"/>
        <v>ONCODB6</v>
      </c>
      <c r="S810" t="s">
        <v>1671</v>
      </c>
      <c r="T810" t="s">
        <v>1672</v>
      </c>
      <c r="U810" t="s">
        <v>1673</v>
      </c>
      <c r="V810" t="s">
        <v>1674</v>
      </c>
    </row>
    <row r="811" spans="15:22" x14ac:dyDescent="0.25">
      <c r="O811" t="s">
        <v>1891</v>
      </c>
      <c r="P811" t="s">
        <v>160</v>
      </c>
      <c r="Q811" t="s">
        <v>877</v>
      </c>
      <c r="R811" t="str">
        <f t="shared" si="12"/>
        <v>ONCODC6</v>
      </c>
      <c r="S811" t="s">
        <v>1675</v>
      </c>
      <c r="T811" t="s">
        <v>1676</v>
      </c>
      <c r="U811" t="s">
        <v>1677</v>
      </c>
      <c r="V811" t="s">
        <v>1678</v>
      </c>
    </row>
    <row r="812" spans="15:22" x14ac:dyDescent="0.25">
      <c r="O812" t="s">
        <v>1891</v>
      </c>
      <c r="P812" t="s">
        <v>160</v>
      </c>
      <c r="Q812" t="s">
        <v>882</v>
      </c>
      <c r="R812" t="str">
        <f t="shared" si="12"/>
        <v>ONCODD6</v>
      </c>
      <c r="S812" t="s">
        <v>1679</v>
      </c>
      <c r="T812" t="s">
        <v>1680</v>
      </c>
      <c r="U812" t="s">
        <v>1681</v>
      </c>
      <c r="V812" t="s">
        <v>1682</v>
      </c>
    </row>
    <row r="813" spans="15:22" x14ac:dyDescent="0.25">
      <c r="O813" t="s">
        <v>1891</v>
      </c>
      <c r="P813" t="s">
        <v>160</v>
      </c>
      <c r="Q813" t="s">
        <v>887</v>
      </c>
      <c r="R813" t="str">
        <f t="shared" si="12"/>
        <v>ONCODE6</v>
      </c>
      <c r="S813" t="s">
        <v>1683</v>
      </c>
      <c r="T813" t="s">
        <v>1684</v>
      </c>
      <c r="U813" t="s">
        <v>1685</v>
      </c>
      <c r="V813" t="s">
        <v>1686</v>
      </c>
    </row>
    <row r="814" spans="15:22" x14ac:dyDescent="0.25">
      <c r="O814" t="s">
        <v>1891</v>
      </c>
      <c r="P814" t="s">
        <v>160</v>
      </c>
      <c r="Q814" t="s">
        <v>892</v>
      </c>
      <c r="R814" t="str">
        <f t="shared" si="12"/>
        <v>ONCODF6</v>
      </c>
      <c r="S814" t="s">
        <v>1687</v>
      </c>
      <c r="T814" t="s">
        <v>1688</v>
      </c>
      <c r="U814" t="s">
        <v>1689</v>
      </c>
      <c r="V814" t="s">
        <v>1690</v>
      </c>
    </row>
    <row r="815" spans="15:22" x14ac:dyDescent="0.25">
      <c r="O815" t="s">
        <v>1891</v>
      </c>
      <c r="P815" t="s">
        <v>160</v>
      </c>
      <c r="Q815" t="s">
        <v>897</v>
      </c>
      <c r="R815" t="str">
        <f t="shared" si="12"/>
        <v>ONCODG6</v>
      </c>
      <c r="S815" t="s">
        <v>1691</v>
      </c>
      <c r="T815" t="s">
        <v>1692</v>
      </c>
      <c r="U815" t="s">
        <v>1693</v>
      </c>
      <c r="V815" t="s">
        <v>1694</v>
      </c>
    </row>
    <row r="816" spans="15:22" x14ac:dyDescent="0.25">
      <c r="O816" t="s">
        <v>1891</v>
      </c>
      <c r="P816" t="s">
        <v>160</v>
      </c>
      <c r="Q816" t="s">
        <v>902</v>
      </c>
      <c r="R816" t="str">
        <f t="shared" si="12"/>
        <v>ONCODH6</v>
      </c>
      <c r="S816" t="s">
        <v>1695</v>
      </c>
      <c r="T816" t="s">
        <v>1696</v>
      </c>
      <c r="U816" t="s">
        <v>1697</v>
      </c>
      <c r="V816" t="s">
        <v>1698</v>
      </c>
    </row>
    <row r="817" spans="15:22" x14ac:dyDescent="0.25">
      <c r="O817" t="s">
        <v>1891</v>
      </c>
      <c r="P817" t="s">
        <v>160</v>
      </c>
      <c r="Q817" t="s">
        <v>907</v>
      </c>
      <c r="R817" t="str">
        <f t="shared" si="12"/>
        <v>ONCODA7</v>
      </c>
      <c r="S817" t="s">
        <v>1699</v>
      </c>
      <c r="T817" t="s">
        <v>1700</v>
      </c>
      <c r="U817" t="s">
        <v>1701</v>
      </c>
      <c r="V817" t="s">
        <v>1702</v>
      </c>
    </row>
    <row r="818" spans="15:22" x14ac:dyDescent="0.25">
      <c r="O818" t="s">
        <v>1891</v>
      </c>
      <c r="P818" t="s">
        <v>160</v>
      </c>
      <c r="Q818" t="s">
        <v>912</v>
      </c>
      <c r="R818" t="str">
        <f t="shared" si="12"/>
        <v>ONCODB7</v>
      </c>
      <c r="S818" t="s">
        <v>1703</v>
      </c>
      <c r="T818" t="s">
        <v>1704</v>
      </c>
      <c r="U818" t="s">
        <v>1705</v>
      </c>
      <c r="V818" t="s">
        <v>1706</v>
      </c>
    </row>
    <row r="819" spans="15:22" x14ac:dyDescent="0.25">
      <c r="O819" t="s">
        <v>1891</v>
      </c>
      <c r="P819" t="s">
        <v>160</v>
      </c>
      <c r="Q819" t="s">
        <v>917</v>
      </c>
      <c r="R819" t="str">
        <f t="shared" si="12"/>
        <v>ONCODC7</v>
      </c>
      <c r="S819" t="s">
        <v>1707</v>
      </c>
      <c r="T819" t="s">
        <v>1708</v>
      </c>
      <c r="U819" t="s">
        <v>1709</v>
      </c>
      <c r="V819" t="s">
        <v>1710</v>
      </c>
    </row>
    <row r="820" spans="15:22" x14ac:dyDescent="0.25">
      <c r="O820" t="s">
        <v>1891</v>
      </c>
      <c r="P820" t="s">
        <v>160</v>
      </c>
      <c r="Q820" t="s">
        <v>922</v>
      </c>
      <c r="R820" t="str">
        <f t="shared" si="12"/>
        <v>ONCODD7</v>
      </c>
      <c r="S820" t="s">
        <v>1711</v>
      </c>
      <c r="T820" t="s">
        <v>1712</v>
      </c>
      <c r="U820" t="s">
        <v>1713</v>
      </c>
      <c r="V820" t="s">
        <v>1714</v>
      </c>
    </row>
    <row r="821" spans="15:22" x14ac:dyDescent="0.25">
      <c r="O821" t="s">
        <v>1891</v>
      </c>
      <c r="P821" t="s">
        <v>160</v>
      </c>
      <c r="Q821" t="s">
        <v>927</v>
      </c>
      <c r="R821" t="str">
        <f t="shared" si="12"/>
        <v>ONCODE7</v>
      </c>
      <c r="S821" t="s">
        <v>1715</v>
      </c>
      <c r="T821" t="s">
        <v>1716</v>
      </c>
      <c r="U821" t="s">
        <v>1717</v>
      </c>
      <c r="V821" t="s">
        <v>1718</v>
      </c>
    </row>
    <row r="822" spans="15:22" x14ac:dyDescent="0.25">
      <c r="O822" t="s">
        <v>1891</v>
      </c>
      <c r="P822" t="s">
        <v>160</v>
      </c>
      <c r="Q822" t="s">
        <v>932</v>
      </c>
      <c r="R822" t="str">
        <f t="shared" si="12"/>
        <v>ONCODF7</v>
      </c>
      <c r="S822" t="s">
        <v>1719</v>
      </c>
      <c r="T822" t="s">
        <v>1720</v>
      </c>
      <c r="U822" t="s">
        <v>1721</v>
      </c>
      <c r="V822" t="s">
        <v>1722</v>
      </c>
    </row>
    <row r="823" spans="15:22" x14ac:dyDescent="0.25">
      <c r="O823" t="s">
        <v>1891</v>
      </c>
      <c r="P823" t="s">
        <v>160</v>
      </c>
      <c r="Q823" t="s">
        <v>937</v>
      </c>
      <c r="R823" t="str">
        <f t="shared" si="12"/>
        <v>ONCODG7</v>
      </c>
      <c r="S823" t="s">
        <v>1723</v>
      </c>
      <c r="T823" t="s">
        <v>1724</v>
      </c>
      <c r="U823" t="s">
        <v>1725</v>
      </c>
      <c r="V823" t="s">
        <v>1726</v>
      </c>
    </row>
    <row r="824" spans="15:22" x14ac:dyDescent="0.25">
      <c r="O824" t="s">
        <v>1891</v>
      </c>
      <c r="P824" t="s">
        <v>160</v>
      </c>
      <c r="Q824" t="s">
        <v>942</v>
      </c>
      <c r="R824" t="str">
        <f t="shared" si="12"/>
        <v>ONCODH7</v>
      </c>
      <c r="S824" t="s">
        <v>1727</v>
      </c>
      <c r="T824" t="s">
        <v>1728</v>
      </c>
      <c r="U824" t="s">
        <v>1729</v>
      </c>
      <c r="V824" t="s">
        <v>1730</v>
      </c>
    </row>
    <row r="825" spans="15:22" x14ac:dyDescent="0.25">
      <c r="O825" t="s">
        <v>1891</v>
      </c>
      <c r="P825" t="s">
        <v>160</v>
      </c>
      <c r="Q825" t="s">
        <v>947</v>
      </c>
      <c r="R825" t="str">
        <f t="shared" si="12"/>
        <v>ONCODA8</v>
      </c>
      <c r="S825" t="s">
        <v>1731</v>
      </c>
      <c r="T825" t="s">
        <v>1732</v>
      </c>
      <c r="U825" t="s">
        <v>1733</v>
      </c>
      <c r="V825" t="s">
        <v>1734</v>
      </c>
    </row>
    <row r="826" spans="15:22" x14ac:dyDescent="0.25">
      <c r="O826" t="s">
        <v>1891</v>
      </c>
      <c r="P826" t="s">
        <v>160</v>
      </c>
      <c r="Q826" t="s">
        <v>952</v>
      </c>
      <c r="R826" t="str">
        <f t="shared" si="12"/>
        <v>ONCODB8</v>
      </c>
      <c r="S826" t="s">
        <v>1735</v>
      </c>
      <c r="T826" t="s">
        <v>1736</v>
      </c>
      <c r="U826" t="s">
        <v>1737</v>
      </c>
      <c r="V826" t="s">
        <v>1738</v>
      </c>
    </row>
    <row r="827" spans="15:22" x14ac:dyDescent="0.25">
      <c r="O827" t="s">
        <v>1891</v>
      </c>
      <c r="P827" t="s">
        <v>160</v>
      </c>
      <c r="Q827" t="s">
        <v>957</v>
      </c>
      <c r="R827" t="str">
        <f t="shared" si="12"/>
        <v>ONCODC8</v>
      </c>
      <c r="S827" t="s">
        <v>1739</v>
      </c>
      <c r="T827" t="s">
        <v>1740</v>
      </c>
      <c r="U827" t="s">
        <v>1741</v>
      </c>
      <c r="V827" t="s">
        <v>1742</v>
      </c>
    </row>
    <row r="828" spans="15:22" x14ac:dyDescent="0.25">
      <c r="O828" t="s">
        <v>1891</v>
      </c>
      <c r="P828" t="s">
        <v>160</v>
      </c>
      <c r="Q828" t="s">
        <v>962</v>
      </c>
      <c r="R828" t="str">
        <f t="shared" si="12"/>
        <v>ONCODD8</v>
      </c>
      <c r="S828" t="s">
        <v>1743</v>
      </c>
      <c r="T828" t="s">
        <v>1744</v>
      </c>
      <c r="U828" t="s">
        <v>1745</v>
      </c>
      <c r="V828" t="s">
        <v>1746</v>
      </c>
    </row>
    <row r="829" spans="15:22" x14ac:dyDescent="0.25">
      <c r="O829" t="s">
        <v>1891</v>
      </c>
      <c r="P829" t="s">
        <v>160</v>
      </c>
      <c r="Q829" t="s">
        <v>967</v>
      </c>
      <c r="R829" t="str">
        <f t="shared" si="12"/>
        <v>ONCODE8</v>
      </c>
      <c r="S829" t="s">
        <v>1747</v>
      </c>
      <c r="T829" t="s">
        <v>1748</v>
      </c>
      <c r="U829" t="s">
        <v>1749</v>
      </c>
      <c r="V829" t="s">
        <v>1750</v>
      </c>
    </row>
    <row r="830" spans="15:22" x14ac:dyDescent="0.25">
      <c r="O830" t="s">
        <v>1891</v>
      </c>
      <c r="P830" t="s">
        <v>160</v>
      </c>
      <c r="Q830" t="s">
        <v>972</v>
      </c>
      <c r="R830" t="str">
        <f t="shared" si="12"/>
        <v>ONCODF8</v>
      </c>
      <c r="S830" t="s">
        <v>1751</v>
      </c>
      <c r="T830" t="s">
        <v>1752</v>
      </c>
      <c r="U830" t="s">
        <v>1753</v>
      </c>
      <c r="V830" t="s">
        <v>1754</v>
      </c>
    </row>
    <row r="831" spans="15:22" x14ac:dyDescent="0.25">
      <c r="O831" t="s">
        <v>1891</v>
      </c>
      <c r="P831" t="s">
        <v>160</v>
      </c>
      <c r="Q831" t="s">
        <v>977</v>
      </c>
      <c r="R831" t="str">
        <f t="shared" si="12"/>
        <v>ONCODG8</v>
      </c>
      <c r="S831" t="s">
        <v>1755</v>
      </c>
      <c r="T831" t="s">
        <v>1756</v>
      </c>
      <c r="U831" t="s">
        <v>1757</v>
      </c>
      <c r="V831" t="s">
        <v>1758</v>
      </c>
    </row>
    <row r="832" spans="15:22" x14ac:dyDescent="0.25">
      <c r="O832" t="s">
        <v>1891</v>
      </c>
      <c r="P832" t="s">
        <v>160</v>
      </c>
      <c r="Q832" t="s">
        <v>982</v>
      </c>
      <c r="R832" t="str">
        <f t="shared" si="12"/>
        <v>ONCODH8</v>
      </c>
      <c r="S832" t="s">
        <v>1759</v>
      </c>
      <c r="T832" t="s">
        <v>1760</v>
      </c>
      <c r="U832" t="s">
        <v>1761</v>
      </c>
      <c r="V832" t="s">
        <v>1762</v>
      </c>
    </row>
    <row r="833" spans="15:22" x14ac:dyDescent="0.25">
      <c r="O833" t="s">
        <v>1891</v>
      </c>
      <c r="P833" t="s">
        <v>160</v>
      </c>
      <c r="Q833" t="s">
        <v>987</v>
      </c>
      <c r="R833" t="str">
        <f t="shared" ref="R833:R864" si="13">O833&amp;P833&amp;Q833</f>
        <v>ONCODA9</v>
      </c>
      <c r="S833" t="s">
        <v>1763</v>
      </c>
      <c r="T833" t="s">
        <v>1764</v>
      </c>
      <c r="U833" t="s">
        <v>1765</v>
      </c>
      <c r="V833" t="s">
        <v>1766</v>
      </c>
    </row>
    <row r="834" spans="15:22" x14ac:dyDescent="0.25">
      <c r="O834" t="s">
        <v>1891</v>
      </c>
      <c r="P834" t="s">
        <v>160</v>
      </c>
      <c r="Q834" t="s">
        <v>992</v>
      </c>
      <c r="R834" t="str">
        <f t="shared" si="13"/>
        <v>ONCODB9</v>
      </c>
      <c r="S834" t="s">
        <v>1767</v>
      </c>
      <c r="T834" t="s">
        <v>1768</v>
      </c>
      <c r="U834" t="s">
        <v>1769</v>
      </c>
      <c r="V834" t="s">
        <v>1770</v>
      </c>
    </row>
    <row r="835" spans="15:22" x14ac:dyDescent="0.25">
      <c r="O835" t="s">
        <v>1891</v>
      </c>
      <c r="P835" t="s">
        <v>160</v>
      </c>
      <c r="Q835" t="s">
        <v>997</v>
      </c>
      <c r="R835" t="str">
        <f t="shared" si="13"/>
        <v>ONCODC9</v>
      </c>
      <c r="S835" t="s">
        <v>1771</v>
      </c>
      <c r="T835" t="s">
        <v>1772</v>
      </c>
      <c r="U835" t="s">
        <v>1773</v>
      </c>
      <c r="V835" t="s">
        <v>1774</v>
      </c>
    </row>
    <row r="836" spans="15:22" x14ac:dyDescent="0.25">
      <c r="O836" t="s">
        <v>1891</v>
      </c>
      <c r="P836" t="s">
        <v>160</v>
      </c>
      <c r="Q836" t="s">
        <v>1002</v>
      </c>
      <c r="R836" t="str">
        <f t="shared" si="13"/>
        <v>ONCODD9</v>
      </c>
      <c r="S836" t="s">
        <v>1775</v>
      </c>
      <c r="T836" t="s">
        <v>1776</v>
      </c>
      <c r="U836" t="s">
        <v>1777</v>
      </c>
      <c r="V836" t="s">
        <v>1778</v>
      </c>
    </row>
    <row r="837" spans="15:22" x14ac:dyDescent="0.25">
      <c r="O837" t="s">
        <v>1891</v>
      </c>
      <c r="P837" t="s">
        <v>160</v>
      </c>
      <c r="Q837" t="s">
        <v>1007</v>
      </c>
      <c r="R837" t="str">
        <f t="shared" si="13"/>
        <v>ONCODE9</v>
      </c>
      <c r="S837" t="s">
        <v>1779</v>
      </c>
      <c r="T837" t="s">
        <v>1780</v>
      </c>
      <c r="U837" t="s">
        <v>1781</v>
      </c>
      <c r="V837" t="s">
        <v>1782</v>
      </c>
    </row>
    <row r="838" spans="15:22" x14ac:dyDescent="0.25">
      <c r="O838" t="s">
        <v>1891</v>
      </c>
      <c r="P838" t="s">
        <v>160</v>
      </c>
      <c r="Q838" t="s">
        <v>1012</v>
      </c>
      <c r="R838" t="str">
        <f t="shared" si="13"/>
        <v>ONCODF9</v>
      </c>
      <c r="S838" t="s">
        <v>1783</v>
      </c>
      <c r="T838" t="s">
        <v>1784</v>
      </c>
      <c r="U838" t="s">
        <v>1785</v>
      </c>
      <c r="V838" t="s">
        <v>1786</v>
      </c>
    </row>
    <row r="839" spans="15:22" x14ac:dyDescent="0.25">
      <c r="O839" t="s">
        <v>1891</v>
      </c>
      <c r="P839" t="s">
        <v>160</v>
      </c>
      <c r="Q839" t="s">
        <v>1017</v>
      </c>
      <c r="R839" t="str">
        <f t="shared" si="13"/>
        <v>ONCODG9</v>
      </c>
      <c r="S839" t="s">
        <v>1787</v>
      </c>
      <c r="T839" t="s">
        <v>1788</v>
      </c>
      <c r="U839" t="s">
        <v>1789</v>
      </c>
      <c r="V839" t="s">
        <v>1790</v>
      </c>
    </row>
    <row r="840" spans="15:22" x14ac:dyDescent="0.25">
      <c r="O840" t="s">
        <v>1891</v>
      </c>
      <c r="P840" t="s">
        <v>160</v>
      </c>
      <c r="Q840" t="s">
        <v>1022</v>
      </c>
      <c r="R840" t="str">
        <f t="shared" si="13"/>
        <v>ONCODH9</v>
      </c>
      <c r="S840" t="s">
        <v>1791</v>
      </c>
      <c r="T840" t="s">
        <v>1792</v>
      </c>
      <c r="U840" t="s">
        <v>1793</v>
      </c>
      <c r="V840" t="s">
        <v>1794</v>
      </c>
    </row>
    <row r="841" spans="15:22" x14ac:dyDescent="0.25">
      <c r="O841" t="s">
        <v>1891</v>
      </c>
      <c r="P841" t="s">
        <v>160</v>
      </c>
      <c r="Q841" t="s">
        <v>238</v>
      </c>
      <c r="R841" t="str">
        <f t="shared" si="13"/>
        <v>ONCODA10</v>
      </c>
      <c r="S841" t="s">
        <v>1795</v>
      </c>
      <c r="T841" t="s">
        <v>1796</v>
      </c>
      <c r="U841" t="s">
        <v>1797</v>
      </c>
      <c r="V841" t="s">
        <v>1798</v>
      </c>
    </row>
    <row r="842" spans="15:22" x14ac:dyDescent="0.25">
      <c r="O842" t="s">
        <v>1891</v>
      </c>
      <c r="P842" t="s">
        <v>160</v>
      </c>
      <c r="Q842" t="s">
        <v>239</v>
      </c>
      <c r="R842" t="str">
        <f t="shared" si="13"/>
        <v>ONCODB10</v>
      </c>
      <c r="S842" t="s">
        <v>1799</v>
      </c>
      <c r="T842" t="s">
        <v>1800</v>
      </c>
      <c r="U842" t="s">
        <v>1801</v>
      </c>
      <c r="V842" t="s">
        <v>1802</v>
      </c>
    </row>
    <row r="843" spans="15:22" x14ac:dyDescent="0.25">
      <c r="O843" t="s">
        <v>1891</v>
      </c>
      <c r="P843" t="s">
        <v>160</v>
      </c>
      <c r="Q843" t="s">
        <v>240</v>
      </c>
      <c r="R843" t="str">
        <f t="shared" si="13"/>
        <v>ONCODC10</v>
      </c>
      <c r="S843" t="s">
        <v>1803</v>
      </c>
      <c r="T843" t="s">
        <v>1804</v>
      </c>
      <c r="U843" t="s">
        <v>1805</v>
      </c>
      <c r="V843" t="s">
        <v>1806</v>
      </c>
    </row>
    <row r="844" spans="15:22" x14ac:dyDescent="0.25">
      <c r="O844" t="s">
        <v>1891</v>
      </c>
      <c r="P844" t="s">
        <v>160</v>
      </c>
      <c r="Q844" t="s">
        <v>241</v>
      </c>
      <c r="R844" t="str">
        <f t="shared" si="13"/>
        <v>ONCODD10</v>
      </c>
      <c r="S844" t="s">
        <v>1807</v>
      </c>
      <c r="T844" t="s">
        <v>1808</v>
      </c>
      <c r="U844" t="s">
        <v>1809</v>
      </c>
      <c r="V844" t="s">
        <v>1810</v>
      </c>
    </row>
    <row r="845" spans="15:22" x14ac:dyDescent="0.25">
      <c r="O845" t="s">
        <v>1891</v>
      </c>
      <c r="P845" t="s">
        <v>160</v>
      </c>
      <c r="Q845" t="s">
        <v>242</v>
      </c>
      <c r="R845" t="str">
        <f t="shared" si="13"/>
        <v>ONCODE10</v>
      </c>
      <c r="S845" t="s">
        <v>1811</v>
      </c>
      <c r="T845" t="s">
        <v>1812</v>
      </c>
      <c r="U845" t="s">
        <v>1813</v>
      </c>
      <c r="V845" t="s">
        <v>1814</v>
      </c>
    </row>
    <row r="846" spans="15:22" x14ac:dyDescent="0.25">
      <c r="O846" t="s">
        <v>1891</v>
      </c>
      <c r="P846" t="s">
        <v>160</v>
      </c>
      <c r="Q846" t="s">
        <v>243</v>
      </c>
      <c r="R846" t="str">
        <f t="shared" si="13"/>
        <v>ONCODF10</v>
      </c>
      <c r="S846" t="s">
        <v>1815</v>
      </c>
      <c r="T846" t="s">
        <v>1816</v>
      </c>
      <c r="U846" t="s">
        <v>1817</v>
      </c>
      <c r="V846" t="s">
        <v>1818</v>
      </c>
    </row>
    <row r="847" spans="15:22" x14ac:dyDescent="0.25">
      <c r="O847" t="s">
        <v>1891</v>
      </c>
      <c r="P847" t="s">
        <v>160</v>
      </c>
      <c r="Q847" t="s">
        <v>244</v>
      </c>
      <c r="R847" t="str">
        <f t="shared" si="13"/>
        <v>ONCODG10</v>
      </c>
      <c r="S847" t="s">
        <v>1819</v>
      </c>
      <c r="T847" t="s">
        <v>1820</v>
      </c>
      <c r="U847" t="s">
        <v>1821</v>
      </c>
      <c r="V847" t="s">
        <v>1822</v>
      </c>
    </row>
    <row r="848" spans="15:22" x14ac:dyDescent="0.25">
      <c r="O848" t="s">
        <v>1891</v>
      </c>
      <c r="P848" t="s">
        <v>160</v>
      </c>
      <c r="Q848" t="s">
        <v>246</v>
      </c>
      <c r="R848" t="str">
        <f t="shared" si="13"/>
        <v>ONCODH10</v>
      </c>
      <c r="S848" t="s">
        <v>1823</v>
      </c>
      <c r="T848" t="s">
        <v>1824</v>
      </c>
      <c r="U848" t="s">
        <v>1825</v>
      </c>
      <c r="V848" t="s">
        <v>1826</v>
      </c>
    </row>
    <row r="849" spans="15:22" x14ac:dyDescent="0.25">
      <c r="O849" t="s">
        <v>1891</v>
      </c>
      <c r="P849" t="s">
        <v>160</v>
      </c>
      <c r="Q849" t="s">
        <v>248</v>
      </c>
      <c r="R849" t="str">
        <f t="shared" si="13"/>
        <v>ONCODA11</v>
      </c>
      <c r="S849" t="s">
        <v>1827</v>
      </c>
      <c r="T849" t="s">
        <v>1828</v>
      </c>
      <c r="U849" t="s">
        <v>1829</v>
      </c>
      <c r="V849" t="s">
        <v>1830</v>
      </c>
    </row>
    <row r="850" spans="15:22" x14ac:dyDescent="0.25">
      <c r="O850" t="s">
        <v>1891</v>
      </c>
      <c r="P850" t="s">
        <v>160</v>
      </c>
      <c r="Q850" t="s">
        <v>250</v>
      </c>
      <c r="R850" t="str">
        <f t="shared" si="13"/>
        <v>ONCODB11</v>
      </c>
      <c r="S850" t="s">
        <v>1831</v>
      </c>
      <c r="T850" t="s">
        <v>1832</v>
      </c>
      <c r="U850" t="s">
        <v>1833</v>
      </c>
      <c r="V850" t="s">
        <v>1834</v>
      </c>
    </row>
    <row r="851" spans="15:22" x14ac:dyDescent="0.25">
      <c r="O851" t="s">
        <v>1891</v>
      </c>
      <c r="P851" t="s">
        <v>160</v>
      </c>
      <c r="Q851" t="s">
        <v>252</v>
      </c>
      <c r="R851" t="str">
        <f t="shared" si="13"/>
        <v>ONCODC11</v>
      </c>
      <c r="S851" t="s">
        <v>1835</v>
      </c>
      <c r="T851" t="s">
        <v>1836</v>
      </c>
      <c r="U851" t="s">
        <v>1837</v>
      </c>
      <c r="V851" t="s">
        <v>1838</v>
      </c>
    </row>
    <row r="852" spans="15:22" x14ac:dyDescent="0.25">
      <c r="O852" t="s">
        <v>1891</v>
      </c>
      <c r="P852" t="s">
        <v>160</v>
      </c>
      <c r="Q852" t="s">
        <v>254</v>
      </c>
      <c r="R852" t="str">
        <f t="shared" si="13"/>
        <v>ONCODD11</v>
      </c>
      <c r="S852" t="s">
        <v>1839</v>
      </c>
      <c r="T852" t="s">
        <v>1840</v>
      </c>
      <c r="U852" t="s">
        <v>1841</v>
      </c>
      <c r="V852" t="s">
        <v>1842</v>
      </c>
    </row>
    <row r="853" spans="15:22" x14ac:dyDescent="0.25">
      <c r="O853" t="s">
        <v>1891</v>
      </c>
      <c r="P853" t="s">
        <v>160</v>
      </c>
      <c r="Q853" t="s">
        <v>256</v>
      </c>
      <c r="R853" t="str">
        <f t="shared" si="13"/>
        <v>ONCODE11</v>
      </c>
      <c r="S853" t="s">
        <v>1843</v>
      </c>
      <c r="T853" t="s">
        <v>1844</v>
      </c>
      <c r="U853" t="s">
        <v>1845</v>
      </c>
      <c r="V853" t="s">
        <v>1846</v>
      </c>
    </row>
    <row r="854" spans="15:22" x14ac:dyDescent="0.25">
      <c r="O854" t="s">
        <v>1891</v>
      </c>
      <c r="P854" t="s">
        <v>160</v>
      </c>
      <c r="Q854" t="s">
        <v>258</v>
      </c>
      <c r="R854" t="str">
        <f t="shared" si="13"/>
        <v>ONCODF11</v>
      </c>
      <c r="S854" t="s">
        <v>1847</v>
      </c>
      <c r="T854" t="s">
        <v>1848</v>
      </c>
      <c r="U854" t="s">
        <v>1849</v>
      </c>
      <c r="V854" t="s">
        <v>1850</v>
      </c>
    </row>
    <row r="855" spans="15:22" x14ac:dyDescent="0.25">
      <c r="O855" t="s">
        <v>1891</v>
      </c>
      <c r="P855" t="s">
        <v>160</v>
      </c>
      <c r="Q855" t="s">
        <v>259</v>
      </c>
      <c r="R855" t="str">
        <f t="shared" si="13"/>
        <v>ONCODG11</v>
      </c>
      <c r="S855" t="s">
        <v>1851</v>
      </c>
      <c r="T855" t="s">
        <v>1852</v>
      </c>
      <c r="U855" t="s">
        <v>1853</v>
      </c>
      <c r="V855" t="s">
        <v>1854</v>
      </c>
    </row>
    <row r="856" spans="15:22" x14ac:dyDescent="0.25">
      <c r="O856" t="s">
        <v>1891</v>
      </c>
      <c r="P856" t="s">
        <v>160</v>
      </c>
      <c r="Q856" t="s">
        <v>261</v>
      </c>
      <c r="R856" t="str">
        <f t="shared" si="13"/>
        <v>ONCODH11</v>
      </c>
      <c r="S856" t="s">
        <v>1855</v>
      </c>
      <c r="T856" t="s">
        <v>1856</v>
      </c>
      <c r="U856" t="s">
        <v>1857</v>
      </c>
      <c r="V856" t="s">
        <v>1858</v>
      </c>
    </row>
    <row r="857" spans="15:22" x14ac:dyDescent="0.25">
      <c r="O857" t="s">
        <v>1891</v>
      </c>
      <c r="P857" t="s">
        <v>160</v>
      </c>
      <c r="Q857" t="s">
        <v>263</v>
      </c>
      <c r="R857" t="str">
        <f t="shared" si="13"/>
        <v>ONCODA12</v>
      </c>
      <c r="S857" t="s">
        <v>1859</v>
      </c>
      <c r="T857" t="s">
        <v>1860</v>
      </c>
      <c r="U857" t="s">
        <v>1861</v>
      </c>
      <c r="V857" t="s">
        <v>1862</v>
      </c>
    </row>
    <row r="858" spans="15:22" x14ac:dyDescent="0.25">
      <c r="O858" t="s">
        <v>1891</v>
      </c>
      <c r="P858" t="s">
        <v>160</v>
      </c>
      <c r="Q858" t="s">
        <v>265</v>
      </c>
      <c r="R858" t="str">
        <f t="shared" si="13"/>
        <v>ONCODB12</v>
      </c>
      <c r="S858" t="s">
        <v>1863</v>
      </c>
      <c r="T858" t="s">
        <v>1864</v>
      </c>
      <c r="U858" t="s">
        <v>1865</v>
      </c>
      <c r="V858" t="s">
        <v>1866</v>
      </c>
    </row>
    <row r="859" spans="15:22" x14ac:dyDescent="0.25">
      <c r="O859" t="s">
        <v>1891</v>
      </c>
      <c r="P859" t="s">
        <v>160</v>
      </c>
      <c r="Q859" t="s">
        <v>267</v>
      </c>
      <c r="R859" t="str">
        <f t="shared" si="13"/>
        <v>ONCODC12</v>
      </c>
      <c r="S859" t="s">
        <v>1867</v>
      </c>
      <c r="T859" t="s">
        <v>1868</v>
      </c>
      <c r="U859" t="s">
        <v>1869</v>
      </c>
      <c r="V859" t="s">
        <v>1870</v>
      </c>
    </row>
    <row r="860" spans="15:22" x14ac:dyDescent="0.25">
      <c r="O860" t="s">
        <v>1891</v>
      </c>
      <c r="P860" t="s">
        <v>160</v>
      </c>
      <c r="Q860" t="s">
        <v>269</v>
      </c>
      <c r="R860" t="str">
        <f t="shared" si="13"/>
        <v>ONCODD12</v>
      </c>
      <c r="S860" t="s">
        <v>1871</v>
      </c>
      <c r="T860" t="s">
        <v>1872</v>
      </c>
      <c r="U860" t="s">
        <v>1873</v>
      </c>
      <c r="V860" t="s">
        <v>1874</v>
      </c>
    </row>
    <row r="861" spans="15:22" x14ac:dyDescent="0.25">
      <c r="O861" t="s">
        <v>1891</v>
      </c>
      <c r="P861" t="s">
        <v>160</v>
      </c>
      <c r="Q861" t="s">
        <v>271</v>
      </c>
      <c r="R861" t="str">
        <f t="shared" si="13"/>
        <v>ONCODE12</v>
      </c>
      <c r="S861" t="s">
        <v>1875</v>
      </c>
      <c r="T861" t="s">
        <v>1876</v>
      </c>
      <c r="U861" t="s">
        <v>1877</v>
      </c>
      <c r="V861" t="s">
        <v>1878</v>
      </c>
    </row>
    <row r="862" spans="15:22" x14ac:dyDescent="0.25">
      <c r="O862" t="s">
        <v>1891</v>
      </c>
      <c r="P862" t="s">
        <v>160</v>
      </c>
      <c r="Q862" t="s">
        <v>273</v>
      </c>
      <c r="R862" t="str">
        <f t="shared" si="13"/>
        <v>ONCODF12</v>
      </c>
      <c r="S862" t="s">
        <v>1879</v>
      </c>
      <c r="T862" t="s">
        <v>1880</v>
      </c>
      <c r="U862" t="s">
        <v>1881</v>
      </c>
      <c r="V862" t="s">
        <v>1882</v>
      </c>
    </row>
    <row r="863" spans="15:22" x14ac:dyDescent="0.25">
      <c r="O863" t="s">
        <v>1891</v>
      </c>
      <c r="P863" t="s">
        <v>160</v>
      </c>
      <c r="Q863" t="s">
        <v>275</v>
      </c>
      <c r="R863" t="str">
        <f t="shared" si="13"/>
        <v>ONCODG12</v>
      </c>
      <c r="S863" t="s">
        <v>1883</v>
      </c>
      <c r="T863" t="s">
        <v>1884</v>
      </c>
      <c r="U863" t="s">
        <v>1885</v>
      </c>
      <c r="V863" t="s">
        <v>1886</v>
      </c>
    </row>
    <row r="864" spans="15:22" x14ac:dyDescent="0.25">
      <c r="O864" t="s">
        <v>1891</v>
      </c>
      <c r="P864" t="s">
        <v>160</v>
      </c>
      <c r="Q864" t="s">
        <v>277</v>
      </c>
      <c r="R864" t="str">
        <f t="shared" si="13"/>
        <v>ONCODH12</v>
      </c>
      <c r="S864" t="s">
        <v>1887</v>
      </c>
      <c r="T864" t="s">
        <v>1888</v>
      </c>
      <c r="U864" t="s">
        <v>1889</v>
      </c>
      <c r="V864" t="s">
        <v>1890</v>
      </c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750BF-C128-4FDA-B52B-B8E344802AF8}">
  <dimension ref="A1:B42"/>
  <sheetViews>
    <sheetView zoomScale="114" zoomScaleNormal="115" workbookViewId="0">
      <selection activeCell="B3" sqref="B3"/>
    </sheetView>
  </sheetViews>
  <sheetFormatPr defaultRowHeight="15" x14ac:dyDescent="0.25"/>
  <cols>
    <col min="1" max="1" width="18.85546875" customWidth="1"/>
    <col min="2" max="2" width="13.28515625" bestFit="1" customWidth="1"/>
    <col min="3" max="3" width="12.7109375" bestFit="1" customWidth="1"/>
    <col min="4" max="4" width="11.5703125" bestFit="1" customWidth="1"/>
    <col min="5" max="5" width="16.85546875" bestFit="1" customWidth="1"/>
    <col min="6" max="6" width="11.42578125" bestFit="1" customWidth="1"/>
    <col min="7" max="7" width="6" bestFit="1" customWidth="1"/>
    <col min="8" max="8" width="11.42578125" bestFit="1" customWidth="1"/>
    <col min="9" max="9" width="7" bestFit="1" customWidth="1"/>
    <col min="10" max="10" width="15" bestFit="1" customWidth="1"/>
    <col min="11" max="11" width="11.140625" bestFit="1" customWidth="1"/>
  </cols>
  <sheetData>
    <row r="1" spans="1:2" ht="15.75" thickBot="1" x14ac:dyDescent="0.3"/>
    <row r="2" spans="1:2" ht="16.5" thickTop="1" thickBot="1" x14ac:dyDescent="0.3">
      <c r="A2" s="126" t="s">
        <v>26</v>
      </c>
      <c r="B2" s="128">
        <v>20220812</v>
      </c>
    </row>
    <row r="3" spans="1:2" ht="16.5" thickTop="1" thickBot="1" x14ac:dyDescent="0.3">
      <c r="A3" s="126" t="s">
        <v>27</v>
      </c>
      <c r="B3" s="127" t="s">
        <v>2255</v>
      </c>
    </row>
    <row r="4" spans="1:2" ht="16.5" thickTop="1" thickBot="1" x14ac:dyDescent="0.3"/>
    <row r="5" spans="1:2" ht="31.5" thickTop="1" thickBot="1" x14ac:dyDescent="0.3">
      <c r="A5" s="126" t="s">
        <v>28</v>
      </c>
      <c r="B5" s="126" t="str">
        <f ca="1">(VLOOKUP("ID cartucho",INDIRECT("'"&amp;B$2&amp;"'!$A$1:$B$24"),2,FALSE))&amp;".csv"</f>
        <v>MS3313742-300V2.csv</v>
      </c>
    </row>
    <row r="6" spans="1:2" ht="15.75" thickTop="1" x14ac:dyDescent="0.25">
      <c r="B6" s="125"/>
    </row>
    <row r="9" spans="1:2" x14ac:dyDescent="0.25">
      <c r="A9" t="s">
        <v>29</v>
      </c>
    </row>
    <row r="10" spans="1:2" x14ac:dyDescent="0.25">
      <c r="A10" t="s">
        <v>30</v>
      </c>
    </row>
    <row r="11" spans="1:2" x14ac:dyDescent="0.25">
      <c r="A11" t="str">
        <f>"Experiment Name,"&amp;B2</f>
        <v>Experiment Name,20220812</v>
      </c>
    </row>
    <row r="12" spans="1:2" x14ac:dyDescent="0.25">
      <c r="A12" t="str">
        <f>"Date "&amp;B3</f>
        <v>Date 12/07/2023</v>
      </c>
    </row>
    <row r="13" spans="1:2" x14ac:dyDescent="0.25">
      <c r="A13" t="s">
        <v>31</v>
      </c>
    </row>
    <row r="14" spans="1:2" x14ac:dyDescent="0.25">
      <c r="A14" t="s">
        <v>32</v>
      </c>
    </row>
    <row r="15" spans="1:2" x14ac:dyDescent="0.25">
      <c r="A15" t="str">
        <f ca="1">"Instrument Type,"&amp;(VLOOKUP("Equipamento",INDIRECT("'"&amp;B$2&amp;"'!$A$1:$B$24"),2,FALSE))</f>
        <v>Instrument Type,MiSeq</v>
      </c>
    </row>
    <row r="16" spans="1:2" x14ac:dyDescent="0.25">
      <c r="A16" t="s">
        <v>33</v>
      </c>
    </row>
    <row r="17" spans="1:1" x14ac:dyDescent="0.25">
      <c r="A17" t="s">
        <v>34</v>
      </c>
    </row>
    <row r="19" spans="1:1" x14ac:dyDescent="0.25">
      <c r="A19" t="s">
        <v>35</v>
      </c>
    </row>
    <row r="20" spans="1:1" x14ac:dyDescent="0.25">
      <c r="A20">
        <f ca="1">VLOOKUP("Sequence Size",INDIRECT("'"&amp;B$2&amp;"'!$A$1:$B$24"),2,FALSE)</f>
        <v>151</v>
      </c>
    </row>
    <row r="21" spans="1:1" x14ac:dyDescent="0.25">
      <c r="A21">
        <f ca="1">VLOOKUP("Sequence Size",INDIRECT("'"&amp;B$2&amp;"'!$A$1:$B$24"),2,FALSE)</f>
        <v>151</v>
      </c>
    </row>
    <row r="22" spans="1:1" x14ac:dyDescent="0.25">
      <c r="A22" t="s">
        <v>36</v>
      </c>
    </row>
    <row r="23" spans="1:1" x14ac:dyDescent="0.25">
      <c r="A23" t="s">
        <v>37</v>
      </c>
    </row>
    <row r="24" spans="1:1" x14ac:dyDescent="0.25">
      <c r="A24" t="s">
        <v>38</v>
      </c>
    </row>
    <row r="26" spans="1:1" x14ac:dyDescent="0.25">
      <c r="A26" t="s">
        <v>39</v>
      </c>
    </row>
    <row r="27" spans="1:1" x14ac:dyDescent="0.25">
      <c r="A27" t="s">
        <v>40</v>
      </c>
    </row>
    <row r="28" spans="1:1" x14ac:dyDescent="0.25">
      <c r="A28" t="str" cm="1">
        <f t="array" aca="1" ref="A28:A42" ca="1">INDIRECT("'"&amp;$B$2&amp;"'!O2:O"&amp;COUNTA(INDIRECT("'"&amp;$B$2&amp;"'!D2:D300"))+1)</f>
        <v>POOL-10001,20220802-AmpliSeq_DNA,A01,A,A01,7005,GTGAATAT,5001,AGCGCTAG,Focus_FFPE-gDNA,071_BB</v>
      </c>
    </row>
    <row r="29" spans="1:1" x14ac:dyDescent="0.25">
      <c r="A29" t="str">
        <f ca="1"/>
        <v>POOL-10002,20220802-AmpliSeq_DNA,B01,A,B01,7006,ACAGGCGC,5002,GATATCGA,Focus_FFPE-gDNA,052_JJM</v>
      </c>
    </row>
    <row r="30" spans="1:1" x14ac:dyDescent="0.25">
      <c r="A30" t="str">
        <f ca="1"/>
        <v>POOL-10003,20220802-AmpliSeq_DNA,C01,A,C01,7016,CTCTCGTC,5007,ACATAGCG,Focus_FFPE-gDNA,104_DCB</v>
      </c>
    </row>
    <row r="31" spans="1:1" x14ac:dyDescent="0.25">
      <c r="A31" t="str">
        <f ca="1"/>
        <v>POOL-10004,20220810-AmpliSeq_DNA,B01,A,D01,7015,TCTCTACT,5008,GTGCGATA,Focus_FFPE-gDNA,088_HD832</v>
      </c>
    </row>
    <row r="32" spans="1:1" x14ac:dyDescent="0.25">
      <c r="A32" t="str">
        <f ca="1"/>
        <v>POOL-10005,20220810-AmpliSeq_DNA,C01,A,E01,7017,CCAAGTCT,5009,CCAACAGA,Focus_FFPE-gDNA,088_HD832</v>
      </c>
    </row>
    <row r="33" spans="1:1" x14ac:dyDescent="0.25">
      <c r="A33" t="str">
        <f ca="1"/>
        <v>POOL-10006,20220810-AmpliSeq_DNA,D01,A,F01,7018,TTGGACTC,5010,TTGGTGAG,Focus_FFPE-gDNA,089_HD734</v>
      </c>
    </row>
    <row r="34" spans="1:1" x14ac:dyDescent="0.25">
      <c r="A34" t="str">
        <f ca="1"/>
        <v>POOL-10007,20220810-AmpliSeq_DNA,E01,A,G01,7026,GTCGGAGC,5013,AACCGCGG,Focus_FFPE-gDNA,054_LAN</v>
      </c>
    </row>
    <row r="35" spans="1:1" x14ac:dyDescent="0.25">
      <c r="A35" t="str">
        <f ca="1"/>
        <v>POOL-10008,20220810-AmpliSeq_DNA,H01,A,H01,7025,ACTAAGAT,5014,GGTTATAA,Focus_FFPE-gDNA,105_RHR</v>
      </c>
    </row>
    <row r="36" spans="1:1" x14ac:dyDescent="0.25">
      <c r="A36" t="str">
        <f ca="1"/>
        <v>POOL-10009,20220810-AmpliSeq_RNA,A02,A,A02,7015,TCTCTACT,5002,GATATCGA,Focus_FFPE-RNA,077_BB</v>
      </c>
    </row>
    <row r="37" spans="1:1" x14ac:dyDescent="0.25">
      <c r="A37" t="str">
        <f ca="1"/>
        <v>POOL-10010,20220810-AmpliSeq_RNA,B02,A,B02,7016,CTCTCGTC,5001,AGCGCTAG,Focus_FFPE-RNA,087_HD789</v>
      </c>
    </row>
    <row r="38" spans="1:1" x14ac:dyDescent="0.25">
      <c r="A38" t="str">
        <f ca="1"/>
        <v>POOL-10011,20220810-AmpliSeq_RNA,C02,A,C02,7008,TGCGAGAC,5008,GTGCGATA,Focus_FFPE-RNA,087_HD789</v>
      </c>
    </row>
    <row r="39" spans="1:1" x14ac:dyDescent="0.25">
      <c r="A39" t="str">
        <f ca="1"/>
        <v>POOL-10012,20220810-AmpliSeq_RNA,E02,A,D02,7007,CATAGAGT,5007,ACATAGCG,Focus_FFPE-RNA,096_LAN</v>
      </c>
    </row>
    <row r="40" spans="1:1" x14ac:dyDescent="0.25">
      <c r="A40" t="str">
        <f ca="1"/>
        <v>POOL-10013,20220810-AmpliSeq_RNA,F02,A,E02,7025,ACTAAGAT,5010,TTGGTGAG,Focus_FFPE-RNA,097_JJM</v>
      </c>
    </row>
    <row r="41" spans="1:1" x14ac:dyDescent="0.25">
      <c r="A41" t="str">
        <f ca="1"/>
        <v>POOL-10014,20220810-AmpliSeq_RNA,G02,A,F02,7026,GTCGGAGC,5009,CCAACAGA,Focus_FFPE-RNA,106_DCB</v>
      </c>
    </row>
    <row r="42" spans="1:1" x14ac:dyDescent="0.25">
      <c r="A42" t="str">
        <f ca="1"/>
        <v>POOL-10015,20220810-AmpliSeq_RNA,H02,A,G02,7024,ATGAGGCC,5014,GGTTATAA,Focus_FFPE-RNA,107_RHR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FA5DC-FC0C-4A93-AACB-904D7A58B06D}">
  <dimension ref="A1:S48"/>
  <sheetViews>
    <sheetView tabSelected="1" topLeftCell="A18" zoomScale="85" zoomScaleNormal="85" workbookViewId="0">
      <selection activeCell="B45" sqref="B45"/>
    </sheetView>
  </sheetViews>
  <sheetFormatPr defaultRowHeight="15" x14ac:dyDescent="0.25"/>
  <cols>
    <col min="1" max="1" width="26.140625" customWidth="1"/>
    <col min="2" max="2" width="35.42578125" customWidth="1"/>
    <col min="3" max="3" width="6.140625" customWidth="1"/>
    <col min="4" max="4" width="14.5703125" customWidth="1"/>
    <col min="5" max="5" width="20.5703125" bestFit="1" customWidth="1"/>
    <col min="6" max="6" width="25.28515625" bestFit="1" customWidth="1"/>
    <col min="7" max="7" width="14.7109375" bestFit="1" customWidth="1"/>
    <col min="8" max="8" width="13.7109375" bestFit="1" customWidth="1"/>
    <col min="9" max="9" width="7.85546875" bestFit="1" customWidth="1"/>
    <col min="10" max="10" width="9.140625" customWidth="1"/>
    <col min="11" max="11" width="15.5703125" customWidth="1"/>
    <col min="12" max="12" width="16.28515625" customWidth="1"/>
    <col min="13" max="13" width="15.5703125" customWidth="1"/>
    <col min="14" max="14" width="12.7109375" style="9" bestFit="1" customWidth="1"/>
    <col min="15" max="15" width="14.28515625" style="9" bestFit="1" customWidth="1"/>
    <col min="16" max="16" width="12.7109375" style="9" bestFit="1" customWidth="1"/>
    <col min="17" max="17" width="14.28515625" style="9" bestFit="1" customWidth="1"/>
    <col min="18" max="18" width="27.85546875" style="9" bestFit="1" customWidth="1"/>
    <col min="19" max="19" width="27.140625" style="9" customWidth="1"/>
  </cols>
  <sheetData>
    <row r="1" spans="1:19" s="9" customFormat="1" ht="30" customHeight="1" x14ac:dyDescent="0.25">
      <c r="A1" s="44" t="s">
        <v>0</v>
      </c>
      <c r="B1" s="138" t="s">
        <v>1</v>
      </c>
      <c r="C1" s="139"/>
      <c r="D1" s="44" t="s">
        <v>2</v>
      </c>
      <c r="E1" s="44" t="s">
        <v>3</v>
      </c>
      <c r="F1" s="44" t="s">
        <v>4</v>
      </c>
      <c r="G1" s="44" t="s">
        <v>5</v>
      </c>
      <c r="H1" s="44" t="s">
        <v>6</v>
      </c>
      <c r="I1" s="44" t="s">
        <v>7</v>
      </c>
      <c r="J1" s="44" t="s">
        <v>8</v>
      </c>
      <c r="K1" s="44" t="s">
        <v>9</v>
      </c>
      <c r="L1" s="44" t="s">
        <v>9</v>
      </c>
      <c r="M1" s="44" t="s">
        <v>10</v>
      </c>
      <c r="N1" s="44" t="s">
        <v>11</v>
      </c>
      <c r="O1" s="44" t="s">
        <v>11</v>
      </c>
      <c r="P1" s="44" t="s">
        <v>12</v>
      </c>
      <c r="Q1" s="44" t="s">
        <v>12</v>
      </c>
      <c r="R1" s="44" t="s">
        <v>13</v>
      </c>
      <c r="S1" s="44" t="s">
        <v>14</v>
      </c>
    </row>
    <row r="2" spans="1:19" x14ac:dyDescent="0.25">
      <c r="A2" s="51" t="s">
        <v>15</v>
      </c>
      <c r="B2" s="137" cm="1">
        <f t="array" aca="1" ref="B2:M4" ca="1">INDIRECT("'"&amp;A2&amp;"'!B8:M"&amp;(7+INDIRECT("'"&amp;A2&amp;"'!D4")))</f>
        <v>1</v>
      </c>
      <c r="C2" s="53" t="str">
        <f ca="1"/>
        <v>A01</v>
      </c>
      <c r="D2" s="54" t="str">
        <f ca="1"/>
        <v>POOL-10001</v>
      </c>
      <c r="E2" s="55" t="str">
        <f ca="1"/>
        <v>071 B.B.</v>
      </c>
      <c r="F2" s="55" t="str">
        <f ca="1"/>
        <v>Focus_FFPE-gDNA</v>
      </c>
      <c r="G2" s="52">
        <f ca="1"/>
        <v>2.65</v>
      </c>
      <c r="H2" s="56">
        <f ca="1"/>
        <v>4</v>
      </c>
      <c r="I2" s="56">
        <f ca="1"/>
        <v>8.7199999999999989</v>
      </c>
      <c r="J2" s="57" t="str">
        <f ca="1"/>
        <v>A</v>
      </c>
      <c r="K2" s="52">
        <f ca="1"/>
        <v>1</v>
      </c>
      <c r="L2" s="53" t="str">
        <f ca="1"/>
        <v>A01</v>
      </c>
      <c r="M2" s="52">
        <f ca="1"/>
        <v>7.76</v>
      </c>
      <c r="N2" s="59">
        <f ca="1">_xlfn.IFNA(VLOOKUP(MID(F2,1,(FIND("_",F2)-1))&amp;J2&amp;L2,Database!$R$1:$V$1000,2,FALSE),"-")</f>
        <v>7005</v>
      </c>
      <c r="O2" s="59" t="str">
        <f ca="1">_xlfn.IFNA(VLOOKUP(MID(F2,1,(FIND("_",F2)-1))&amp;J2&amp;L2,Database!$R$1:$V$1000,3,FALSE),"-")</f>
        <v>GTGAATAT</v>
      </c>
      <c r="P2" s="59">
        <f ca="1">_xlfn.IFNA(VLOOKUP(MID(F2,1,(FIND("_",F2)-1))&amp;J2&amp;L2,Database!$R$1:$V$1000,4,FALSE),"-")</f>
        <v>5001</v>
      </c>
      <c r="Q2" s="59" t="str">
        <f ca="1">_xlfn.IFNA(VLOOKUP(MID(F2,1,(FIND("_",F2)-1))&amp;J2&amp;L2,Database!$R$1:$V$1000,5,FALSE),"-")</f>
        <v>AGCGCTAG</v>
      </c>
      <c r="R2" s="59" t="str">
        <f t="shared" ref="R2:R48" ca="1" si="0">O2&amp;Q2</f>
        <v>GTGAATATAGCGCTAG</v>
      </c>
      <c r="S2" s="59" t="str">
        <f t="shared" ref="S2:S48" ca="1" si="1">MID(SUBSTITUTE(SUBSTITUTE(SUBSTITUTE(SUBSTITUTE(SUBSTITUTE(SUBSTITUTE(SUBSTITUTE(SUBSTITUTE(Q2,"A",1),"C",2),"G",3),"T",4),1,"T"),2,"G"),3,"C"),4,"A"),30,1)&amp;MID(SUBSTITUTE(SUBSTITUTE(SUBSTITUTE(SUBSTITUTE(SUBSTITUTE(SUBSTITUTE(SUBSTITUTE(SUBSTITUTE(Q2,"A",1),"C",2),"G",3),"T",4),1,"T"),2,"G"),3,"C"),4,"A"),29,1)&amp;MID(SUBSTITUTE(SUBSTITUTE(SUBSTITUTE(SUBSTITUTE(SUBSTITUTE(SUBSTITUTE(SUBSTITUTE(SUBSTITUTE(Q2,"A",1),"C",2),"G",3),"T",4),1,"T"),2,"G"),3,"C"),4,"A"),28,1)&amp;MID(SUBSTITUTE(SUBSTITUTE(SUBSTITUTE(SUBSTITUTE(SUBSTITUTE(SUBSTITUTE(SUBSTITUTE(SUBSTITUTE(Q2,"A",1),"C",2),"G",3),"T",4),1,"T"),2,"G"),3,"C"),4,"A"),27,1)&amp;MID(SUBSTITUTE(SUBSTITUTE(SUBSTITUTE(SUBSTITUTE(SUBSTITUTE(SUBSTITUTE(SUBSTITUTE(SUBSTITUTE(Q2,"A",1),"C",2),"G",3),"T",4),1,"T"),2,"G"),3,"C"),4,"A"),26,1)&amp;MID(SUBSTITUTE(SUBSTITUTE(SUBSTITUTE(SUBSTITUTE(SUBSTITUTE(SUBSTITUTE(SUBSTITUTE(SUBSTITUTE(Q2,"A",1),"C",2),"G",3),"T",4),1,"T"),2,"G"),3,"C"),4,"A"),25,1)&amp;MID(SUBSTITUTE(SUBSTITUTE(SUBSTITUTE(SUBSTITUTE(SUBSTITUTE(SUBSTITUTE(SUBSTITUTE(SUBSTITUTE(Q2,"A",1),"C",2),"G",3),"T",4),1,"T"),2,"G"),3,"C"),4,"A"),24,1)&amp;MID(SUBSTITUTE(SUBSTITUTE(SUBSTITUTE(SUBSTITUTE(SUBSTITUTE(SUBSTITUTE(SUBSTITUTE(SUBSTITUTE(Q2,"A",1),"C",2),"G",3),"T",4),1,"T"),2,"G"),3,"C"),4,"A"),23,1)&amp;MID(SUBSTITUTE(SUBSTITUTE(SUBSTITUTE(SUBSTITUTE(SUBSTITUTE(SUBSTITUTE(SUBSTITUTE(SUBSTITUTE(Q2,"A",1),"C",2),"G",3),"T",4),1,"T"),2,"G"),3,"C"),4,"A"),22,1)&amp;MID(SUBSTITUTE(SUBSTITUTE(SUBSTITUTE(SUBSTITUTE(SUBSTITUTE(SUBSTITUTE(SUBSTITUTE(SUBSTITUTE(Q2,"A",1),"C",2),"G",3),"T",4),1,"T"),2,"G"),3,"C"),4,"A"),21,1)&amp;MID(SUBSTITUTE(SUBSTITUTE(SUBSTITUTE(SUBSTITUTE(SUBSTITUTE(SUBSTITUTE(SUBSTITUTE(SUBSTITUTE(Q2,"A",1),"C",2),"G",3),"T",4),1,"T"),2,"G"),3,"C"),4,"A"),20,1)&amp;MID(SUBSTITUTE(SUBSTITUTE(SUBSTITUTE(SUBSTITUTE(SUBSTITUTE(SUBSTITUTE(SUBSTITUTE(SUBSTITUTE(Q2,"A",1),"C",2),"G",3),"T",4),1,"T"),2,"G"),3,"C"),4,"A"),19,1)&amp;MID(SUBSTITUTE(SUBSTITUTE(SUBSTITUTE(SUBSTITUTE(SUBSTITUTE(SUBSTITUTE(SUBSTITUTE(SUBSTITUTE(Q2,"A",1),"C",2),"G",3),"T",4),1,"T"),2,"G"),3,"C"),4,"A"),18,1)&amp;MID(SUBSTITUTE(SUBSTITUTE(SUBSTITUTE(SUBSTITUTE(SUBSTITUTE(SUBSTITUTE(SUBSTITUTE(SUBSTITUTE(Q2,"A",1),"C",2),"G",3),"T",4),1,"T"),2,"G"),3,"C"),4,"A"),17,1)&amp;MID(SUBSTITUTE(SUBSTITUTE(SUBSTITUTE(SUBSTITUTE(SUBSTITUTE(SUBSTITUTE(SUBSTITUTE(SUBSTITUTE(Q2,"A",1),"C",2),"G",3),"T",4),1,"T"),2,"G"),3,"C"),4,"A"),16,1)&amp;MID(SUBSTITUTE(SUBSTITUTE(SUBSTITUTE(SUBSTITUTE(SUBSTITUTE(SUBSTITUTE(SUBSTITUTE(SUBSTITUTE(Q2,"A",1),"C",2),"G",3),"T",4),1,"T"),2,"G"),3,"C"),4,"A"),15,1)&amp;MID(SUBSTITUTE(SUBSTITUTE(SUBSTITUTE(SUBSTITUTE(SUBSTITUTE(SUBSTITUTE(SUBSTITUTE(SUBSTITUTE(Q2,"A",1),"C",2),"G",3),"T",4),1,"T"),2,"G"),3,"C"),4,"A"),14,1)&amp;MID(SUBSTITUTE(SUBSTITUTE(SUBSTITUTE(SUBSTITUTE(SUBSTITUTE(SUBSTITUTE(SUBSTITUTE(SUBSTITUTE(Q2,"A",1),"C",2),"G",3),"T",4),1,"T"),2,"G"),3,"C"),4,"A"),13,1)&amp;MID(SUBSTITUTE(SUBSTITUTE(SUBSTITUTE(SUBSTITUTE(SUBSTITUTE(SUBSTITUTE(SUBSTITUTE(SUBSTITUTE(Q2,"A",1),"C",2),"G",3),"T",4),1,"T"),2,"G"),3,"C"),4,"A"),12,1)&amp;MID(SUBSTITUTE(SUBSTITUTE(SUBSTITUTE(SUBSTITUTE(SUBSTITUTE(SUBSTITUTE(SUBSTITUTE(SUBSTITUTE(Q2,"A",1),"C",2),"G",3),"T",4),1,"T"),2,"G"),3,"C"),4,"A"),11,1)&amp;MID(SUBSTITUTE(SUBSTITUTE(SUBSTITUTE(SUBSTITUTE(SUBSTITUTE(SUBSTITUTE(SUBSTITUTE(SUBSTITUTE(Q2,"A",1),"C",2),"G",3),"T",4),1,"T"),2,"G"),3,"C"),4,"A"),10,1)&amp;MID(SUBSTITUTE(SUBSTITUTE(SUBSTITUTE(SUBSTITUTE(SUBSTITUTE(SUBSTITUTE(SUBSTITUTE(SUBSTITUTE(Q2,"A",1),"C",2),"G",3),"T",4),1,"T"),2,"G"),3,"C"),4,"A"),9,1)&amp;MID(SUBSTITUTE(SUBSTITUTE(SUBSTITUTE(SUBSTITUTE(SUBSTITUTE(SUBSTITUTE(SUBSTITUTE(SUBSTITUTE(Q2,"A",1),"C",2),"G",3),"T",4),1,"T"),2,"G"),3,"C"),4,"A"),8,1)&amp;MID(SUBSTITUTE(SUBSTITUTE(SUBSTITUTE(SUBSTITUTE(SUBSTITUTE(SUBSTITUTE(SUBSTITUTE(SUBSTITUTE(Q2,"A",1),"C",2),"G",3),"T",4),1,"T"),2,"G"),3,"C"),4,"A"),7,1)&amp;MID(SUBSTITUTE(SUBSTITUTE(SUBSTITUTE(SUBSTITUTE(SUBSTITUTE(SUBSTITUTE(SUBSTITUTE(SUBSTITUTE(Q2,"A",1),"C",2),"G",3),"T",4),1,"T"),2,"G"),3,"C"),4,"A"),6,1)&amp;MID(SUBSTITUTE(SUBSTITUTE(SUBSTITUTE(SUBSTITUTE(SUBSTITUTE(SUBSTITUTE(SUBSTITUTE(SUBSTITUTE(Q2,"A",1),"C",2),"G",3),"T",4),1,"T"),2,"G"),3,"C"),4,"A"),5,1)&amp;MID(SUBSTITUTE(SUBSTITUTE(SUBSTITUTE(SUBSTITUTE(SUBSTITUTE(SUBSTITUTE(SUBSTITUTE(SUBSTITUTE(Q2,"A",1),"C",2),"G",3),"T",4),1,"T"),2,"G"),3,"C"),4,"A"),4,1)&amp;MID(SUBSTITUTE(SUBSTITUTE(SUBSTITUTE(SUBSTITUTE(SUBSTITUTE(SUBSTITUTE(SUBSTITUTE(SUBSTITUTE(Q2,"A",1),"C",2),"G",3),"T",4),1,"T"),2,"G"),3,"C"),4,"A"),3,1)&amp;MID(SUBSTITUTE(SUBSTITUTE(SUBSTITUTE(SUBSTITUTE(SUBSTITUTE(SUBSTITUTE(SUBSTITUTE(SUBSTITUTE(Q2,"A",1),"C",2),"G",3),"T",4),1,"T"),2,"G"),3,"C"),4,"A"),2,1)&amp;MID(SUBSTITUTE(SUBSTITUTE(SUBSTITUTE(SUBSTITUTE(SUBSTITUTE(SUBSTITUTE(SUBSTITUTE(SUBSTITUTE(Q2,"A",1),"C",2),"G",3),"T",4),1,"T"),2,"G"),3,"C"),4,"A"),1,1)</f>
        <v>CTAGCGCT</v>
      </c>
    </row>
    <row r="3" spans="1:19" x14ac:dyDescent="0.25">
      <c r="A3" s="51" t="s">
        <v>15</v>
      </c>
      <c r="B3" s="52">
        <f ca="1"/>
        <v>2</v>
      </c>
      <c r="C3" s="53" t="str">
        <f ca="1"/>
        <v>B01</v>
      </c>
      <c r="D3" s="54" t="str">
        <f ca="1"/>
        <v>POOL-10002</v>
      </c>
      <c r="E3" s="55" t="str">
        <f ca="1"/>
        <v>052 J.J.M.</v>
      </c>
      <c r="F3" s="55" t="str">
        <f ca="1"/>
        <v>Focus_FFPE-gDNA</v>
      </c>
      <c r="G3" s="52">
        <f ca="1"/>
        <v>42</v>
      </c>
      <c r="H3" s="56">
        <f ca="1"/>
        <v>1</v>
      </c>
      <c r="I3" s="56">
        <f ca="1"/>
        <v>49.4</v>
      </c>
      <c r="J3" s="57" t="str">
        <f ca="1"/>
        <v>A</v>
      </c>
      <c r="K3" s="52">
        <f ca="1"/>
        <v>2</v>
      </c>
      <c r="L3" s="53" t="str">
        <f ca="1"/>
        <v>B01</v>
      </c>
      <c r="M3" s="52">
        <f ca="1"/>
        <v>7.48</v>
      </c>
      <c r="N3" s="59">
        <f ca="1">_xlfn.IFNA(VLOOKUP(MID(F3,1,(FIND("_",F3)-1))&amp;J3&amp;L3,Database!$R$1:$V$1000,2,FALSE),"-")</f>
        <v>7006</v>
      </c>
      <c r="O3" s="59" t="str">
        <f ca="1">_xlfn.IFNA(VLOOKUP(MID(F3,1,(FIND("_",F3)-1))&amp;J3&amp;L3,Database!$R$1:$V$1000,3,FALSE),"-")</f>
        <v>ACAGGCGC</v>
      </c>
      <c r="P3" s="59">
        <f ca="1">_xlfn.IFNA(VLOOKUP(MID(F3,1,(FIND("_",F3)-1))&amp;J3&amp;L3,Database!$R$1:$V$1000,4,FALSE),"-")</f>
        <v>5002</v>
      </c>
      <c r="Q3" s="59" t="str">
        <f ca="1">_xlfn.IFNA(VLOOKUP(MID(F3,1,(FIND("_",F3)-1))&amp;J3&amp;L3,Database!$R$1:$V$1000,5,FALSE),"-")</f>
        <v>GATATCGA</v>
      </c>
      <c r="R3" s="59" t="str">
        <f t="shared" ca="1" si="0"/>
        <v>ACAGGCGCGATATCGA</v>
      </c>
      <c r="S3" s="59" t="str">
        <f t="shared" ca="1" si="1"/>
        <v>TCGATATC</v>
      </c>
    </row>
    <row r="4" spans="1:19" x14ac:dyDescent="0.25">
      <c r="A4" s="51" t="s">
        <v>15</v>
      </c>
      <c r="B4" s="52">
        <f ca="1"/>
        <v>3</v>
      </c>
      <c r="C4" s="53" t="str">
        <f ca="1"/>
        <v>C01</v>
      </c>
      <c r="D4" s="54" t="str">
        <f ca="1"/>
        <v>POOL-10003</v>
      </c>
      <c r="E4" s="55" t="str">
        <f ca="1"/>
        <v>104 D.C.B.</v>
      </c>
      <c r="F4" s="55" t="str">
        <f ca="1"/>
        <v>Focus_FFPE-gDNA</v>
      </c>
      <c r="G4" s="52">
        <f ca="1"/>
        <v>28.6</v>
      </c>
      <c r="H4" s="56">
        <f ca="1"/>
        <v>1</v>
      </c>
      <c r="I4" s="56">
        <f ca="1"/>
        <v>33.32</v>
      </c>
      <c r="J4" s="57" t="str">
        <f ca="1"/>
        <v>A</v>
      </c>
      <c r="K4" s="52">
        <f ca="1"/>
        <v>3</v>
      </c>
      <c r="L4" s="53" t="str">
        <f ca="1"/>
        <v>C01</v>
      </c>
      <c r="M4" s="52">
        <f ca="1"/>
        <v>15.9</v>
      </c>
      <c r="N4" s="59">
        <f ca="1">_xlfn.IFNA(VLOOKUP(MID(F4,1,(FIND("_",F4)-1))&amp;J4&amp;L4,Database!$R$1:$V$1000,2,FALSE),"-")</f>
        <v>7016</v>
      </c>
      <c r="O4" s="59" t="str">
        <f ca="1">_xlfn.IFNA(VLOOKUP(MID(F4,1,(FIND("_",F4)-1))&amp;J4&amp;L4,Database!$R$1:$V$1000,3,FALSE),"-")</f>
        <v>CTCTCGTC</v>
      </c>
      <c r="P4" s="59">
        <f ca="1">_xlfn.IFNA(VLOOKUP(MID(F4,1,(FIND("_",F4)-1))&amp;J4&amp;L4,Database!$R$1:$V$1000,4,FALSE),"-")</f>
        <v>5007</v>
      </c>
      <c r="Q4" s="59" t="str">
        <f ca="1">_xlfn.IFNA(VLOOKUP(MID(F4,1,(FIND("_",F4)-1))&amp;J4&amp;L4,Database!$R$1:$V$1000,5,FALSE),"-")</f>
        <v>ACATAGCG</v>
      </c>
      <c r="R4" s="59" t="str">
        <f t="shared" ca="1" si="0"/>
        <v>CTCTCGTCACATAGCG</v>
      </c>
      <c r="S4" s="59" t="str">
        <f t="shared" ca="1" si="1"/>
        <v>CGCTATGT</v>
      </c>
    </row>
    <row r="5" spans="1:19" x14ac:dyDescent="0.25">
      <c r="A5" s="51" t="s">
        <v>16</v>
      </c>
      <c r="B5" s="137" cm="1">
        <f t="array" aca="1" ref="B5:M9" ca="1">INDIRECT("'"&amp;A5&amp;"'!B8:M"&amp;(7+INDIRECT("'"&amp;A5&amp;"'!D4")))</f>
        <v>2</v>
      </c>
      <c r="C5" s="53" t="str">
        <f ca="1"/>
        <v>B01</v>
      </c>
      <c r="D5" s="54" t="str">
        <f ca="1"/>
        <v>POOL-10004</v>
      </c>
      <c r="E5" s="55" t="str">
        <f ca="1"/>
        <v>088 HD832</v>
      </c>
      <c r="F5" s="55" t="str">
        <f ca="1"/>
        <v>Focus_FFPE-gDNA</v>
      </c>
      <c r="G5" s="52">
        <f ca="1"/>
        <v>9.44</v>
      </c>
      <c r="H5" s="56">
        <f ca="1"/>
        <v>2.1186440677966103</v>
      </c>
      <c r="I5" s="56">
        <f ca="1"/>
        <v>21.881355932203391</v>
      </c>
      <c r="J5" s="57" t="str">
        <f ca="1"/>
        <v>A</v>
      </c>
      <c r="K5" s="52">
        <f ca="1"/>
        <v>4</v>
      </c>
      <c r="L5" s="53" t="str">
        <f ca="1"/>
        <v>D01</v>
      </c>
      <c r="M5" s="52">
        <f ca="1"/>
        <v>29.8</v>
      </c>
      <c r="N5" s="59">
        <f ca="1">_xlfn.IFNA(VLOOKUP(MID(F5,1,(FIND("_",F5)-1))&amp;J5&amp;L5,Database!$R$1:$V$1000,2,FALSE),"-")</f>
        <v>7015</v>
      </c>
      <c r="O5" s="59" t="str">
        <f ca="1">_xlfn.IFNA(VLOOKUP(MID(F5,1,(FIND("_",F5)-1))&amp;J5&amp;L5,Database!$R$1:$V$1000,3,FALSE),"-")</f>
        <v>TCTCTACT</v>
      </c>
      <c r="P5" s="59">
        <f ca="1">_xlfn.IFNA(VLOOKUP(MID(F5,1,(FIND("_",F5)-1))&amp;J5&amp;L5,Database!$R$1:$V$1000,4,FALSE),"-")</f>
        <v>5008</v>
      </c>
      <c r="Q5" s="59" t="str">
        <f ca="1">_xlfn.IFNA(VLOOKUP(MID(F5,1,(FIND("_",F5)-1))&amp;J5&amp;L5,Database!$R$1:$V$1000,5,FALSE),"-")</f>
        <v>GTGCGATA</v>
      </c>
      <c r="R5" s="59" t="str">
        <f t="shared" ca="1" si="0"/>
        <v>TCTCTACTGTGCGATA</v>
      </c>
      <c r="S5" s="59" t="str">
        <f t="shared" ca="1" si="1"/>
        <v>TATCGCAC</v>
      </c>
    </row>
    <row r="6" spans="1:19" x14ac:dyDescent="0.25">
      <c r="A6" s="51" t="s">
        <v>16</v>
      </c>
      <c r="B6" s="52">
        <f ca="1"/>
        <v>3</v>
      </c>
      <c r="C6" s="53" t="str">
        <f ca="1"/>
        <v>C01</v>
      </c>
      <c r="D6" s="54" t="str">
        <f ca="1"/>
        <v>POOL-10005</v>
      </c>
      <c r="E6" s="55" t="str">
        <f ca="1"/>
        <v>088 HD832</v>
      </c>
      <c r="F6" s="55" t="str">
        <f ca="1"/>
        <v>Focus_FFPE-gDNA</v>
      </c>
      <c r="G6" s="52">
        <f ca="1"/>
        <v>9.44</v>
      </c>
      <c r="H6" s="56" t="str">
        <f ca="1"/>
        <v>-</v>
      </c>
      <c r="I6" s="56" t="str">
        <f ca="1"/>
        <v>-</v>
      </c>
      <c r="J6" s="57" t="str">
        <f ca="1"/>
        <v>A</v>
      </c>
      <c r="K6" s="52">
        <f ca="1"/>
        <v>5</v>
      </c>
      <c r="L6" s="53" t="str">
        <f ca="1"/>
        <v>E01</v>
      </c>
      <c r="M6" s="52">
        <f ca="1"/>
        <v>27.4</v>
      </c>
      <c r="N6" s="59">
        <f ca="1">_xlfn.IFNA(VLOOKUP(MID(F6,1,(FIND("_",F6)-1))&amp;J6&amp;L6,Database!$R$1:$V$1000,2,FALSE),"-")</f>
        <v>7017</v>
      </c>
      <c r="O6" s="59" t="str">
        <f ca="1">_xlfn.IFNA(VLOOKUP(MID(F6,1,(FIND("_",F6)-1))&amp;J6&amp;L6,Database!$R$1:$V$1000,3,FALSE),"-")</f>
        <v>CCAAGTCT</v>
      </c>
      <c r="P6" s="59">
        <f ca="1">_xlfn.IFNA(VLOOKUP(MID(F6,1,(FIND("_",F6)-1))&amp;J6&amp;L6,Database!$R$1:$V$1000,4,FALSE),"-")</f>
        <v>5009</v>
      </c>
      <c r="Q6" s="59" t="str">
        <f ca="1">_xlfn.IFNA(VLOOKUP(MID(F6,1,(FIND("_",F6)-1))&amp;J6&amp;L6,Database!$R$1:$V$1000,5,FALSE),"-")</f>
        <v>CCAACAGA</v>
      </c>
      <c r="R6" s="59" t="str">
        <f t="shared" ca="1" si="0"/>
        <v>CCAAGTCTCCAACAGA</v>
      </c>
      <c r="S6" s="59" t="str">
        <f t="shared" ca="1" si="1"/>
        <v>TCTGTTGG</v>
      </c>
    </row>
    <row r="7" spans="1:19" x14ac:dyDescent="0.25">
      <c r="A7" s="51" t="s">
        <v>16</v>
      </c>
      <c r="B7" s="52">
        <f ca="1"/>
        <v>4</v>
      </c>
      <c r="C7" s="53" t="str">
        <f ca="1"/>
        <v>D01</v>
      </c>
      <c r="D7" s="54" t="str">
        <f ca="1"/>
        <v>POOL-10006</v>
      </c>
      <c r="E7" s="55" t="str">
        <f ca="1"/>
        <v>089 HD734</v>
      </c>
      <c r="F7" s="55" t="str">
        <f ca="1"/>
        <v>Focus_FFPE-gDNA</v>
      </c>
      <c r="G7" s="52">
        <f ca="1"/>
        <v>36.4</v>
      </c>
      <c r="H7" s="56">
        <f ca="1"/>
        <v>1.098901098901099</v>
      </c>
      <c r="I7" s="56">
        <f ca="1"/>
        <v>46.901098901098905</v>
      </c>
      <c r="J7" s="57" t="str">
        <f ca="1"/>
        <v>A</v>
      </c>
      <c r="K7" s="52">
        <f ca="1"/>
        <v>6</v>
      </c>
      <c r="L7" s="53" t="str">
        <f ca="1"/>
        <v>F01</v>
      </c>
      <c r="M7" s="52">
        <f ca="1"/>
        <v>28.8</v>
      </c>
      <c r="N7" s="59">
        <f ca="1">_xlfn.IFNA(VLOOKUP(MID(F7,1,(FIND("_",F7)-1))&amp;J7&amp;L7,Database!$R$1:$V$1000,2,FALSE),"-")</f>
        <v>7018</v>
      </c>
      <c r="O7" s="59" t="str">
        <f ca="1">_xlfn.IFNA(VLOOKUP(MID(F7,1,(FIND("_",F7)-1))&amp;J7&amp;L7,Database!$R$1:$V$1000,3,FALSE),"-")</f>
        <v>TTGGACTC</v>
      </c>
      <c r="P7" s="59">
        <f ca="1">_xlfn.IFNA(VLOOKUP(MID(F7,1,(FIND("_",F7)-1))&amp;J7&amp;L7,Database!$R$1:$V$1000,4,FALSE),"-")</f>
        <v>5010</v>
      </c>
      <c r="Q7" s="59" t="str">
        <f ca="1">_xlfn.IFNA(VLOOKUP(MID(F7,1,(FIND("_",F7)-1))&amp;J7&amp;L7,Database!$R$1:$V$1000,5,FALSE),"-")</f>
        <v>TTGGTGAG</v>
      </c>
      <c r="R7" s="59" t="str">
        <f t="shared" ca="1" si="0"/>
        <v>TTGGACTCTTGGTGAG</v>
      </c>
      <c r="S7" s="59" t="str">
        <f t="shared" ca="1" si="1"/>
        <v>CTCACCAA</v>
      </c>
    </row>
    <row r="8" spans="1:19" x14ac:dyDescent="0.25">
      <c r="A8" s="51" t="s">
        <v>16</v>
      </c>
      <c r="B8" s="52">
        <f ca="1"/>
        <v>5</v>
      </c>
      <c r="C8" s="53" t="str">
        <f ca="1"/>
        <v>E01</v>
      </c>
      <c r="D8" s="54" t="str">
        <f ca="1"/>
        <v>POOL-10007</v>
      </c>
      <c r="E8" s="55" t="str">
        <f ca="1"/>
        <v>054 L.A.N.</v>
      </c>
      <c r="F8" s="55" t="str">
        <f ca="1"/>
        <v>Focus_FFPE-gDNA</v>
      </c>
      <c r="G8" s="52">
        <f ca="1"/>
        <v>58.8</v>
      </c>
      <c r="H8" s="56">
        <f ca="1"/>
        <v>0.85034013605442171</v>
      </c>
      <c r="I8" s="56">
        <f ca="1"/>
        <v>59.149659863945566</v>
      </c>
      <c r="J8" s="57" t="str">
        <f ca="1"/>
        <v>A</v>
      </c>
      <c r="K8" s="52">
        <f ca="1"/>
        <v>7</v>
      </c>
      <c r="L8" s="53" t="str">
        <f ca="1"/>
        <v>G01</v>
      </c>
      <c r="M8" s="52">
        <f ca="1"/>
        <v>8.98</v>
      </c>
      <c r="N8" s="59">
        <f ca="1">_xlfn.IFNA(VLOOKUP(MID(F8,1,(FIND("_",F8)-1))&amp;J8&amp;L8,Database!$R$1:$V$1000,2,FALSE),"-")</f>
        <v>7026</v>
      </c>
      <c r="O8" s="59" t="str">
        <f ca="1">_xlfn.IFNA(VLOOKUP(MID(F8,1,(FIND("_",F8)-1))&amp;J8&amp;L8,Database!$R$1:$V$1000,3,FALSE),"-")</f>
        <v>GTCGGAGC</v>
      </c>
      <c r="P8" s="59">
        <f ca="1">_xlfn.IFNA(VLOOKUP(MID(F8,1,(FIND("_",F8)-1))&amp;J8&amp;L8,Database!$R$1:$V$1000,4,FALSE),"-")</f>
        <v>5013</v>
      </c>
      <c r="Q8" s="59" t="str">
        <f ca="1">_xlfn.IFNA(VLOOKUP(MID(F8,1,(FIND("_",F8)-1))&amp;J8&amp;L8,Database!$R$1:$V$1000,5,FALSE),"-")</f>
        <v>AACCGCGG</v>
      </c>
      <c r="R8" s="59" t="str">
        <f t="shared" ca="1" si="0"/>
        <v>GTCGGAGCAACCGCGG</v>
      </c>
      <c r="S8" s="59" t="str">
        <f t="shared" ca="1" si="1"/>
        <v>CCGCGGTT</v>
      </c>
    </row>
    <row r="9" spans="1:19" x14ac:dyDescent="0.25">
      <c r="A9" s="51" t="s">
        <v>16</v>
      </c>
      <c r="B9" s="52">
        <f ca="1"/>
        <v>8</v>
      </c>
      <c r="C9" s="53" t="str">
        <f ca="1"/>
        <v>H01</v>
      </c>
      <c r="D9" s="54" t="str">
        <f ca="1"/>
        <v>POOL-10008</v>
      </c>
      <c r="E9" s="55" t="str">
        <f ca="1"/>
        <v>105 R.H.R.</v>
      </c>
      <c r="F9" s="55" t="str">
        <f ca="1"/>
        <v>Focus_FFPE-gDNA</v>
      </c>
      <c r="G9" s="52">
        <f ca="1"/>
        <v>55.4</v>
      </c>
      <c r="H9" s="56">
        <f ca="1"/>
        <v>1.0830324909747293</v>
      </c>
      <c r="I9" s="56">
        <f ca="1"/>
        <v>70.91696750902527</v>
      </c>
      <c r="J9" s="57" t="str">
        <f ca="1"/>
        <v>A</v>
      </c>
      <c r="K9" s="52">
        <f ca="1"/>
        <v>8</v>
      </c>
      <c r="L9" s="53" t="str">
        <f ca="1"/>
        <v>H01</v>
      </c>
      <c r="M9" s="52">
        <f ca="1"/>
        <v>15.8</v>
      </c>
      <c r="N9" s="59">
        <f ca="1">_xlfn.IFNA(VLOOKUP(MID(F9,1,(FIND("_",F9)-1))&amp;J9&amp;L9,Database!$R$1:$V$1000,2,FALSE),"-")</f>
        <v>7025</v>
      </c>
      <c r="O9" s="59" t="str">
        <f ca="1">_xlfn.IFNA(VLOOKUP(MID(F9,1,(FIND("_",F9)-1))&amp;J9&amp;L9,Database!$R$1:$V$1000,3,FALSE),"-")</f>
        <v>ACTAAGAT</v>
      </c>
      <c r="P9" s="59">
        <f ca="1">_xlfn.IFNA(VLOOKUP(MID(F9,1,(FIND("_",F9)-1))&amp;J9&amp;L9,Database!$R$1:$V$1000,4,FALSE),"-")</f>
        <v>5014</v>
      </c>
      <c r="Q9" s="59" t="str">
        <f ca="1">_xlfn.IFNA(VLOOKUP(MID(F9,1,(FIND("_",F9)-1))&amp;J9&amp;L9,Database!$R$1:$V$1000,5,FALSE),"-")</f>
        <v>GGTTATAA</v>
      </c>
      <c r="R9" s="59" t="str">
        <f t="shared" ca="1" si="0"/>
        <v>ACTAAGATGGTTATAA</v>
      </c>
      <c r="S9" s="59" t="str">
        <f t="shared" ca="1" si="1"/>
        <v>TTATAACC</v>
      </c>
    </row>
    <row r="10" spans="1:19" x14ac:dyDescent="0.25">
      <c r="A10" s="51" t="s">
        <v>17</v>
      </c>
      <c r="B10" s="137" cm="1">
        <f t="array" aca="1" ref="B10:M16" ca="1">INDIRECT("'"&amp;A10&amp;"'!B8:M"&amp;(7+INDIRECT("'"&amp;A10&amp;"'!D4")))</f>
        <v>9</v>
      </c>
      <c r="C10" s="53" t="str">
        <f ca="1"/>
        <v>A02</v>
      </c>
      <c r="D10" s="54" t="str">
        <f ca="1"/>
        <v>POOL-10009</v>
      </c>
      <c r="E10" s="55" t="str">
        <f ca="1"/>
        <v>077 B.B.</v>
      </c>
      <c r="F10" s="55" t="str">
        <f ca="1"/>
        <v>Focus_FFPE-RNA</v>
      </c>
      <c r="G10" s="52">
        <f ca="1"/>
        <v>10.1</v>
      </c>
      <c r="H10" s="56">
        <f ca="1"/>
        <v>1.7821782178217822</v>
      </c>
      <c r="I10" s="56">
        <f ca="1"/>
        <v>6.6178217821782166</v>
      </c>
      <c r="J10" s="57" t="str">
        <f ca="1"/>
        <v>A</v>
      </c>
      <c r="K10" s="52">
        <f ca="1"/>
        <v>9</v>
      </c>
      <c r="L10" s="53" t="str">
        <f ca="1"/>
        <v>A02</v>
      </c>
      <c r="M10" s="52">
        <f ca="1"/>
        <v>23</v>
      </c>
      <c r="N10" s="59">
        <f ca="1">_xlfn.IFNA(VLOOKUP(MID(F10,1,(FIND("_",F10)-1))&amp;J10&amp;L10,Database!$R$1:$V$1000,2,FALSE),"-")</f>
        <v>7015</v>
      </c>
      <c r="O10" s="59" t="str">
        <f ca="1">_xlfn.IFNA(VLOOKUP(MID(F10,1,(FIND("_",F10)-1))&amp;J10&amp;L10,Database!$R$1:$V$1000,3,FALSE),"-")</f>
        <v>TCTCTACT</v>
      </c>
      <c r="P10" s="59">
        <f ca="1">_xlfn.IFNA(VLOOKUP(MID(F10,1,(FIND("_",F10)-1))&amp;J10&amp;L10,Database!$R$1:$V$1000,4,FALSE),"-")</f>
        <v>5002</v>
      </c>
      <c r="Q10" s="59" t="str">
        <f ca="1">_xlfn.IFNA(VLOOKUP(MID(F10,1,(FIND("_",F10)-1))&amp;J10&amp;L10,Database!$R$1:$V$1000,5,FALSE),"-")</f>
        <v>GATATCGA</v>
      </c>
      <c r="R10" s="59" t="str">
        <f t="shared" ca="1" si="0"/>
        <v>TCTCTACTGATATCGA</v>
      </c>
      <c r="S10" s="59" t="str">
        <f t="shared" ca="1" si="1"/>
        <v>TCGATATC</v>
      </c>
    </row>
    <row r="11" spans="1:19" x14ac:dyDescent="0.25">
      <c r="A11" s="51" t="s">
        <v>17</v>
      </c>
      <c r="B11" s="52">
        <f ca="1"/>
        <v>10</v>
      </c>
      <c r="C11" s="53" t="str">
        <f ca="1"/>
        <v>B02</v>
      </c>
      <c r="D11" s="54" t="str">
        <f ca="1"/>
        <v>POOL-10010</v>
      </c>
      <c r="E11" s="55" t="str">
        <f ca="1"/>
        <v>087 HD789</v>
      </c>
      <c r="F11" s="55" t="str">
        <f ca="1"/>
        <v>Focus_FFPE-RNA</v>
      </c>
      <c r="G11" s="52">
        <f ca="1"/>
        <v>47.4</v>
      </c>
      <c r="H11" s="56">
        <f ca="1"/>
        <v>0.99683544303797467</v>
      </c>
      <c r="I11" s="56">
        <f ca="1"/>
        <v>21.053164556962027</v>
      </c>
      <c r="J11" s="57" t="str">
        <f ca="1"/>
        <v>A</v>
      </c>
      <c r="K11" s="52">
        <f ca="1"/>
        <v>10</v>
      </c>
      <c r="L11" s="53" t="str">
        <f ca="1"/>
        <v>B02</v>
      </c>
      <c r="M11" s="52">
        <f ca="1"/>
        <v>28.4</v>
      </c>
      <c r="N11" s="59">
        <f ca="1">_xlfn.IFNA(VLOOKUP(MID(F11,1,(FIND("_",F11)-1))&amp;J11&amp;L11,Database!$R$1:$V$1000,2,FALSE),"-")</f>
        <v>7016</v>
      </c>
      <c r="O11" s="59" t="str">
        <f ca="1">_xlfn.IFNA(VLOOKUP(MID(F11,1,(FIND("_",F11)-1))&amp;J11&amp;L11,Database!$R$1:$V$1000,3,FALSE),"-")</f>
        <v>CTCTCGTC</v>
      </c>
      <c r="P11" s="59">
        <f ca="1">_xlfn.IFNA(VLOOKUP(MID(F11,1,(FIND("_",F11)-1))&amp;J11&amp;L11,Database!$R$1:$V$1000,4,FALSE),"-")</f>
        <v>5001</v>
      </c>
      <c r="Q11" s="59" t="str">
        <f ca="1">_xlfn.IFNA(VLOOKUP(MID(F11,1,(FIND("_",F11)-1))&amp;J11&amp;L11,Database!$R$1:$V$1000,5,FALSE),"-")</f>
        <v>AGCGCTAG</v>
      </c>
      <c r="R11" s="59" t="str">
        <f t="shared" ca="1" si="0"/>
        <v>CTCTCGTCAGCGCTAG</v>
      </c>
      <c r="S11" s="59" t="str">
        <f t="shared" ca="1" si="1"/>
        <v>CTAGCGCT</v>
      </c>
    </row>
    <row r="12" spans="1:19" x14ac:dyDescent="0.25">
      <c r="A12" s="51" t="s">
        <v>17</v>
      </c>
      <c r="B12" s="52">
        <f ca="1"/>
        <v>11</v>
      </c>
      <c r="C12" s="53" t="str">
        <f ca="1"/>
        <v>C02</v>
      </c>
      <c r="D12" s="54" t="str">
        <f ca="1"/>
        <v>POOL-10011</v>
      </c>
      <c r="E12" s="55" t="str">
        <f ca="1"/>
        <v>087 HD789</v>
      </c>
      <c r="F12" s="55" t="str">
        <f ca="1"/>
        <v>Focus_FFPE-RNA</v>
      </c>
      <c r="G12" s="52">
        <f ca="1"/>
        <v>47.4</v>
      </c>
      <c r="H12" s="56" t="str">
        <f ca="1"/>
        <v>-</v>
      </c>
      <c r="I12" s="56" t="str">
        <f ca="1"/>
        <v>-</v>
      </c>
      <c r="J12" s="57" t="str">
        <f ca="1"/>
        <v>A</v>
      </c>
      <c r="K12" s="52">
        <f ca="1"/>
        <v>11</v>
      </c>
      <c r="L12" s="53" t="str">
        <f ca="1"/>
        <v>C02</v>
      </c>
      <c r="M12" s="52">
        <f ca="1"/>
        <v>33</v>
      </c>
      <c r="N12" s="59">
        <f ca="1">_xlfn.IFNA(VLOOKUP(MID(F12,1,(FIND("_",F12)-1))&amp;J12&amp;L12,Database!$R$1:$V$1000,2,FALSE),"-")</f>
        <v>7008</v>
      </c>
      <c r="O12" s="59" t="str">
        <f ca="1">_xlfn.IFNA(VLOOKUP(MID(F12,1,(FIND("_",F12)-1))&amp;J12&amp;L12,Database!$R$1:$V$1000,3,FALSE),"-")</f>
        <v>TGCGAGAC</v>
      </c>
      <c r="P12" s="59">
        <f ca="1">_xlfn.IFNA(VLOOKUP(MID(F12,1,(FIND("_",F12)-1))&amp;J12&amp;L12,Database!$R$1:$V$1000,4,FALSE),"-")</f>
        <v>5008</v>
      </c>
      <c r="Q12" s="59" t="str">
        <f ca="1">_xlfn.IFNA(VLOOKUP(MID(F12,1,(FIND("_",F12)-1))&amp;J12&amp;L12,Database!$R$1:$V$1000,5,FALSE),"-")</f>
        <v>GTGCGATA</v>
      </c>
      <c r="R12" s="59" t="str">
        <f t="shared" ca="1" si="0"/>
        <v>TGCGAGACGTGCGATA</v>
      </c>
      <c r="S12" s="59" t="str">
        <f t="shared" ca="1" si="1"/>
        <v>TATCGCAC</v>
      </c>
    </row>
    <row r="13" spans="1:19" x14ac:dyDescent="0.25">
      <c r="A13" s="51" t="s">
        <v>17</v>
      </c>
      <c r="B13" s="52">
        <f ca="1"/>
        <v>13</v>
      </c>
      <c r="C13" s="53" t="str">
        <f ca="1"/>
        <v>E02</v>
      </c>
      <c r="D13" s="54" t="str">
        <f ca="1"/>
        <v>POOL-10012</v>
      </c>
      <c r="E13" s="55" t="str">
        <f ca="1"/>
        <v>096 L.A.N.</v>
      </c>
      <c r="F13" s="55" t="str">
        <f ca="1"/>
        <v>Focus_FFPE-RNA</v>
      </c>
      <c r="G13" s="52">
        <f ca="1"/>
        <v>36</v>
      </c>
      <c r="H13" s="56">
        <f ca="1"/>
        <v>1</v>
      </c>
      <c r="I13" s="56">
        <f ca="1"/>
        <v>15.8</v>
      </c>
      <c r="J13" s="57" t="str">
        <f ca="1"/>
        <v>A</v>
      </c>
      <c r="K13" s="52">
        <f ca="1"/>
        <v>12</v>
      </c>
      <c r="L13" s="53" t="str">
        <f ca="1"/>
        <v>D02</v>
      </c>
      <c r="M13" s="52">
        <f ca="1"/>
        <v>4.5199999999999996</v>
      </c>
      <c r="N13" s="59">
        <f ca="1">_xlfn.IFNA(VLOOKUP(MID(F13,1,(FIND("_",F13)-1))&amp;J13&amp;L13,Database!$R$1:$V$1000,2,FALSE),"-")</f>
        <v>7007</v>
      </c>
      <c r="O13" s="59" t="str">
        <f ca="1">_xlfn.IFNA(VLOOKUP(MID(F13,1,(FIND("_",F13)-1))&amp;J13&amp;L13,Database!$R$1:$V$1000,3,FALSE),"-")</f>
        <v>CATAGAGT</v>
      </c>
      <c r="P13" s="59">
        <f ca="1">_xlfn.IFNA(VLOOKUP(MID(F13,1,(FIND("_",F13)-1))&amp;J13&amp;L13,Database!$R$1:$V$1000,4,FALSE),"-")</f>
        <v>5007</v>
      </c>
      <c r="Q13" s="59" t="str">
        <f ca="1">_xlfn.IFNA(VLOOKUP(MID(F13,1,(FIND("_",F13)-1))&amp;J13&amp;L13,Database!$R$1:$V$1000,5,FALSE),"-")</f>
        <v>ACATAGCG</v>
      </c>
      <c r="R13" s="59" t="str">
        <f t="shared" ca="1" si="0"/>
        <v>CATAGAGTACATAGCG</v>
      </c>
      <c r="S13" s="59" t="str">
        <f t="shared" ca="1" si="1"/>
        <v>CGCTATGT</v>
      </c>
    </row>
    <row r="14" spans="1:19" x14ac:dyDescent="0.25">
      <c r="A14" s="51" t="s">
        <v>17</v>
      </c>
      <c r="B14" s="52">
        <f ca="1"/>
        <v>14</v>
      </c>
      <c r="C14" s="53" t="str">
        <f ca="1"/>
        <v>F02</v>
      </c>
      <c r="D14" s="54" t="str">
        <f ca="1"/>
        <v>POOL-10013</v>
      </c>
      <c r="E14" s="55" t="str">
        <f ca="1"/>
        <v>097 J.J.M.</v>
      </c>
      <c r="F14" s="55" t="str">
        <f ca="1"/>
        <v>Focus_FFPE-RNA</v>
      </c>
      <c r="G14" s="52">
        <f ca="1"/>
        <v>41</v>
      </c>
      <c r="H14" s="56">
        <f ca="1"/>
        <v>1.024390243902439</v>
      </c>
      <c r="I14" s="56">
        <f ca="1"/>
        <v>18.575609756097563</v>
      </c>
      <c r="J14" s="57" t="str">
        <f ca="1"/>
        <v>A</v>
      </c>
      <c r="K14" s="52">
        <f ca="1"/>
        <v>13</v>
      </c>
      <c r="L14" s="53" t="str">
        <f ca="1"/>
        <v>E02</v>
      </c>
      <c r="M14" s="52">
        <f ca="1"/>
        <v>7.64</v>
      </c>
      <c r="N14" s="59">
        <f ca="1">_xlfn.IFNA(VLOOKUP(MID(F14,1,(FIND("_",F14)-1))&amp;J14&amp;L14,Database!$R$1:$V$1000,2,FALSE),"-")</f>
        <v>7025</v>
      </c>
      <c r="O14" s="59" t="str">
        <f ca="1">_xlfn.IFNA(VLOOKUP(MID(F14,1,(FIND("_",F14)-1))&amp;J14&amp;L14,Database!$R$1:$V$1000,3,FALSE),"-")</f>
        <v>ACTAAGAT</v>
      </c>
      <c r="P14" s="59">
        <f ca="1">_xlfn.IFNA(VLOOKUP(MID(F14,1,(FIND("_",F14)-1))&amp;J14&amp;L14,Database!$R$1:$V$1000,4,FALSE),"-")</f>
        <v>5010</v>
      </c>
      <c r="Q14" s="59" t="str">
        <f ca="1">_xlfn.IFNA(VLOOKUP(MID(F14,1,(FIND("_",F14)-1))&amp;J14&amp;L14,Database!$R$1:$V$1000,5,FALSE),"-")</f>
        <v>TTGGTGAG</v>
      </c>
      <c r="R14" s="59" t="str">
        <f t="shared" ca="1" si="0"/>
        <v>ACTAAGATTTGGTGAG</v>
      </c>
      <c r="S14" s="59" t="str">
        <f t="shared" ca="1" si="1"/>
        <v>CTCACCAA</v>
      </c>
    </row>
    <row r="15" spans="1:19" x14ac:dyDescent="0.25">
      <c r="A15" s="51" t="s">
        <v>17</v>
      </c>
      <c r="B15" s="52">
        <f ca="1"/>
        <v>15</v>
      </c>
      <c r="C15" s="53" t="str">
        <f ca="1"/>
        <v>G02</v>
      </c>
      <c r="D15" s="54" t="str">
        <f ca="1"/>
        <v>POOL-10014</v>
      </c>
      <c r="E15" s="55" t="str">
        <f ca="1"/>
        <v>106 D.C.B.</v>
      </c>
      <c r="F15" s="55" t="str">
        <f ca="1"/>
        <v>Focus_FFPE-RNA</v>
      </c>
      <c r="G15" s="52">
        <f ca="1"/>
        <v>200</v>
      </c>
      <c r="H15" s="56">
        <f ca="1"/>
        <v>1.05</v>
      </c>
      <c r="I15" s="56">
        <f ca="1"/>
        <v>96.950000000000017</v>
      </c>
      <c r="J15" s="57" t="str">
        <f ca="1"/>
        <v>A</v>
      </c>
      <c r="K15" s="52">
        <f ca="1"/>
        <v>14</v>
      </c>
      <c r="L15" s="53" t="str">
        <f ca="1"/>
        <v>F02</v>
      </c>
      <c r="M15" s="52">
        <f ca="1"/>
        <v>22</v>
      </c>
      <c r="N15" s="59">
        <f ca="1">_xlfn.IFNA(VLOOKUP(MID(F15,1,(FIND("_",F15)-1))&amp;J15&amp;L15,Database!$R$1:$V$1000,2,FALSE),"-")</f>
        <v>7026</v>
      </c>
      <c r="O15" s="59" t="str">
        <f ca="1">_xlfn.IFNA(VLOOKUP(MID(F15,1,(FIND("_",F15)-1))&amp;J15&amp;L15,Database!$R$1:$V$1000,3,FALSE),"-")</f>
        <v>GTCGGAGC</v>
      </c>
      <c r="P15" s="59">
        <f ca="1">_xlfn.IFNA(VLOOKUP(MID(F15,1,(FIND("_",F15)-1))&amp;J15&amp;L15,Database!$R$1:$V$1000,4,FALSE),"-")</f>
        <v>5009</v>
      </c>
      <c r="Q15" s="59" t="str">
        <f ca="1">_xlfn.IFNA(VLOOKUP(MID(F15,1,(FIND("_",F15)-1))&amp;J15&amp;L15,Database!$R$1:$V$1000,5,FALSE),"-")</f>
        <v>CCAACAGA</v>
      </c>
      <c r="R15" s="59" t="str">
        <f t="shared" ca="1" si="0"/>
        <v>GTCGGAGCCCAACAGA</v>
      </c>
      <c r="S15" s="59" t="str">
        <f t="shared" ca="1" si="1"/>
        <v>TCTGTTGG</v>
      </c>
    </row>
    <row r="16" spans="1:19" x14ac:dyDescent="0.25">
      <c r="A16" s="51" t="s">
        <v>17</v>
      </c>
      <c r="B16" s="52">
        <f ca="1"/>
        <v>16</v>
      </c>
      <c r="C16" s="53" t="str">
        <f ca="1"/>
        <v>H02</v>
      </c>
      <c r="D16" s="54" t="str">
        <f ca="1"/>
        <v>POOL-10015</v>
      </c>
      <c r="E16" s="55" t="str">
        <f ca="1"/>
        <v>107 R.H.R.</v>
      </c>
      <c r="F16" s="55" t="str">
        <f ca="1"/>
        <v>Focus_FFPE-RNA</v>
      </c>
      <c r="G16" s="52">
        <f ca="1"/>
        <v>35.6</v>
      </c>
      <c r="H16" s="56">
        <f ca="1"/>
        <v>1.0533707865168538</v>
      </c>
      <c r="I16" s="56">
        <f ca="1"/>
        <v>16.446629213483142</v>
      </c>
      <c r="J16" s="57" t="str">
        <f ca="1"/>
        <v>A</v>
      </c>
      <c r="K16" s="52">
        <f ca="1"/>
        <v>15</v>
      </c>
      <c r="L16" s="53" t="str">
        <f ca="1"/>
        <v>G02</v>
      </c>
      <c r="M16" s="52">
        <f ca="1"/>
        <v>3.94</v>
      </c>
      <c r="N16" s="59">
        <f ca="1">_xlfn.IFNA(VLOOKUP(MID(F16,1,(FIND("_",F16)-1))&amp;J16&amp;L16,Database!$R$1:$V$1000,2,FALSE),"-")</f>
        <v>7024</v>
      </c>
      <c r="O16" s="59" t="str">
        <f ca="1">_xlfn.IFNA(VLOOKUP(MID(F16,1,(FIND("_",F16)-1))&amp;J16&amp;L16,Database!$R$1:$V$1000,3,FALSE),"-")</f>
        <v>ATGAGGCC</v>
      </c>
      <c r="P16" s="59">
        <f ca="1">_xlfn.IFNA(VLOOKUP(MID(F16,1,(FIND("_",F16)-1))&amp;J16&amp;L16,Database!$R$1:$V$1000,4,FALSE),"-")</f>
        <v>5014</v>
      </c>
      <c r="Q16" s="59" t="str">
        <f ca="1">_xlfn.IFNA(VLOOKUP(MID(F16,1,(FIND("_",F16)-1))&amp;J16&amp;L16,Database!$R$1:$V$1000,5,FALSE),"-")</f>
        <v>GGTTATAA</v>
      </c>
      <c r="R16" s="59" t="str">
        <f t="shared" ca="1" si="0"/>
        <v>ATGAGGCCGGTTATAA</v>
      </c>
      <c r="S16" s="59" t="str">
        <f t="shared" ca="1" si="1"/>
        <v>TTATAACC</v>
      </c>
    </row>
    <row r="17" spans="1:19" x14ac:dyDescent="0.25">
      <c r="A17" s="51" t="s">
        <v>18</v>
      </c>
      <c r="B17" s="137" cm="1">
        <f t="array" aca="1" ref="B17:M22" ca="1">INDIRECT("'"&amp;A17&amp;"'!B8:M"&amp;(7+INDIRECT("'"&amp;A17&amp;"'!D4")))</f>
        <v>1</v>
      </c>
      <c r="C17" s="53" t="str">
        <f ca="1"/>
        <v>A01</v>
      </c>
      <c r="D17" s="58" t="str">
        <f ca="1"/>
        <v>POOL-10016</v>
      </c>
      <c r="E17" s="58" t="str">
        <f ca="1"/>
        <v>117 NA12878</v>
      </c>
      <c r="F17" s="58" t="str">
        <f ca="1"/>
        <v>MAMA_gDNA</v>
      </c>
      <c r="G17" s="58">
        <f ca="1"/>
        <v>38.6</v>
      </c>
      <c r="H17" s="58">
        <f ca="1"/>
        <v>2</v>
      </c>
      <c r="I17" s="58">
        <f ca="1"/>
        <v>16.914000000000001</v>
      </c>
      <c r="J17" s="58" t="str">
        <f ca="1"/>
        <v>A</v>
      </c>
      <c r="K17" s="58">
        <f ca="1"/>
        <v>1</v>
      </c>
      <c r="L17" s="58" t="str">
        <f ca="1"/>
        <v>A01</v>
      </c>
      <c r="M17" s="58">
        <f ca="1"/>
        <v>1.49</v>
      </c>
      <c r="N17" s="59" t="str">
        <f ca="1">_xlfn.IFNA(VLOOKUP(MID(F17,1,(FIND("_",F17)-1))&amp;J17&amp;L17,Database!$R$1:$V$1000,2,FALSE),"-")</f>
        <v>Proi7UDI-001</v>
      </c>
      <c r="O17" s="59" t="str">
        <f ca="1">_xlfn.IFNA(VLOOKUP(MID(F17,1,(FIND("_",F17)-1))&amp;J17&amp;L17,Database!$R$1:$V$1000,3,FALSE),"-")</f>
        <v>ACAACGTTCA</v>
      </c>
      <c r="P17" s="59" t="str">
        <f ca="1">_xlfn.IFNA(VLOOKUP(MID(F17,1,(FIND("_",F17)-1))&amp;J17&amp;L17,Database!$R$1:$V$1000,4,FALSE),"-")</f>
        <v>Proi5UDI-001</v>
      </c>
      <c r="Q17" s="59" t="str">
        <f ca="1">_xlfn.IFNA(VLOOKUP(MID(F17,1,(FIND("_",F17)-1))&amp;J17&amp;L17,Database!$R$1:$V$1000,5,FALSE),"-")</f>
        <v>ATGGCCGACT</v>
      </c>
      <c r="R17" s="59" t="str">
        <f t="shared" ca="1" si="0"/>
        <v>ACAACGTTCAATGGCCGACT</v>
      </c>
      <c r="S17" s="59" t="str">
        <f t="shared" ca="1" si="1"/>
        <v>AGTCGGCCAT</v>
      </c>
    </row>
    <row r="18" spans="1:19" x14ac:dyDescent="0.25">
      <c r="A18" s="51" t="s">
        <v>18</v>
      </c>
      <c r="B18" s="52">
        <f ca="1"/>
        <v>2</v>
      </c>
      <c r="C18" s="53" t="str">
        <f ca="1"/>
        <v>B01</v>
      </c>
      <c r="D18" s="58" t="str">
        <f ca="1"/>
        <v>POOL-10017</v>
      </c>
      <c r="E18" s="58" t="str">
        <f ca="1"/>
        <v>118 NA23873</v>
      </c>
      <c r="F18" s="58" t="str">
        <f ca="1"/>
        <v>MAMA_gDNA</v>
      </c>
      <c r="G18" s="58">
        <f ca="1"/>
        <v>39.799999999999997</v>
      </c>
      <c r="H18" s="58">
        <f ca="1"/>
        <v>2</v>
      </c>
      <c r="I18" s="58">
        <f ca="1"/>
        <v>17.501999999999999</v>
      </c>
      <c r="J18" s="58" t="str">
        <f ca="1"/>
        <v>A</v>
      </c>
      <c r="K18" s="58">
        <f ca="1"/>
        <v>2</v>
      </c>
      <c r="L18" s="58" t="str">
        <f ca="1"/>
        <v>B01</v>
      </c>
      <c r="M18" s="58">
        <f ca="1"/>
        <v>1.46</v>
      </c>
      <c r="N18" s="59" t="str">
        <f ca="1">_xlfn.IFNA(VLOOKUP(MID(F18,1,(FIND("_",F18)-1))&amp;J18&amp;L18,Database!$R$1:$V$1000,2,FALSE),"-")</f>
        <v>Proi7UDI-002</v>
      </c>
      <c r="O18" s="59" t="str">
        <f ca="1">_xlfn.IFNA(VLOOKUP(MID(F18,1,(FIND("_",F18)-1))&amp;J18&amp;L18,Database!$R$1:$V$1000,3,FALSE),"-")</f>
        <v>CAAGTCTGGT</v>
      </c>
      <c r="P18" s="59" t="str">
        <f ca="1">_xlfn.IFNA(VLOOKUP(MID(F18,1,(FIND("_",F18)-1))&amp;J18&amp;L18,Database!$R$1:$V$1000,4,FALSE),"-")</f>
        <v>Proi5UDI-002</v>
      </c>
      <c r="Q18" s="59" t="str">
        <f ca="1">_xlfn.IFNA(VLOOKUP(MID(F18,1,(FIND("_",F18)-1))&amp;J18&amp;L18,Database!$R$1:$V$1000,5,FALSE),"-")</f>
        <v>CGATGAGCAC</v>
      </c>
      <c r="R18" s="59" t="str">
        <f t="shared" ca="1" si="0"/>
        <v>CAAGTCTGGTCGATGAGCAC</v>
      </c>
      <c r="S18" s="59" t="str">
        <f t="shared" ca="1" si="1"/>
        <v>GTGCTCATCG</v>
      </c>
    </row>
    <row r="19" spans="1:19" x14ac:dyDescent="0.25">
      <c r="A19" s="51" t="s">
        <v>18</v>
      </c>
      <c r="B19" s="52">
        <f ca="1"/>
        <v>3</v>
      </c>
      <c r="C19" s="53" t="str">
        <f ca="1"/>
        <v>C01</v>
      </c>
      <c r="D19" s="58" t="str">
        <f ca="1"/>
        <v>POOL-10018</v>
      </c>
      <c r="E19" s="58" t="str">
        <f ca="1"/>
        <v>119 NA24149</v>
      </c>
      <c r="F19" s="58" t="str">
        <f ca="1"/>
        <v>MAMA_gDNA</v>
      </c>
      <c r="G19" s="58">
        <f ca="1"/>
        <v>63</v>
      </c>
      <c r="H19" s="58">
        <f ca="1"/>
        <v>2</v>
      </c>
      <c r="I19" s="58">
        <f ca="1"/>
        <v>28.87</v>
      </c>
      <c r="J19" s="58" t="str">
        <f ca="1"/>
        <v>A</v>
      </c>
      <c r="K19" s="58">
        <f ca="1"/>
        <v>3</v>
      </c>
      <c r="L19" s="58" t="str">
        <f ca="1"/>
        <v>C01</v>
      </c>
      <c r="M19" s="58">
        <f ca="1"/>
        <v>1.66</v>
      </c>
      <c r="N19" s="59" t="str">
        <f ca="1">_xlfn.IFNA(VLOOKUP(MID(F19,1,(FIND("_",F19)-1))&amp;J19&amp;L19,Database!$R$1:$V$1000,2,FALSE),"-")</f>
        <v>Proi7UDI-003</v>
      </c>
      <c r="O19" s="59" t="str">
        <f ca="1">_xlfn.IFNA(VLOOKUP(MID(F19,1,(FIND("_",F19)-1))&amp;J19&amp;L19,Database!$R$1:$V$1000,3,FALSE),"-")</f>
        <v>GTTCGCCAGT</v>
      </c>
      <c r="P19" s="59" t="str">
        <f ca="1">_xlfn.IFNA(VLOOKUP(MID(F19,1,(FIND("_",F19)-1))&amp;J19&amp;L19,Database!$R$1:$V$1000,4,FALSE),"-")</f>
        <v>Proi5UDI-003</v>
      </c>
      <c r="Q19" s="59" t="str">
        <f ca="1">_xlfn.IFNA(VLOOKUP(MID(F19,1,(FIND("_",F19)-1))&amp;J19&amp;L19,Database!$R$1:$V$1000,5,FALSE),"-")</f>
        <v>GATAAGTCGA</v>
      </c>
      <c r="R19" s="59" t="str">
        <f t="shared" ca="1" si="0"/>
        <v>GTTCGCCAGTGATAAGTCGA</v>
      </c>
      <c r="S19" s="59" t="str">
        <f t="shared" ca="1" si="1"/>
        <v>TCGACTTATC</v>
      </c>
    </row>
    <row r="20" spans="1:19" x14ac:dyDescent="0.25">
      <c r="A20" s="51" t="s">
        <v>18</v>
      </c>
      <c r="B20" s="52">
        <f ca="1"/>
        <v>4</v>
      </c>
      <c r="C20" s="53" t="str">
        <f ca="1"/>
        <v>D01</v>
      </c>
      <c r="D20" s="58" t="str">
        <f ca="1"/>
        <v>POOL-10019</v>
      </c>
      <c r="E20" s="58" t="str">
        <f ca="1"/>
        <v>091 HD810</v>
      </c>
      <c r="F20" s="58" t="str">
        <f ca="1"/>
        <v>MAMA_FFPE-gDNA</v>
      </c>
      <c r="G20" s="58">
        <f ca="1"/>
        <v>8.02</v>
      </c>
      <c r="H20" s="58">
        <f ca="1"/>
        <v>9</v>
      </c>
      <c r="I20" s="58">
        <f ca="1"/>
        <v>0</v>
      </c>
      <c r="J20" s="58" t="str">
        <f ca="1"/>
        <v>A</v>
      </c>
      <c r="K20" s="58">
        <f ca="1"/>
        <v>4</v>
      </c>
      <c r="L20" s="58" t="str">
        <f ca="1"/>
        <v>D01</v>
      </c>
      <c r="M20" s="58">
        <f ca="1"/>
        <v>1</v>
      </c>
      <c r="N20" s="59" t="str">
        <f ca="1">_xlfn.IFNA(VLOOKUP(MID(F20,1,(FIND("_",F20)-1))&amp;J20&amp;L20,Database!$R$1:$V$1000,2,FALSE),"-")</f>
        <v>Proi7UDI-004</v>
      </c>
      <c r="O20" s="59" t="str">
        <f ca="1">_xlfn.IFNA(VLOOKUP(MID(F20,1,(FIND("_",F20)-1))&amp;J20&amp;L20,Database!$R$1:$V$1000,3,FALSE),"-")</f>
        <v>TGCCTAACGC</v>
      </c>
      <c r="P20" s="59" t="str">
        <f ca="1">_xlfn.IFNA(VLOOKUP(MID(F20,1,(FIND("_",F20)-1))&amp;J20&amp;L20,Database!$R$1:$V$1000,4,FALSE),"-")</f>
        <v>Proi5UDI-004</v>
      </c>
      <c r="Q20" s="59" t="str">
        <f ca="1">_xlfn.IFNA(VLOOKUP(MID(F20,1,(FIND("_",F20)-1))&amp;J20&amp;L20,Database!$R$1:$V$1000,5,FALSE),"-")</f>
        <v>TCACGCCTTG</v>
      </c>
      <c r="R20" s="59" t="str">
        <f t="shared" ca="1" si="0"/>
        <v>TGCCTAACGCTCACGCCTTG</v>
      </c>
      <c r="S20" s="59" t="str">
        <f t="shared" ca="1" si="1"/>
        <v>CAAGGCGTGA</v>
      </c>
    </row>
    <row r="21" spans="1:19" x14ac:dyDescent="0.25">
      <c r="A21" s="51" t="s">
        <v>18</v>
      </c>
      <c r="B21" s="52">
        <f ca="1"/>
        <v>5</v>
      </c>
      <c r="C21" s="53" t="str">
        <f ca="1"/>
        <v>E01</v>
      </c>
      <c r="D21" s="58" t="str">
        <f ca="1"/>
        <v>POOL-10020</v>
      </c>
      <c r="E21" s="58" t="str">
        <f ca="1"/>
        <v>117 D.R.S.</v>
      </c>
      <c r="F21" s="58" t="str">
        <f ca="1"/>
        <v>MAMA_gDNA</v>
      </c>
      <c r="G21" s="58">
        <f ca="1"/>
        <v>97.8</v>
      </c>
      <c r="H21" s="58">
        <f ca="1"/>
        <v>2</v>
      </c>
      <c r="I21" s="58">
        <f ca="1"/>
        <v>45.921999999999997</v>
      </c>
      <c r="J21" s="58" t="str">
        <f ca="1"/>
        <v>A</v>
      </c>
      <c r="K21" s="58">
        <f ca="1"/>
        <v>5</v>
      </c>
      <c r="L21" s="58" t="str">
        <f ca="1"/>
        <v>E01</v>
      </c>
      <c r="M21" s="58">
        <f ca="1"/>
        <v>1.63</v>
      </c>
      <c r="N21" s="59" t="str">
        <f ca="1">_xlfn.IFNA(VLOOKUP(MID(F21,1,(FIND("_",F21)-1))&amp;J21&amp;L21,Database!$R$1:$V$1000,2,FALSE),"-")</f>
        <v>Proi7UDI-005</v>
      </c>
      <c r="O21" s="59" t="str">
        <f ca="1">_xlfn.IFNA(VLOOKUP(MID(F21,1,(FIND("_",F21)-1))&amp;J21&amp;L21,Database!$R$1:$V$1000,3,FALSE),"-")</f>
        <v>AGGCCGATAA</v>
      </c>
      <c r="P21" s="59" t="str">
        <f ca="1">_xlfn.IFNA(VLOOKUP(MID(F21,1,(FIND("_",F21)-1))&amp;J21&amp;L21,Database!$R$1:$V$1000,4,FALSE),"-")</f>
        <v>Proi5UDI-005</v>
      </c>
      <c r="Q21" s="59" t="str">
        <f ca="1">_xlfn.IFNA(VLOOKUP(MID(F21,1,(FIND("_",F21)-1))&amp;J21&amp;L21,Database!$R$1:$V$1000,5,FALSE),"-")</f>
        <v>AGGAACACAA</v>
      </c>
      <c r="R21" s="59" t="str">
        <f t="shared" ca="1" si="0"/>
        <v>AGGCCGATAAAGGAACACAA</v>
      </c>
      <c r="S21" s="59" t="str">
        <f t="shared" ca="1" si="1"/>
        <v>TTGTGTTCCT</v>
      </c>
    </row>
    <row r="22" spans="1:19" x14ac:dyDescent="0.25">
      <c r="A22" s="51" t="s">
        <v>18</v>
      </c>
      <c r="B22" s="52">
        <f ca="1"/>
        <v>6</v>
      </c>
      <c r="C22" s="53" t="str">
        <f ca="1"/>
        <v>F01</v>
      </c>
      <c r="D22" s="58" t="str">
        <f ca="1"/>
        <v>POOL-10021</v>
      </c>
      <c r="E22" s="58" t="str">
        <f ca="1"/>
        <v>118 N.R.S.</v>
      </c>
      <c r="F22" s="58" t="str">
        <f ca="1"/>
        <v>MAMA_gDNA</v>
      </c>
      <c r="G22" s="58">
        <f ca="1"/>
        <v>95</v>
      </c>
      <c r="H22" s="58">
        <f ca="1"/>
        <v>2</v>
      </c>
      <c r="I22" s="58">
        <f ca="1"/>
        <v>44.55</v>
      </c>
      <c r="J22" s="58" t="str">
        <f ca="1"/>
        <v>A</v>
      </c>
      <c r="K22" s="58">
        <f ca="1"/>
        <v>6</v>
      </c>
      <c r="L22" s="58" t="str">
        <f ca="1"/>
        <v>F01</v>
      </c>
      <c r="M22" s="58">
        <f ca="1"/>
        <v>1.46</v>
      </c>
      <c r="N22" s="59" t="str">
        <f ca="1">_xlfn.IFNA(VLOOKUP(MID(F22,1,(FIND("_",F22)-1))&amp;J22&amp;L22,Database!$R$1:$V$1000,2,FALSE),"-")</f>
        <v>Proi7UDI-006</v>
      </c>
      <c r="O22" s="59" t="str">
        <f ca="1">_xlfn.IFNA(VLOOKUP(MID(F22,1,(FIND("_",F22)-1))&amp;J22&amp;L22,Database!$R$1:$V$1000,3,FALSE),"-")</f>
        <v>CTTATACCTC</v>
      </c>
      <c r="P22" s="59" t="str">
        <f ca="1">_xlfn.IFNA(VLOOKUP(MID(F22,1,(FIND("_",F22)-1))&amp;J22&amp;L22,Database!$R$1:$V$1000,4,FALSE),"-")</f>
        <v>Proi5UDI-006</v>
      </c>
      <c r="Q22" s="59" t="str">
        <f ca="1">_xlfn.IFNA(VLOOKUP(MID(F22,1,(FIND("_",F22)-1))&amp;J22&amp;L22,Database!$R$1:$V$1000,5,FALSE),"-")</f>
        <v>CTCAGTAGGC</v>
      </c>
      <c r="R22" s="59" t="str">
        <f t="shared" ca="1" si="0"/>
        <v>CTTATACCTCCTCAGTAGGC</v>
      </c>
      <c r="S22" s="59" t="str">
        <f t="shared" ca="1" si="1"/>
        <v>GCCTACTGAG</v>
      </c>
    </row>
    <row r="23" spans="1:19" x14ac:dyDescent="0.25">
      <c r="A23" s="51" t="s">
        <v>19</v>
      </c>
      <c r="B23" s="137" cm="1">
        <f t="array" aca="1" ref="B23:M34" ca="1">INDIRECT("'"&amp;A23&amp;"'!B8:M"&amp;(7+INDIRECT("'"&amp;A23&amp;"'!D4")))</f>
        <v>1</v>
      </c>
      <c r="C23" s="53" t="str">
        <f ca="1"/>
        <v>A01</v>
      </c>
      <c r="D23" s="54" t="str">
        <f ca="1"/>
        <v>POOL-10022</v>
      </c>
      <c r="E23" s="55" t="str">
        <f ca="1"/>
        <v>062 C.D.P.</v>
      </c>
      <c r="F23" s="55" t="str">
        <f ca="1"/>
        <v>MAMA_gDNA</v>
      </c>
      <c r="G23" s="52">
        <f ca="1"/>
        <v>18.600000000000001</v>
      </c>
      <c r="H23" s="56">
        <f ca="1"/>
        <v>3</v>
      </c>
      <c r="I23" s="56">
        <f ca="1"/>
        <v>10.671000000000001</v>
      </c>
      <c r="J23" s="57" t="str">
        <f ca="1"/>
        <v>A</v>
      </c>
      <c r="K23" s="52">
        <f ca="1"/>
        <v>7</v>
      </c>
      <c r="L23" s="53" t="str">
        <f ca="1"/>
        <v>G01</v>
      </c>
      <c r="M23" s="52">
        <f ca="1"/>
        <v>29.8</v>
      </c>
      <c r="N23" s="59" t="str">
        <f ca="1">_xlfn.IFNA(VLOOKUP(MID(F23,1,(FIND("_",F23)-1))&amp;J23&amp;L23,Database!$R$1:$V$1000,2,FALSE),"-")</f>
        <v>Proi7UDI-007</v>
      </c>
      <c r="O23" s="59" t="str">
        <f ca="1">_xlfn.IFNA(VLOOKUP(MID(F23,1,(FIND("_",F23)-1))&amp;J23&amp;L23,Database!$R$1:$V$1000,3,FALSE),"-")</f>
        <v>GAATCCTTGA</v>
      </c>
      <c r="P23" s="59" t="str">
        <f ca="1">_xlfn.IFNA(VLOOKUP(MID(F23,1,(FIND("_",F23)-1))&amp;J23&amp;L23,Database!$R$1:$V$1000,4,FALSE),"-")</f>
        <v>Proi5UDI-007</v>
      </c>
      <c r="Q23" s="59" t="str">
        <f ca="1">_xlfn.IFNA(VLOOKUP(MID(F23,1,(FIND("_",F23)-1))&amp;J23&amp;L23,Database!$R$1:$V$1000,5,FALSE),"-")</f>
        <v>GAAGTGCCTG</v>
      </c>
      <c r="R23" s="59" t="str">
        <f t="shared" ca="1" si="0"/>
        <v>GAATCCTTGAGAAGTGCCTG</v>
      </c>
      <c r="S23" s="59" t="str">
        <f t="shared" ca="1" si="1"/>
        <v>CAGGCACTTC</v>
      </c>
    </row>
    <row r="24" spans="1:19" x14ac:dyDescent="0.25">
      <c r="A24" s="51" t="s">
        <v>19</v>
      </c>
      <c r="B24" s="52">
        <f ca="1"/>
        <v>2</v>
      </c>
      <c r="C24" s="53" t="str">
        <f ca="1"/>
        <v>B01</v>
      </c>
      <c r="D24" s="54" t="str">
        <f ca="1"/>
        <v>POOL-10023</v>
      </c>
      <c r="E24" s="55" t="str">
        <f ca="1"/>
        <v>117 NA12878</v>
      </c>
      <c r="F24" s="55" t="str">
        <f ca="1"/>
        <v>MAMA_gDNA</v>
      </c>
      <c r="G24" s="52">
        <f ca="1"/>
        <v>38.6</v>
      </c>
      <c r="H24" s="56">
        <f ca="1"/>
        <v>2</v>
      </c>
      <c r="I24" s="56">
        <f ca="1"/>
        <v>16.914000000000001</v>
      </c>
      <c r="J24" s="57" t="str">
        <f ca="1"/>
        <v>A</v>
      </c>
      <c r="K24" s="52">
        <f ca="1"/>
        <v>8</v>
      </c>
      <c r="L24" s="53" t="str">
        <f ca="1"/>
        <v>H01</v>
      </c>
      <c r="M24" s="52">
        <f ca="1"/>
        <v>12.3</v>
      </c>
      <c r="N24" s="59" t="str">
        <f ca="1">_xlfn.IFNA(VLOOKUP(MID(F24,1,(FIND("_",F24)-1))&amp;J24&amp;L24,Database!$R$1:$V$1000,2,FALSE),"-")</f>
        <v>Proi7UDI-008</v>
      </c>
      <c r="O24" s="59" t="str">
        <f ca="1">_xlfn.IFNA(VLOOKUP(MID(F24,1,(FIND("_",F24)-1))&amp;J24&amp;L24,Database!$R$1:$V$1000,3,FALSE),"-")</f>
        <v>TCTCGGTTCG</v>
      </c>
      <c r="P24" s="59" t="str">
        <f ca="1">_xlfn.IFNA(VLOOKUP(MID(F24,1,(FIND("_",F24)-1))&amp;J24&amp;L24,Database!$R$1:$V$1000,4,FALSE),"-")</f>
        <v>Proi5UDI-008</v>
      </c>
      <c r="Q24" s="59" t="str">
        <f ca="1">_xlfn.IFNA(VLOOKUP(MID(F24,1,(FIND("_",F24)-1))&amp;J24&amp;L24,Database!$R$1:$V$1000,5,FALSE),"-")</f>
        <v>TCTCTCGCCT</v>
      </c>
      <c r="R24" s="59" t="str">
        <f t="shared" ca="1" si="0"/>
        <v>TCTCGGTTCGTCTCTCGCCT</v>
      </c>
      <c r="S24" s="59" t="str">
        <f t="shared" ca="1" si="1"/>
        <v>AGGCGAGAGA</v>
      </c>
    </row>
    <row r="25" spans="1:19" x14ac:dyDescent="0.25">
      <c r="A25" s="51" t="s">
        <v>19</v>
      </c>
      <c r="B25" s="52">
        <f ca="1"/>
        <v>3</v>
      </c>
      <c r="C25" s="53" t="str">
        <f ca="1"/>
        <v>C01</v>
      </c>
      <c r="D25" s="54" t="str">
        <f ca="1"/>
        <v>POOL-10024</v>
      </c>
      <c r="E25" s="55" t="str">
        <f ca="1"/>
        <v>091 HD810</v>
      </c>
      <c r="F25" s="55" t="str">
        <f ca="1"/>
        <v>MAMA_FFPE-gDNA</v>
      </c>
      <c r="G25" s="52">
        <f ca="1"/>
        <v>8.02</v>
      </c>
      <c r="H25" s="56">
        <f ca="1"/>
        <v>9</v>
      </c>
      <c r="I25" s="56">
        <f ca="1"/>
        <v>0</v>
      </c>
      <c r="J25" s="57" t="str">
        <f ca="1"/>
        <v>A</v>
      </c>
      <c r="K25" s="52">
        <f ca="1"/>
        <v>9</v>
      </c>
      <c r="L25" s="53" t="str">
        <f ca="1"/>
        <v>A02</v>
      </c>
      <c r="M25" s="52">
        <f ca="1"/>
        <v>7</v>
      </c>
      <c r="N25" s="59" t="str">
        <f ca="1">_xlfn.IFNA(VLOOKUP(MID(F25,1,(FIND("_",F25)-1))&amp;J25&amp;L25,Database!$R$1:$V$1000,2,FALSE),"-")</f>
        <v>Proi7UDI-009</v>
      </c>
      <c r="O25" s="59" t="str">
        <f ca="1">_xlfn.IFNA(VLOOKUP(MID(F25,1,(FIND("_",F25)-1))&amp;J25&amp;L25,Database!$R$1:$V$1000,3,FALSE),"-")</f>
        <v>AACTTGGCTC</v>
      </c>
      <c r="P25" s="59" t="str">
        <f ca="1">_xlfn.IFNA(VLOOKUP(MID(F25,1,(FIND("_",F25)-1))&amp;J25&amp;L25,Database!$R$1:$V$1000,4,FALSE),"-")</f>
        <v>Proi5UDI-009</v>
      </c>
      <c r="Q25" s="59" t="str">
        <f ca="1">_xlfn.IFNA(VLOOKUP(MID(F25,1,(FIND("_",F25)-1))&amp;J25&amp;L25,Database!$R$1:$V$1000,5,FALSE),"-")</f>
        <v>AGGCACCTTC</v>
      </c>
      <c r="R25" s="59" t="str">
        <f t="shared" ca="1" si="0"/>
        <v>AACTTGGCTCAGGCACCTTC</v>
      </c>
      <c r="S25" s="59" t="str">
        <f t="shared" ca="1" si="1"/>
        <v>GAAGGTGCCT</v>
      </c>
    </row>
    <row r="26" spans="1:19" x14ac:dyDescent="0.25">
      <c r="A26" s="51" t="s">
        <v>19</v>
      </c>
      <c r="B26" s="52">
        <f ca="1"/>
        <v>4</v>
      </c>
      <c r="C26" s="53" t="str">
        <f ca="1"/>
        <v>D01</v>
      </c>
      <c r="D26" s="54" t="str">
        <f ca="1"/>
        <v>POOL-10025</v>
      </c>
      <c r="E26" s="55" t="str">
        <f ca="1"/>
        <v>071 B.B.</v>
      </c>
      <c r="F26" s="55" t="str">
        <f ca="1"/>
        <v>Onco_FFPE-gDNA</v>
      </c>
      <c r="G26" s="52">
        <f ca="1"/>
        <v>2.65</v>
      </c>
      <c r="H26" s="56">
        <f ca="1"/>
        <v>9</v>
      </c>
      <c r="I26" s="56">
        <f ca="1"/>
        <v>0</v>
      </c>
      <c r="J26" s="57" t="str">
        <f ca="1"/>
        <v>A</v>
      </c>
      <c r="K26" s="52">
        <f ca="1"/>
        <v>10</v>
      </c>
      <c r="L26" s="53" t="str">
        <f ca="1"/>
        <v>B02</v>
      </c>
      <c r="M26" s="52">
        <f ca="1"/>
        <v>13.9</v>
      </c>
      <c r="N26" s="59" t="str">
        <f ca="1">_xlfn.IFNA(VLOOKUP(MID(F26,1,(FIND("_",F26)-1))&amp;J26&amp;L26,Database!$R$1:$V$1000,2,FALSE),"-")</f>
        <v>Proi7UDI-010</v>
      </c>
      <c r="O26" s="59" t="str">
        <f ca="1">_xlfn.IFNA(VLOOKUP(MID(F26,1,(FIND("_",F26)-1))&amp;J26&amp;L26,Database!$R$1:$V$1000,3,FALSE),"-")</f>
        <v>CTACGGCCTT</v>
      </c>
      <c r="P26" s="59" t="str">
        <f ca="1">_xlfn.IFNA(VLOOKUP(MID(F26,1,(FIND("_",F26)-1))&amp;J26&amp;L26,Database!$R$1:$V$1000,4,FALSE),"-")</f>
        <v>Proi5UDI-010</v>
      </c>
      <c r="Q26" s="59" t="str">
        <f ca="1">_xlfn.IFNA(VLOOKUP(MID(F26,1,(FIND("_",F26)-1))&amp;J26&amp;L26,Database!$R$1:$V$1000,5,FALSE),"-")</f>
        <v>CTGTTGGTAA</v>
      </c>
      <c r="R26" s="59" t="str">
        <f t="shared" ca="1" si="0"/>
        <v>CTACGGCCTTCTGTTGGTAA</v>
      </c>
      <c r="S26" s="59" t="str">
        <f t="shared" ca="1" si="1"/>
        <v>TTACCAACAG</v>
      </c>
    </row>
    <row r="27" spans="1:19" x14ac:dyDescent="0.25">
      <c r="A27" s="51" t="s">
        <v>19</v>
      </c>
      <c r="B27" s="52">
        <f ca="1"/>
        <v>5</v>
      </c>
      <c r="C27" s="53" t="str">
        <f ca="1"/>
        <v>E01</v>
      </c>
      <c r="D27" s="54" t="str">
        <f ca="1"/>
        <v>POOL-10026</v>
      </c>
      <c r="E27" s="55" t="str">
        <f ca="1"/>
        <v>052 J.J.M.</v>
      </c>
      <c r="F27" s="55" t="str">
        <f ca="1"/>
        <v>Onco_FFPE-gDNA</v>
      </c>
      <c r="G27" s="52">
        <f ca="1"/>
        <v>42</v>
      </c>
      <c r="H27" s="56">
        <f ca="1"/>
        <v>3</v>
      </c>
      <c r="I27" s="56">
        <f ca="1"/>
        <v>8.34</v>
      </c>
      <c r="J27" s="57" t="str">
        <f ca="1"/>
        <v>A</v>
      </c>
      <c r="K27" s="52">
        <f ca="1"/>
        <v>11</v>
      </c>
      <c r="L27" s="53" t="str">
        <f ca="1"/>
        <v>C02</v>
      </c>
      <c r="M27" s="52">
        <f ca="1"/>
        <v>23.8</v>
      </c>
      <c r="N27" s="59" t="str">
        <f ca="1">_xlfn.IFNA(VLOOKUP(MID(F27,1,(FIND("_",F27)-1))&amp;J27&amp;L27,Database!$R$1:$V$1000,2,FALSE),"-")</f>
        <v>Proi7UDI-011</v>
      </c>
      <c r="O27" s="59" t="str">
        <f ca="1">_xlfn.IFNA(VLOOKUP(MID(F27,1,(FIND("_",F27)-1))&amp;J27&amp;L27,Database!$R$1:$V$1000,3,FALSE),"-")</f>
        <v>GCTTCTCTAA</v>
      </c>
      <c r="P27" s="59" t="str">
        <f ca="1">_xlfn.IFNA(VLOOKUP(MID(F27,1,(FIND("_",F27)-1))&amp;J27&amp;L27,Database!$R$1:$V$1000,4,FALSE),"-")</f>
        <v>Proi5UDI-011</v>
      </c>
      <c r="Q27" s="59" t="str">
        <f ca="1">_xlfn.IFNA(VLOOKUP(MID(F27,1,(FIND("_",F27)-1))&amp;J27&amp;L27,Database!$R$1:$V$1000,5,FALSE),"-")</f>
        <v>GCTGGTACCT</v>
      </c>
      <c r="R27" s="59" t="str">
        <f t="shared" ca="1" si="0"/>
        <v>GCTTCTCTAAGCTGGTACCT</v>
      </c>
      <c r="S27" s="59" t="str">
        <f t="shared" ca="1" si="1"/>
        <v>AGGTACCAGC</v>
      </c>
    </row>
    <row r="28" spans="1:19" x14ac:dyDescent="0.25">
      <c r="A28" s="51" t="s">
        <v>19</v>
      </c>
      <c r="B28" s="52">
        <f ca="1"/>
        <v>6</v>
      </c>
      <c r="C28" s="53" t="str">
        <f ca="1"/>
        <v>F01</v>
      </c>
      <c r="D28" s="54" t="str">
        <f ca="1"/>
        <v>POOL-10027</v>
      </c>
      <c r="E28" s="55" t="str">
        <f ca="1"/>
        <v>104 D.C.B.</v>
      </c>
      <c r="F28" s="55" t="str">
        <f ca="1"/>
        <v>Onco_FFPE-gDNA</v>
      </c>
      <c r="G28" s="52">
        <f ca="1"/>
        <v>28.6</v>
      </c>
      <c r="H28" s="56">
        <f ca="1"/>
        <v>4</v>
      </c>
      <c r="I28" s="56">
        <f ca="1"/>
        <v>6.2960000000000012</v>
      </c>
      <c r="J28" s="57" t="str">
        <f ca="1"/>
        <v>A</v>
      </c>
      <c r="K28" s="52">
        <f ca="1"/>
        <v>12</v>
      </c>
      <c r="L28" s="53" t="str">
        <f ca="1"/>
        <v>D02</v>
      </c>
      <c r="M28" s="52">
        <f ca="1"/>
        <v>15.1</v>
      </c>
      <c r="N28" s="59" t="str">
        <f ca="1">_xlfn.IFNA(VLOOKUP(MID(F28,1,(FIND("_",F28)-1))&amp;J28&amp;L28,Database!$R$1:$V$1000,2,FALSE),"-")</f>
        <v>Proi7UDI-012</v>
      </c>
      <c r="O28" s="59" t="str">
        <f ca="1">_xlfn.IFNA(VLOOKUP(MID(F28,1,(FIND("_",F28)-1))&amp;J28&amp;L28,Database!$R$1:$V$1000,3,FALSE),"-")</f>
        <v>TGGTCTTAGA</v>
      </c>
      <c r="P28" s="59" t="str">
        <f ca="1">_xlfn.IFNA(VLOOKUP(MID(F28,1,(FIND("_",F28)-1))&amp;J28&amp;L28,Database!$R$1:$V$1000,4,FALSE),"-")</f>
        <v>Proi5UDI-012</v>
      </c>
      <c r="Q28" s="59" t="str">
        <f ca="1">_xlfn.IFNA(VLOOKUP(MID(F28,1,(FIND("_",F28)-1))&amp;J28&amp;L28,Database!$R$1:$V$1000,5,FALSE),"-")</f>
        <v>TAAGGAGCGG</v>
      </c>
      <c r="R28" s="59" t="str">
        <f t="shared" ca="1" si="0"/>
        <v>TGGTCTTAGATAAGGAGCGG</v>
      </c>
      <c r="S28" s="59" t="str">
        <f t="shared" ca="1" si="1"/>
        <v>CCGCTCCTTA</v>
      </c>
    </row>
    <row r="29" spans="1:19" x14ac:dyDescent="0.25">
      <c r="A29" s="51" t="s">
        <v>19</v>
      </c>
      <c r="B29" s="52">
        <f ca="1"/>
        <v>7</v>
      </c>
      <c r="C29" s="53" t="str">
        <f ca="1"/>
        <v>G01</v>
      </c>
      <c r="D29" s="54" t="str">
        <f ca="1"/>
        <v>POOL-10028</v>
      </c>
      <c r="E29" s="55" t="str">
        <f ca="1"/>
        <v>088 HD832</v>
      </c>
      <c r="F29" s="55" t="str">
        <f ca="1"/>
        <v>Onco_FFPE-gDNA</v>
      </c>
      <c r="G29" s="52">
        <f ca="1"/>
        <v>9.44</v>
      </c>
      <c r="H29" s="56">
        <f ca="1"/>
        <v>9</v>
      </c>
      <c r="I29" s="56">
        <f ca="1"/>
        <v>0</v>
      </c>
      <c r="J29" s="57" t="str">
        <f ca="1"/>
        <v>A</v>
      </c>
      <c r="K29" s="52">
        <f ca="1"/>
        <v>13</v>
      </c>
      <c r="L29" s="53" t="str">
        <f ca="1"/>
        <v>E02</v>
      </c>
      <c r="M29" s="52">
        <f ca="1"/>
        <v>10.6</v>
      </c>
      <c r="N29" s="59" t="str">
        <f ca="1">_xlfn.IFNA(VLOOKUP(MID(F29,1,(FIND("_",F29)-1))&amp;J29&amp;L29,Database!$R$1:$V$1000,2,FALSE),"-")</f>
        <v>Proi7UDI-013</v>
      </c>
      <c r="O29" s="59" t="str">
        <f ca="1">_xlfn.IFNA(VLOOKUP(MID(F29,1,(FIND("_",F29)-1))&amp;J29&amp;L29,Database!$R$1:$V$1000,3,FALSE),"-")</f>
        <v>AGTGGTTACA</v>
      </c>
      <c r="P29" s="59" t="str">
        <f ca="1">_xlfn.IFNA(VLOOKUP(MID(F29,1,(FIND("_",F29)-1))&amp;J29&amp;L29,Database!$R$1:$V$1000,4,FALSE),"-")</f>
        <v>Proi5UDI-013</v>
      </c>
      <c r="Q29" s="59" t="str">
        <f ca="1">_xlfn.IFNA(VLOOKUP(MID(F29,1,(FIND("_",F29)-1))&amp;J29&amp;L29,Database!$R$1:$V$1000,5,FALSE),"-")</f>
        <v>AATCGCTCCA</v>
      </c>
      <c r="R29" s="59" t="str">
        <f t="shared" ca="1" si="0"/>
        <v>AGTGGTTACAAATCGCTCCA</v>
      </c>
      <c r="S29" s="59" t="str">
        <f t="shared" ca="1" si="1"/>
        <v>TGGAGCGATT</v>
      </c>
    </row>
    <row r="30" spans="1:19" x14ac:dyDescent="0.25">
      <c r="A30" s="51" t="s">
        <v>19</v>
      </c>
      <c r="B30" s="52">
        <f ca="1"/>
        <v>8</v>
      </c>
      <c r="C30" s="53" t="str">
        <f ca="1"/>
        <v>H01</v>
      </c>
      <c r="D30" s="54" t="str">
        <f ca="1"/>
        <v>POOL-10029</v>
      </c>
      <c r="E30" s="55" t="str">
        <f ca="1"/>
        <v>088 HD832</v>
      </c>
      <c r="F30" s="55" t="str">
        <f ca="1"/>
        <v>Onco_FFPE-gDNA</v>
      </c>
      <c r="G30" s="52">
        <f ca="1"/>
        <v>9.44</v>
      </c>
      <c r="H30" s="56">
        <f ca="1"/>
        <v>9</v>
      </c>
      <c r="I30" s="56">
        <f ca="1"/>
        <v>0</v>
      </c>
      <c r="J30" s="57" t="str">
        <f ca="1"/>
        <v>A</v>
      </c>
      <c r="K30" s="52">
        <f ca="1"/>
        <v>14</v>
      </c>
      <c r="L30" s="53" t="str">
        <f ca="1"/>
        <v>F02</v>
      </c>
      <c r="M30" s="52">
        <f ca="1"/>
        <v>11.6</v>
      </c>
      <c r="N30" s="59" t="str">
        <f ca="1">_xlfn.IFNA(VLOOKUP(MID(F30,1,(FIND("_",F30)-1))&amp;J30&amp;L30,Database!$R$1:$V$1000,2,FALSE),"-")</f>
        <v>Proi7UDI-014</v>
      </c>
      <c r="O30" s="59" t="str">
        <f ca="1">_xlfn.IFNA(VLOOKUP(MID(F30,1,(FIND("_",F30)-1))&amp;J30&amp;L30,Database!$R$1:$V$1000,3,FALSE),"-")</f>
        <v>CTTGTGTCGG</v>
      </c>
      <c r="P30" s="59" t="str">
        <f ca="1">_xlfn.IFNA(VLOOKUP(MID(F30,1,(FIND("_",F30)-1))&amp;J30&amp;L30,Database!$R$1:$V$1000,4,FALSE),"-")</f>
        <v>Proi5UDI-014</v>
      </c>
      <c r="Q30" s="59" t="str">
        <f ca="1">_xlfn.IFNA(VLOOKUP(MID(F30,1,(FIND("_",F30)-1))&amp;J30&amp;L30,Database!$R$1:$V$1000,5,FALSE),"-")</f>
        <v>CTCCTAATTG</v>
      </c>
      <c r="R30" s="59" t="str">
        <f t="shared" ca="1" si="0"/>
        <v>CTTGTGTCGGCTCCTAATTG</v>
      </c>
      <c r="S30" s="59" t="str">
        <f t="shared" ca="1" si="1"/>
        <v>CAATTAGGAG</v>
      </c>
    </row>
    <row r="31" spans="1:19" x14ac:dyDescent="0.25">
      <c r="A31" s="51" t="s">
        <v>19</v>
      </c>
      <c r="B31" s="52">
        <f ca="1"/>
        <v>9</v>
      </c>
      <c r="C31" s="53" t="str">
        <f ca="1"/>
        <v>A02</v>
      </c>
      <c r="D31" s="54" t="str">
        <f ca="1"/>
        <v>POOL-10030</v>
      </c>
      <c r="E31" s="55" t="str">
        <f ca="1"/>
        <v>089 HD734</v>
      </c>
      <c r="F31" s="55" t="str">
        <f ca="1"/>
        <v>Onco_gDNA</v>
      </c>
      <c r="G31" s="52">
        <f ca="1"/>
        <v>3.3</v>
      </c>
      <c r="H31" s="56">
        <f ca="1"/>
        <v>10</v>
      </c>
      <c r="I31" s="56">
        <f ca="1"/>
        <v>0</v>
      </c>
      <c r="J31" s="57" t="str">
        <f ca="1"/>
        <v>A</v>
      </c>
      <c r="K31" s="52">
        <f ca="1"/>
        <v>15</v>
      </c>
      <c r="L31" s="53" t="str">
        <f ca="1"/>
        <v>G02</v>
      </c>
      <c r="M31" s="52">
        <f ca="1"/>
        <v>18.100000000000001</v>
      </c>
      <c r="N31" s="59" t="str">
        <f ca="1">_xlfn.IFNA(VLOOKUP(MID(F31,1,(FIND("_",F31)-1))&amp;J31&amp;L31,Database!$R$1:$V$1000,2,FALSE),"-")</f>
        <v>Proi7UDI-015</v>
      </c>
      <c r="O31" s="59" t="str">
        <f ca="1">_xlfn.IFNA(VLOOKUP(MID(F31,1,(FIND("_",F31)-1))&amp;J31&amp;L31,Database!$R$1:$V$1000,3,FALSE),"-")</f>
        <v>GCCATCAGAG</v>
      </c>
      <c r="P31" s="59" t="str">
        <f ca="1">_xlfn.IFNA(VLOOKUP(MID(F31,1,(FIND("_",F31)-1))&amp;J31&amp;L31,Database!$R$1:$V$1000,4,FALSE),"-")</f>
        <v>Proi5UDI-015</v>
      </c>
      <c r="Q31" s="59" t="str">
        <f ca="1">_xlfn.IFNA(VLOOKUP(MID(F31,1,(FIND("_",F31)-1))&amp;J31&amp;L31,Database!$R$1:$V$1000,5,FALSE),"-")</f>
        <v>GCCTCATAAT</v>
      </c>
      <c r="R31" s="59" t="str">
        <f t="shared" ca="1" si="0"/>
        <v>GCCATCAGAGGCCTCATAAT</v>
      </c>
      <c r="S31" s="59" t="str">
        <f t="shared" ca="1" si="1"/>
        <v>ATTATGAGGC</v>
      </c>
    </row>
    <row r="32" spans="1:19" x14ac:dyDescent="0.25">
      <c r="A32" s="51" t="s">
        <v>19</v>
      </c>
      <c r="B32" s="52">
        <f ca="1"/>
        <v>10</v>
      </c>
      <c r="C32" s="53" t="str">
        <f ca="1"/>
        <v>B02</v>
      </c>
      <c r="D32" s="54" t="str">
        <f ca="1"/>
        <v>POOL-10031</v>
      </c>
      <c r="E32" s="55" t="str">
        <f ca="1"/>
        <v>054 L.A.N.</v>
      </c>
      <c r="F32" s="55" t="str">
        <f ca="1"/>
        <v>Onco_FFPE-gDNA</v>
      </c>
      <c r="G32" s="52">
        <f ca="1"/>
        <v>58.8</v>
      </c>
      <c r="H32" s="56">
        <f ca="1"/>
        <v>2</v>
      </c>
      <c r="I32" s="56">
        <f ca="1"/>
        <v>8.5839999999999996</v>
      </c>
      <c r="J32" s="57" t="str">
        <f ca="1"/>
        <v>A</v>
      </c>
      <c r="K32" s="52">
        <f ca="1"/>
        <v>16</v>
      </c>
      <c r="L32" s="53" t="str">
        <f ca="1"/>
        <v>H02</v>
      </c>
      <c r="M32" s="52">
        <f ca="1"/>
        <v>14.8</v>
      </c>
      <c r="N32" s="59" t="str">
        <f ca="1">_xlfn.IFNA(VLOOKUP(MID(F32,1,(FIND("_",F32)-1))&amp;J32&amp;L32,Database!$R$1:$V$1000,2,FALSE),"-")</f>
        <v>Proi7UDI-016</v>
      </c>
      <c r="O32" s="59" t="str">
        <f ca="1">_xlfn.IFNA(VLOOKUP(MID(F32,1,(FIND("_",F32)-1))&amp;J32&amp;L32,Database!$R$1:$V$1000,3,FALSE),"-")</f>
        <v>TAACAGGCCG</v>
      </c>
      <c r="P32" s="59" t="str">
        <f ca="1">_xlfn.IFNA(VLOOKUP(MID(F32,1,(FIND("_",F32)-1))&amp;J32&amp;L32,Database!$R$1:$V$1000,4,FALSE),"-")</f>
        <v>Proi5UDI-016</v>
      </c>
      <c r="Q32" s="59" t="str">
        <f ca="1">_xlfn.IFNA(VLOOKUP(MID(F32,1,(FIND("_",F32)-1))&amp;J32&amp;L32,Database!$R$1:$V$1000,5,FALSE),"-")</f>
        <v>TGTATTGAGC</v>
      </c>
      <c r="R32" s="59" t="str">
        <f t="shared" ca="1" si="0"/>
        <v>TAACAGGCCGTGTATTGAGC</v>
      </c>
      <c r="S32" s="59" t="str">
        <f t="shared" ca="1" si="1"/>
        <v>GCTCAATACA</v>
      </c>
    </row>
    <row r="33" spans="1:19" x14ac:dyDescent="0.25">
      <c r="A33" s="51" t="s">
        <v>19</v>
      </c>
      <c r="B33" s="52">
        <f ca="1"/>
        <v>11</v>
      </c>
      <c r="C33" s="53" t="str">
        <f ca="1"/>
        <v>C02</v>
      </c>
      <c r="D33" s="54" t="str">
        <f ca="1"/>
        <v>POOL-10032</v>
      </c>
      <c r="E33" s="55" t="str">
        <f ca="1"/>
        <v>105 R.H.R.</v>
      </c>
      <c r="F33" s="55" t="str">
        <f ca="1"/>
        <v>Onco_FFPE-gDNA</v>
      </c>
      <c r="G33" s="52">
        <f ca="1"/>
        <v>55.4</v>
      </c>
      <c r="H33" s="56">
        <f ca="1"/>
        <v>2</v>
      </c>
      <c r="I33" s="56">
        <f ca="1"/>
        <v>7.9719999999999995</v>
      </c>
      <c r="J33" s="57" t="str">
        <f ca="1"/>
        <v>A</v>
      </c>
      <c r="K33" s="52">
        <f ca="1"/>
        <v>17</v>
      </c>
      <c r="L33" s="53" t="str">
        <f ca="1"/>
        <v>A03</v>
      </c>
      <c r="M33" s="52">
        <f ca="1"/>
        <v>12.1</v>
      </c>
      <c r="N33" s="59" t="str">
        <f ca="1">_xlfn.IFNA(VLOOKUP(MID(F33,1,(FIND("_",F33)-1))&amp;J33&amp;L33,Database!$R$1:$V$1000,2,FALSE),"-")</f>
        <v>Proi7UDI-017</v>
      </c>
      <c r="O33" s="59" t="str">
        <f ca="1">_xlfn.IFNA(VLOOKUP(MID(F33,1,(FIND("_",F33)-1))&amp;J33&amp;L33,Database!$R$1:$V$1000,3,FALSE),"-")</f>
        <v>AAGCTATGCA</v>
      </c>
      <c r="P33" s="59" t="str">
        <f ca="1">_xlfn.IFNA(VLOOKUP(MID(F33,1,(FIND("_",F33)-1))&amp;J33&amp;L33,Database!$R$1:$V$1000,4,FALSE),"-")</f>
        <v>Proi5UDI-017</v>
      </c>
      <c r="Q33" s="59" t="str">
        <f ca="1">_xlfn.IFNA(VLOOKUP(MID(F33,1,(FIND("_",F33)-1))&amp;J33&amp;L33,Database!$R$1:$V$1000,5,FALSE),"-")</f>
        <v>AGCCATAACA</v>
      </c>
      <c r="R33" s="59" t="str">
        <f t="shared" ca="1" si="0"/>
        <v>AAGCTATGCAAGCCATAACA</v>
      </c>
      <c r="S33" s="59" t="str">
        <f t="shared" ca="1" si="1"/>
        <v>TGTTATGGCT</v>
      </c>
    </row>
    <row r="34" spans="1:19" x14ac:dyDescent="0.25">
      <c r="A34" s="51" t="s">
        <v>19</v>
      </c>
      <c r="B34" s="52">
        <f ca="1"/>
        <v>12</v>
      </c>
      <c r="C34" s="53" t="str">
        <f ca="1"/>
        <v>D02</v>
      </c>
      <c r="D34" s="54" t="str">
        <f ca="1"/>
        <v>POOL-10033</v>
      </c>
      <c r="E34" s="55" t="str">
        <f ca="1"/>
        <v>090 HD833</v>
      </c>
      <c r="F34" s="55" t="str">
        <f ca="1"/>
        <v>Onco_ctDNA</v>
      </c>
      <c r="G34" s="52">
        <f ca="1"/>
        <v>4.28</v>
      </c>
      <c r="H34" s="56">
        <f ca="1"/>
        <v>8.4</v>
      </c>
      <c r="I34" s="56">
        <f ca="1"/>
        <v>0</v>
      </c>
      <c r="J34" s="57" t="str">
        <f ca="1"/>
        <v>A</v>
      </c>
      <c r="K34" s="52">
        <f ca="1"/>
        <v>18</v>
      </c>
      <c r="L34" s="53" t="str">
        <f ca="1"/>
        <v>B03</v>
      </c>
      <c r="M34" s="52">
        <f ca="1"/>
        <v>15.6</v>
      </c>
      <c r="N34" s="59" t="str">
        <f ca="1">_xlfn.IFNA(VLOOKUP(MID(F34,1,(FIND("_",F34)-1))&amp;J34&amp;L34,Database!$R$1:$V$1000,2,FALSE),"-")</f>
        <v>Proi7UDI-018</v>
      </c>
      <c r="O34" s="59" t="str">
        <f ca="1">_xlfn.IFNA(VLOOKUP(MID(F34,1,(FIND("_",F34)-1))&amp;J34&amp;L34,Database!$R$1:$V$1000,3,FALSE),"-")</f>
        <v>CGAGAAGGTT</v>
      </c>
      <c r="P34" s="59" t="str">
        <f ca="1">_xlfn.IFNA(VLOOKUP(MID(F34,1,(FIND("_",F34)-1))&amp;J34&amp;L34,Database!$R$1:$V$1000,4,FALSE),"-")</f>
        <v>Proi5UDI-018</v>
      </c>
      <c r="Q34" s="59" t="str">
        <f ca="1">_xlfn.IFNA(VLOOKUP(MID(F34,1,(FIND("_",F34)-1))&amp;J34&amp;L34,Database!$R$1:$V$1000,5,FALSE),"-")</f>
        <v>CCACAAGTGG</v>
      </c>
      <c r="R34" s="59" t="str">
        <f t="shared" ca="1" si="0"/>
        <v>CGAGAAGGTTCCACAAGTGG</v>
      </c>
      <c r="S34" s="59" t="str">
        <f t="shared" ca="1" si="1"/>
        <v>CCACTTGTGG</v>
      </c>
    </row>
    <row r="35" spans="1:19" x14ac:dyDescent="0.25">
      <c r="A35" s="51" t="s">
        <v>20</v>
      </c>
      <c r="B35" s="137" cm="1">
        <f t="array" aca="1" ref="B35:M36" ca="1">INDIRECT("'"&amp;A35&amp;"'!B8:M"&amp;(7+INDIRECT("'"&amp;A35&amp;"'!D4")))</f>
        <v>1</v>
      </c>
      <c r="C35" s="53" t="str">
        <f ca="1"/>
        <v>A01</v>
      </c>
      <c r="D35" s="54" t="str">
        <f ca="1"/>
        <v>POOL-10034</v>
      </c>
      <c r="E35" s="55" t="str">
        <f ca="1"/>
        <v>088 HD832</v>
      </c>
      <c r="F35" s="55" t="str">
        <f ca="1"/>
        <v>Focus_FFPE-gDNA</v>
      </c>
      <c r="G35" s="52">
        <f ca="1"/>
        <v>9.44</v>
      </c>
      <c r="H35" s="56">
        <f ca="1"/>
        <v>2</v>
      </c>
      <c r="I35" s="56">
        <f ca="1"/>
        <v>20.655999999999999</v>
      </c>
      <c r="J35" s="57" t="str">
        <f ca="1"/>
        <v>A</v>
      </c>
      <c r="K35" s="52">
        <f ca="1"/>
        <v>16</v>
      </c>
      <c r="L35" s="53" t="str">
        <f ca="1"/>
        <v>H02</v>
      </c>
      <c r="M35" s="52">
        <f ca="1"/>
        <v>14.3</v>
      </c>
      <c r="N35" s="59">
        <f ca="1">_xlfn.IFNA(VLOOKUP(MID(F35,1,(FIND("_",F35)-1))&amp;J35&amp;L35,Database!$R$1:$V$1000,2,FALSE),"-")</f>
        <v>7023</v>
      </c>
      <c r="O35" s="59" t="str">
        <f ca="1">_xlfn.IFNA(VLOOKUP(MID(F35,1,(FIND("_",F35)-1))&amp;J35&amp;L35,Database!$R$1:$V$1000,3,FALSE),"-")</f>
        <v>GCAGAATT</v>
      </c>
      <c r="P35" s="59">
        <f ca="1">_xlfn.IFNA(VLOOKUP(MID(F35,1,(FIND("_",F35)-1))&amp;J35&amp;L35,Database!$R$1:$V$1000,4,FALSE),"-")</f>
        <v>5013</v>
      </c>
      <c r="Q35" s="59" t="str">
        <f ca="1">_xlfn.IFNA(VLOOKUP(MID(F35,1,(FIND("_",F35)-1))&amp;J35&amp;L35,Database!$R$1:$V$1000,5,FALSE),"-")</f>
        <v>AACCGCGG</v>
      </c>
      <c r="R35" s="59" t="str">
        <f t="shared" ca="1" si="0"/>
        <v>GCAGAATTAACCGCGG</v>
      </c>
      <c r="S35" s="59" t="str">
        <f t="shared" ca="1" si="1"/>
        <v>CCGCGGTT</v>
      </c>
    </row>
    <row r="36" spans="1:19" x14ac:dyDescent="0.25">
      <c r="A36" s="51" t="s">
        <v>20</v>
      </c>
      <c r="B36" s="52">
        <f ca="1"/>
        <v>2</v>
      </c>
      <c r="C36" s="53" t="str">
        <f ca="1"/>
        <v>B01</v>
      </c>
      <c r="D36" s="54" t="str">
        <f ca="1"/>
        <v>POOL-10035</v>
      </c>
      <c r="E36" s="55" t="str">
        <f ca="1"/>
        <v>027 F.C.T.</v>
      </c>
      <c r="F36" s="55" t="str">
        <f ca="1"/>
        <v>Focus_FFPE-gDNA</v>
      </c>
      <c r="G36" s="52">
        <f ca="1"/>
        <v>89.8</v>
      </c>
      <c r="H36" s="56">
        <f ca="1"/>
        <v>1</v>
      </c>
      <c r="I36" s="56">
        <f ca="1"/>
        <v>106.75999999999999</v>
      </c>
      <c r="J36" s="57" t="str">
        <f ca="1"/>
        <v>A</v>
      </c>
      <c r="K36" s="52">
        <f ca="1"/>
        <v>17</v>
      </c>
      <c r="L36" s="53" t="str">
        <f ca="1"/>
        <v>A03</v>
      </c>
      <c r="M36" s="52">
        <f ca="1"/>
        <v>4.7</v>
      </c>
      <c r="N36" s="59">
        <f ca="1">_xlfn.IFNA(VLOOKUP(MID(F36,1,(FIND("_",F36)-1))&amp;J36&amp;L36,Database!$R$1:$V$1000,2,FALSE),"-")</f>
        <v>7006</v>
      </c>
      <c r="O36" s="59" t="str">
        <f ca="1">_xlfn.IFNA(VLOOKUP(MID(F36,1,(FIND("_",F36)-1))&amp;J36&amp;L36,Database!$R$1:$V$1000,3,FALSE),"-")</f>
        <v>ACAGGCGC</v>
      </c>
      <c r="P36" s="59">
        <f ca="1">_xlfn.IFNA(VLOOKUP(MID(F36,1,(FIND("_",F36)-1))&amp;J36&amp;L36,Database!$R$1:$V$1000,4,FALSE),"-")</f>
        <v>5007</v>
      </c>
      <c r="Q36" s="59" t="str">
        <f ca="1">_xlfn.IFNA(VLOOKUP(MID(F36,1,(FIND("_",F36)-1))&amp;J36&amp;L36,Database!$R$1:$V$1000,5,FALSE),"-")</f>
        <v>ACATAGCG</v>
      </c>
      <c r="R36" s="59" t="str">
        <f t="shared" ca="1" si="0"/>
        <v>ACAGGCGCACATAGCG</v>
      </c>
      <c r="S36" s="59" t="str">
        <f t="shared" ca="1" si="1"/>
        <v>CGCTATGT</v>
      </c>
    </row>
    <row r="37" spans="1:19" x14ac:dyDescent="0.25">
      <c r="A37" s="51" t="s">
        <v>21</v>
      </c>
      <c r="B37" s="137" cm="1">
        <f t="array" aca="1" ref="B37:M38" ca="1">INDIRECT("'"&amp;A37&amp;"'!B8:M"&amp;(7+INDIRECT("'"&amp;A37&amp;"'!D4")))</f>
        <v>3</v>
      </c>
      <c r="C37" s="53" t="str">
        <f ca="1"/>
        <v>C01</v>
      </c>
      <c r="D37" s="54" t="str">
        <f ca="1"/>
        <v>POOL-10036</v>
      </c>
      <c r="E37" s="55" t="str">
        <f ca="1"/>
        <v>087 HD789</v>
      </c>
      <c r="F37" s="55" t="str">
        <f ca="1"/>
        <v>Focus_FFPE-RNA</v>
      </c>
      <c r="G37" s="52">
        <f ca="1"/>
        <v>47.4</v>
      </c>
      <c r="H37" s="56">
        <f ca="1"/>
        <v>1</v>
      </c>
      <c r="I37" s="56">
        <f ca="1"/>
        <v>21.12</v>
      </c>
      <c r="J37" s="57" t="str">
        <f ca="1"/>
        <v>A</v>
      </c>
      <c r="K37" s="52">
        <f ca="1"/>
        <v>18</v>
      </c>
      <c r="L37" s="53" t="str">
        <f ca="1"/>
        <v>B03</v>
      </c>
      <c r="M37" s="52">
        <f ca="1"/>
        <v>39.6</v>
      </c>
      <c r="N37" s="59">
        <f ca="1">_xlfn.IFNA(VLOOKUP(MID(F37,1,(FIND("_",F37)-1))&amp;J37&amp;L37,Database!$R$1:$V$1000,2,FALSE),"-")</f>
        <v>7005</v>
      </c>
      <c r="O37" s="59" t="str">
        <f ca="1">_xlfn.IFNA(VLOOKUP(MID(F37,1,(FIND("_",F37)-1))&amp;J37&amp;L37,Database!$R$1:$V$1000,3,FALSE),"-")</f>
        <v>GTGAATAT</v>
      </c>
      <c r="P37" s="59">
        <f ca="1">_xlfn.IFNA(VLOOKUP(MID(F37,1,(FIND("_",F37)-1))&amp;J37&amp;L37,Database!$R$1:$V$1000,4,FALSE),"-")</f>
        <v>5008</v>
      </c>
      <c r="Q37" s="59" t="str">
        <f ca="1">_xlfn.IFNA(VLOOKUP(MID(F37,1,(FIND("_",F37)-1))&amp;J37&amp;L37,Database!$R$1:$V$1000,5,FALSE),"-")</f>
        <v>GTGCGATA</v>
      </c>
      <c r="R37" s="59" t="str">
        <f t="shared" ca="1" si="0"/>
        <v>GTGAATATGTGCGATA</v>
      </c>
      <c r="S37" s="59" t="str">
        <f t="shared" ca="1" si="1"/>
        <v>TATCGCAC</v>
      </c>
    </row>
    <row r="38" spans="1:19" x14ac:dyDescent="0.25">
      <c r="A38" s="51" t="s">
        <v>21</v>
      </c>
      <c r="B38" s="52">
        <f ca="1"/>
        <v>4</v>
      </c>
      <c r="C38" s="53" t="str">
        <f ca="1"/>
        <v>D01</v>
      </c>
      <c r="D38" s="54" t="str">
        <f ca="1"/>
        <v>POOL-10037</v>
      </c>
      <c r="E38" s="55" t="str">
        <f ca="1"/>
        <v>092 F.C.T.</v>
      </c>
      <c r="F38" s="55" t="str">
        <f ca="1"/>
        <v>Focus_FFPE-RNA</v>
      </c>
      <c r="G38" s="52">
        <f ca="1"/>
        <v>13</v>
      </c>
      <c r="H38" s="56">
        <f ca="1"/>
        <v>2</v>
      </c>
      <c r="I38" s="56">
        <f ca="1"/>
        <v>10.133333333333333</v>
      </c>
      <c r="J38" s="57" t="str">
        <f ca="1"/>
        <v>A</v>
      </c>
      <c r="K38" s="52">
        <f ca="1"/>
        <v>19</v>
      </c>
      <c r="L38" s="53" t="str">
        <f ca="1"/>
        <v>C03</v>
      </c>
      <c r="M38" s="52">
        <f ca="1"/>
        <v>2.2000000000000002</v>
      </c>
      <c r="N38" s="59">
        <f ca="1">_xlfn.IFNA(VLOOKUP(MID(F38,1,(FIND("_",F38)-1))&amp;J38&amp;L38,Database!$R$1:$V$1000,2,FALSE),"-")</f>
        <v>7015</v>
      </c>
      <c r="O38" s="59" t="str">
        <f ca="1">_xlfn.IFNA(VLOOKUP(MID(F38,1,(FIND("_",F38)-1))&amp;J38&amp;L38,Database!$R$1:$V$1000,3,FALSE),"-")</f>
        <v>TCTCTACT</v>
      </c>
      <c r="P38" s="59">
        <f ca="1">_xlfn.IFNA(VLOOKUP(MID(F38,1,(FIND("_",F38)-1))&amp;J38&amp;L38,Database!$R$1:$V$1000,4,FALSE),"-")</f>
        <v>5009</v>
      </c>
      <c r="Q38" s="59" t="str">
        <f ca="1">_xlfn.IFNA(VLOOKUP(MID(F38,1,(FIND("_",F38)-1))&amp;J38&amp;L38,Database!$R$1:$V$1000,5,FALSE),"-")</f>
        <v>CCAACAGA</v>
      </c>
      <c r="R38" s="59" t="str">
        <f t="shared" ca="1" si="0"/>
        <v>TCTCTACTCCAACAGA</v>
      </c>
      <c r="S38" s="59" t="str">
        <f t="shared" ca="1" si="1"/>
        <v>TCTGTTGG</v>
      </c>
    </row>
    <row r="39" spans="1:19" x14ac:dyDescent="0.25">
      <c r="A39" s="51" t="s">
        <v>22</v>
      </c>
      <c r="B39" s="137" cm="1">
        <f t="array" aca="1" ref="B39:M44" ca="1">INDIRECT("'"&amp;A39&amp;"'!B8:M"&amp;(7+INDIRECT("'"&amp;A39&amp;"'!D4")))</f>
        <v>1</v>
      </c>
      <c r="C39" s="53" t="str">
        <f ca="1"/>
        <v>A01</v>
      </c>
      <c r="D39" s="54" t="str">
        <f ca="1"/>
        <v>POOL-10038</v>
      </c>
      <c r="E39" s="55" t="str">
        <f ca="1"/>
        <v>091 HD810</v>
      </c>
      <c r="F39" s="55" t="str">
        <f ca="1"/>
        <v>MAMA_FFPE-gDNA</v>
      </c>
      <c r="G39" s="52">
        <f ca="1"/>
        <v>8.02</v>
      </c>
      <c r="H39" s="56">
        <f ca="1"/>
        <v>9</v>
      </c>
      <c r="I39" s="56">
        <f ca="1"/>
        <v>0</v>
      </c>
      <c r="J39" s="57" t="str">
        <f ca="1"/>
        <v>A</v>
      </c>
      <c r="K39" s="52">
        <f ca="1"/>
        <v>19</v>
      </c>
      <c r="L39" s="53" t="str">
        <f ca="1"/>
        <v>C03</v>
      </c>
      <c r="M39" s="52">
        <f ca="1"/>
        <v>9.76</v>
      </c>
      <c r="N39" s="59" t="str">
        <f ca="1">_xlfn.IFNA(VLOOKUP(MID(F39,1,(FIND("_",F39)-1))&amp;J39&amp;L39,Database!$R$1:$V$1000,2,FALSE),"-")</f>
        <v>Proi7UDI-019</v>
      </c>
      <c r="O39" s="59" t="str">
        <f ca="1">_xlfn.IFNA(VLOOKUP(MID(F39,1,(FIND("_",F39)-1))&amp;J39&amp;L39,Database!$R$1:$V$1000,3,FALSE),"-")</f>
        <v>GTGATCTCTT</v>
      </c>
      <c r="P39" s="59" t="str">
        <f ca="1">_xlfn.IFNA(VLOOKUP(MID(F39,1,(FIND("_",F39)-1))&amp;J39&amp;L39,Database!$R$1:$V$1000,4,FALSE),"-")</f>
        <v>Proi5UDI-019</v>
      </c>
      <c r="Q39" s="59" t="str">
        <f ca="1">_xlfn.IFNA(VLOOKUP(MID(F39,1,(FIND("_",F39)-1))&amp;J39&amp;L39,Database!$R$1:$V$1000,5,FALSE),"-")</f>
        <v>GTTATCACAC</v>
      </c>
      <c r="R39" s="59" t="str">
        <f t="shared" ca="1" si="0"/>
        <v>GTGATCTCTTGTTATCACAC</v>
      </c>
      <c r="S39" s="59" t="str">
        <f t="shared" ca="1" si="1"/>
        <v>GTGTGATAAC</v>
      </c>
    </row>
    <row r="40" spans="1:19" x14ac:dyDescent="0.25">
      <c r="A40" s="51" t="s">
        <v>22</v>
      </c>
      <c r="B40" s="52">
        <f ca="1"/>
        <v>2</v>
      </c>
      <c r="C40" s="53" t="str">
        <f ca="1"/>
        <v>B01</v>
      </c>
      <c r="D40" s="54" t="str">
        <f ca="1"/>
        <v>POOL-10039</v>
      </c>
      <c r="E40" s="55" t="str">
        <f ca="1"/>
        <v>117 NA12878</v>
      </c>
      <c r="F40" s="55" t="str">
        <f ca="1"/>
        <v>MAMA_gDNA</v>
      </c>
      <c r="G40" s="52">
        <f ca="1"/>
        <v>38.6</v>
      </c>
      <c r="H40" s="56">
        <f ca="1"/>
        <v>2</v>
      </c>
      <c r="I40" s="56">
        <f ca="1"/>
        <v>16.914000000000001</v>
      </c>
      <c r="J40" s="57" t="str">
        <f ca="1"/>
        <v>A</v>
      </c>
      <c r="K40" s="52">
        <f ca="1"/>
        <v>20</v>
      </c>
      <c r="L40" s="53" t="str">
        <f ca="1"/>
        <v>D03</v>
      </c>
      <c r="M40" s="52">
        <f ca="1"/>
        <v>11.1</v>
      </c>
      <c r="N40" s="59" t="str">
        <f ca="1">_xlfn.IFNA(VLOOKUP(MID(F40,1,(FIND("_",F40)-1))&amp;J40&amp;L40,Database!$R$1:$V$1000,2,FALSE),"-")</f>
        <v>Proi7UDI-020</v>
      </c>
      <c r="O40" s="59" t="str">
        <f ca="1">_xlfn.IFNA(VLOOKUP(MID(F40,1,(FIND("_",F40)-1))&amp;J40&amp;L40,Database!$R$1:$V$1000,3,FALSE),"-")</f>
        <v>TCCTTCAGGC</v>
      </c>
      <c r="P40" s="59" t="str">
        <f ca="1">_xlfn.IFNA(VLOOKUP(MID(F40,1,(FIND("_",F40)-1))&amp;J40&amp;L40,Database!$R$1:$V$1000,4,FALSE),"-")</f>
        <v>Proi5UDI-020</v>
      </c>
      <c r="Q40" s="59" t="str">
        <f ca="1">_xlfn.IFNA(VLOOKUP(MID(F40,1,(FIND("_",F40)-1))&amp;J40&amp;L40,Database!$R$1:$V$1000,5,FALSE),"-")</f>
        <v>TACCGTTCTT</v>
      </c>
      <c r="R40" s="59" t="str">
        <f t="shared" ca="1" si="0"/>
        <v>TCCTTCAGGCTACCGTTCTT</v>
      </c>
      <c r="S40" s="59" t="str">
        <f t="shared" ca="1" si="1"/>
        <v>AAGAACGGTA</v>
      </c>
    </row>
    <row r="41" spans="1:19" x14ac:dyDescent="0.25">
      <c r="A41" s="51" t="s">
        <v>22</v>
      </c>
      <c r="B41" s="52">
        <f ca="1"/>
        <v>3</v>
      </c>
      <c r="C41" s="53" t="str">
        <f ca="1"/>
        <v>C01</v>
      </c>
      <c r="D41" s="54" t="str">
        <f ca="1"/>
        <v>POOL-10040</v>
      </c>
      <c r="E41" s="55" t="str">
        <f ca="1"/>
        <v>118 NA23873</v>
      </c>
      <c r="F41" s="55" t="str">
        <f ca="1"/>
        <v>MAMA_gDNA</v>
      </c>
      <c r="G41" s="52">
        <f ca="1"/>
        <v>39.799999999999997</v>
      </c>
      <c r="H41" s="56">
        <f ca="1"/>
        <v>2</v>
      </c>
      <c r="I41" s="56">
        <f ca="1"/>
        <v>17.501999999999999</v>
      </c>
      <c r="J41" s="57" t="str">
        <f ca="1"/>
        <v>A</v>
      </c>
      <c r="K41" s="52">
        <f ca="1"/>
        <v>21</v>
      </c>
      <c r="L41" s="53" t="str">
        <f ca="1"/>
        <v>E03</v>
      </c>
      <c r="M41" s="52">
        <f ca="1"/>
        <v>11.3</v>
      </c>
      <c r="N41" s="59" t="str">
        <f ca="1">_xlfn.IFNA(VLOOKUP(MID(F41,1,(FIND("_",F41)-1))&amp;J41&amp;L41,Database!$R$1:$V$1000,2,FALSE),"-")</f>
        <v>Proi7UDI-021</v>
      </c>
      <c r="O41" s="59" t="str">
        <f ca="1">_xlfn.IFNA(VLOOKUP(MID(F41,1,(FIND("_",F41)-1))&amp;J41&amp;L41,Database!$R$1:$V$1000,3,FALSE),"-")</f>
        <v>AAGGCACAAT</v>
      </c>
      <c r="P41" s="59" t="str">
        <f ca="1">_xlfn.IFNA(VLOOKUP(MID(F41,1,(FIND("_",F41)-1))&amp;J41&amp;L41,Database!$R$1:$V$1000,4,FALSE),"-")</f>
        <v>Proi5UDI-021</v>
      </c>
      <c r="Q41" s="59" t="str">
        <f ca="1">_xlfn.IFNA(VLOOKUP(MID(F41,1,(FIND("_",F41)-1))&amp;J41&amp;L41,Database!$R$1:$V$1000,5,FALSE),"-")</f>
        <v>AGGCGTTAGG</v>
      </c>
      <c r="R41" s="59" t="str">
        <f t="shared" ca="1" si="0"/>
        <v>AAGGCACAATAGGCGTTAGG</v>
      </c>
      <c r="S41" s="59" t="str">
        <f t="shared" ca="1" si="1"/>
        <v>CCTAACGCCT</v>
      </c>
    </row>
    <row r="42" spans="1:19" x14ac:dyDescent="0.25">
      <c r="A42" s="51" t="s">
        <v>22</v>
      </c>
      <c r="B42" s="52">
        <f ca="1"/>
        <v>4</v>
      </c>
      <c r="C42" s="53" t="str">
        <f ca="1"/>
        <v>D01</v>
      </c>
      <c r="D42" s="54" t="str">
        <f ca="1"/>
        <v>POOL-10041</v>
      </c>
      <c r="E42" s="55" t="str">
        <f ca="1"/>
        <v>119 NA24149</v>
      </c>
      <c r="F42" s="55" t="str">
        <f ca="1"/>
        <v>MAMA_gDNA</v>
      </c>
      <c r="G42" s="52">
        <f ca="1"/>
        <v>63</v>
      </c>
      <c r="H42" s="56">
        <f ca="1"/>
        <v>2</v>
      </c>
      <c r="I42" s="56">
        <f ca="1"/>
        <v>28.87</v>
      </c>
      <c r="J42" s="57" t="str">
        <f ca="1"/>
        <v>A</v>
      </c>
      <c r="K42" s="52">
        <f ca="1"/>
        <v>22</v>
      </c>
      <c r="L42" s="53" t="str">
        <f ca="1"/>
        <v>F03</v>
      </c>
      <c r="M42" s="52">
        <f ca="1"/>
        <v>10.7</v>
      </c>
      <c r="N42" s="59" t="str">
        <f ca="1">_xlfn.IFNA(VLOOKUP(MID(F42,1,(FIND("_",F42)-1))&amp;J42&amp;L42,Database!$R$1:$V$1000,2,FALSE),"-")</f>
        <v>Proi7UDI-022</v>
      </c>
      <c r="O42" s="59" t="str">
        <f ca="1">_xlfn.IFNA(VLOOKUP(MID(F42,1,(FIND("_",F42)-1))&amp;J42&amp;L42,Database!$R$1:$V$1000,3,FALSE),"-")</f>
        <v>CGGTAGAGGA</v>
      </c>
      <c r="P42" s="59" t="str">
        <f ca="1">_xlfn.IFNA(VLOOKUP(MID(F42,1,(FIND("_",F42)-1))&amp;J42&amp;L42,Database!$R$1:$V$1000,4,FALSE),"-")</f>
        <v>Proi5UDI-022</v>
      </c>
      <c r="Q42" s="59" t="str">
        <f ca="1">_xlfn.IFNA(VLOOKUP(MID(F42,1,(FIND("_",F42)-1))&amp;J42&amp;L42,Database!$R$1:$V$1000,5,FALSE),"-")</f>
        <v>CCGTAACGTC</v>
      </c>
      <c r="R42" s="59" t="str">
        <f t="shared" ca="1" si="0"/>
        <v>CGGTAGAGGACCGTAACGTC</v>
      </c>
      <c r="S42" s="59" t="str">
        <f t="shared" ca="1" si="1"/>
        <v>GACGTTACGG</v>
      </c>
    </row>
    <row r="43" spans="1:19" x14ac:dyDescent="0.25">
      <c r="A43" s="51" t="s">
        <v>22</v>
      </c>
      <c r="B43" s="52">
        <f ca="1"/>
        <v>5</v>
      </c>
      <c r="C43" s="53" t="str">
        <f ca="1"/>
        <v>E01</v>
      </c>
      <c r="D43" s="54" t="str">
        <f ca="1"/>
        <v>POOL-10042</v>
      </c>
      <c r="E43" s="55" t="str">
        <f ca="1"/>
        <v>117 D.R.S.</v>
      </c>
      <c r="F43" s="55" t="str">
        <f ca="1"/>
        <v>MAMA_gDNA</v>
      </c>
      <c r="G43" s="52">
        <f ca="1"/>
        <v>97.8</v>
      </c>
      <c r="H43" s="56">
        <f ca="1"/>
        <v>2</v>
      </c>
      <c r="I43" s="56">
        <f ca="1"/>
        <v>45.921999999999997</v>
      </c>
      <c r="J43" s="57" t="str">
        <f ca="1"/>
        <v>A</v>
      </c>
      <c r="K43" s="52">
        <f ca="1"/>
        <v>23</v>
      </c>
      <c r="L43" s="53" t="str">
        <f ca="1"/>
        <v>G03</v>
      </c>
      <c r="M43" s="52">
        <f ca="1"/>
        <v>13.6</v>
      </c>
      <c r="N43" s="59" t="str">
        <f ca="1">_xlfn.IFNA(VLOOKUP(MID(F43,1,(FIND("_",F43)-1))&amp;J43&amp;L43,Database!$R$1:$V$1000,2,FALSE),"-")</f>
        <v>Proi7UDI-023</v>
      </c>
      <c r="O43" s="59" t="str">
        <f ca="1">_xlfn.IFNA(VLOOKUP(MID(F43,1,(FIND("_",F43)-1))&amp;J43&amp;L43,Database!$R$1:$V$1000,3,FALSE),"-")</f>
        <v>GTTCATGGTA</v>
      </c>
      <c r="P43" s="59" t="str">
        <f ca="1">_xlfn.IFNA(VLOOKUP(MID(F43,1,(FIND("_",F43)-1))&amp;J43&amp;L43,Database!$R$1:$V$1000,4,FALSE),"-")</f>
        <v>Proi5UDI-023</v>
      </c>
      <c r="Q43" s="59" t="str">
        <f ca="1">_xlfn.IFNA(VLOOKUP(MID(F43,1,(FIND("_",F43)-1))&amp;J43&amp;L43,Database!$R$1:$V$1000,5,FALSE),"-")</f>
        <v>GTAATAGCCA</v>
      </c>
      <c r="R43" s="59" t="str">
        <f t="shared" ca="1" si="0"/>
        <v>GTTCATGGTAGTAATAGCCA</v>
      </c>
      <c r="S43" s="59" t="str">
        <f t="shared" ca="1" si="1"/>
        <v>TGGCTATTAC</v>
      </c>
    </row>
    <row r="44" spans="1:19" x14ac:dyDescent="0.25">
      <c r="A44" s="51" t="s">
        <v>22</v>
      </c>
      <c r="B44" s="52">
        <f ca="1"/>
        <v>6</v>
      </c>
      <c r="C44" s="53" t="str">
        <f ca="1"/>
        <v>F01</v>
      </c>
      <c r="D44" s="54" t="str">
        <f ca="1"/>
        <v>POOL-10043</v>
      </c>
      <c r="E44" s="55" t="str">
        <f ca="1"/>
        <v>118 N.R.S.</v>
      </c>
      <c r="F44" s="55" t="str">
        <f ca="1"/>
        <v>MAMA_gDNA</v>
      </c>
      <c r="G44" s="52">
        <f ca="1"/>
        <v>95</v>
      </c>
      <c r="H44" s="56">
        <f ca="1"/>
        <v>2</v>
      </c>
      <c r="I44" s="56">
        <f ca="1"/>
        <v>44.55</v>
      </c>
      <c r="J44" s="57" t="str">
        <f ca="1"/>
        <v>A</v>
      </c>
      <c r="K44" s="52">
        <f ca="1"/>
        <v>24</v>
      </c>
      <c r="L44" s="53" t="str">
        <f ca="1"/>
        <v>H03</v>
      </c>
      <c r="M44" s="52">
        <f ca="1"/>
        <v>13.9</v>
      </c>
      <c r="N44" s="59" t="str">
        <f ca="1">_xlfn.IFNA(VLOOKUP(MID(F44,1,(FIND("_",F44)-1))&amp;J44&amp;L44,Database!$R$1:$V$1000,2,FALSE),"-")</f>
        <v>Proi7UDI-024</v>
      </c>
      <c r="O44" s="59" t="str">
        <f ca="1">_xlfn.IFNA(VLOOKUP(MID(F44,1,(FIND("_",F44)-1))&amp;J44&amp;L44,Database!$R$1:$V$1000,3,FALSE),"-")</f>
        <v>TCTGCCAATG</v>
      </c>
      <c r="P44" s="59" t="str">
        <f ca="1">_xlfn.IFNA(VLOOKUP(MID(F44,1,(FIND("_",F44)-1))&amp;J44&amp;L44,Database!$R$1:$V$1000,4,FALSE),"-")</f>
        <v>Proi5UDI-024</v>
      </c>
      <c r="Q44" s="59" t="str">
        <f ca="1">_xlfn.IFNA(VLOOKUP(MID(F44,1,(FIND("_",F44)-1))&amp;J44&amp;L44,Database!$R$1:$V$1000,5,FALSE),"-")</f>
        <v>TAGCGCCGAT</v>
      </c>
      <c r="R44" s="59" t="str">
        <f t="shared" ca="1" si="0"/>
        <v>TCTGCCAATGTAGCGCCGAT</v>
      </c>
      <c r="S44" s="59" t="str">
        <f t="shared" ca="1" si="1"/>
        <v>ATCGGCGCTA</v>
      </c>
    </row>
    <row r="45" spans="1:19" x14ac:dyDescent="0.25">
      <c r="A45" s="51" t="s">
        <v>23</v>
      </c>
      <c r="B45" s="137" cm="1">
        <f t="array" aca="1" ref="B45:M48" ca="1">INDIRECT("'"&amp;A45&amp;"'!B8:M"&amp;(7+INDIRECT("'"&amp;A45&amp;"'!D4")))</f>
        <v>1</v>
      </c>
      <c r="C45" s="53" t="str">
        <f ca="1"/>
        <v>A01</v>
      </c>
      <c r="D45" s="58" t="str">
        <f ca="1"/>
        <v>POOL-10044</v>
      </c>
      <c r="E45" s="58" t="str">
        <f ca="1"/>
        <v>120 L.P.O.A.</v>
      </c>
      <c r="F45" s="58" t="str">
        <f ca="1"/>
        <v>MAMA_gDNA</v>
      </c>
      <c r="G45" s="58">
        <f ca="1"/>
        <v>14.3</v>
      </c>
      <c r="H45" s="58">
        <f ca="1"/>
        <v>3</v>
      </c>
      <c r="I45" s="58">
        <f ca="1"/>
        <v>7.5105000000000004</v>
      </c>
      <c r="J45" s="58" t="str">
        <f ca="1"/>
        <v>A</v>
      </c>
      <c r="K45" s="58">
        <f ca="1"/>
        <v>25</v>
      </c>
      <c r="L45" s="58" t="str">
        <f ca="1"/>
        <v>A04</v>
      </c>
      <c r="M45" s="58">
        <f ca="1"/>
        <v>0.26</v>
      </c>
      <c r="N45" s="59" t="str">
        <f ca="1">_xlfn.IFNA(VLOOKUP(MID(F45,1,(FIND("_",F45)-1))&amp;J45&amp;L45,Database!$R$1:$V$1000,2,FALSE),"-")</f>
        <v>Proi7UDI-025</v>
      </c>
      <c r="O45" s="59" t="str">
        <f ca="1">_xlfn.IFNA(VLOOKUP(MID(F45,1,(FIND("_",F45)-1))&amp;J45&amp;L45,Database!$R$1:$V$1000,3,FALSE),"-")</f>
        <v>AATAGCAGTG</v>
      </c>
      <c r="P45" s="59" t="str">
        <f ca="1">_xlfn.IFNA(VLOOKUP(MID(F45,1,(FIND("_",F45)-1))&amp;J45&amp;L45,Database!$R$1:$V$1000,4,FALSE),"-")</f>
        <v>Proi5UDI-025</v>
      </c>
      <c r="Q45" s="59" t="str">
        <f ca="1">_xlfn.IFNA(VLOOKUP(MID(F45,1,(FIND("_",F45)-1))&amp;J45&amp;L45,Database!$R$1:$V$1000,5,FALSE),"-")</f>
        <v>CATTCTTGGA</v>
      </c>
      <c r="R45" s="59" t="str">
        <f t="shared" ca="1" si="0"/>
        <v>AATAGCAGTGCATTCTTGGA</v>
      </c>
      <c r="S45" s="59" t="str">
        <f t="shared" ca="1" si="1"/>
        <v>TCCAAGAATG</v>
      </c>
    </row>
    <row r="46" spans="1:19" x14ac:dyDescent="0.25">
      <c r="A46" s="51" t="s">
        <v>23</v>
      </c>
      <c r="B46" s="52">
        <f ca="1"/>
        <v>2</v>
      </c>
      <c r="C46" s="53" t="str">
        <f ca="1"/>
        <v>B01</v>
      </c>
      <c r="D46" s="58" t="str">
        <f ca="1"/>
        <v>POOL-10045</v>
      </c>
      <c r="E46" s="58" t="str">
        <f ca="1"/>
        <v>123 G.F.O.</v>
      </c>
      <c r="F46" s="58" t="str">
        <f ca="1"/>
        <v>MAMA_gDNA</v>
      </c>
      <c r="G46" s="58">
        <f ca="1"/>
        <v>13.3</v>
      </c>
      <c r="H46" s="58">
        <f ca="1"/>
        <v>4</v>
      </c>
      <c r="I46" s="58">
        <f ca="1"/>
        <v>9.0340000000000007</v>
      </c>
      <c r="J46" s="58" t="str">
        <f ca="1"/>
        <v>A</v>
      </c>
      <c r="K46" s="58">
        <f ca="1"/>
        <v>26</v>
      </c>
      <c r="L46" s="58" t="str">
        <f ca="1"/>
        <v>B04</v>
      </c>
      <c r="M46" s="58">
        <f ca="1"/>
        <v>1.2</v>
      </c>
      <c r="N46" s="59" t="str">
        <f ca="1">_xlfn.IFNA(VLOOKUP(MID(F46,1,(FIND("_",F46)-1))&amp;J46&amp;L46,Database!$R$1:$V$1000,2,FALSE),"-")</f>
        <v>Proi7UDI-026</v>
      </c>
      <c r="O46" s="59" t="str">
        <f ca="1">_xlfn.IFNA(VLOOKUP(MID(F46,1,(FIND("_",F46)-1))&amp;J46&amp;L46,Database!$R$1:$V$1000,3,FALSE),"-")</f>
        <v>ACCTACCATT</v>
      </c>
      <c r="P46" s="59" t="str">
        <f ca="1">_xlfn.IFNA(VLOOKUP(MID(F46,1,(FIND("_",F46)-1))&amp;J46&amp;L46,Database!$R$1:$V$1000,4,FALSE),"-")</f>
        <v>Proi5UDI-026</v>
      </c>
      <c r="Q46" s="59" t="str">
        <f ca="1">_xlfn.IFNA(VLOOKUP(MID(F46,1,(FIND("_",F46)-1))&amp;J46&amp;L46,Database!$R$1:$V$1000,5,FALSE),"-")</f>
        <v>ATGCAAGGTT</v>
      </c>
      <c r="R46" s="59" t="str">
        <f t="shared" ca="1" si="0"/>
        <v>ACCTACCATTATGCAAGGTT</v>
      </c>
      <c r="S46" s="59" t="str">
        <f t="shared" ca="1" si="1"/>
        <v>AACCTTGCAT</v>
      </c>
    </row>
    <row r="47" spans="1:19" x14ac:dyDescent="0.25">
      <c r="A47" s="51" t="s">
        <v>23</v>
      </c>
      <c r="B47" s="52">
        <f ca="1"/>
        <v>3</v>
      </c>
      <c r="C47" s="53" t="str">
        <f ca="1"/>
        <v>C01</v>
      </c>
      <c r="D47" s="58" t="str">
        <f ca="1"/>
        <v>POOL-10046</v>
      </c>
      <c r="E47" s="58" t="str">
        <f ca="1"/>
        <v>124 R.B.A.</v>
      </c>
      <c r="F47" s="58" t="str">
        <f ca="1"/>
        <v>MAMA_gDNA</v>
      </c>
      <c r="G47" s="58">
        <f ca="1"/>
        <v>13.9</v>
      </c>
      <c r="H47" s="58">
        <f ca="1"/>
        <v>4</v>
      </c>
      <c r="I47" s="58">
        <f ca="1"/>
        <v>9.6219999999999999</v>
      </c>
      <c r="J47" s="58" t="str">
        <f ca="1"/>
        <v>A</v>
      </c>
      <c r="K47" s="58">
        <f ca="1"/>
        <v>27</v>
      </c>
      <c r="L47" s="58" t="str">
        <f ca="1"/>
        <v>C04</v>
      </c>
      <c r="M47" s="58">
        <f ca="1"/>
        <v>1.1200000000000001</v>
      </c>
      <c r="N47" s="59" t="str">
        <f ca="1">_xlfn.IFNA(VLOOKUP(MID(F47,1,(FIND("_",F47)-1))&amp;J47&amp;L47,Database!$R$1:$V$1000,2,FALSE),"-")</f>
        <v>Proi7UDI-027</v>
      </c>
      <c r="O47" s="59" t="str">
        <f ca="1">_xlfn.IFNA(VLOOKUP(MID(F47,1,(FIND("_",F47)-1))&amp;J47&amp;L47,Database!$R$1:$V$1000,3,FALSE),"-")</f>
        <v>CATAGGTATC</v>
      </c>
      <c r="P47" s="59" t="str">
        <f ca="1">_xlfn.IFNA(VLOOKUP(MID(F47,1,(FIND("_",F47)-1))&amp;J47&amp;L47,Database!$R$1:$V$1000,4,FALSE),"-")</f>
        <v>Proi5UDI-027</v>
      </c>
      <c r="Q47" s="59" t="str">
        <f ca="1">_xlfn.IFNA(VLOOKUP(MID(F47,1,(FIND("_",F47)-1))&amp;J47&amp;L47,Database!$R$1:$V$1000,5,FALSE),"-")</f>
        <v>CGCCAGACAA</v>
      </c>
      <c r="R47" s="59" t="str">
        <f t="shared" ca="1" si="0"/>
        <v>CATAGGTATCCGCCAGACAA</v>
      </c>
      <c r="S47" s="59" t="str">
        <f t="shared" ca="1" si="1"/>
        <v>TTGTCTGGCG</v>
      </c>
    </row>
    <row r="48" spans="1:19" x14ac:dyDescent="0.25">
      <c r="A48" s="51" t="s">
        <v>23</v>
      </c>
      <c r="B48" s="52">
        <f ca="1"/>
        <v>4</v>
      </c>
      <c r="C48" s="53" t="str">
        <f ca="1"/>
        <v>D01</v>
      </c>
      <c r="D48" s="58" t="str">
        <f ca="1"/>
        <v>POOL-10047</v>
      </c>
      <c r="E48" s="58" t="str">
        <f ca="1"/>
        <v>125 V.B.M.</v>
      </c>
      <c r="F48" s="58" t="str">
        <f ca="1"/>
        <v>MAMA_gDNA</v>
      </c>
      <c r="G48" s="58">
        <f ca="1"/>
        <v>24.6</v>
      </c>
      <c r="H48" s="58">
        <f ca="1"/>
        <v>2</v>
      </c>
      <c r="I48" s="58">
        <f ca="1"/>
        <v>10.054</v>
      </c>
      <c r="J48" s="58" t="str">
        <f ca="1"/>
        <v>A</v>
      </c>
      <c r="K48" s="58">
        <f ca="1"/>
        <v>28</v>
      </c>
      <c r="L48" s="58" t="str">
        <f ca="1"/>
        <v>D04</v>
      </c>
      <c r="M48" s="58">
        <f ca="1"/>
        <v>1.5</v>
      </c>
      <c r="N48" s="59" t="str">
        <f ca="1">_xlfn.IFNA(VLOOKUP(MID(F48,1,(FIND("_",F48)-1))&amp;J48&amp;L48,Database!$R$1:$V$1000,2,FALSE),"-")</f>
        <v>Proi7UDI-028</v>
      </c>
      <c r="O48" s="59" t="str">
        <f ca="1">_xlfn.IFNA(VLOOKUP(MID(F48,1,(FIND("_",F48)-1))&amp;J48&amp;L48,Database!$R$1:$V$1000,3,FALSE),"-")</f>
        <v>GTACCTAGTG</v>
      </c>
      <c r="P48" s="59" t="str">
        <f ca="1">_xlfn.IFNA(VLOOKUP(MID(F48,1,(FIND("_",F48)-1))&amp;J48&amp;L48,Database!$R$1:$V$1000,4,FALSE),"-")</f>
        <v>Proi5UDI-028</v>
      </c>
      <c r="Q48" s="59" t="str">
        <f ca="1">_xlfn.IFNA(VLOOKUP(MID(F48,1,(FIND("_",F48)-1))&amp;J48&amp;L48,Database!$R$1:$V$1000,5,FALSE),"-")</f>
        <v>GAAGGTTGGC</v>
      </c>
      <c r="R48" s="59" t="str">
        <f t="shared" ca="1" si="0"/>
        <v>GTACCTAGTGGAAGGTTGGC</v>
      </c>
      <c r="S48" s="59" t="str">
        <f t="shared" ca="1" si="1"/>
        <v>GCCAACCTTC</v>
      </c>
    </row>
  </sheetData>
  <mergeCells count="1">
    <mergeCell ref="B1:C1"/>
  </mergeCells>
  <phoneticPr fontId="11" type="noConversion"/>
  <conditionalFormatting sqref="A1:A1048576">
    <cfRule type="expression" dxfId="145" priority="2">
      <formula>$B1=1</formula>
    </cfRule>
  </conditionalFormatting>
  <conditionalFormatting sqref="D1:D1048576">
    <cfRule type="duplicateValues" dxfId="0" priority="26"/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EC7DF-6B3B-45DD-B304-FBB2E0EBB176}">
  <dimension ref="A1:AJ57"/>
  <sheetViews>
    <sheetView view="pageBreakPreview" zoomScale="55" zoomScaleNormal="100" zoomScaleSheetLayoutView="55" zoomScalePageLayoutView="40" workbookViewId="0">
      <selection activeCell="D2" sqref="D2:D57"/>
    </sheetView>
  </sheetViews>
  <sheetFormatPr defaultColWidth="9.140625" defaultRowHeight="18.75" x14ac:dyDescent="0.3"/>
  <cols>
    <col min="1" max="1" width="23.7109375" style="28" customWidth="1"/>
    <col min="2" max="2" width="33.28515625" style="28" customWidth="1"/>
    <col min="3" max="3" width="3.42578125" style="28" customWidth="1"/>
    <col min="4" max="4" width="18.42578125" style="28" customWidth="1"/>
    <col min="5" max="5" width="21.5703125" style="28" customWidth="1"/>
    <col min="6" max="7" width="27.5703125" style="28" customWidth="1"/>
    <col min="8" max="8" width="12.5703125" style="28" bestFit="1" customWidth="1"/>
    <col min="9" max="9" width="16.5703125" style="28" customWidth="1"/>
    <col min="10" max="10" width="12.140625" style="28" bestFit="1" customWidth="1"/>
    <col min="11" max="11" width="17.140625" style="28" bestFit="1" customWidth="1"/>
    <col min="12" max="12" width="6.28515625" style="28" bestFit="1" customWidth="1"/>
    <col min="13" max="13" width="5.7109375" style="28" bestFit="1" customWidth="1"/>
    <col min="14" max="14" width="31.140625" style="28" customWidth="1"/>
    <col min="15" max="15" width="1.42578125" style="28" hidden="1" customWidth="1"/>
    <col min="16" max="16" width="2.7109375" style="28" customWidth="1"/>
    <col min="17" max="17" width="24" style="28" customWidth="1"/>
    <col min="18" max="18" width="12.28515625" style="28" bestFit="1" customWidth="1"/>
    <col min="19" max="19" width="14.28515625" style="28" bestFit="1" customWidth="1"/>
    <col min="20" max="20" width="12.28515625" style="28" bestFit="1" customWidth="1"/>
    <col min="21" max="21" width="7.140625" style="28" bestFit="1" customWidth="1"/>
    <col min="22" max="22" width="4" style="28" customWidth="1"/>
    <col min="23" max="23" width="3.42578125" style="28" customWidth="1"/>
    <col min="24" max="24" width="24" style="28" bestFit="1" customWidth="1"/>
    <col min="25" max="25" width="16" style="28" bestFit="1" customWidth="1"/>
    <col min="26" max="26" width="14.28515625" style="28" bestFit="1" customWidth="1"/>
    <col min="27" max="27" width="17.140625" style="28" bestFit="1" customWidth="1"/>
    <col min="28" max="28" width="10.5703125" style="28" bestFit="1" customWidth="1"/>
    <col min="29" max="29" width="3.140625" style="28" customWidth="1"/>
    <col min="30" max="30" width="3.7109375" style="28" customWidth="1"/>
    <col min="31" max="31" width="24" style="28" customWidth="1"/>
    <col min="32" max="32" width="12.28515625" style="28" bestFit="1" customWidth="1"/>
    <col min="33" max="33" width="14.28515625" style="28" bestFit="1" customWidth="1"/>
    <col min="34" max="34" width="12.28515625" style="28" bestFit="1" customWidth="1"/>
    <col min="35" max="35" width="7.140625" style="28" bestFit="1" customWidth="1"/>
    <col min="36" max="36" width="2.140625" style="28" customWidth="1"/>
    <col min="37" max="16384" width="9.140625" style="28"/>
  </cols>
  <sheetData>
    <row r="1" spans="1:36" ht="95.25" customHeight="1" thickBot="1" x14ac:dyDescent="0.35">
      <c r="A1" s="113" t="s">
        <v>41</v>
      </c>
      <c r="B1" s="114" t="str" cm="1">
        <f t="array" aca="1" ref="B1" ca="1">IF(SUMPRODUCT(--(N2:N46&lt;&gt;""))=0,"",IF(COUNTA(_xlfn.UNIQUE(N2:N46,FALSE,TRUE))=COUNTA(D2:D46),"Validado","Problema com index"))</f>
        <v/>
      </c>
      <c r="D1" s="65" t="s">
        <v>2</v>
      </c>
      <c r="E1" s="65" t="s">
        <v>3</v>
      </c>
      <c r="F1" s="65" t="s">
        <v>4</v>
      </c>
      <c r="G1" s="65" t="s">
        <v>0</v>
      </c>
      <c r="H1" s="65" t="s">
        <v>1</v>
      </c>
      <c r="I1" s="65" t="s">
        <v>10</v>
      </c>
      <c r="J1" s="65" t="s">
        <v>42</v>
      </c>
      <c r="K1" s="65" t="s">
        <v>43</v>
      </c>
      <c r="L1" s="65" t="s">
        <v>6</v>
      </c>
      <c r="M1" s="65" t="s">
        <v>44</v>
      </c>
      <c r="N1" s="65" t="s">
        <v>45</v>
      </c>
      <c r="O1" s="65" t="s">
        <v>46</v>
      </c>
    </row>
    <row r="2" spans="1:36" ht="19.5" thickBot="1" x14ac:dyDescent="0.35">
      <c r="D2" s="115"/>
      <c r="E2" s="116" t="str">
        <f ca="1">_xlfn.IFNA(VLOOKUP(D2,'Controle de Preparo'!D1:T1388,2,FALSE),"")</f>
        <v/>
      </c>
      <c r="F2" s="116" t="str">
        <f ca="1">_xlfn.IFNA(VLOOKUP(D2,'Controle de Preparo'!D1:T1388,3,FALSE),"")</f>
        <v/>
      </c>
      <c r="G2" s="66" t="str">
        <f ca="1">IF(_xlfn.IFNA(VLOOKUP(D2,CHOOSE({1,2},'Controle de Preparo'!D1:D1388,'Controle de Preparo'!A1:A1388),2,FALSE),"")&lt;&gt;0,_xlfn.IFNA(VLOOKUP(D2,CHOOSE({1,2},'Controle de Preparo'!D1:D1388,'Controle de Preparo'!A1:A1388),2,FALSE),""),"")</f>
        <v/>
      </c>
      <c r="H2" s="116" t="str">
        <f ca="1">IF(_xlfn.IFNA(VLOOKUP(D2,CHOOSE({1,2},'Controle de Preparo'!D1:D1388,'Controle de Preparo'!C1:C1388),2,FALSE),"")&lt;&gt;0,_xlfn.IFNA(VLOOKUP(D2,CHOOSE({1,2},'Controle de Preparo'!D1:D1388,'Controle de Preparo'!C1:C1388),2,FALSE),""),"")</f>
        <v/>
      </c>
      <c r="I2" s="116" t="str">
        <f ca="1">_xlfn.IFNA(VLOOKUP(D2,'Controle de Preparo'!D1:T1388,10,FALSE),"")</f>
        <v/>
      </c>
      <c r="J2" s="67"/>
      <c r="K2" s="67"/>
      <c r="L2" s="67"/>
      <c r="M2" s="116" t="str">
        <f t="shared" ref="M2:M57" ca="1" si="0">IFERROR(IF(J2&lt;&gt;"",((J2/K2*L2)-L2),((I2/K2*L2)-L2)),"")</f>
        <v/>
      </c>
      <c r="N2" s="118" t="str">
        <f ca="1">_xlfn.IFNA(MID(VLOOKUP(D2,'Controle de Preparo'!D1:T1388,12,FALSE),1,$B$4)&amp;MID(VLOOKUP(D2,'Controle de Preparo'!D1:T1388,14,FALSE),1,$B$4),"")</f>
        <v/>
      </c>
      <c r="O2" s="68" t="str">
        <f ca="1">_xlfn.IFNA(D2&amp;","&amp;SUBSTITUTE(G2," ","_")&amp;","&amp;H2&amp;","&amp;VLOOKUP(D2,'Controle de Preparo'!D1:T1388,7,FALSE)&amp;","&amp;VLOOKUP(D2,'Controle de Preparo'!D1:T1388,9,FALSE)&amp;","&amp;VLOOKUP(D2,'Controle de Preparo'!D1:T1388,11,FALSE)&amp;","&amp;MID(VLOOKUP(D2,'Controle de Preparo'!D1:T1388,12,FALSE),1,$B$4)&amp;","&amp;VLOOKUP(D2,'Controle de Preparo'!D1:T1388,13,FALSE)&amp;","&amp;IF($B$3="MiSeq",MID(VLOOKUP(D2,'Controle de Preparo'!D1:T1388,14,FALSE),1,$B$4),MID(VLOOKUP(D2,'Controle de Preparo'!D1:T1388,16,FALSE),1,$B$4))&amp;","&amp;F2&amp;","&amp;SUBSTITUTE(SUBSTITUTE(E2,".","")," ","_"),"")</f>
        <v/>
      </c>
      <c r="Q2" s="69" t="s">
        <v>1938</v>
      </c>
      <c r="R2" s="70"/>
      <c r="S2" s="70"/>
      <c r="T2" s="70"/>
      <c r="U2" s="70"/>
      <c r="V2" s="71"/>
      <c r="X2" s="69" t="s">
        <v>2142</v>
      </c>
      <c r="Y2" s="70"/>
      <c r="Z2" s="70"/>
      <c r="AA2" s="70"/>
      <c r="AB2" s="70"/>
      <c r="AC2" s="71"/>
      <c r="AE2" s="69" t="s">
        <v>2225</v>
      </c>
      <c r="AF2" s="70"/>
      <c r="AG2" s="70"/>
      <c r="AH2" s="70"/>
      <c r="AI2" s="70"/>
      <c r="AJ2" s="71"/>
    </row>
    <row r="3" spans="1:36" ht="19.5" thickBot="1" x14ac:dyDescent="0.35">
      <c r="A3" s="113" t="s">
        <v>49</v>
      </c>
      <c r="B3" s="112" t="s">
        <v>98</v>
      </c>
      <c r="D3" s="115"/>
      <c r="E3" s="116" t="str">
        <f ca="1">_xlfn.IFNA(VLOOKUP(D3,'Controle de Preparo'!D1:T1388,2,FALSE),"")</f>
        <v/>
      </c>
      <c r="F3" s="116" t="str">
        <f ca="1">_xlfn.IFNA(VLOOKUP(D3,'Controle de Preparo'!D1:T1388,3,FALSE),"")</f>
        <v/>
      </c>
      <c r="G3" s="66" t="str">
        <f ca="1">IF(_xlfn.IFNA(VLOOKUP(D3,CHOOSE({1,2},'Controle de Preparo'!D1:D1388,'Controle de Preparo'!A1:A1388),2,FALSE),"")&lt;&gt;0,_xlfn.IFNA(VLOOKUP(D3,CHOOSE({1,2},'Controle de Preparo'!D1:D1388,'Controle de Preparo'!A1:A1388),2,FALSE),""),"")</f>
        <v/>
      </c>
      <c r="H3" s="116" t="str">
        <f ca="1">IF(_xlfn.IFNA(VLOOKUP(D3,CHOOSE({1,2},'Controle de Preparo'!D1:D1388,'Controle de Preparo'!C1:C1388),2,FALSE),"")&lt;&gt;0,_xlfn.IFNA(VLOOKUP(D3,CHOOSE({1,2},'Controle de Preparo'!D1:D1388,'Controle de Preparo'!C1:C1388),2,FALSE),""),"")</f>
        <v/>
      </c>
      <c r="I3" s="116" t="str">
        <f ca="1">_xlfn.IFNA(VLOOKUP(D3,'Controle de Preparo'!D1:T1388,10,FALSE),"")</f>
        <v/>
      </c>
      <c r="J3" s="67"/>
      <c r="K3" s="67"/>
      <c r="L3" s="67"/>
      <c r="M3" s="116" t="str">
        <f t="shared" ca="1" si="0"/>
        <v/>
      </c>
      <c r="N3" s="118" t="str">
        <f ca="1">_xlfn.IFNA(MID(VLOOKUP(D3,'Controle de Preparo'!D1:T1388,12,FALSE),1,$B$4)&amp;MID(VLOOKUP(D3,'Controle de Preparo'!D1:T1388,14,FALSE),1,$B$4),"")</f>
        <v/>
      </c>
      <c r="O3" s="68" t="str">
        <f ca="1">_xlfn.IFNA(D3&amp;","&amp;SUBSTITUTE(G3," ","_")&amp;","&amp;H3&amp;","&amp;VLOOKUP(D3,'Controle de Preparo'!D1:T1388,7,FALSE)&amp;","&amp;VLOOKUP(D3,'Controle de Preparo'!D1:T1388,9,FALSE)&amp;","&amp;VLOOKUP(D3,'Controle de Preparo'!D1:T1388,11,FALSE)&amp;","&amp;MID(VLOOKUP(D3,'Controle de Preparo'!D1:T1388,12,FALSE),1,$B$4)&amp;","&amp;VLOOKUP(D3,'Controle de Preparo'!D1:T1388,13,FALSE)&amp;","&amp;IF($B$3="MiSeq",MID(VLOOKUP(D3,'Controle de Preparo'!D1:T1388,14,FALSE),1,$B$4),MID(VLOOKUP(D3,'Controle de Preparo'!D1:T1388,16,FALSE),1,$B$4))&amp;","&amp;F3&amp;","&amp;SUBSTITUTE(SUBSTITUTE(E3,".","")," ","_"),"")</f>
        <v/>
      </c>
      <c r="Q3" s="73" t="s">
        <v>51</v>
      </c>
      <c r="R3" s="119">
        <v>0</v>
      </c>
      <c r="V3" s="75"/>
      <c r="X3" s="73" t="s">
        <v>51</v>
      </c>
      <c r="Y3" s="119">
        <v>0.5</v>
      </c>
      <c r="AC3" s="75"/>
      <c r="AE3" s="73" t="s">
        <v>51</v>
      </c>
      <c r="AF3" s="119">
        <v>0</v>
      </c>
      <c r="AJ3" s="75"/>
    </row>
    <row r="4" spans="1:36" ht="19.5" thickBot="1" x14ac:dyDescent="0.35">
      <c r="A4" s="113" t="s">
        <v>52</v>
      </c>
      <c r="B4" s="112">
        <v>8</v>
      </c>
      <c r="D4" s="115"/>
      <c r="E4" s="116" t="str">
        <f ca="1">_xlfn.IFNA(VLOOKUP(D4,'Controle de Preparo'!D1:T1388,2,FALSE),"")</f>
        <v/>
      </c>
      <c r="F4" s="116" t="str">
        <f ca="1">_xlfn.IFNA(VLOOKUP(D4,'Controle de Preparo'!D1:T1388,3,FALSE),"")</f>
        <v/>
      </c>
      <c r="G4" s="66" t="str">
        <f ca="1">IF(_xlfn.IFNA(VLOOKUP(D4,CHOOSE({1,2},'Controle de Preparo'!D1:D1388,'Controle de Preparo'!A1:A1388),2,FALSE),"")&lt;&gt;0,_xlfn.IFNA(VLOOKUP(D4,CHOOSE({1,2},'Controle de Preparo'!D1:D1388,'Controle de Preparo'!A1:A1388),2,FALSE),""),"")</f>
        <v/>
      </c>
      <c r="H4" s="116" t="str">
        <f ca="1">IF(_xlfn.IFNA(VLOOKUP(D4,CHOOSE({1,2},'Controle de Preparo'!D1:D1388,'Controle de Preparo'!C1:C1388),2,FALSE),"")&lt;&gt;0,_xlfn.IFNA(VLOOKUP(D4,CHOOSE({1,2},'Controle de Preparo'!D1:D1388,'Controle de Preparo'!C1:C1388),2,FALSE),""),"")</f>
        <v/>
      </c>
      <c r="I4" s="116" t="str">
        <f ca="1">_xlfn.IFNA(VLOOKUP(D4,'Controle de Preparo'!D1:T1388,10,FALSE),"")</f>
        <v/>
      </c>
      <c r="J4" s="67"/>
      <c r="K4" s="67"/>
      <c r="L4" s="67"/>
      <c r="M4" s="116" t="str">
        <f t="shared" ca="1" si="0"/>
        <v/>
      </c>
      <c r="N4" s="118" t="str">
        <f ca="1">_xlfn.IFNA(MID(VLOOKUP(D4,'Controle de Preparo'!D1:T1388,12,FALSE),1,$B$4)&amp;MID(VLOOKUP(D4,'Controle de Preparo'!D1:T1388,14,FALSE),1,$B$4),"")</f>
        <v/>
      </c>
      <c r="O4" s="68" t="str">
        <f ca="1">_xlfn.IFNA(D4&amp;","&amp;SUBSTITUTE(G4," ","_")&amp;","&amp;H4&amp;","&amp;VLOOKUP(D4,'Controle de Preparo'!D1:T1388,7,FALSE)&amp;","&amp;VLOOKUP(D4,'Controle de Preparo'!D1:T1388,9,FALSE)&amp;","&amp;VLOOKUP(D4,'Controle de Preparo'!D1:T1388,11,FALSE)&amp;","&amp;MID(VLOOKUP(D4,'Controle de Preparo'!D1:T1388,12,FALSE),1,$B$4)&amp;","&amp;VLOOKUP(D4,'Controle de Preparo'!D1:T1388,13,FALSE)&amp;","&amp;IF($B$3="MiSeq",MID(VLOOKUP(D4,'Controle de Preparo'!D1:T1388,14,FALSE),1,$B$4),MID(VLOOKUP(D4,'Controle de Preparo'!D1:T1388,16,FALSE),1,$B$4))&amp;","&amp;F4&amp;","&amp;SUBSTITUTE(SUBSTITUTE(E4,".","")," ","_"),"")</f>
        <v/>
      </c>
      <c r="Q4" s="76"/>
      <c r="R4" s="77"/>
      <c r="S4" s="77"/>
      <c r="T4" s="77"/>
      <c r="V4" s="78"/>
      <c r="X4" s="76"/>
      <c r="Y4" s="77"/>
      <c r="Z4" s="77"/>
      <c r="AA4" s="77"/>
      <c r="AC4" s="78"/>
      <c r="AE4" s="76"/>
      <c r="AF4" s="77"/>
      <c r="AG4" s="77"/>
      <c r="AH4" s="77"/>
      <c r="AJ4" s="78"/>
    </row>
    <row r="5" spans="1:36" ht="19.5" thickBot="1" x14ac:dyDescent="0.35">
      <c r="A5" s="113" t="s">
        <v>53</v>
      </c>
      <c r="B5" s="112">
        <v>151</v>
      </c>
      <c r="D5" s="115"/>
      <c r="E5" s="116" t="str">
        <f ca="1">_xlfn.IFNA(VLOOKUP(D5,'Controle de Preparo'!D1:T1388,2,FALSE),"")</f>
        <v/>
      </c>
      <c r="F5" s="116" t="str">
        <f ca="1">_xlfn.IFNA(VLOOKUP(D5,'Controle de Preparo'!D1:T1388,3,FALSE),"")</f>
        <v/>
      </c>
      <c r="G5" s="66" t="str">
        <f ca="1">IF(_xlfn.IFNA(VLOOKUP(D5,CHOOSE({1,2},'Controle de Preparo'!D1:D1388,'Controle de Preparo'!A1:A1388),2,FALSE),"")&lt;&gt;0,_xlfn.IFNA(VLOOKUP(D5,CHOOSE({1,2},'Controle de Preparo'!D1:D1388,'Controle de Preparo'!A1:A1388),2,FALSE),""),"")</f>
        <v/>
      </c>
      <c r="H5" s="116" t="str">
        <f ca="1">IF(_xlfn.IFNA(VLOOKUP(D5,CHOOSE({1,2},'Controle de Preparo'!D1:D1388,'Controle de Preparo'!C1:C1388),2,FALSE),"")&lt;&gt;0,_xlfn.IFNA(VLOOKUP(D5,CHOOSE({1,2},'Controle de Preparo'!D1:D1388,'Controle de Preparo'!C1:C1388),2,FALSE),""),"")</f>
        <v/>
      </c>
      <c r="I5" s="116" t="str">
        <f ca="1">_xlfn.IFNA(VLOOKUP(D5,'Controle de Preparo'!D1:T1388,10,FALSE),"")</f>
        <v/>
      </c>
      <c r="J5" s="67"/>
      <c r="K5" s="67"/>
      <c r="L5" s="67"/>
      <c r="M5" s="116" t="str">
        <f t="shared" ca="1" si="0"/>
        <v/>
      </c>
      <c r="N5" s="118" t="str">
        <f ca="1">_xlfn.IFNA(MID(VLOOKUP(D5,'Controle de Preparo'!D1:T1388,12,FALSE),1,$B$4)&amp;MID(VLOOKUP(D5,'Controle de Preparo'!D1:T1388,14,FALSE),1,$B$4),"")</f>
        <v/>
      </c>
      <c r="O5" s="68" t="str">
        <f ca="1">_xlfn.IFNA(D5&amp;","&amp;SUBSTITUTE(G5," ","_")&amp;","&amp;H5&amp;","&amp;VLOOKUP(D5,'Controle de Preparo'!D1:T1388,7,FALSE)&amp;","&amp;VLOOKUP(D5,'Controle de Preparo'!D1:T1388,9,FALSE)&amp;","&amp;VLOOKUP(D5,'Controle de Preparo'!D1:T1388,11,FALSE)&amp;","&amp;MID(VLOOKUP(D5,'Controle de Preparo'!D1:T1388,12,FALSE),1,$B$4)&amp;","&amp;VLOOKUP(D5,'Controle de Preparo'!D1:T1388,13,FALSE)&amp;","&amp;IF($B$3="MiSeq",MID(VLOOKUP(D5,'Controle de Preparo'!D1:T1388,14,FALSE),1,$B$4),MID(VLOOKUP(D5,'Controle de Preparo'!D1:T1388,16,FALSE),1,$B$4))&amp;","&amp;F5&amp;","&amp;SUBSTITUTE(SUBSTITUTE(E5,".","")," ","_"),"")</f>
        <v/>
      </c>
      <c r="Q5" s="73" t="s">
        <v>54</v>
      </c>
      <c r="R5" s="119">
        <v>0</v>
      </c>
      <c r="T5" s="79" t="s">
        <v>55</v>
      </c>
      <c r="U5" s="77"/>
      <c r="V5" s="75"/>
      <c r="X5" s="73" t="s">
        <v>54</v>
      </c>
      <c r="Y5" s="119">
        <v>300</v>
      </c>
      <c r="AA5" s="79" t="s">
        <v>55</v>
      </c>
      <c r="AB5" s="77"/>
      <c r="AC5" s="75"/>
      <c r="AE5" s="73" t="s">
        <v>54</v>
      </c>
      <c r="AF5" s="119">
        <v>0</v>
      </c>
      <c r="AH5" s="79" t="s">
        <v>55</v>
      </c>
      <c r="AI5" s="77"/>
      <c r="AJ5" s="75"/>
    </row>
    <row r="6" spans="1:36" ht="19.5" thickBot="1" x14ac:dyDescent="0.35">
      <c r="D6" s="115"/>
      <c r="E6" s="116" t="str">
        <f ca="1">_xlfn.IFNA(VLOOKUP(D6,'Controle de Preparo'!D1:T1388,2,FALSE),"")</f>
        <v/>
      </c>
      <c r="F6" s="116" t="str">
        <f ca="1">_xlfn.IFNA(VLOOKUP(D6,'Controle de Preparo'!D1:T1388,3,FALSE),"")</f>
        <v/>
      </c>
      <c r="G6" s="66" t="str">
        <f ca="1">IF(_xlfn.IFNA(VLOOKUP(D6,CHOOSE({1,2},'Controle de Preparo'!D1:D1388,'Controle de Preparo'!A1:A1388),2,FALSE),"")&lt;&gt;0,_xlfn.IFNA(VLOOKUP(D6,CHOOSE({1,2},'Controle de Preparo'!D1:D1388,'Controle de Preparo'!A1:A1388),2,FALSE),""),"")</f>
        <v/>
      </c>
      <c r="H6" s="116" t="str">
        <f ca="1">IF(_xlfn.IFNA(VLOOKUP(D6,CHOOSE({1,2},'Controle de Preparo'!D1:D1388,'Controle de Preparo'!C1:C1388),2,FALSE),"")&lt;&gt;0,_xlfn.IFNA(VLOOKUP(D6,CHOOSE({1,2},'Controle de Preparo'!D1:D1388,'Controle de Preparo'!C1:C1388),2,FALSE),""),"")</f>
        <v/>
      </c>
      <c r="I6" s="116" t="str">
        <f ca="1">_xlfn.IFNA(VLOOKUP(D6,'Controle de Preparo'!D1:T1388,10,FALSE),"")</f>
        <v/>
      </c>
      <c r="J6" s="67"/>
      <c r="K6" s="67"/>
      <c r="L6" s="67"/>
      <c r="M6" s="116" t="str">
        <f t="shared" ca="1" si="0"/>
        <v/>
      </c>
      <c r="N6" s="118" t="str">
        <f ca="1">_xlfn.IFNA(MID(VLOOKUP(D6,'Controle de Preparo'!D1:T1388,12,FALSE),1,$B$4)&amp;MID(VLOOKUP(D6,'Controle de Preparo'!D1:T1388,14,FALSE),1,$B$4),"")</f>
        <v/>
      </c>
      <c r="O6" s="68" t="str">
        <f ca="1">_xlfn.IFNA(D6&amp;","&amp;SUBSTITUTE(G6," ","_")&amp;","&amp;H6&amp;","&amp;VLOOKUP(D6,'Controle de Preparo'!D1:T1388,7,FALSE)&amp;","&amp;VLOOKUP(D6,'Controle de Preparo'!D1:T1388,9,FALSE)&amp;","&amp;VLOOKUP(D6,'Controle de Preparo'!D1:T1388,11,FALSE)&amp;","&amp;MID(VLOOKUP(D6,'Controle de Preparo'!D1:T1388,12,FALSE),1,$B$4)&amp;","&amp;VLOOKUP(D6,'Controle de Preparo'!D1:T1388,13,FALSE)&amp;","&amp;IF($B$3="MiSeq",MID(VLOOKUP(D6,'Controle de Preparo'!D1:T1388,14,FALSE),1,$B$4),MID(VLOOKUP(D6,'Controle de Preparo'!D1:T1388,16,FALSE),1,$B$4))&amp;","&amp;F6&amp;","&amp;SUBSTITUTE(SUBSTITUTE(E6,".","")," ","_"),"")</f>
        <v/>
      </c>
      <c r="Q6" s="73" t="s">
        <v>56</v>
      </c>
      <c r="R6" s="80" t="str">
        <f>IFERROR((R3/(650*R5))*10^6*1000,"0")</f>
        <v>0</v>
      </c>
      <c r="T6" s="81" t="str">
        <f>IFERROR((R8*R7)/R6,"0")</f>
        <v>0</v>
      </c>
      <c r="U6" s="82" t="s">
        <v>6</v>
      </c>
      <c r="V6" s="75"/>
      <c r="X6" s="73" t="s">
        <v>56</v>
      </c>
      <c r="Y6" s="80">
        <f>IFERROR((Y3/(650*Y5))*10^6*1000,"0")</f>
        <v>2564.102564102564</v>
      </c>
      <c r="AA6" s="81">
        <f>IFERROR((Y8*Y7)/Y6,"0")</f>
        <v>7.8000000000000007</v>
      </c>
      <c r="AB6" s="82" t="s">
        <v>6</v>
      </c>
      <c r="AC6" s="75"/>
      <c r="AE6" s="73" t="s">
        <v>56</v>
      </c>
      <c r="AF6" s="80" t="str">
        <f>IFERROR((AF3/(650*AF5))*10^6*1000,"0")</f>
        <v>0</v>
      </c>
      <c r="AH6" s="80" t="str">
        <f>IFERROR((AF8*AF7)/AF6,"0")</f>
        <v>0</v>
      </c>
      <c r="AI6" s="82" t="s">
        <v>6</v>
      </c>
      <c r="AJ6" s="75"/>
    </row>
    <row r="7" spans="1:36" ht="19.5" thickBot="1" x14ac:dyDescent="0.35">
      <c r="D7" s="115"/>
      <c r="E7" s="116" t="str">
        <f ca="1">_xlfn.IFNA(VLOOKUP(D7,'Controle de Preparo'!D1:T1388,2,FALSE),"")</f>
        <v/>
      </c>
      <c r="F7" s="116" t="str">
        <f ca="1">_xlfn.IFNA(VLOOKUP(D7,'Controle de Preparo'!D1:T1388,3,FALSE),"")</f>
        <v/>
      </c>
      <c r="G7" s="66" t="str">
        <f ca="1">IF(_xlfn.IFNA(VLOOKUP(D7,CHOOSE({1,2},'Controle de Preparo'!D1:D1388,'Controle de Preparo'!A1:A1388),2,FALSE),"")&lt;&gt;0,_xlfn.IFNA(VLOOKUP(D7,CHOOSE({1,2},'Controle de Preparo'!D1:D1388,'Controle de Preparo'!A1:A1388),2,FALSE),""),"")</f>
        <v/>
      </c>
      <c r="H7" s="116" t="str">
        <f ca="1">IF(_xlfn.IFNA(VLOOKUP(D7,CHOOSE({1,2},'Controle de Preparo'!D1:D1388,'Controle de Preparo'!C1:C1388),2,FALSE),"")&lt;&gt;0,_xlfn.IFNA(VLOOKUP(D7,CHOOSE({1,2},'Controle de Preparo'!D1:D1388,'Controle de Preparo'!C1:C1388),2,FALSE),""),"")</f>
        <v/>
      </c>
      <c r="I7" s="116" t="str">
        <f ca="1">_xlfn.IFNA(VLOOKUP(D7,'Controle de Preparo'!D1:T1388,10,FALSE),"")</f>
        <v/>
      </c>
      <c r="J7" s="67"/>
      <c r="K7" s="67"/>
      <c r="L7" s="67"/>
      <c r="M7" s="116" t="str">
        <f t="shared" ca="1" si="0"/>
        <v/>
      </c>
      <c r="N7" s="118" t="str">
        <f ca="1">_xlfn.IFNA(MID(VLOOKUP(D7,'Controle de Preparo'!D1:T1388,12,FALSE),1,$B$4)&amp;MID(VLOOKUP(D7,'Controle de Preparo'!D1:T1388,14,FALSE),1,$B$4),"")</f>
        <v/>
      </c>
      <c r="O7" s="68" t="str">
        <f ca="1">_xlfn.IFNA(D7&amp;","&amp;SUBSTITUTE(G7," ","_")&amp;","&amp;H7&amp;","&amp;VLOOKUP(D7,'Controle de Preparo'!D1:T1388,7,FALSE)&amp;","&amp;VLOOKUP(D7,'Controle de Preparo'!D1:T1388,9,FALSE)&amp;","&amp;VLOOKUP(D7,'Controle de Preparo'!D1:T1388,11,FALSE)&amp;","&amp;MID(VLOOKUP(D7,'Controle de Preparo'!D1:T1388,12,FALSE),1,$B$4)&amp;","&amp;VLOOKUP(D7,'Controle de Preparo'!D1:T1388,13,FALSE)&amp;","&amp;IF($B$3="MiSeq",MID(VLOOKUP(D7,'Controle de Preparo'!D1:T1388,14,FALSE),1,$B$4),MID(VLOOKUP(D7,'Controle de Preparo'!D1:T1388,16,FALSE),1,$B$4))&amp;","&amp;F7&amp;","&amp;SUBSTITUTE(SUBSTITUTE(E7,".","")," ","_"),"")</f>
        <v/>
      </c>
      <c r="Q7" s="73" t="s">
        <v>57</v>
      </c>
      <c r="R7" s="83">
        <v>1000</v>
      </c>
      <c r="T7" s="80">
        <f>IFERROR(R8-T6,"")</f>
        <v>20</v>
      </c>
      <c r="U7" s="82" t="s">
        <v>44</v>
      </c>
      <c r="V7" s="75"/>
      <c r="X7" s="73" t="s">
        <v>57</v>
      </c>
      <c r="Y7" s="83">
        <v>1000</v>
      </c>
      <c r="AA7" s="80">
        <f>IFERROR(Y8-AA6,"")</f>
        <v>12.2</v>
      </c>
      <c r="AB7" s="82" t="s">
        <v>44</v>
      </c>
      <c r="AC7" s="75"/>
      <c r="AE7" s="73" t="s">
        <v>57</v>
      </c>
      <c r="AF7" s="83">
        <v>1000</v>
      </c>
      <c r="AH7" s="80">
        <f>IFERROR(AF8-AH6,"")</f>
        <v>20</v>
      </c>
      <c r="AI7" s="82" t="s">
        <v>44</v>
      </c>
      <c r="AJ7" s="75"/>
    </row>
    <row r="8" spans="1:36" ht="19.5" thickBot="1" x14ac:dyDescent="0.35">
      <c r="A8" s="113" t="s">
        <v>58</v>
      </c>
      <c r="B8" s="72" t="s">
        <v>59</v>
      </c>
      <c r="D8" s="115"/>
      <c r="E8" s="116" t="str">
        <f ca="1">_xlfn.IFNA(VLOOKUP(D8,'Controle de Preparo'!D1:T1388,2,FALSE),"")</f>
        <v/>
      </c>
      <c r="F8" s="116" t="str">
        <f ca="1">_xlfn.IFNA(VLOOKUP(D8,'Controle de Preparo'!D1:T1388,3,FALSE),"")</f>
        <v/>
      </c>
      <c r="G8" s="66" t="str">
        <f ca="1">IF(_xlfn.IFNA(VLOOKUP(D8,CHOOSE({1,2},'Controle de Preparo'!D1:D1388,'Controle de Preparo'!A1:A1388),2,FALSE),"")&lt;&gt;0,_xlfn.IFNA(VLOOKUP(D8,CHOOSE({1,2},'Controle de Preparo'!D1:D1388,'Controle de Preparo'!A1:A1388),2,FALSE),""),"")</f>
        <v/>
      </c>
      <c r="H8" s="116" t="str">
        <f ca="1">IF(_xlfn.IFNA(VLOOKUP(D8,CHOOSE({1,2},'Controle de Preparo'!D1:D1388,'Controle de Preparo'!C1:C1388),2,FALSE),"")&lt;&gt;0,_xlfn.IFNA(VLOOKUP(D8,CHOOSE({1,2},'Controle de Preparo'!D1:D1388,'Controle de Preparo'!C1:C1388),2,FALSE),""),"")</f>
        <v/>
      </c>
      <c r="I8" s="116" t="str">
        <f ca="1">_xlfn.IFNA(VLOOKUP(D8,'Controle de Preparo'!D1:T1388,10,FALSE),"")</f>
        <v/>
      </c>
      <c r="J8" s="67"/>
      <c r="K8" s="67"/>
      <c r="L8" s="67"/>
      <c r="M8" s="116" t="str">
        <f t="shared" ca="1" si="0"/>
        <v/>
      </c>
      <c r="N8" s="118" t="str">
        <f ca="1">_xlfn.IFNA(MID(VLOOKUP(D8,'Controle de Preparo'!D1:T1388,12,FALSE),1,$B$4)&amp;MID(VLOOKUP(D8,'Controle de Preparo'!D1:T1388,14,FALSE),1,$B$4),"")</f>
        <v/>
      </c>
      <c r="O8" s="68" t="str">
        <f ca="1">_xlfn.IFNA(D8&amp;","&amp;SUBSTITUTE(G8," ","_")&amp;","&amp;H8&amp;","&amp;VLOOKUP(D8,'Controle de Preparo'!D1:T1388,7,FALSE)&amp;","&amp;VLOOKUP(D8,'Controle de Preparo'!D1:T1388,9,FALSE)&amp;","&amp;VLOOKUP(D8,'Controle de Preparo'!D1:T1388,11,FALSE)&amp;","&amp;MID(VLOOKUP(D8,'Controle de Preparo'!D1:T1388,12,FALSE),1,$B$4)&amp;","&amp;VLOOKUP(D8,'Controle de Preparo'!D1:T1388,13,FALSE)&amp;","&amp;IF($B$3="MiSeq",MID(VLOOKUP(D8,'Controle de Preparo'!D1:T1388,14,FALSE),1,$B$4),MID(VLOOKUP(D8,'Controle de Preparo'!D1:T1388,16,FALSE),1,$B$4))&amp;","&amp;F8&amp;","&amp;SUBSTITUTE(SUBSTITUTE(E8,".","")," ","_"),"")</f>
        <v/>
      </c>
      <c r="Q8" s="73" t="s">
        <v>60</v>
      </c>
      <c r="R8" s="83">
        <v>20</v>
      </c>
      <c r="S8" s="77"/>
      <c r="T8" s="84"/>
      <c r="V8" s="78"/>
      <c r="X8" s="73" t="s">
        <v>60</v>
      </c>
      <c r="Y8" s="83">
        <v>20</v>
      </c>
      <c r="Z8" s="77"/>
      <c r="AA8" s="84"/>
      <c r="AC8" s="78"/>
      <c r="AE8" s="73" t="s">
        <v>60</v>
      </c>
      <c r="AF8" s="83">
        <v>20</v>
      </c>
      <c r="AG8" s="77"/>
      <c r="AH8" s="84"/>
      <c r="AJ8" s="78"/>
    </row>
    <row r="9" spans="1:36" ht="19.5" thickBot="1" x14ac:dyDescent="0.35">
      <c r="A9" s="113" t="s">
        <v>61</v>
      </c>
      <c r="B9" s="112"/>
      <c r="D9" s="115"/>
      <c r="E9" s="116" t="str">
        <f ca="1">_xlfn.IFNA(VLOOKUP(D9,'Controle de Preparo'!D1:T1388,2,FALSE),"")</f>
        <v/>
      </c>
      <c r="F9" s="116" t="str">
        <f ca="1">_xlfn.IFNA(VLOOKUP(D9,'Controle de Preparo'!D1:T1388,3,FALSE),"")</f>
        <v/>
      </c>
      <c r="G9" s="66" t="str">
        <f ca="1">IF(_xlfn.IFNA(VLOOKUP(D9,CHOOSE({1,2},'Controle de Preparo'!D1:D1388,'Controle de Preparo'!A1:A1388),2,FALSE),"")&lt;&gt;0,_xlfn.IFNA(VLOOKUP(D9,CHOOSE({1,2},'Controle de Preparo'!D1:D1388,'Controle de Preparo'!A1:A1388),2,FALSE),""),"")</f>
        <v/>
      </c>
      <c r="H9" s="116" t="str">
        <f ca="1">IF(_xlfn.IFNA(VLOOKUP(D9,CHOOSE({1,2},'Controle de Preparo'!D1:D1388,'Controle de Preparo'!C1:C1388),2,FALSE),"")&lt;&gt;0,_xlfn.IFNA(VLOOKUP(D9,CHOOSE({1,2},'Controle de Preparo'!D1:D1388,'Controle de Preparo'!C1:C1388),2,FALSE),""),"")</f>
        <v/>
      </c>
      <c r="I9" s="116" t="str">
        <f ca="1">_xlfn.IFNA(VLOOKUP(D9,'Controle de Preparo'!D1:T1388,10,FALSE),"")</f>
        <v/>
      </c>
      <c r="J9" s="67"/>
      <c r="K9" s="67"/>
      <c r="L9" s="67"/>
      <c r="M9" s="116" t="str">
        <f t="shared" ca="1" si="0"/>
        <v/>
      </c>
      <c r="N9" s="118" t="str">
        <f ca="1">_xlfn.IFNA(MID(VLOOKUP(D9,'Controle de Preparo'!D1:T1388,12,FALSE),1,$B$4)&amp;MID(VLOOKUP(D9,'Controle de Preparo'!D1:T1388,14,FALSE),1,$B$4),"")</f>
        <v/>
      </c>
      <c r="O9" s="68" t="str">
        <f ca="1">_xlfn.IFNA(D9&amp;","&amp;SUBSTITUTE(G9," ","_")&amp;","&amp;H9&amp;","&amp;VLOOKUP(D9,'Controle de Preparo'!D1:T1388,7,FALSE)&amp;","&amp;VLOOKUP(D9,'Controle de Preparo'!D1:T1388,9,FALSE)&amp;","&amp;VLOOKUP(D9,'Controle de Preparo'!D1:T1388,11,FALSE)&amp;","&amp;MID(VLOOKUP(D9,'Controle de Preparo'!D1:T1388,12,FALSE),1,$B$4)&amp;","&amp;VLOOKUP(D9,'Controle de Preparo'!D1:T1388,13,FALSE)&amp;","&amp;IF($B$3="MiSeq",MID(VLOOKUP(D9,'Controle de Preparo'!D1:T1388,14,FALSE),1,$B$4),MID(VLOOKUP(D9,'Controle de Preparo'!D1:T1388,16,FALSE),1,$B$4))&amp;","&amp;F9&amp;","&amp;SUBSTITUTE(SUBSTITUTE(E9,".","")," ","_"),"")</f>
        <v/>
      </c>
      <c r="Q9" s="85"/>
      <c r="R9" s="86"/>
      <c r="S9" s="86"/>
      <c r="T9" s="86"/>
      <c r="U9" s="86"/>
      <c r="V9" s="87"/>
      <c r="X9" s="85"/>
      <c r="Y9" s="86"/>
      <c r="Z9" s="86"/>
      <c r="AA9" s="86"/>
      <c r="AB9" s="86"/>
      <c r="AC9" s="87"/>
      <c r="AE9" s="85"/>
      <c r="AF9" s="86"/>
      <c r="AG9" s="86"/>
      <c r="AH9" s="86"/>
      <c r="AI9" s="86"/>
      <c r="AJ9" s="87"/>
    </row>
    <row r="10" spans="1:36" ht="19.5" thickBot="1" x14ac:dyDescent="0.35">
      <c r="A10" s="113" t="s">
        <v>62</v>
      </c>
      <c r="B10" s="112"/>
      <c r="D10" s="115"/>
      <c r="E10" s="116" t="str">
        <f ca="1">_xlfn.IFNA(VLOOKUP(D10,'Controle de Preparo'!D1:T1388,2,FALSE),"")</f>
        <v/>
      </c>
      <c r="F10" s="116" t="str">
        <f ca="1">_xlfn.IFNA(VLOOKUP(D10,'Controle de Preparo'!D1:T1388,3,FALSE),"")</f>
        <v/>
      </c>
      <c r="G10" s="66" t="str">
        <f ca="1">IF(_xlfn.IFNA(VLOOKUP(D10,CHOOSE({1,2},'Controle de Preparo'!D1:D1388,'Controle de Preparo'!A1:A1388),2,FALSE),"")&lt;&gt;0,_xlfn.IFNA(VLOOKUP(D10,CHOOSE({1,2},'Controle de Preparo'!D1:D1388,'Controle de Preparo'!A1:A1388),2,FALSE),""),"")</f>
        <v/>
      </c>
      <c r="H10" s="116" t="str">
        <f ca="1">IF(_xlfn.IFNA(VLOOKUP(D10,CHOOSE({1,2},'Controle de Preparo'!D1:D1388,'Controle de Preparo'!C1:C1388),2,FALSE),"")&lt;&gt;0,_xlfn.IFNA(VLOOKUP(D10,CHOOSE({1,2},'Controle de Preparo'!D1:D1388,'Controle de Preparo'!C1:C1388),2,FALSE),""),"")</f>
        <v/>
      </c>
      <c r="I10" s="116" t="str">
        <f ca="1">_xlfn.IFNA(VLOOKUP(D10,'Controle de Preparo'!D1:T1388,10,FALSE),"")</f>
        <v/>
      </c>
      <c r="J10" s="67"/>
      <c r="K10" s="67"/>
      <c r="L10" s="67"/>
      <c r="M10" s="116" t="str">
        <f t="shared" ca="1" si="0"/>
        <v/>
      </c>
      <c r="N10" s="118" t="str">
        <f ca="1">_xlfn.IFNA(MID(VLOOKUP(D10,'Controle de Preparo'!D1:T1388,12,FALSE),1,$B$4)&amp;MID(VLOOKUP(D10,'Controle de Preparo'!D1:T1388,14,FALSE),1,$B$4),"")</f>
        <v/>
      </c>
      <c r="O10" s="68" t="str">
        <f ca="1">_xlfn.IFNA(D10&amp;","&amp;SUBSTITUTE(G10," ","_")&amp;","&amp;H10&amp;","&amp;VLOOKUP(D10,'Controle de Preparo'!D1:T1388,7,FALSE)&amp;","&amp;VLOOKUP(D10,'Controle de Preparo'!D1:T1388,9,FALSE)&amp;","&amp;VLOOKUP(D10,'Controle de Preparo'!D1:T1388,11,FALSE)&amp;","&amp;MID(VLOOKUP(D10,'Controle de Preparo'!D1:T1388,12,FALSE),1,$B$4)&amp;","&amp;VLOOKUP(D10,'Controle de Preparo'!D1:T1388,13,FALSE)&amp;","&amp;IF($B$3="MiSeq",MID(VLOOKUP(D10,'Controle de Preparo'!D1:T1388,14,FALSE),1,$B$4),MID(VLOOKUP(D10,'Controle de Preparo'!D1:T1388,16,FALSE),1,$B$4))&amp;","&amp;F10&amp;","&amp;SUBSTITUTE(SUBSTITUTE(E10,".","")," ","_"),"")</f>
        <v/>
      </c>
    </row>
    <row r="11" spans="1:36" ht="19.5" thickBot="1" x14ac:dyDescent="0.35">
      <c r="A11" s="113" t="s">
        <v>63</v>
      </c>
      <c r="B11" s="112"/>
      <c r="D11" s="115"/>
      <c r="E11" s="116" t="str">
        <f ca="1">_xlfn.IFNA(VLOOKUP(D11,'Controle de Preparo'!D1:T1388,2,FALSE),"")</f>
        <v/>
      </c>
      <c r="F11" s="116" t="str">
        <f ca="1">_xlfn.IFNA(VLOOKUP(D11,'Controle de Preparo'!D1:T1388,3,FALSE),"")</f>
        <v/>
      </c>
      <c r="G11" s="66" t="str">
        <f ca="1">IF(_xlfn.IFNA(VLOOKUP(D11,CHOOSE({1,2},'Controle de Preparo'!D1:D1388,'Controle de Preparo'!A1:A1388),2,FALSE),"")&lt;&gt;0,_xlfn.IFNA(VLOOKUP(D11,CHOOSE({1,2},'Controle de Preparo'!D1:D1388,'Controle de Preparo'!A1:A1388),2,FALSE),""),"")</f>
        <v/>
      </c>
      <c r="H11" s="116" t="str">
        <f ca="1">IF(_xlfn.IFNA(VLOOKUP(D11,CHOOSE({1,2},'Controle de Preparo'!D1:D1388,'Controle de Preparo'!C1:C1388),2,FALSE),"")&lt;&gt;0,_xlfn.IFNA(VLOOKUP(D11,CHOOSE({1,2},'Controle de Preparo'!D1:D1388,'Controle de Preparo'!C1:C1388),2,FALSE),""),"")</f>
        <v/>
      </c>
      <c r="I11" s="116" t="str">
        <f ca="1">_xlfn.IFNA(VLOOKUP(D11,'Controle de Preparo'!D1:T1388,10,FALSE),"")</f>
        <v/>
      </c>
      <c r="J11" s="67"/>
      <c r="K11" s="67"/>
      <c r="L11" s="67"/>
      <c r="M11" s="116" t="str">
        <f t="shared" ca="1" si="0"/>
        <v/>
      </c>
      <c r="N11" s="118" t="str">
        <f ca="1">_xlfn.IFNA(MID(VLOOKUP(D11,'Controle de Preparo'!D1:T1388,12,FALSE),1,$B$4)&amp;MID(VLOOKUP(D11,'Controle de Preparo'!D1:T1388,14,FALSE),1,$B$4),"")</f>
        <v/>
      </c>
      <c r="O11" s="68" t="str">
        <f ca="1">_xlfn.IFNA(D11&amp;","&amp;SUBSTITUTE(G11," ","_")&amp;","&amp;H11&amp;","&amp;VLOOKUP(D11,'Controle de Preparo'!D1:T1388,7,FALSE)&amp;","&amp;VLOOKUP(D11,'Controle de Preparo'!D1:T1388,9,FALSE)&amp;","&amp;VLOOKUP(D11,'Controle de Preparo'!D1:T1388,11,FALSE)&amp;","&amp;MID(VLOOKUP(D11,'Controle de Preparo'!D1:T1388,12,FALSE),1,$B$4)&amp;","&amp;VLOOKUP(D11,'Controle de Preparo'!D1:T1388,13,FALSE)&amp;","&amp;IF($B$3="MiSeq",MID(VLOOKUP(D11,'Controle de Preparo'!D1:T1388,14,FALSE),1,$B$4),MID(VLOOKUP(D11,'Controle de Preparo'!D1:T1388,16,FALSE),1,$B$4))&amp;","&amp;F11&amp;","&amp;SUBSTITUTE(SUBSTITUTE(E11,".","")," ","_"),"")</f>
        <v/>
      </c>
      <c r="Q11" s="69" t="s">
        <v>1938</v>
      </c>
      <c r="R11" s="70"/>
      <c r="S11" s="70"/>
      <c r="T11" s="70"/>
      <c r="U11" s="70"/>
      <c r="V11" s="71"/>
      <c r="X11" s="69" t="s">
        <v>2142</v>
      </c>
      <c r="Y11" s="70"/>
      <c r="Z11" s="70"/>
      <c r="AA11" s="70"/>
      <c r="AB11" s="70"/>
      <c r="AC11" s="71"/>
      <c r="AE11" s="69" t="s">
        <v>2225</v>
      </c>
      <c r="AF11" s="70"/>
      <c r="AG11" s="70"/>
      <c r="AH11" s="70"/>
      <c r="AI11" s="70"/>
      <c r="AJ11" s="71"/>
    </row>
    <row r="12" spans="1:36" ht="19.5" thickBot="1" x14ac:dyDescent="0.35">
      <c r="D12" s="115"/>
      <c r="E12" s="116" t="str">
        <f ca="1">_xlfn.IFNA(VLOOKUP(D12,'Controle de Preparo'!D1:T1388,2,FALSE),"")</f>
        <v/>
      </c>
      <c r="F12" s="116" t="str">
        <f ca="1">_xlfn.IFNA(VLOOKUP(D12,'Controle de Preparo'!D1:T1388,3,FALSE),"")</f>
        <v/>
      </c>
      <c r="G12" s="66" t="str">
        <f ca="1">IF(_xlfn.IFNA(VLOOKUP(D12,CHOOSE({1,2},'Controle de Preparo'!D1:D1388,'Controle de Preparo'!A1:A1388),2,FALSE),"")&lt;&gt;0,_xlfn.IFNA(VLOOKUP(D12,CHOOSE({1,2},'Controle de Preparo'!D1:D1388,'Controle de Preparo'!A1:A1388),2,FALSE),""),"")</f>
        <v/>
      </c>
      <c r="H12" s="116" t="str">
        <f ca="1">IF(_xlfn.IFNA(VLOOKUP(D12,CHOOSE({1,2},'Controle de Preparo'!D1:D1388,'Controle de Preparo'!C1:C1388),2,FALSE),"")&lt;&gt;0,_xlfn.IFNA(VLOOKUP(D12,CHOOSE({1,2},'Controle de Preparo'!D1:D1388,'Controle de Preparo'!C1:C1388),2,FALSE),""),"")</f>
        <v/>
      </c>
      <c r="I12" s="116" t="str">
        <f ca="1">_xlfn.IFNA(VLOOKUP(D12,'Controle de Preparo'!D1:T1388,10,FALSE),"")</f>
        <v/>
      </c>
      <c r="J12" s="67"/>
      <c r="K12" s="67"/>
      <c r="L12" s="67"/>
      <c r="M12" s="116" t="str">
        <f t="shared" ca="1" si="0"/>
        <v/>
      </c>
      <c r="N12" s="118" t="str">
        <f ca="1">_xlfn.IFNA(MID(VLOOKUP(D12,'Controle de Preparo'!D1:T1388,12,FALSE),1,$B$4)&amp;MID(VLOOKUP(D12,'Controle de Preparo'!D1:T1388,14,FALSE),1,$B$4),"")</f>
        <v/>
      </c>
      <c r="O12" s="68" t="str">
        <f ca="1">_xlfn.IFNA(D12&amp;","&amp;SUBSTITUTE(G12," ","_")&amp;","&amp;H12&amp;","&amp;VLOOKUP(D12,'Controle de Preparo'!D1:T1388,7,FALSE)&amp;","&amp;VLOOKUP(D12,'Controle de Preparo'!D1:T1388,9,FALSE)&amp;","&amp;VLOOKUP(D12,'Controle de Preparo'!D1:T1388,11,FALSE)&amp;","&amp;MID(VLOOKUP(D12,'Controle de Preparo'!D1:T1388,12,FALSE),1,$B$4)&amp;","&amp;VLOOKUP(D12,'Controle de Preparo'!D1:T1388,13,FALSE)&amp;","&amp;IF($B$3="MiSeq",MID(VLOOKUP(D12,'Controle de Preparo'!D1:T1388,14,FALSE),1,$B$4),MID(VLOOKUP(D12,'Controle de Preparo'!D1:T1388,16,FALSE),1,$B$4))&amp;","&amp;F12&amp;","&amp;SUBSTITUTE(SUBSTITUTE(E12,".","")," ","_"),"")</f>
        <v/>
      </c>
      <c r="Q12" s="73" t="s">
        <v>51</v>
      </c>
      <c r="R12" s="119">
        <v>0</v>
      </c>
      <c r="V12" s="75"/>
      <c r="X12" s="73" t="s">
        <v>51</v>
      </c>
      <c r="Y12" s="119">
        <v>0</v>
      </c>
      <c r="AC12" s="75"/>
      <c r="AE12" s="73" t="s">
        <v>51</v>
      </c>
      <c r="AF12" s="119">
        <v>0</v>
      </c>
      <c r="AJ12" s="75"/>
    </row>
    <row r="13" spans="1:36" ht="19.5" thickBot="1" x14ac:dyDescent="0.35">
      <c r="D13" s="115"/>
      <c r="E13" s="116" t="str">
        <f ca="1">_xlfn.IFNA(VLOOKUP(D13,'Controle de Preparo'!D1:T1388,2,FALSE),"")</f>
        <v/>
      </c>
      <c r="F13" s="116" t="str">
        <f ca="1">_xlfn.IFNA(VLOOKUP(D13,'Controle de Preparo'!D1:T1388,3,FALSE),"")</f>
        <v/>
      </c>
      <c r="G13" s="66" t="str">
        <f ca="1">IF(_xlfn.IFNA(VLOOKUP(D13,CHOOSE({1,2},'Controle de Preparo'!D1:D1388,'Controle de Preparo'!A1:A1388),2,FALSE),"")&lt;&gt;0,_xlfn.IFNA(VLOOKUP(D13,CHOOSE({1,2},'Controle de Preparo'!D1:D1388,'Controle de Preparo'!A1:A1388),2,FALSE),""),"")</f>
        <v/>
      </c>
      <c r="H13" s="116" t="str">
        <f ca="1">IF(_xlfn.IFNA(VLOOKUP(D13,CHOOSE({1,2},'Controle de Preparo'!D1:D1388,'Controle de Preparo'!C1:C1388),2,FALSE),"")&lt;&gt;0,_xlfn.IFNA(VLOOKUP(D13,CHOOSE({1,2},'Controle de Preparo'!D1:D1388,'Controle de Preparo'!C1:C1388),2,FALSE),""),"")</f>
        <v/>
      </c>
      <c r="I13" s="116" t="str">
        <f ca="1">_xlfn.IFNA(VLOOKUP(D13,'Controle de Preparo'!D1:T1388,10,FALSE),"")</f>
        <v/>
      </c>
      <c r="J13" s="67"/>
      <c r="K13" s="67"/>
      <c r="L13" s="67"/>
      <c r="M13" s="116" t="str">
        <f t="shared" ca="1" si="0"/>
        <v/>
      </c>
      <c r="N13" s="118" t="str">
        <f ca="1">_xlfn.IFNA(MID(VLOOKUP(D13,'Controle de Preparo'!D1:T1388,12,FALSE),1,$B$4)&amp;MID(VLOOKUP(D13,'Controle de Preparo'!D1:T1388,14,FALSE),1,$B$4),"")</f>
        <v/>
      </c>
      <c r="O13" s="68" t="str">
        <f ca="1">_xlfn.IFNA(D13&amp;","&amp;SUBSTITUTE(G13," ","_")&amp;","&amp;H13&amp;","&amp;VLOOKUP(D13,'Controle de Preparo'!D1:T1388,7,FALSE)&amp;","&amp;VLOOKUP(D13,'Controle de Preparo'!D1:T1388,9,FALSE)&amp;","&amp;VLOOKUP(D13,'Controle de Preparo'!D1:T1388,11,FALSE)&amp;","&amp;MID(VLOOKUP(D13,'Controle de Preparo'!D1:T1388,12,FALSE),1,$B$4)&amp;","&amp;VLOOKUP(D13,'Controle de Preparo'!D1:T1388,13,FALSE)&amp;","&amp;IF($B$3="MiSeq",MID(VLOOKUP(D13,'Controle de Preparo'!D1:T1388,14,FALSE),1,$B$4),MID(VLOOKUP(D13,'Controle de Preparo'!D1:T1388,16,FALSE),1,$B$4))&amp;","&amp;F13&amp;","&amp;SUBSTITUTE(SUBSTITUTE(E13,".","")," ","_"),"")</f>
        <v/>
      </c>
      <c r="Q13" s="76"/>
      <c r="R13" s="77"/>
      <c r="S13" s="77"/>
      <c r="T13" s="77"/>
      <c r="V13" s="78"/>
      <c r="X13" s="76"/>
      <c r="Y13" s="77"/>
      <c r="Z13" s="77"/>
      <c r="AA13" s="77"/>
      <c r="AC13" s="78"/>
      <c r="AE13" s="76"/>
      <c r="AF13" s="77"/>
      <c r="AG13" s="77"/>
      <c r="AH13" s="77"/>
      <c r="AJ13" s="78"/>
    </row>
    <row r="14" spans="1:36" ht="19.5" thickBot="1" x14ac:dyDescent="0.35">
      <c r="D14" s="115"/>
      <c r="E14" s="116" t="str">
        <f ca="1">_xlfn.IFNA(VLOOKUP(D14,'Controle de Preparo'!D1:T1388,2,FALSE),"")</f>
        <v/>
      </c>
      <c r="F14" s="116" t="str">
        <f ca="1">_xlfn.IFNA(VLOOKUP(D14,'Controle de Preparo'!D1:T1388,3,FALSE),"")</f>
        <v/>
      </c>
      <c r="G14" s="66" t="str">
        <f ca="1">IF(_xlfn.IFNA(VLOOKUP(D14,CHOOSE({1,2},'Controle de Preparo'!D1:D1388,'Controle de Preparo'!A1:A1388),2,FALSE),"")&lt;&gt;0,_xlfn.IFNA(VLOOKUP(D14,CHOOSE({1,2},'Controle de Preparo'!D1:D1388,'Controle de Preparo'!A1:A1388),2,FALSE),""),"")</f>
        <v/>
      </c>
      <c r="H14" s="116" t="str">
        <f ca="1">IF(_xlfn.IFNA(VLOOKUP(D14,CHOOSE({1,2},'Controle de Preparo'!D1:D1388,'Controle de Preparo'!C1:C1388),2,FALSE),"")&lt;&gt;0,_xlfn.IFNA(VLOOKUP(D14,CHOOSE({1,2},'Controle de Preparo'!D1:D1388,'Controle de Preparo'!C1:C1388),2,FALSE),""),"")</f>
        <v/>
      </c>
      <c r="I14" s="116" t="str">
        <f ca="1">_xlfn.IFNA(VLOOKUP(D14,'Controle de Preparo'!D1:T1388,10,FALSE),"")</f>
        <v/>
      </c>
      <c r="J14" s="67"/>
      <c r="K14" s="67"/>
      <c r="L14" s="67"/>
      <c r="M14" s="116" t="str">
        <f t="shared" ca="1" si="0"/>
        <v/>
      </c>
      <c r="N14" s="118" t="str">
        <f ca="1">_xlfn.IFNA(MID(VLOOKUP(D14,'Controle de Preparo'!D1:T1388,12,FALSE),1,$B$4)&amp;MID(VLOOKUP(D14,'Controle de Preparo'!D1:T1388,14,FALSE),1,$B$4),"")</f>
        <v/>
      </c>
      <c r="O14" s="68" t="str">
        <f ca="1">_xlfn.IFNA(D14&amp;","&amp;SUBSTITUTE(G14," ","_")&amp;","&amp;H14&amp;","&amp;VLOOKUP(D14,'Controle de Preparo'!D1:T1388,7,FALSE)&amp;","&amp;VLOOKUP(D14,'Controle de Preparo'!D1:T1388,9,FALSE)&amp;","&amp;VLOOKUP(D14,'Controle de Preparo'!D1:T1388,11,FALSE)&amp;","&amp;MID(VLOOKUP(D14,'Controle de Preparo'!D1:T1388,12,FALSE),1,$B$4)&amp;","&amp;VLOOKUP(D14,'Controle de Preparo'!D1:T1388,13,FALSE)&amp;","&amp;IF($B$3="MiSeq",MID(VLOOKUP(D14,'Controle de Preparo'!D1:T1388,14,FALSE),1,$B$4),MID(VLOOKUP(D14,'Controle de Preparo'!D1:T1388,16,FALSE),1,$B$4))&amp;","&amp;F14&amp;","&amp;SUBSTITUTE(SUBSTITUTE(E14,".","")," ","_"),"")</f>
        <v/>
      </c>
      <c r="Q14" s="73" t="s">
        <v>54</v>
      </c>
      <c r="R14" s="119">
        <v>0</v>
      </c>
      <c r="T14" s="79" t="s">
        <v>55</v>
      </c>
      <c r="U14" s="77"/>
      <c r="V14" s="75"/>
      <c r="X14" s="73" t="s">
        <v>54</v>
      </c>
      <c r="Y14" s="119">
        <v>0</v>
      </c>
      <c r="AA14" s="79" t="s">
        <v>55</v>
      </c>
      <c r="AB14" s="77"/>
      <c r="AC14" s="75"/>
      <c r="AE14" s="73" t="s">
        <v>54</v>
      </c>
      <c r="AF14" s="119">
        <v>0</v>
      </c>
      <c r="AH14" s="79" t="s">
        <v>55</v>
      </c>
      <c r="AI14" s="77"/>
      <c r="AJ14" s="75"/>
    </row>
    <row r="15" spans="1:36" ht="19.5" thickBot="1" x14ac:dyDescent="0.35">
      <c r="D15" s="115"/>
      <c r="E15" s="116" t="str">
        <f ca="1">_xlfn.IFNA(VLOOKUP(D15,'Controle de Preparo'!D1:T1388,2,FALSE),"")</f>
        <v/>
      </c>
      <c r="F15" s="116" t="str">
        <f ca="1">_xlfn.IFNA(VLOOKUP(D15,'Controle de Preparo'!D1:T1388,3,FALSE),"")</f>
        <v/>
      </c>
      <c r="G15" s="66" t="str">
        <f ca="1">IF(_xlfn.IFNA(VLOOKUP(D15,CHOOSE({1,2},'Controle de Preparo'!D1:D1388,'Controle de Preparo'!A1:A1388),2,FALSE),"")&lt;&gt;0,_xlfn.IFNA(VLOOKUP(D15,CHOOSE({1,2},'Controle de Preparo'!D1:D1388,'Controle de Preparo'!A1:A1388),2,FALSE),""),"")</f>
        <v/>
      </c>
      <c r="H15" s="116" t="str">
        <f ca="1">IF(_xlfn.IFNA(VLOOKUP(D15,CHOOSE({1,2},'Controle de Preparo'!D1:D1388,'Controle de Preparo'!C1:C1388),2,FALSE),"")&lt;&gt;0,_xlfn.IFNA(VLOOKUP(D15,CHOOSE({1,2},'Controle de Preparo'!D1:D1388,'Controle de Preparo'!C1:C1388),2,FALSE),""),"")</f>
        <v/>
      </c>
      <c r="I15" s="116" t="str">
        <f ca="1">_xlfn.IFNA(VLOOKUP(D15,'Controle de Preparo'!D1:T1388,10,FALSE),"")</f>
        <v/>
      </c>
      <c r="J15" s="67"/>
      <c r="K15" s="67"/>
      <c r="L15" s="67"/>
      <c r="M15" s="116" t="str">
        <f t="shared" ca="1" si="0"/>
        <v/>
      </c>
      <c r="N15" s="118" t="str">
        <f ca="1">_xlfn.IFNA(MID(VLOOKUP(D15,'Controle de Preparo'!D1:T1388,12,FALSE),1,$B$4)&amp;MID(VLOOKUP(D15,'Controle de Preparo'!D1:T1388,14,FALSE),1,$B$4),"")</f>
        <v/>
      </c>
      <c r="O15" s="68" t="str">
        <f ca="1">_xlfn.IFNA(D15&amp;","&amp;SUBSTITUTE(G15," ","_")&amp;","&amp;H15&amp;","&amp;VLOOKUP(D15,'Controle de Preparo'!D1:T1388,7,FALSE)&amp;","&amp;VLOOKUP(D15,'Controle de Preparo'!D1:T1388,9,FALSE)&amp;","&amp;VLOOKUP(D15,'Controle de Preparo'!D1:T1388,11,FALSE)&amp;","&amp;MID(VLOOKUP(D15,'Controle de Preparo'!D1:T1388,12,FALSE),1,$B$4)&amp;","&amp;VLOOKUP(D15,'Controle de Preparo'!D1:T1388,13,FALSE)&amp;","&amp;IF($B$3="MiSeq",MID(VLOOKUP(D15,'Controle de Preparo'!D1:T1388,14,FALSE),1,$B$4),MID(VLOOKUP(D15,'Controle de Preparo'!D1:T1388,16,FALSE),1,$B$4))&amp;","&amp;F15&amp;","&amp;SUBSTITUTE(SUBSTITUTE(E15,".","")," ","_"),"")</f>
        <v/>
      </c>
      <c r="Q15" s="73" t="s">
        <v>56</v>
      </c>
      <c r="R15" s="80" t="str">
        <f>IFERROR((R12/(650*R14))*10^6*1000,"0")</f>
        <v>0</v>
      </c>
      <c r="T15" s="80" t="str">
        <f>IFERROR((R17*R16)/R15,"0")</f>
        <v>0</v>
      </c>
      <c r="U15" s="82" t="s">
        <v>6</v>
      </c>
      <c r="V15" s="75"/>
      <c r="X15" s="73" t="s">
        <v>56</v>
      </c>
      <c r="Y15" s="80" t="str">
        <f>IFERROR((Y12/(650*Y14))*10^6*1000,"0")</f>
        <v>0</v>
      </c>
      <c r="AA15" s="80" t="str">
        <f>IFERROR((Y17*Y16)/Y15,"0")</f>
        <v>0</v>
      </c>
      <c r="AB15" s="82" t="s">
        <v>6</v>
      </c>
      <c r="AC15" s="75"/>
      <c r="AE15" s="73" t="s">
        <v>56</v>
      </c>
      <c r="AF15" s="80" t="str">
        <f>IFERROR((AF12/(650*AF14))*10^6*1000,"0")</f>
        <v>0</v>
      </c>
      <c r="AH15" s="80" t="str">
        <f>IFERROR((AF17*AF16)/AF15,"0")</f>
        <v>0</v>
      </c>
      <c r="AI15" s="82" t="s">
        <v>6</v>
      </c>
      <c r="AJ15" s="75"/>
    </row>
    <row r="16" spans="1:36" ht="19.5" thickBot="1" x14ac:dyDescent="0.35">
      <c r="D16" s="115"/>
      <c r="E16" s="116" t="str">
        <f ca="1">_xlfn.IFNA(VLOOKUP(D16,'Controle de Preparo'!D1:T1388,2,FALSE),"")</f>
        <v/>
      </c>
      <c r="F16" s="116" t="str">
        <f ca="1">_xlfn.IFNA(VLOOKUP(D16,'Controle de Preparo'!D1:T1388,3,FALSE),"")</f>
        <v/>
      </c>
      <c r="G16" s="66" t="str">
        <f ca="1">IF(_xlfn.IFNA(VLOOKUP(D16,CHOOSE({1,2},'Controle de Preparo'!D1:D1388,'Controle de Preparo'!A1:A1388),2,FALSE),"")&lt;&gt;0,_xlfn.IFNA(VLOOKUP(D16,CHOOSE({1,2},'Controle de Preparo'!D1:D1388,'Controle de Preparo'!A1:A1388),2,FALSE),""),"")</f>
        <v/>
      </c>
      <c r="H16" s="116" t="str">
        <f ca="1">IF(_xlfn.IFNA(VLOOKUP(D16,CHOOSE({1,2},'Controle de Preparo'!D1:D1388,'Controle de Preparo'!C1:C1388),2,FALSE),"")&lt;&gt;0,_xlfn.IFNA(VLOOKUP(D16,CHOOSE({1,2},'Controle de Preparo'!D1:D1388,'Controle de Preparo'!C1:C1388),2,FALSE),""),"")</f>
        <v/>
      </c>
      <c r="I16" s="116" t="str">
        <f ca="1">_xlfn.IFNA(VLOOKUP(D16,'Controle de Preparo'!D1:T1388,10,FALSE),"")</f>
        <v/>
      </c>
      <c r="J16" s="67"/>
      <c r="K16" s="67"/>
      <c r="L16" s="67"/>
      <c r="M16" s="116" t="str">
        <f t="shared" ca="1" si="0"/>
        <v/>
      </c>
      <c r="N16" s="118" t="str">
        <f ca="1">_xlfn.IFNA(MID(VLOOKUP(D16,'Controle de Preparo'!D1:T1388,12,FALSE),1,$B$4)&amp;MID(VLOOKUP(D16,'Controle de Preparo'!D1:T1388,14,FALSE),1,$B$4),"")</f>
        <v/>
      </c>
      <c r="O16" s="68" t="str">
        <f ca="1">_xlfn.IFNA(D16&amp;","&amp;SUBSTITUTE(G16," ","_")&amp;","&amp;H16&amp;","&amp;VLOOKUP(D16,'Controle de Preparo'!D1:T1388,7,FALSE)&amp;","&amp;VLOOKUP(D16,'Controle de Preparo'!D1:T1388,9,FALSE)&amp;","&amp;VLOOKUP(D16,'Controle de Preparo'!D1:T1388,11,FALSE)&amp;","&amp;MID(VLOOKUP(D16,'Controle de Preparo'!D1:T1388,12,FALSE),1,$B$4)&amp;","&amp;VLOOKUP(D16,'Controle de Preparo'!D1:T1388,13,FALSE)&amp;","&amp;IF($B$3="MiSeq",MID(VLOOKUP(D16,'Controle de Preparo'!D1:T1388,14,FALSE),1,$B$4),MID(VLOOKUP(D16,'Controle de Preparo'!D1:T1388,16,FALSE),1,$B$4))&amp;","&amp;F16&amp;","&amp;SUBSTITUTE(SUBSTITUTE(E16,".","")," ","_"),"")</f>
        <v/>
      </c>
      <c r="Q16" s="73" t="s">
        <v>57</v>
      </c>
      <c r="R16" s="83">
        <v>1000</v>
      </c>
      <c r="T16" s="80">
        <f>IFERROR(R17-T15,"")</f>
        <v>20</v>
      </c>
      <c r="U16" s="82" t="s">
        <v>44</v>
      </c>
      <c r="V16" s="75"/>
      <c r="X16" s="73" t="s">
        <v>57</v>
      </c>
      <c r="Y16" s="83">
        <v>1000</v>
      </c>
      <c r="AA16" s="80">
        <f>IFERROR(Y17-AA15,"")</f>
        <v>20</v>
      </c>
      <c r="AB16" s="82" t="s">
        <v>44</v>
      </c>
      <c r="AC16" s="75"/>
      <c r="AE16" s="73" t="s">
        <v>57</v>
      </c>
      <c r="AF16" s="83">
        <v>1000</v>
      </c>
      <c r="AH16" s="80">
        <f>IFERROR(AF17-AH15,"")</f>
        <v>20</v>
      </c>
      <c r="AI16" s="82" t="s">
        <v>44</v>
      </c>
      <c r="AJ16" s="75"/>
    </row>
    <row r="17" spans="4:36" ht="19.5" thickBot="1" x14ac:dyDescent="0.35">
      <c r="D17" s="115"/>
      <c r="E17" s="116" t="str">
        <f ca="1">_xlfn.IFNA(VLOOKUP(D17,'Controle de Preparo'!D1:T1388,2,FALSE),"")</f>
        <v/>
      </c>
      <c r="F17" s="116" t="str">
        <f ca="1">_xlfn.IFNA(VLOOKUP(D17,'Controle de Preparo'!D1:T1388,3,FALSE),"")</f>
        <v/>
      </c>
      <c r="G17" s="66" t="str">
        <f ca="1">IF(_xlfn.IFNA(VLOOKUP(D17,CHOOSE({1,2},'Controle de Preparo'!D1:D1388,'Controle de Preparo'!A1:A1388),2,FALSE),"")&lt;&gt;0,_xlfn.IFNA(VLOOKUP(D17,CHOOSE({1,2},'Controle de Preparo'!D1:D1388,'Controle de Preparo'!A1:A1388),2,FALSE),""),"")</f>
        <v/>
      </c>
      <c r="H17" s="116" t="str">
        <f ca="1">IF(_xlfn.IFNA(VLOOKUP(D17,CHOOSE({1,2},'Controle de Preparo'!D1:D1388,'Controle de Preparo'!C1:C1388),2,FALSE),"")&lt;&gt;0,_xlfn.IFNA(VLOOKUP(D17,CHOOSE({1,2},'Controle de Preparo'!D1:D1388,'Controle de Preparo'!C1:C1388),2,FALSE),""),"")</f>
        <v/>
      </c>
      <c r="I17" s="116" t="str">
        <f ca="1">_xlfn.IFNA(VLOOKUP(D17,'Controle de Preparo'!D1:T1388,10,FALSE),"")</f>
        <v/>
      </c>
      <c r="J17" s="67"/>
      <c r="K17" s="67"/>
      <c r="L17" s="67"/>
      <c r="M17" s="116" t="str">
        <f t="shared" ca="1" si="0"/>
        <v/>
      </c>
      <c r="N17" s="118" t="str">
        <f ca="1">_xlfn.IFNA(MID(VLOOKUP(D17,'Controle de Preparo'!D1:T1388,12,FALSE),1,$B$4)&amp;MID(VLOOKUP(D17,'Controle de Preparo'!D1:T1388,14,FALSE),1,$B$4),"")</f>
        <v/>
      </c>
      <c r="O17" s="68" t="str">
        <f ca="1">_xlfn.IFNA(D17&amp;","&amp;SUBSTITUTE(G17," ","_")&amp;","&amp;H17&amp;","&amp;VLOOKUP(D17,'Controle de Preparo'!D1:T1388,7,FALSE)&amp;","&amp;VLOOKUP(D17,'Controle de Preparo'!D1:T1388,9,FALSE)&amp;","&amp;VLOOKUP(D17,'Controle de Preparo'!D1:T1388,11,FALSE)&amp;","&amp;MID(VLOOKUP(D17,'Controle de Preparo'!D1:T1388,12,FALSE),1,$B$4)&amp;","&amp;VLOOKUP(D17,'Controle de Preparo'!D1:T1388,13,FALSE)&amp;","&amp;IF($B$3="MiSeq",MID(VLOOKUP(D17,'Controle de Preparo'!D1:T1388,14,FALSE),1,$B$4),MID(VLOOKUP(D17,'Controle de Preparo'!D1:T1388,16,FALSE),1,$B$4))&amp;","&amp;F17&amp;","&amp;SUBSTITUTE(SUBSTITUTE(E17,".","")," ","_"),"")</f>
        <v/>
      </c>
      <c r="Q17" s="73" t="s">
        <v>60</v>
      </c>
      <c r="R17" s="83">
        <v>20</v>
      </c>
      <c r="S17" s="77"/>
      <c r="T17" s="84"/>
      <c r="V17" s="78"/>
      <c r="X17" s="73" t="s">
        <v>60</v>
      </c>
      <c r="Y17" s="83">
        <v>20</v>
      </c>
      <c r="Z17" s="77"/>
      <c r="AA17" s="84"/>
      <c r="AC17" s="78"/>
      <c r="AE17" s="73" t="s">
        <v>60</v>
      </c>
      <c r="AF17" s="83">
        <v>20</v>
      </c>
      <c r="AG17" s="77"/>
      <c r="AH17" s="84"/>
      <c r="AJ17" s="78"/>
    </row>
    <row r="18" spans="4:36" ht="19.5" thickBot="1" x14ac:dyDescent="0.35">
      <c r="D18" s="115"/>
      <c r="E18" s="116" t="str">
        <f ca="1">_xlfn.IFNA(VLOOKUP(D18,'Controle de Preparo'!D1:T1388,2,FALSE),"")</f>
        <v/>
      </c>
      <c r="F18" s="116" t="str">
        <f ca="1">_xlfn.IFNA(VLOOKUP(D18,'Controle de Preparo'!D1:T1388,3,FALSE),"")</f>
        <v/>
      </c>
      <c r="G18" s="66" t="str">
        <f ca="1">IF(_xlfn.IFNA(VLOOKUP(D18,CHOOSE({1,2},'Controle de Preparo'!D1:D1388,'Controle de Preparo'!A1:A1388),2,FALSE),"")&lt;&gt;0,_xlfn.IFNA(VLOOKUP(D18,CHOOSE({1,2},'Controle de Preparo'!D1:D1388,'Controle de Preparo'!A1:A1388),2,FALSE),""),"")</f>
        <v/>
      </c>
      <c r="H18" s="116" t="str">
        <f ca="1">IF(_xlfn.IFNA(VLOOKUP(D18,CHOOSE({1,2},'Controle de Preparo'!D1:D1388,'Controle de Preparo'!C1:C1388),2,FALSE),"")&lt;&gt;0,_xlfn.IFNA(VLOOKUP(D18,CHOOSE({1,2},'Controle de Preparo'!D1:D1388,'Controle de Preparo'!C1:C1388),2,FALSE),""),"")</f>
        <v/>
      </c>
      <c r="I18" s="116" t="str">
        <f ca="1">_xlfn.IFNA(VLOOKUP(D18,'Controle de Preparo'!D1:T1388,10,FALSE),"")</f>
        <v/>
      </c>
      <c r="J18" s="67"/>
      <c r="K18" s="67"/>
      <c r="L18" s="67"/>
      <c r="M18" s="116" t="str">
        <f t="shared" ca="1" si="0"/>
        <v/>
      </c>
      <c r="N18" s="118" t="str">
        <f ca="1">_xlfn.IFNA(MID(VLOOKUP(D18,'Controle de Preparo'!D1:T1388,12,FALSE),1,$B$4)&amp;MID(VLOOKUP(D18,'Controle de Preparo'!D1:T1388,14,FALSE),1,$B$4),"")</f>
        <v/>
      </c>
      <c r="O18" s="68" t="str">
        <f ca="1">_xlfn.IFNA(D18&amp;","&amp;SUBSTITUTE(G18," ","_")&amp;","&amp;H18&amp;","&amp;VLOOKUP(D18,'Controle de Preparo'!D1:T1388,7,FALSE)&amp;","&amp;VLOOKUP(D18,'Controle de Preparo'!D1:T1388,9,FALSE)&amp;","&amp;VLOOKUP(D18,'Controle de Preparo'!D1:T1388,11,FALSE)&amp;","&amp;MID(VLOOKUP(D18,'Controle de Preparo'!D1:T1388,12,FALSE),1,$B$4)&amp;","&amp;VLOOKUP(D18,'Controle de Preparo'!D1:T1388,13,FALSE)&amp;","&amp;IF($B$3="MiSeq",MID(VLOOKUP(D18,'Controle de Preparo'!D1:T1388,14,FALSE),1,$B$4),MID(VLOOKUP(D18,'Controle de Preparo'!D1:T1388,16,FALSE),1,$B$4))&amp;","&amp;F18&amp;","&amp;SUBSTITUTE(SUBSTITUTE(E18,".","")," ","_"),"")</f>
        <v/>
      </c>
      <c r="Q18" s="85"/>
      <c r="R18" s="86"/>
      <c r="S18" s="86"/>
      <c r="T18" s="86"/>
      <c r="U18" s="86"/>
      <c r="V18" s="87"/>
      <c r="X18" s="85"/>
      <c r="Y18" s="86"/>
      <c r="Z18" s="86"/>
      <c r="AA18" s="86"/>
      <c r="AB18" s="86"/>
      <c r="AC18" s="87"/>
      <c r="AE18" s="85"/>
      <c r="AF18" s="86"/>
      <c r="AG18" s="86"/>
      <c r="AH18" s="86"/>
      <c r="AI18" s="86"/>
      <c r="AJ18" s="87"/>
    </row>
    <row r="19" spans="4:36" ht="19.5" thickBot="1" x14ac:dyDescent="0.35">
      <c r="D19" s="115"/>
      <c r="E19" s="116" t="str">
        <f ca="1">_xlfn.IFNA(VLOOKUP(D19,'Controle de Preparo'!D1:T1388,2,FALSE),"")</f>
        <v/>
      </c>
      <c r="F19" s="116" t="str">
        <f ca="1">_xlfn.IFNA(VLOOKUP(D19,'Controle de Preparo'!D1:T1388,3,FALSE),"")</f>
        <v/>
      </c>
      <c r="G19" s="66" t="str">
        <f ca="1">IF(_xlfn.IFNA(VLOOKUP(D19,CHOOSE({1,2},'Controle de Preparo'!D1:D1388,'Controle de Preparo'!A1:A1388),2,FALSE),"")&lt;&gt;0,_xlfn.IFNA(VLOOKUP(D19,CHOOSE({1,2},'Controle de Preparo'!D1:D1388,'Controle de Preparo'!A1:A1388),2,FALSE),""),"")</f>
        <v/>
      </c>
      <c r="H19" s="116" t="str">
        <f ca="1">IF(_xlfn.IFNA(VLOOKUP(D19,CHOOSE({1,2},'Controle de Preparo'!D1:D1388,'Controle de Preparo'!C1:C1388),2,FALSE),"")&lt;&gt;0,_xlfn.IFNA(VLOOKUP(D19,CHOOSE({1,2},'Controle de Preparo'!D1:D1388,'Controle de Preparo'!C1:C1388),2,FALSE),""),"")</f>
        <v/>
      </c>
      <c r="I19" s="116" t="str">
        <f ca="1">_xlfn.IFNA(VLOOKUP(D19,'Controle de Preparo'!D1:T1388,10,FALSE),"")</f>
        <v/>
      </c>
      <c r="J19" s="67"/>
      <c r="K19" s="67"/>
      <c r="L19" s="67"/>
      <c r="M19" s="116" t="str">
        <f t="shared" ca="1" si="0"/>
        <v/>
      </c>
      <c r="N19" s="118" t="str">
        <f ca="1">_xlfn.IFNA(MID(VLOOKUP(D19,'Controle de Preparo'!D1:T1388,12,FALSE),1,$B$4)&amp;MID(VLOOKUP(D19,'Controle de Preparo'!D1:T1388,14,FALSE),1,$B$4),"")</f>
        <v/>
      </c>
      <c r="O19" s="68" t="str">
        <f ca="1">_xlfn.IFNA(D19&amp;","&amp;SUBSTITUTE(G19," ","_")&amp;","&amp;H19&amp;","&amp;VLOOKUP(D19,'Controle de Preparo'!D1:T1388,7,FALSE)&amp;","&amp;VLOOKUP(D19,'Controle de Preparo'!D1:T1388,9,FALSE)&amp;","&amp;VLOOKUP(D19,'Controle de Preparo'!D1:T1388,11,FALSE)&amp;","&amp;MID(VLOOKUP(D19,'Controle de Preparo'!D1:T1388,12,FALSE),1,$B$4)&amp;","&amp;VLOOKUP(D19,'Controle de Preparo'!D1:T1388,13,FALSE)&amp;","&amp;IF($B$3="MiSeq",MID(VLOOKUP(D19,'Controle de Preparo'!D1:T1388,14,FALSE),1,$B$4),MID(VLOOKUP(D19,'Controle de Preparo'!D1:T1388,16,FALSE),1,$B$4))&amp;","&amp;F19&amp;","&amp;SUBSTITUTE(SUBSTITUTE(E19,".","")," ","_"),"")</f>
        <v/>
      </c>
    </row>
    <row r="20" spans="4:36" ht="19.5" thickBot="1" x14ac:dyDescent="0.35">
      <c r="D20" s="115"/>
      <c r="E20" s="116" t="str">
        <f ca="1">_xlfn.IFNA(VLOOKUP(D20,'Controle de Preparo'!D1:T1388,2,FALSE),"")</f>
        <v/>
      </c>
      <c r="F20" s="116" t="str">
        <f ca="1">_xlfn.IFNA(VLOOKUP(D20,'Controle de Preparo'!D1:T1388,3,FALSE),"")</f>
        <v/>
      </c>
      <c r="G20" s="66" t="str">
        <f ca="1">IF(_xlfn.IFNA(VLOOKUP(D20,CHOOSE({1,2},'Controle de Preparo'!D1:D1388,'Controle de Preparo'!A1:A1388),2,FALSE),"")&lt;&gt;0,_xlfn.IFNA(VLOOKUP(D20,CHOOSE({1,2},'Controle de Preparo'!D1:D1388,'Controle de Preparo'!A1:A1388),2,FALSE),""),"")</f>
        <v/>
      </c>
      <c r="H20" s="116" t="str">
        <f ca="1">IF(_xlfn.IFNA(VLOOKUP(D20,CHOOSE({1,2},'Controle de Preparo'!D1:D1388,'Controle de Preparo'!C1:C1388),2,FALSE),"")&lt;&gt;0,_xlfn.IFNA(VLOOKUP(D20,CHOOSE({1,2},'Controle de Preparo'!D1:D1388,'Controle de Preparo'!C1:C1388),2,FALSE),""),"")</f>
        <v/>
      </c>
      <c r="I20" s="116" t="str">
        <f ca="1">_xlfn.IFNA(VLOOKUP(D20,'Controle de Preparo'!D1:T1388,10,FALSE),"")</f>
        <v/>
      </c>
      <c r="J20" s="67"/>
      <c r="K20" s="67"/>
      <c r="L20" s="67"/>
      <c r="M20" s="116" t="str">
        <f t="shared" ca="1" si="0"/>
        <v/>
      </c>
      <c r="N20" s="118" t="str">
        <f ca="1">_xlfn.IFNA(MID(VLOOKUP(D20,'Controle de Preparo'!D1:T1388,12,FALSE),1,$B$4)&amp;MID(VLOOKUP(D20,'Controle de Preparo'!D1:T1388,14,FALSE),1,$B$4),"")</f>
        <v/>
      </c>
      <c r="O20" s="68" t="str">
        <f ca="1">_xlfn.IFNA(D20&amp;","&amp;SUBSTITUTE(G20," ","_")&amp;","&amp;H20&amp;","&amp;VLOOKUP(D20,'Controle de Preparo'!D1:T1388,7,FALSE)&amp;","&amp;VLOOKUP(D20,'Controle de Preparo'!D1:T1388,9,FALSE)&amp;","&amp;VLOOKUP(D20,'Controle de Preparo'!D1:T1388,11,FALSE)&amp;","&amp;MID(VLOOKUP(D20,'Controle de Preparo'!D1:T1388,12,FALSE),1,$B$4)&amp;","&amp;VLOOKUP(D20,'Controle de Preparo'!D1:T1388,13,FALSE)&amp;","&amp;IF($B$3="MiSeq",MID(VLOOKUP(D20,'Controle de Preparo'!D1:T1388,14,FALSE),1,$B$4),MID(VLOOKUP(D20,'Controle de Preparo'!D1:T1388,16,FALSE),1,$B$4))&amp;","&amp;F20&amp;","&amp;SUBSTITUTE(SUBSTITUTE(E20,".","")," ","_"),"")</f>
        <v/>
      </c>
      <c r="Q20" s="69" t="s">
        <v>1938</v>
      </c>
      <c r="R20" s="70"/>
      <c r="S20" s="70"/>
      <c r="T20" s="70"/>
      <c r="U20" s="70"/>
      <c r="V20" s="71"/>
      <c r="X20" s="69" t="s">
        <v>2142</v>
      </c>
      <c r="Y20" s="70"/>
      <c r="Z20" s="70"/>
      <c r="AA20" s="70"/>
      <c r="AB20" s="70"/>
      <c r="AC20" s="71"/>
      <c r="AE20" s="69" t="s">
        <v>2225</v>
      </c>
      <c r="AF20" s="70"/>
      <c r="AG20" s="70"/>
      <c r="AH20" s="70"/>
      <c r="AI20" s="70"/>
      <c r="AJ20" s="71"/>
    </row>
    <row r="21" spans="4:36" ht="19.5" thickBot="1" x14ac:dyDescent="0.35">
      <c r="D21" s="115"/>
      <c r="E21" s="116" t="str">
        <f ca="1">_xlfn.IFNA(VLOOKUP(D21,'Controle de Preparo'!D1:T1388,2,FALSE),"")</f>
        <v/>
      </c>
      <c r="F21" s="116" t="str">
        <f ca="1">_xlfn.IFNA(VLOOKUP(D21,'Controle de Preparo'!D1:T1388,3,FALSE),"")</f>
        <v/>
      </c>
      <c r="G21" s="66" t="str">
        <f ca="1">IF(_xlfn.IFNA(VLOOKUP(D21,CHOOSE({1,2},'Controle de Preparo'!D1:D1388,'Controle de Preparo'!A1:A1388),2,FALSE),"")&lt;&gt;0,_xlfn.IFNA(VLOOKUP(D21,CHOOSE({1,2},'Controle de Preparo'!D1:D1388,'Controle de Preparo'!A1:A1388),2,FALSE),""),"")</f>
        <v/>
      </c>
      <c r="H21" s="116" t="str">
        <f ca="1">IF(_xlfn.IFNA(VLOOKUP(D21,CHOOSE({1,2},'Controle de Preparo'!D1:D1388,'Controle de Preparo'!C1:C1388),2,FALSE),"")&lt;&gt;0,_xlfn.IFNA(VLOOKUP(D21,CHOOSE({1,2},'Controle de Preparo'!D1:D1388,'Controle de Preparo'!C1:C1388),2,FALSE),""),"")</f>
        <v/>
      </c>
      <c r="I21" s="116" t="str">
        <f ca="1">_xlfn.IFNA(VLOOKUP(D21,'Controle de Preparo'!D1:T1388,10,FALSE),"")</f>
        <v/>
      </c>
      <c r="J21" s="67"/>
      <c r="K21" s="67"/>
      <c r="L21" s="67"/>
      <c r="M21" s="116" t="str">
        <f t="shared" ca="1" si="0"/>
        <v/>
      </c>
      <c r="N21" s="118" t="str">
        <f ca="1">_xlfn.IFNA(MID(VLOOKUP(D21,'Controle de Preparo'!D1:T1388,12,FALSE),1,$B$4)&amp;MID(VLOOKUP(D21,'Controle de Preparo'!D1:T1388,14,FALSE),1,$B$4),"")</f>
        <v/>
      </c>
      <c r="O21" s="68" t="str">
        <f ca="1">_xlfn.IFNA(D21&amp;","&amp;SUBSTITUTE(G21," ","_")&amp;","&amp;H21&amp;","&amp;VLOOKUP(D21,'Controle de Preparo'!D1:T1388,7,FALSE)&amp;","&amp;VLOOKUP(D21,'Controle de Preparo'!D1:T1388,9,FALSE)&amp;","&amp;VLOOKUP(D21,'Controle de Preparo'!D1:T1388,11,FALSE)&amp;","&amp;MID(VLOOKUP(D21,'Controle de Preparo'!D1:T1388,12,FALSE),1,$B$4)&amp;","&amp;VLOOKUP(D21,'Controle de Preparo'!D1:T1388,13,FALSE)&amp;","&amp;IF($B$3="MiSeq",MID(VLOOKUP(D21,'Controle de Preparo'!D1:T1388,14,FALSE),1,$B$4),MID(VLOOKUP(D21,'Controle de Preparo'!D1:T1388,16,FALSE),1,$B$4))&amp;","&amp;F21&amp;","&amp;SUBSTITUTE(SUBSTITUTE(E21,".","")," ","_"),"")</f>
        <v/>
      </c>
      <c r="Q21" s="73" t="s">
        <v>51</v>
      </c>
      <c r="R21" s="119"/>
      <c r="V21" s="75"/>
      <c r="X21" s="73" t="s">
        <v>51</v>
      </c>
      <c r="Y21" s="119">
        <v>0</v>
      </c>
      <c r="AC21" s="75"/>
      <c r="AE21" s="73" t="s">
        <v>51</v>
      </c>
      <c r="AF21" s="119">
        <v>0</v>
      </c>
      <c r="AJ21" s="75"/>
    </row>
    <row r="22" spans="4:36" ht="19.5" thickBot="1" x14ac:dyDescent="0.35">
      <c r="D22" s="115"/>
      <c r="E22" s="116" t="str">
        <f ca="1">_xlfn.IFNA(VLOOKUP(D22,'Controle de Preparo'!D1:T1388,2,FALSE),"")</f>
        <v/>
      </c>
      <c r="F22" s="116" t="str">
        <f ca="1">_xlfn.IFNA(VLOOKUP(D22,'Controle de Preparo'!D1:T1388,3,FALSE),"")</f>
        <v/>
      </c>
      <c r="G22" s="66" t="str">
        <f ca="1">IF(_xlfn.IFNA(VLOOKUP(D22,CHOOSE({1,2},'Controle de Preparo'!D1:D1388,'Controle de Preparo'!A1:A1388),2,FALSE),"")&lt;&gt;0,_xlfn.IFNA(VLOOKUP(D22,CHOOSE({1,2},'Controle de Preparo'!D1:D1388,'Controle de Preparo'!A1:A1388),2,FALSE),""),"")</f>
        <v/>
      </c>
      <c r="H22" s="116" t="str">
        <f ca="1">IF(_xlfn.IFNA(VLOOKUP(D22,CHOOSE({1,2},'Controle de Preparo'!D1:D1388,'Controle de Preparo'!C1:C1388),2,FALSE),"")&lt;&gt;0,_xlfn.IFNA(VLOOKUP(D22,CHOOSE({1,2},'Controle de Preparo'!D1:D1388,'Controle de Preparo'!C1:C1388),2,FALSE),""),"")</f>
        <v/>
      </c>
      <c r="I22" s="116" t="str">
        <f ca="1">_xlfn.IFNA(VLOOKUP(D22,'Controle de Preparo'!D1:T1388,10,FALSE),"")</f>
        <v/>
      </c>
      <c r="J22" s="67"/>
      <c r="K22" s="67"/>
      <c r="L22" s="67"/>
      <c r="M22" s="116" t="str">
        <f t="shared" ca="1" si="0"/>
        <v/>
      </c>
      <c r="N22" s="118" t="str">
        <f ca="1">_xlfn.IFNA(MID(VLOOKUP(D22,'Controle de Preparo'!D1:T1388,12,FALSE),1,$B$4)&amp;MID(VLOOKUP(D22,'Controle de Preparo'!D1:T1388,14,FALSE),1,$B$4),"")</f>
        <v/>
      </c>
      <c r="O22" s="68" t="str">
        <f ca="1">_xlfn.IFNA(D22&amp;","&amp;SUBSTITUTE(G22," ","_")&amp;","&amp;H22&amp;","&amp;VLOOKUP(D22,'Controle de Preparo'!D1:T1388,7,FALSE)&amp;","&amp;VLOOKUP(D22,'Controle de Preparo'!D1:T1388,9,FALSE)&amp;","&amp;VLOOKUP(D22,'Controle de Preparo'!D1:T1388,11,FALSE)&amp;","&amp;MID(VLOOKUP(D22,'Controle de Preparo'!D1:T1388,12,FALSE),1,$B$4)&amp;","&amp;VLOOKUP(D22,'Controle de Preparo'!D1:T1388,13,FALSE)&amp;","&amp;IF($B$3="MiSeq",MID(VLOOKUP(D22,'Controle de Preparo'!D1:T1388,14,FALSE),1,$B$4),MID(VLOOKUP(D22,'Controle de Preparo'!D1:T1388,16,FALSE),1,$B$4))&amp;","&amp;F22&amp;","&amp;SUBSTITUTE(SUBSTITUTE(E22,".","")," ","_"),"")</f>
        <v/>
      </c>
      <c r="Q22" s="76"/>
      <c r="R22" s="77"/>
      <c r="S22" s="77"/>
      <c r="T22" s="77"/>
      <c r="V22" s="78"/>
      <c r="X22" s="76"/>
      <c r="Y22" s="77"/>
      <c r="Z22" s="77"/>
      <c r="AA22" s="77"/>
      <c r="AC22" s="78"/>
      <c r="AE22" s="76"/>
      <c r="AF22" s="77"/>
      <c r="AG22" s="77"/>
      <c r="AH22" s="77"/>
      <c r="AJ22" s="78"/>
    </row>
    <row r="23" spans="4:36" ht="19.5" thickBot="1" x14ac:dyDescent="0.35">
      <c r="D23" s="115"/>
      <c r="E23" s="116" t="str">
        <f ca="1">_xlfn.IFNA(VLOOKUP(D23,'Controle de Preparo'!D1:T1388,2,FALSE),"")</f>
        <v/>
      </c>
      <c r="F23" s="116" t="str">
        <f ca="1">_xlfn.IFNA(VLOOKUP(D23,'Controle de Preparo'!D1:T1388,3,FALSE),"")</f>
        <v/>
      </c>
      <c r="G23" s="66" t="str">
        <f ca="1">IF(_xlfn.IFNA(VLOOKUP(D23,CHOOSE({1,2},'Controle de Preparo'!D1:D1388,'Controle de Preparo'!A1:A1388),2,FALSE),"")&lt;&gt;0,_xlfn.IFNA(VLOOKUP(D23,CHOOSE({1,2},'Controle de Preparo'!D1:D1388,'Controle de Preparo'!A1:A1388),2,FALSE),""),"")</f>
        <v/>
      </c>
      <c r="H23" s="116" t="str">
        <f ca="1">IF(_xlfn.IFNA(VLOOKUP(D23,CHOOSE({1,2},'Controle de Preparo'!D1:D1388,'Controle de Preparo'!C1:C1388),2,FALSE),"")&lt;&gt;0,_xlfn.IFNA(VLOOKUP(D23,CHOOSE({1,2},'Controle de Preparo'!D1:D1388,'Controle de Preparo'!C1:C1388),2,FALSE),""),"")</f>
        <v/>
      </c>
      <c r="I23" s="116" t="str">
        <f ca="1">_xlfn.IFNA(VLOOKUP(D23,'Controle de Preparo'!D1:T1388,10,FALSE),"")</f>
        <v/>
      </c>
      <c r="J23" s="67"/>
      <c r="K23" s="67"/>
      <c r="L23" s="67"/>
      <c r="M23" s="116" t="str">
        <f t="shared" ca="1" si="0"/>
        <v/>
      </c>
      <c r="N23" s="118" t="str">
        <f ca="1">_xlfn.IFNA(MID(VLOOKUP(D23,'Controle de Preparo'!D1:T1388,12,FALSE),1,$B$4)&amp;MID(VLOOKUP(D23,'Controle de Preparo'!D1:T1388,14,FALSE),1,$B$4),"")</f>
        <v/>
      </c>
      <c r="O23" s="68" t="str">
        <f ca="1">_xlfn.IFNA(D23&amp;","&amp;SUBSTITUTE(G23," ","_")&amp;","&amp;H23&amp;","&amp;VLOOKUP(D23,'Controle de Preparo'!D1:T1388,7,FALSE)&amp;","&amp;VLOOKUP(D23,'Controle de Preparo'!D1:T1388,9,FALSE)&amp;","&amp;VLOOKUP(D23,'Controle de Preparo'!D1:T1388,11,FALSE)&amp;","&amp;MID(VLOOKUP(D23,'Controle de Preparo'!D1:T1388,12,FALSE),1,$B$4)&amp;","&amp;VLOOKUP(D23,'Controle de Preparo'!D1:T1388,13,FALSE)&amp;","&amp;IF($B$3="MiSeq",MID(VLOOKUP(D23,'Controle de Preparo'!D1:T1388,14,FALSE),1,$B$4),MID(VLOOKUP(D23,'Controle de Preparo'!D1:T1388,16,FALSE),1,$B$4))&amp;","&amp;F23&amp;","&amp;SUBSTITUTE(SUBSTITUTE(E23,".","")," ","_"),"")</f>
        <v/>
      </c>
      <c r="Q23" s="73" t="s">
        <v>54</v>
      </c>
      <c r="R23" s="119">
        <v>500</v>
      </c>
      <c r="T23" s="79" t="s">
        <v>55</v>
      </c>
      <c r="U23" s="77"/>
      <c r="V23" s="75"/>
      <c r="X23" s="73" t="s">
        <v>54</v>
      </c>
      <c r="Y23" s="119">
        <v>500</v>
      </c>
      <c r="AA23" s="79" t="s">
        <v>55</v>
      </c>
      <c r="AB23" s="77"/>
      <c r="AC23" s="75"/>
      <c r="AE23" s="73" t="s">
        <v>54</v>
      </c>
      <c r="AF23" s="119">
        <v>0</v>
      </c>
      <c r="AH23" s="79" t="s">
        <v>55</v>
      </c>
      <c r="AI23" s="77"/>
      <c r="AJ23" s="75"/>
    </row>
    <row r="24" spans="4:36" ht="19.5" thickBot="1" x14ac:dyDescent="0.35">
      <c r="D24" s="115"/>
      <c r="E24" s="116" t="str">
        <f ca="1">_xlfn.IFNA(VLOOKUP(D24,'Controle de Preparo'!D1:T1388,2,FALSE),"")</f>
        <v/>
      </c>
      <c r="F24" s="116" t="str">
        <f ca="1">_xlfn.IFNA(VLOOKUP(D24,'Controle de Preparo'!D1:T1388,3,FALSE),"")</f>
        <v/>
      </c>
      <c r="G24" s="66" t="str">
        <f ca="1">IF(_xlfn.IFNA(VLOOKUP(D24,CHOOSE({1,2},'Controle de Preparo'!D1:D1388,'Controle de Preparo'!A1:A1388),2,FALSE),"")&lt;&gt;0,_xlfn.IFNA(VLOOKUP(D24,CHOOSE({1,2},'Controle de Preparo'!D1:D1388,'Controle de Preparo'!A1:A1388),2,FALSE),""),"")</f>
        <v/>
      </c>
      <c r="H24" s="116" t="str">
        <f ca="1">IF(_xlfn.IFNA(VLOOKUP(D24,CHOOSE({1,2},'Controle de Preparo'!D1:D1388,'Controle de Preparo'!C1:C1388),2,FALSE),"")&lt;&gt;0,_xlfn.IFNA(VLOOKUP(D24,CHOOSE({1,2},'Controle de Preparo'!D1:D1388,'Controle de Preparo'!C1:C1388),2,FALSE),""),"")</f>
        <v/>
      </c>
      <c r="I24" s="116" t="str">
        <f ca="1">_xlfn.IFNA(VLOOKUP(D24,'Controle de Preparo'!D1:T1388,10,FALSE),"")</f>
        <v/>
      </c>
      <c r="J24" s="67"/>
      <c r="K24" s="67"/>
      <c r="L24" s="67"/>
      <c r="M24" s="116" t="str">
        <f t="shared" ca="1" si="0"/>
        <v/>
      </c>
      <c r="N24" s="118" t="str">
        <f ca="1">_xlfn.IFNA(MID(VLOOKUP(D24,'Controle de Preparo'!D1:T1388,12,FALSE),1,$B$4)&amp;MID(VLOOKUP(D24,'Controle de Preparo'!D1:T1388,14,FALSE),1,$B$4),"")</f>
        <v/>
      </c>
      <c r="O24" s="68" t="str">
        <f ca="1">_xlfn.IFNA(D24&amp;","&amp;SUBSTITUTE(G24," ","_")&amp;","&amp;H24&amp;","&amp;VLOOKUP(D24,'Controle de Preparo'!D1:T1388,7,FALSE)&amp;","&amp;VLOOKUP(D24,'Controle de Preparo'!D1:T1388,9,FALSE)&amp;","&amp;VLOOKUP(D24,'Controle de Preparo'!D1:T1388,11,FALSE)&amp;","&amp;MID(VLOOKUP(D24,'Controle de Preparo'!D1:T1388,12,FALSE),1,$B$4)&amp;","&amp;VLOOKUP(D24,'Controle de Preparo'!D1:T1388,13,FALSE)&amp;","&amp;IF($B$3="MiSeq",MID(VLOOKUP(D24,'Controle de Preparo'!D1:T1388,14,FALSE),1,$B$4),MID(VLOOKUP(D24,'Controle de Preparo'!D1:T1388,16,FALSE),1,$B$4))&amp;","&amp;F24&amp;","&amp;SUBSTITUTE(SUBSTITUTE(E24,".","")," ","_"),"")</f>
        <v/>
      </c>
      <c r="Q24" s="73" t="s">
        <v>56</v>
      </c>
      <c r="R24" s="80">
        <f>IFERROR((R21/(650*R23))*10^6*1000,"0")</f>
        <v>0</v>
      </c>
      <c r="T24" s="80" t="str">
        <f>IFERROR((R26*R25)/R24,"0")</f>
        <v>0</v>
      </c>
      <c r="U24" s="82" t="s">
        <v>6</v>
      </c>
      <c r="V24" s="75"/>
      <c r="X24" s="73" t="s">
        <v>56</v>
      </c>
      <c r="Y24" s="80">
        <f>IFERROR((Y21/(650*Y23))*10^6*1000,"0")</f>
        <v>0</v>
      </c>
      <c r="AA24" s="80" t="str">
        <f>IFERROR((Y26*Y25)/Y24,"0")</f>
        <v>0</v>
      </c>
      <c r="AB24" s="82" t="s">
        <v>6</v>
      </c>
      <c r="AC24" s="75"/>
      <c r="AE24" s="73" t="s">
        <v>56</v>
      </c>
      <c r="AF24" s="80" t="str">
        <f>IFERROR((AF21/(650*AF23))*10^6*1000,"0")</f>
        <v>0</v>
      </c>
      <c r="AH24" s="80" t="str">
        <f>IFERROR((AF26*AF25)/AF24,"0")</f>
        <v>0</v>
      </c>
      <c r="AI24" s="82" t="s">
        <v>6</v>
      </c>
      <c r="AJ24" s="75"/>
    </row>
    <row r="25" spans="4:36" ht="19.5" thickBot="1" x14ac:dyDescent="0.35">
      <c r="D25" s="115"/>
      <c r="E25" s="116" t="str">
        <f ca="1">_xlfn.IFNA(VLOOKUP(D25,'Controle de Preparo'!D1:T1388,2,FALSE),"")</f>
        <v/>
      </c>
      <c r="F25" s="116" t="str">
        <f ca="1">_xlfn.IFNA(VLOOKUP(D25,'Controle de Preparo'!D1:T1388,3,FALSE),"")</f>
        <v/>
      </c>
      <c r="G25" s="66" t="str">
        <f ca="1">IF(_xlfn.IFNA(VLOOKUP(D25,CHOOSE({1,2},'Controle de Preparo'!D1:D1388,'Controle de Preparo'!A1:A1388),2,FALSE),"")&lt;&gt;0,_xlfn.IFNA(VLOOKUP(D25,CHOOSE({1,2},'Controle de Preparo'!D1:D1388,'Controle de Preparo'!A1:A1388),2,FALSE),""),"")</f>
        <v/>
      </c>
      <c r="H25" s="116" t="str">
        <f ca="1">IF(_xlfn.IFNA(VLOOKUP(D25,CHOOSE({1,2},'Controle de Preparo'!D1:D1388,'Controle de Preparo'!C1:C1388),2,FALSE),"")&lt;&gt;0,_xlfn.IFNA(VLOOKUP(D25,CHOOSE({1,2},'Controle de Preparo'!D1:D1388,'Controle de Preparo'!C1:C1388),2,FALSE),""),"")</f>
        <v/>
      </c>
      <c r="I25" s="116" t="str">
        <f ca="1">_xlfn.IFNA(VLOOKUP(D25,'Controle de Preparo'!D1:T1388,10,FALSE),"")</f>
        <v/>
      </c>
      <c r="J25" s="67"/>
      <c r="K25" s="67"/>
      <c r="L25" s="67"/>
      <c r="M25" s="116" t="str">
        <f t="shared" ca="1" si="0"/>
        <v/>
      </c>
      <c r="N25" s="118" t="str">
        <f ca="1">_xlfn.IFNA(MID(VLOOKUP(D25,'Controle de Preparo'!D1:T1388,12,FALSE),1,$B$4)&amp;MID(VLOOKUP(D25,'Controle de Preparo'!D1:T1388,14,FALSE),1,$B$4),"")</f>
        <v/>
      </c>
      <c r="O25" s="68" t="str">
        <f ca="1">_xlfn.IFNA(D25&amp;","&amp;SUBSTITUTE(G25," ","_")&amp;","&amp;H25&amp;","&amp;VLOOKUP(D25,'Controle de Preparo'!D1:T1388,7,FALSE)&amp;","&amp;VLOOKUP(D25,'Controle de Preparo'!D1:T1388,9,FALSE)&amp;","&amp;VLOOKUP(D25,'Controle de Preparo'!D1:T1388,11,FALSE)&amp;","&amp;MID(VLOOKUP(D25,'Controle de Preparo'!D1:T1388,12,FALSE),1,$B$4)&amp;","&amp;VLOOKUP(D25,'Controle de Preparo'!D1:T1388,13,FALSE)&amp;","&amp;IF($B$3="MiSeq",MID(VLOOKUP(D25,'Controle de Preparo'!D1:T1388,14,FALSE),1,$B$4),MID(VLOOKUP(D25,'Controle de Preparo'!D1:T1388,16,FALSE),1,$B$4))&amp;","&amp;F25&amp;","&amp;SUBSTITUTE(SUBSTITUTE(E25,".","")," ","_"),"")</f>
        <v/>
      </c>
      <c r="Q25" s="73" t="s">
        <v>57</v>
      </c>
      <c r="R25" s="83">
        <v>1000</v>
      </c>
      <c r="T25" s="80">
        <f>IFERROR(R26-T24,"")</f>
        <v>20</v>
      </c>
      <c r="U25" s="82" t="s">
        <v>44</v>
      </c>
      <c r="V25" s="75"/>
      <c r="X25" s="73" t="s">
        <v>57</v>
      </c>
      <c r="Y25" s="83">
        <v>1000</v>
      </c>
      <c r="AA25" s="80">
        <f>IFERROR(Y26-AA24,"")</f>
        <v>20</v>
      </c>
      <c r="AB25" s="82" t="s">
        <v>44</v>
      </c>
      <c r="AC25" s="75"/>
      <c r="AE25" s="73" t="s">
        <v>57</v>
      </c>
      <c r="AF25" s="83">
        <v>1000</v>
      </c>
      <c r="AH25" s="80">
        <f>IFERROR(AF26-AH24,"")</f>
        <v>20</v>
      </c>
      <c r="AI25" s="82" t="s">
        <v>44</v>
      </c>
      <c r="AJ25" s="75"/>
    </row>
    <row r="26" spans="4:36" ht="19.5" thickBot="1" x14ac:dyDescent="0.35">
      <c r="D26" s="115"/>
      <c r="E26" s="116" t="str">
        <f ca="1">_xlfn.IFNA(VLOOKUP(D26,'Controle de Preparo'!D1:T1388,2,FALSE),"")</f>
        <v/>
      </c>
      <c r="F26" s="116" t="str">
        <f ca="1">_xlfn.IFNA(VLOOKUP(D26,'Controle de Preparo'!D1:T1388,3,FALSE),"")</f>
        <v/>
      </c>
      <c r="G26" s="66" t="str">
        <f ca="1">IF(_xlfn.IFNA(VLOOKUP(D26,CHOOSE({1,2},'Controle de Preparo'!D1:D1388,'Controle de Preparo'!A1:A1388),2,FALSE),"")&lt;&gt;0,_xlfn.IFNA(VLOOKUP(D26,CHOOSE({1,2},'Controle de Preparo'!D1:D1388,'Controle de Preparo'!A1:A1388),2,FALSE),""),"")</f>
        <v/>
      </c>
      <c r="H26" s="116" t="str">
        <f ca="1">IF(_xlfn.IFNA(VLOOKUP(D26,CHOOSE({1,2},'Controle de Preparo'!D1:D1388,'Controle de Preparo'!C1:C1388),2,FALSE),"")&lt;&gt;0,_xlfn.IFNA(VLOOKUP(D26,CHOOSE({1,2},'Controle de Preparo'!D1:D1388,'Controle de Preparo'!C1:C1388),2,FALSE),""),"")</f>
        <v/>
      </c>
      <c r="I26" s="116" t="str">
        <f ca="1">_xlfn.IFNA(VLOOKUP(D26,'Controle de Preparo'!D1:T1388,10,FALSE),"")</f>
        <v/>
      </c>
      <c r="J26" s="67"/>
      <c r="K26" s="67"/>
      <c r="L26" s="67"/>
      <c r="M26" s="116" t="str">
        <f t="shared" ca="1" si="0"/>
        <v/>
      </c>
      <c r="N26" s="118" t="str">
        <f ca="1">_xlfn.IFNA(MID(VLOOKUP(D26,'Controle de Preparo'!D1:T1388,12,FALSE),1,$B$4)&amp;MID(VLOOKUP(D26,'Controle de Preparo'!D1:T1388,14,FALSE),1,$B$4),"")</f>
        <v/>
      </c>
      <c r="O26" s="68" t="str">
        <f ca="1">_xlfn.IFNA(D26&amp;","&amp;SUBSTITUTE(G26," ","_")&amp;","&amp;H26&amp;","&amp;VLOOKUP(D26,'Controle de Preparo'!D1:T1388,7,FALSE)&amp;","&amp;VLOOKUP(D26,'Controle de Preparo'!D1:T1388,9,FALSE)&amp;","&amp;VLOOKUP(D26,'Controle de Preparo'!D1:T1388,11,FALSE)&amp;","&amp;MID(VLOOKUP(D26,'Controle de Preparo'!D1:T1388,12,FALSE),1,$B$4)&amp;","&amp;VLOOKUP(D26,'Controle de Preparo'!D1:T1388,13,FALSE)&amp;","&amp;IF($B$3="MiSeq",MID(VLOOKUP(D26,'Controle de Preparo'!D1:T1388,14,FALSE),1,$B$4),MID(VLOOKUP(D26,'Controle de Preparo'!D1:T1388,16,FALSE),1,$B$4))&amp;","&amp;F26&amp;","&amp;SUBSTITUTE(SUBSTITUTE(E26,".","")," ","_"),"")</f>
        <v/>
      </c>
      <c r="Q26" s="73" t="s">
        <v>60</v>
      </c>
      <c r="R26" s="83">
        <v>20</v>
      </c>
      <c r="S26" s="77"/>
      <c r="T26" s="84"/>
      <c r="V26" s="78"/>
      <c r="X26" s="73" t="s">
        <v>60</v>
      </c>
      <c r="Y26" s="83">
        <v>20</v>
      </c>
      <c r="Z26" s="77"/>
      <c r="AA26" s="84"/>
      <c r="AC26" s="78"/>
      <c r="AE26" s="73" t="s">
        <v>60</v>
      </c>
      <c r="AF26" s="83">
        <v>20</v>
      </c>
      <c r="AG26" s="77"/>
      <c r="AH26" s="84"/>
      <c r="AJ26" s="78"/>
    </row>
    <row r="27" spans="4:36" ht="19.5" thickBot="1" x14ac:dyDescent="0.35">
      <c r="D27" s="115"/>
      <c r="E27" s="116" t="str">
        <f ca="1">_xlfn.IFNA(VLOOKUP(D27,'Controle de Preparo'!D1:T1388,2,FALSE),"")</f>
        <v/>
      </c>
      <c r="F27" s="116" t="str">
        <f ca="1">_xlfn.IFNA(VLOOKUP(D27,'Controle de Preparo'!D1:T1388,3,FALSE),"")</f>
        <v/>
      </c>
      <c r="G27" s="66" t="str">
        <f ca="1">IF(_xlfn.IFNA(VLOOKUP(D27,CHOOSE({1,2},'Controle de Preparo'!D1:D1388,'Controle de Preparo'!A1:A1388),2,FALSE),"")&lt;&gt;0,_xlfn.IFNA(VLOOKUP(D27,CHOOSE({1,2},'Controle de Preparo'!D1:D1388,'Controle de Preparo'!A1:A1388),2,FALSE),""),"")</f>
        <v/>
      </c>
      <c r="H27" s="116" t="str">
        <f ca="1">IF(_xlfn.IFNA(VLOOKUP(D27,CHOOSE({1,2},'Controle de Preparo'!D1:D1388,'Controle de Preparo'!C1:C1388),2,FALSE),"")&lt;&gt;0,_xlfn.IFNA(VLOOKUP(D27,CHOOSE({1,2},'Controle de Preparo'!D1:D1388,'Controle de Preparo'!C1:C1388),2,FALSE),""),"")</f>
        <v/>
      </c>
      <c r="I27" s="116" t="str">
        <f ca="1">_xlfn.IFNA(VLOOKUP(D27,'Controle de Preparo'!D1:T1388,10,FALSE),"")</f>
        <v/>
      </c>
      <c r="J27" s="67"/>
      <c r="K27" s="67"/>
      <c r="L27" s="67"/>
      <c r="M27" s="116" t="str">
        <f t="shared" ca="1" si="0"/>
        <v/>
      </c>
      <c r="N27" s="118" t="str">
        <f ca="1">_xlfn.IFNA(MID(VLOOKUP(D27,'Controle de Preparo'!D1:T1388,12,FALSE),1,$B$4)&amp;MID(VLOOKUP(D27,'Controle de Preparo'!D1:T1388,14,FALSE),1,$B$4),"")</f>
        <v/>
      </c>
      <c r="O27" s="68" t="str">
        <f ca="1">_xlfn.IFNA(D27&amp;","&amp;SUBSTITUTE(G27," ","_")&amp;","&amp;H27&amp;","&amp;VLOOKUP(D27,'Controle de Preparo'!D1:T1388,7,FALSE)&amp;","&amp;VLOOKUP(D27,'Controle de Preparo'!D1:T1388,9,FALSE)&amp;","&amp;VLOOKUP(D27,'Controle de Preparo'!D1:T1388,11,FALSE)&amp;","&amp;MID(VLOOKUP(D27,'Controle de Preparo'!D1:T1388,12,FALSE),1,$B$4)&amp;","&amp;VLOOKUP(D27,'Controle de Preparo'!D1:T1388,13,FALSE)&amp;","&amp;IF($B$3="MiSeq",MID(VLOOKUP(D27,'Controle de Preparo'!D1:T1388,14,FALSE),1,$B$4),MID(VLOOKUP(D27,'Controle de Preparo'!D1:T1388,16,FALSE),1,$B$4))&amp;","&amp;F27&amp;","&amp;SUBSTITUTE(SUBSTITUTE(E27,".","")," ","_"),"")</f>
        <v/>
      </c>
      <c r="Q27" s="85"/>
      <c r="R27" s="86"/>
      <c r="S27" s="86"/>
      <c r="T27" s="86"/>
      <c r="U27" s="86"/>
      <c r="V27" s="87"/>
      <c r="X27" s="85"/>
      <c r="Y27" s="86"/>
      <c r="Z27" s="86"/>
      <c r="AA27" s="86"/>
      <c r="AB27" s="86"/>
      <c r="AC27" s="87"/>
      <c r="AE27" s="85"/>
      <c r="AF27" s="86"/>
      <c r="AG27" s="86"/>
      <c r="AH27" s="86"/>
      <c r="AI27" s="86"/>
      <c r="AJ27" s="87"/>
    </row>
    <row r="28" spans="4:36" x14ac:dyDescent="0.3">
      <c r="D28" s="115"/>
      <c r="E28" s="116" t="str">
        <f ca="1">_xlfn.IFNA(VLOOKUP(D28,'Controle de Preparo'!D1:T1388,2,FALSE),"")</f>
        <v/>
      </c>
      <c r="F28" s="116" t="str">
        <f ca="1">_xlfn.IFNA(VLOOKUP(D28,'Controle de Preparo'!D1:T1388,3,FALSE),"")</f>
        <v/>
      </c>
      <c r="G28" s="66" t="str">
        <f ca="1">IF(_xlfn.IFNA(VLOOKUP(D28,CHOOSE({1,2},'Controle de Preparo'!D1:D1388,'Controle de Preparo'!A1:A1388),2,FALSE),"")&lt;&gt;0,_xlfn.IFNA(VLOOKUP(D28,CHOOSE({1,2},'Controle de Preparo'!D1:D1388,'Controle de Preparo'!A1:A1388),2,FALSE),""),"")</f>
        <v/>
      </c>
      <c r="H28" s="116" t="str">
        <f ca="1">IF(_xlfn.IFNA(VLOOKUP(D28,CHOOSE({1,2},'Controle de Preparo'!D1:D1388,'Controle de Preparo'!C1:C1388),2,FALSE),"")&lt;&gt;0,_xlfn.IFNA(VLOOKUP(D28,CHOOSE({1,2},'Controle de Preparo'!D1:D1388,'Controle de Preparo'!C1:C1388),2,FALSE),""),"")</f>
        <v/>
      </c>
      <c r="I28" s="116" t="str">
        <f ca="1">_xlfn.IFNA(VLOOKUP(D28,'Controle de Preparo'!D1:T1388,10,FALSE),"")</f>
        <v/>
      </c>
      <c r="J28" s="67"/>
      <c r="K28" s="67"/>
      <c r="L28" s="67"/>
      <c r="M28" s="116" t="str">
        <f t="shared" ca="1" si="0"/>
        <v/>
      </c>
      <c r="N28" s="118" t="str">
        <f ca="1">_xlfn.IFNA(MID(VLOOKUP(D28,'Controle de Preparo'!D1:T1388,12,FALSE),1,$B$4)&amp;MID(VLOOKUP(D28,'Controle de Preparo'!D1:T1388,14,FALSE),1,$B$4),"")</f>
        <v/>
      </c>
      <c r="O28" s="68" t="str">
        <f ca="1">_xlfn.IFNA(D28&amp;","&amp;SUBSTITUTE(G28," ","_")&amp;","&amp;H28&amp;","&amp;VLOOKUP(D28,'Controle de Preparo'!D1:T1388,7,FALSE)&amp;","&amp;VLOOKUP(D28,'Controle de Preparo'!D1:T1388,9,FALSE)&amp;","&amp;VLOOKUP(D28,'Controle de Preparo'!D1:T1388,11,FALSE)&amp;","&amp;MID(VLOOKUP(D28,'Controle de Preparo'!D1:T1388,12,FALSE),1,$B$4)&amp;","&amp;VLOOKUP(D28,'Controle de Preparo'!D1:T1388,13,FALSE)&amp;","&amp;IF($B$3="MiSeq",MID(VLOOKUP(D28,'Controle de Preparo'!D1:T1388,14,FALSE),1,$B$4),MID(VLOOKUP(D28,'Controle de Preparo'!D1:T1388,16,FALSE),1,$B$4))&amp;","&amp;F28&amp;","&amp;SUBSTITUTE(SUBSTITUTE(E28,".","")," ","_"),"")</f>
        <v/>
      </c>
    </row>
    <row r="29" spans="4:36" x14ac:dyDescent="0.3">
      <c r="D29" s="115"/>
      <c r="E29" s="116" t="str">
        <f ca="1">_xlfn.IFNA(VLOOKUP(D29,'Controle de Preparo'!D1:T1388,2,FALSE),"")</f>
        <v/>
      </c>
      <c r="F29" s="116" t="str">
        <f ca="1">_xlfn.IFNA(VLOOKUP(D29,'Controle de Preparo'!D1:T1388,3,FALSE),"")</f>
        <v/>
      </c>
      <c r="G29" s="66" t="str">
        <f ca="1">IF(_xlfn.IFNA(VLOOKUP(D29,CHOOSE({1,2},'Controle de Preparo'!D1:D1388,'Controle de Preparo'!A1:A1388),2,FALSE),"")&lt;&gt;0,_xlfn.IFNA(VLOOKUP(D29,CHOOSE({1,2},'Controle de Preparo'!D1:D1388,'Controle de Preparo'!A1:A1388),2,FALSE),""),"")</f>
        <v/>
      </c>
      <c r="H29" s="116" t="str">
        <f ca="1">IF(_xlfn.IFNA(VLOOKUP(D29,CHOOSE({1,2},'Controle de Preparo'!D1:D1388,'Controle de Preparo'!C1:C1388),2,FALSE),"")&lt;&gt;0,_xlfn.IFNA(VLOOKUP(D29,CHOOSE({1,2},'Controle de Preparo'!D1:D1388,'Controle de Preparo'!C1:C1388),2,FALSE),""),"")</f>
        <v/>
      </c>
      <c r="I29" s="116" t="str">
        <f ca="1">_xlfn.IFNA(VLOOKUP(D29,'Controle de Preparo'!D1:T1388,10,FALSE),"")</f>
        <v/>
      </c>
      <c r="J29" s="67"/>
      <c r="K29" s="67"/>
      <c r="L29" s="67"/>
      <c r="M29" s="116" t="str">
        <f t="shared" ca="1" si="0"/>
        <v/>
      </c>
      <c r="N29" s="118" t="str">
        <f ca="1">_xlfn.IFNA(MID(VLOOKUP(D29,'Controle de Preparo'!D1:T1388,12,FALSE),1,$B$4)&amp;MID(VLOOKUP(D29,'Controle de Preparo'!D1:T1388,14,FALSE),1,$B$4),"")</f>
        <v/>
      </c>
      <c r="O29" s="68" t="str">
        <f ca="1">_xlfn.IFNA(D29&amp;","&amp;SUBSTITUTE(G29," ","_")&amp;","&amp;H29&amp;","&amp;VLOOKUP(D29,'Controle de Preparo'!D1:T1388,7,FALSE)&amp;","&amp;VLOOKUP(D29,'Controle de Preparo'!D1:T1388,9,FALSE)&amp;","&amp;VLOOKUP(D29,'Controle de Preparo'!D1:T1388,11,FALSE)&amp;","&amp;MID(VLOOKUP(D29,'Controle de Preparo'!D1:T1388,12,FALSE),1,$B$4)&amp;","&amp;VLOOKUP(D29,'Controle de Preparo'!D1:T1388,13,FALSE)&amp;","&amp;IF($B$3="MiSeq",MID(VLOOKUP(D29,'Controle de Preparo'!D1:T1388,14,FALSE),1,$B$4),MID(VLOOKUP(D29,'Controle de Preparo'!D1:T1388,16,FALSE),1,$B$4))&amp;","&amp;F29&amp;","&amp;SUBSTITUTE(SUBSTITUTE(E29,".","")," ","_"),"")</f>
        <v/>
      </c>
    </row>
    <row r="30" spans="4:36" x14ac:dyDescent="0.3">
      <c r="D30" s="115"/>
      <c r="E30" s="116" t="str">
        <f ca="1">_xlfn.IFNA(VLOOKUP(D30,'Controle de Preparo'!D1:T1388,2,FALSE),"")</f>
        <v/>
      </c>
      <c r="F30" s="116" t="str">
        <f ca="1">_xlfn.IFNA(VLOOKUP(D30,'Controle de Preparo'!D1:T1388,3,FALSE),"")</f>
        <v/>
      </c>
      <c r="G30" s="66" t="str">
        <f ca="1">IF(_xlfn.IFNA(VLOOKUP(D30,CHOOSE({1,2},'Controle de Preparo'!D1:D1388,'Controle de Preparo'!A1:A1388),2,FALSE),"")&lt;&gt;0,_xlfn.IFNA(VLOOKUP(D30,CHOOSE({1,2},'Controle de Preparo'!D1:D1388,'Controle de Preparo'!A1:A1388),2,FALSE),""),"")</f>
        <v/>
      </c>
      <c r="H30" s="116" t="str">
        <f ca="1">IF(_xlfn.IFNA(VLOOKUP(D30,CHOOSE({1,2},'Controle de Preparo'!D1:D1388,'Controle de Preparo'!C1:C1388),2,FALSE),"")&lt;&gt;0,_xlfn.IFNA(VLOOKUP(D30,CHOOSE({1,2},'Controle de Preparo'!D1:D1388,'Controle de Preparo'!C1:C1388),2,FALSE),""),"")</f>
        <v/>
      </c>
      <c r="I30" s="116" t="str">
        <f ca="1">_xlfn.IFNA(VLOOKUP(D30,'Controle de Preparo'!D1:T1388,10,FALSE),"")</f>
        <v/>
      </c>
      <c r="J30" s="67"/>
      <c r="K30" s="67"/>
      <c r="L30" s="67"/>
      <c r="M30" s="116" t="str">
        <f t="shared" ca="1" si="0"/>
        <v/>
      </c>
      <c r="N30" s="118" t="str">
        <f ca="1">_xlfn.IFNA(MID(VLOOKUP(D30,'Controle de Preparo'!D1:T1388,12,FALSE),1,$B$4)&amp;MID(VLOOKUP(D30,'Controle de Preparo'!D1:T1388,14,FALSE),1,$B$4),"")</f>
        <v/>
      </c>
      <c r="O30" s="68" t="str">
        <f ca="1">_xlfn.IFNA(D30&amp;","&amp;SUBSTITUTE(G30," ","_")&amp;","&amp;H30&amp;","&amp;VLOOKUP(D30,'Controle de Preparo'!D1:T1388,7,FALSE)&amp;","&amp;VLOOKUP(D30,'Controle de Preparo'!D1:T1388,9,FALSE)&amp;","&amp;VLOOKUP(D30,'Controle de Preparo'!D1:T1388,11,FALSE)&amp;","&amp;MID(VLOOKUP(D30,'Controle de Preparo'!D1:T1388,12,FALSE),1,$B$4)&amp;","&amp;VLOOKUP(D30,'Controle de Preparo'!D1:T1388,13,FALSE)&amp;","&amp;IF($B$3="MiSeq",MID(VLOOKUP(D30,'Controle de Preparo'!D1:T1388,14,FALSE),1,$B$4),MID(VLOOKUP(D30,'Controle de Preparo'!D1:T1388,16,FALSE),1,$B$4))&amp;","&amp;F30&amp;","&amp;SUBSTITUTE(SUBSTITUTE(E30,".","")," ","_"),"")</f>
        <v/>
      </c>
    </row>
    <row r="31" spans="4:36" x14ac:dyDescent="0.3">
      <c r="D31" s="115"/>
      <c r="E31" s="116" t="str">
        <f ca="1">_xlfn.IFNA(VLOOKUP(D31,'Controle de Preparo'!D1:T1388,2,FALSE),"")</f>
        <v/>
      </c>
      <c r="F31" s="116" t="str">
        <f ca="1">_xlfn.IFNA(VLOOKUP(D31,'Controle de Preparo'!D1:T1388,3,FALSE),"")</f>
        <v/>
      </c>
      <c r="G31" s="66" t="str">
        <f ca="1">IF(_xlfn.IFNA(VLOOKUP(D31,CHOOSE({1,2},'Controle de Preparo'!D1:D1388,'Controle de Preparo'!A1:A1388),2,FALSE),"")&lt;&gt;0,_xlfn.IFNA(VLOOKUP(D31,CHOOSE({1,2},'Controle de Preparo'!D1:D1388,'Controle de Preparo'!A1:A1388),2,FALSE),""),"")</f>
        <v/>
      </c>
      <c r="H31" s="116" t="str">
        <f ca="1">IF(_xlfn.IFNA(VLOOKUP(D31,CHOOSE({1,2},'Controle de Preparo'!D1:D1388,'Controle de Preparo'!C1:C1388),2,FALSE),"")&lt;&gt;0,_xlfn.IFNA(VLOOKUP(D31,CHOOSE({1,2},'Controle de Preparo'!D1:D1388,'Controle de Preparo'!C1:C1388),2,FALSE),""),"")</f>
        <v/>
      </c>
      <c r="I31" s="116" t="str">
        <f ca="1">_xlfn.IFNA(VLOOKUP(D31,'Controle de Preparo'!D1:T1388,10,FALSE),"")</f>
        <v/>
      </c>
      <c r="J31" s="67"/>
      <c r="K31" s="67"/>
      <c r="L31" s="67"/>
      <c r="M31" s="116" t="str">
        <f t="shared" ca="1" si="0"/>
        <v/>
      </c>
      <c r="N31" s="118" t="str">
        <f ca="1">_xlfn.IFNA(MID(VLOOKUP(D31,'Controle de Preparo'!D1:T1388,12,FALSE),1,$B$4)&amp;MID(VLOOKUP(D31,'Controle de Preparo'!D1:T1388,14,FALSE),1,$B$4),"")</f>
        <v/>
      </c>
      <c r="O31" s="68" t="str">
        <f ca="1">_xlfn.IFNA(D31&amp;","&amp;SUBSTITUTE(G31," ","_")&amp;","&amp;H31&amp;","&amp;VLOOKUP(D31,'Controle de Preparo'!D1:T1388,7,FALSE)&amp;","&amp;VLOOKUP(D31,'Controle de Preparo'!D1:T1388,9,FALSE)&amp;","&amp;VLOOKUP(D31,'Controle de Preparo'!D1:T1388,11,FALSE)&amp;","&amp;MID(VLOOKUP(D31,'Controle de Preparo'!D1:T1388,12,FALSE),1,$B$4)&amp;","&amp;VLOOKUP(D31,'Controle de Preparo'!D1:T1388,13,FALSE)&amp;","&amp;IF($B$3="MiSeq",MID(VLOOKUP(D31,'Controle de Preparo'!D1:T1388,14,FALSE),1,$B$4),MID(VLOOKUP(D31,'Controle de Preparo'!D1:T1388,16,FALSE),1,$B$4))&amp;","&amp;F31&amp;","&amp;SUBSTITUTE(SUBSTITUTE(E31,".","")," ","_"),"")</f>
        <v/>
      </c>
    </row>
    <row r="32" spans="4:36" x14ac:dyDescent="0.3">
      <c r="D32" s="115"/>
      <c r="E32" s="116" t="str">
        <f ca="1">_xlfn.IFNA(VLOOKUP(D32,'Controle de Preparo'!D1:T1388,2,FALSE),"")</f>
        <v/>
      </c>
      <c r="F32" s="116" t="str">
        <f ca="1">_xlfn.IFNA(VLOOKUP(D32,'Controle de Preparo'!D1:T1388,3,FALSE),"")</f>
        <v/>
      </c>
      <c r="G32" s="66" t="str">
        <f ca="1">IF(_xlfn.IFNA(VLOOKUP(D32,CHOOSE({1,2},'Controle de Preparo'!D1:D1388,'Controle de Preparo'!A1:A1388),2,FALSE),"")&lt;&gt;0,_xlfn.IFNA(VLOOKUP(D32,CHOOSE({1,2},'Controle de Preparo'!D1:D1388,'Controle de Preparo'!A1:A1388),2,FALSE),""),"")</f>
        <v/>
      </c>
      <c r="H32" s="116" t="str">
        <f ca="1">IF(_xlfn.IFNA(VLOOKUP(D32,CHOOSE({1,2},'Controle de Preparo'!D1:D1388,'Controle de Preparo'!C1:C1388),2,FALSE),"")&lt;&gt;0,_xlfn.IFNA(VLOOKUP(D32,CHOOSE({1,2},'Controle de Preparo'!D1:D1388,'Controle de Preparo'!C1:C1388),2,FALSE),""),"")</f>
        <v/>
      </c>
      <c r="I32" s="116" t="str">
        <f ca="1">_xlfn.IFNA(VLOOKUP(D32,'Controle de Preparo'!D1:T1388,10,FALSE),"")</f>
        <v/>
      </c>
      <c r="J32" s="67"/>
      <c r="K32" s="67"/>
      <c r="L32" s="67"/>
      <c r="M32" s="116" t="str">
        <f t="shared" ca="1" si="0"/>
        <v/>
      </c>
      <c r="N32" s="118" t="str">
        <f ca="1">_xlfn.IFNA(MID(VLOOKUP(D32,'Controle de Preparo'!D1:T1388,12,FALSE),1,$B$4)&amp;MID(VLOOKUP(D32,'Controle de Preparo'!D1:T1388,14,FALSE),1,$B$4),"")</f>
        <v/>
      </c>
      <c r="O32" s="68" t="str">
        <f ca="1">_xlfn.IFNA(D32&amp;","&amp;SUBSTITUTE(G32," ","_")&amp;","&amp;H32&amp;","&amp;VLOOKUP(D32,'Controle de Preparo'!D1:T1388,7,FALSE)&amp;","&amp;VLOOKUP(D32,'Controle de Preparo'!D1:T1388,9,FALSE)&amp;","&amp;VLOOKUP(D32,'Controle de Preparo'!D1:T1388,11,FALSE)&amp;","&amp;MID(VLOOKUP(D32,'Controle de Preparo'!D1:T1388,12,FALSE),1,$B$4)&amp;","&amp;VLOOKUP(D32,'Controle de Preparo'!D1:T1388,13,FALSE)&amp;","&amp;IF($B$3="MiSeq",MID(VLOOKUP(D32,'Controle de Preparo'!D1:T1388,14,FALSE),1,$B$4),MID(VLOOKUP(D32,'Controle de Preparo'!D1:T1388,16,FALSE),1,$B$4))&amp;","&amp;F32&amp;","&amp;SUBSTITUTE(SUBSTITUTE(E32,".","")," ","_"),"")</f>
        <v/>
      </c>
    </row>
    <row r="33" spans="4:28" x14ac:dyDescent="0.3">
      <c r="D33" s="115"/>
      <c r="E33" s="116" t="str">
        <f ca="1">_xlfn.IFNA(VLOOKUP(D33,'Controle de Preparo'!D1:T1388,2,FALSE),"")</f>
        <v/>
      </c>
      <c r="F33" s="116" t="str">
        <f ca="1">_xlfn.IFNA(VLOOKUP(D33,'Controle de Preparo'!D1:T1388,3,FALSE),"")</f>
        <v/>
      </c>
      <c r="G33" s="66" t="str">
        <f ca="1">IF(_xlfn.IFNA(VLOOKUP(D33,CHOOSE({1,2},'Controle de Preparo'!D1:D1388,'Controle de Preparo'!A1:A1388),2,FALSE),"")&lt;&gt;0,_xlfn.IFNA(VLOOKUP(D33,CHOOSE({1,2},'Controle de Preparo'!D1:D1388,'Controle de Preparo'!A1:A1388),2,FALSE),""),"")</f>
        <v/>
      </c>
      <c r="H33" s="116" t="str">
        <f ca="1">IF(_xlfn.IFNA(VLOOKUP(D33,CHOOSE({1,2},'Controle de Preparo'!D1:D1388,'Controle de Preparo'!C1:C1388),2,FALSE),"")&lt;&gt;0,_xlfn.IFNA(VLOOKUP(D33,CHOOSE({1,2},'Controle de Preparo'!D1:D1388,'Controle de Preparo'!C1:C1388),2,FALSE),""),"")</f>
        <v/>
      </c>
      <c r="I33" s="116" t="str">
        <f ca="1">_xlfn.IFNA(VLOOKUP(D33,'Controle de Preparo'!D1:T1388,10,FALSE),"")</f>
        <v/>
      </c>
      <c r="J33" s="67"/>
      <c r="K33" s="67"/>
      <c r="L33" s="67"/>
      <c r="M33" s="116" t="str">
        <f t="shared" ca="1" si="0"/>
        <v/>
      </c>
      <c r="N33" s="118" t="str">
        <f ca="1">_xlfn.IFNA(MID(VLOOKUP(D33,'Controle de Preparo'!D1:T1388,12,FALSE),1,$B$4)&amp;MID(VLOOKUP(D33,'Controle de Preparo'!D1:T1388,14,FALSE),1,$B$4),"")</f>
        <v/>
      </c>
      <c r="O33" s="68" t="str">
        <f ca="1">_xlfn.IFNA(D33&amp;","&amp;SUBSTITUTE(G33," ","_")&amp;","&amp;H33&amp;","&amp;VLOOKUP(D33,'Controle de Preparo'!D1:T1388,7,FALSE)&amp;","&amp;VLOOKUP(D33,'Controle de Preparo'!D1:T1388,9,FALSE)&amp;","&amp;VLOOKUP(D33,'Controle de Preparo'!D1:T1388,11,FALSE)&amp;","&amp;MID(VLOOKUP(D33,'Controle de Preparo'!D1:T1388,12,FALSE),1,$B$4)&amp;","&amp;VLOOKUP(D33,'Controle de Preparo'!D1:T1388,13,FALSE)&amp;","&amp;IF($B$3="MiSeq",MID(VLOOKUP(D33,'Controle de Preparo'!D1:T1388,14,FALSE),1,$B$4),MID(VLOOKUP(D33,'Controle de Preparo'!D1:T1388,16,FALSE),1,$B$4))&amp;","&amp;F33&amp;","&amp;SUBSTITUTE(SUBSTITUTE(E33,".","")," ","_"),"")</f>
        <v/>
      </c>
    </row>
    <row r="34" spans="4:28" ht="19.5" thickBot="1" x14ac:dyDescent="0.35">
      <c r="D34" s="115"/>
      <c r="E34" s="116" t="str">
        <f ca="1">_xlfn.IFNA(VLOOKUP(D34,'Controle de Preparo'!D1:T1388,2,FALSE),"")</f>
        <v/>
      </c>
      <c r="F34" s="116" t="str">
        <f ca="1">_xlfn.IFNA(VLOOKUP(D34,'Controle de Preparo'!D1:T1388,3,FALSE),"")</f>
        <v/>
      </c>
      <c r="G34" s="66" t="str">
        <f ca="1">IF(_xlfn.IFNA(VLOOKUP(D34,CHOOSE({1,2},'Controle de Preparo'!D1:D1388,'Controle de Preparo'!A1:A1388),2,FALSE),"")&lt;&gt;0,_xlfn.IFNA(VLOOKUP(D34,CHOOSE({1,2},'Controle de Preparo'!D1:D1388,'Controle de Preparo'!A1:A1388),2,FALSE),""),"")</f>
        <v/>
      </c>
      <c r="H34" s="116" t="str">
        <f ca="1">IF(_xlfn.IFNA(VLOOKUP(D34,CHOOSE({1,2},'Controle de Preparo'!D1:D1388,'Controle de Preparo'!C1:C1388),2,FALSE),"")&lt;&gt;0,_xlfn.IFNA(VLOOKUP(D34,CHOOSE({1,2},'Controle de Preparo'!D1:D1388,'Controle de Preparo'!C1:C1388),2,FALSE),""),"")</f>
        <v/>
      </c>
      <c r="I34" s="116" t="str">
        <f ca="1">_xlfn.IFNA(VLOOKUP(D34,'Controle de Preparo'!D1:T1388,10,FALSE),"")</f>
        <v/>
      </c>
      <c r="J34" s="67"/>
      <c r="K34" s="67"/>
      <c r="L34" s="67"/>
      <c r="M34" s="116" t="str">
        <f t="shared" ca="1" si="0"/>
        <v/>
      </c>
      <c r="N34" s="118" t="str">
        <f ca="1">_xlfn.IFNA(MID(VLOOKUP(D34,'Controle de Preparo'!D1:T1388,12,FALSE),1,$B$4)&amp;MID(VLOOKUP(D34,'Controle de Preparo'!D1:T1388,14,FALSE),1,$B$4),"")</f>
        <v/>
      </c>
      <c r="O34" s="68" t="str">
        <f ca="1">_xlfn.IFNA(D34&amp;","&amp;SUBSTITUTE(G34," ","_")&amp;","&amp;H34&amp;","&amp;VLOOKUP(D34,'Controle de Preparo'!D1:T1388,7,FALSE)&amp;","&amp;VLOOKUP(D34,'Controle de Preparo'!D1:T1388,9,FALSE)&amp;","&amp;VLOOKUP(D34,'Controle de Preparo'!D1:T1388,11,FALSE)&amp;","&amp;MID(VLOOKUP(D34,'Controle de Preparo'!D1:T1388,12,FALSE),1,$B$4)&amp;","&amp;VLOOKUP(D34,'Controle de Preparo'!D1:T1388,13,FALSE)&amp;","&amp;IF($B$3="MiSeq",MID(VLOOKUP(D34,'Controle de Preparo'!D1:T1388,14,FALSE),1,$B$4),MID(VLOOKUP(D34,'Controle de Preparo'!D1:T1388,16,FALSE),1,$B$4))&amp;","&amp;F34&amp;","&amp;SUBSTITUTE(SUBSTITUTE(E34,".","")," ","_"),"")</f>
        <v/>
      </c>
    </row>
    <row r="35" spans="4:28" ht="19.5" thickBot="1" x14ac:dyDescent="0.35">
      <c r="D35" s="115"/>
      <c r="E35" s="116" t="str">
        <f ca="1">_xlfn.IFNA(VLOOKUP(D35,'Controle de Preparo'!D1:T1388,2,FALSE),"")</f>
        <v/>
      </c>
      <c r="F35" s="116" t="str">
        <f ca="1">_xlfn.IFNA(VLOOKUP(D35,'Controle de Preparo'!D1:T1388,3,FALSE),"")</f>
        <v/>
      </c>
      <c r="G35" s="66" t="str">
        <f ca="1">IF(_xlfn.IFNA(VLOOKUP(D35,CHOOSE({1,2},'Controle de Preparo'!D1:D1388,'Controle de Preparo'!A1:A1388),2,FALSE),"")&lt;&gt;0,_xlfn.IFNA(VLOOKUP(D35,CHOOSE({1,2},'Controle de Preparo'!D1:D1388,'Controle de Preparo'!A1:A1388),2,FALSE),""),"")</f>
        <v/>
      </c>
      <c r="H35" s="116" t="str">
        <f ca="1">IF(_xlfn.IFNA(VLOOKUP(D35,CHOOSE({1,2},'Controle de Preparo'!D1:D1388,'Controle de Preparo'!C1:C1388),2,FALSE),"")&lt;&gt;0,_xlfn.IFNA(VLOOKUP(D35,CHOOSE({1,2},'Controle de Preparo'!D1:D1388,'Controle de Preparo'!C1:C1388),2,FALSE),""),"")</f>
        <v/>
      </c>
      <c r="I35" s="116" t="str">
        <f ca="1">_xlfn.IFNA(VLOOKUP(D35,'Controle de Preparo'!D1:T1388,10,FALSE),"")</f>
        <v/>
      </c>
      <c r="J35" s="67"/>
      <c r="K35" s="67"/>
      <c r="L35" s="67"/>
      <c r="M35" s="116" t="str">
        <f t="shared" ca="1" si="0"/>
        <v/>
      </c>
      <c r="N35" s="118" t="str">
        <f ca="1">_xlfn.IFNA(MID(VLOOKUP(D35,'Controle de Preparo'!D1:T1388,12,FALSE),1,$B$4)&amp;MID(VLOOKUP(D35,'Controle de Preparo'!D1:T1388,14,FALSE),1,$B$4),"")</f>
        <v/>
      </c>
      <c r="O35" s="68" t="str">
        <f ca="1">_xlfn.IFNA(D35&amp;","&amp;SUBSTITUTE(G35," ","_")&amp;","&amp;H35&amp;","&amp;VLOOKUP(D35,'Controle de Preparo'!D1:T1388,7,FALSE)&amp;","&amp;VLOOKUP(D35,'Controle de Preparo'!D1:T1388,9,FALSE)&amp;","&amp;VLOOKUP(D35,'Controle de Preparo'!D1:T1388,11,FALSE)&amp;","&amp;MID(VLOOKUP(D35,'Controle de Preparo'!D1:T1388,12,FALSE),1,$B$4)&amp;","&amp;VLOOKUP(D35,'Controle de Preparo'!D1:T1388,13,FALSE)&amp;","&amp;IF($B$3="MiSeq",MID(VLOOKUP(D35,'Controle de Preparo'!D1:T1388,14,FALSE),1,$B$4),MID(VLOOKUP(D35,'Controle de Preparo'!D1:T1388,16,FALSE),1,$B$4))&amp;","&amp;F35&amp;","&amp;SUBSTITUTE(SUBSTITUTE(E35,".","")," ","_"),"")</f>
        <v/>
      </c>
      <c r="Q35" s="69" t="s">
        <v>65</v>
      </c>
      <c r="R35" s="70"/>
      <c r="S35" s="70"/>
      <c r="T35" s="70"/>
      <c r="U35" s="70"/>
      <c r="V35" s="71"/>
      <c r="X35" s="91" t="s">
        <v>66</v>
      </c>
      <c r="Y35" s="92">
        <f>_xlfn.IFNA(VLOOKUP($B$8,Database!Y1:Z50,2,FALSE),"")</f>
        <v>2.1</v>
      </c>
      <c r="Z35" s="91" t="s">
        <v>67</v>
      </c>
      <c r="AA35" s="93" t="s">
        <v>68</v>
      </c>
      <c r="AB35" s="94">
        <f>_xlfn.IFNA(VLOOKUP($B$3,Database!AE1:AF10,2,FALSE),"")</f>
        <v>500</v>
      </c>
    </row>
    <row r="36" spans="4:28" ht="19.5" thickBot="1" x14ac:dyDescent="0.35">
      <c r="D36" s="115"/>
      <c r="E36" s="116" t="str">
        <f ca="1">_xlfn.IFNA(VLOOKUP(D36,'Controle de Preparo'!D1:T1388,2,FALSE),"")</f>
        <v/>
      </c>
      <c r="F36" s="116" t="str">
        <f ca="1">_xlfn.IFNA(VLOOKUP(D36,'Controle de Preparo'!D1:T1388,3,FALSE),"")</f>
        <v/>
      </c>
      <c r="G36" s="66" t="str">
        <f ca="1">IF(_xlfn.IFNA(VLOOKUP(D36,CHOOSE({1,2},'Controle de Preparo'!D1:D1388,'Controle de Preparo'!A1:A1388),2,FALSE),"")&lt;&gt;0,_xlfn.IFNA(VLOOKUP(D36,CHOOSE({1,2},'Controle de Preparo'!D1:D1388,'Controle de Preparo'!A1:A1388),2,FALSE),""),"")</f>
        <v/>
      </c>
      <c r="H36" s="116" t="str">
        <f ca="1">IF(_xlfn.IFNA(VLOOKUP(D36,CHOOSE({1,2},'Controle de Preparo'!D1:D1388,'Controle de Preparo'!C1:C1388),2,FALSE),"")&lt;&gt;0,_xlfn.IFNA(VLOOKUP(D36,CHOOSE({1,2},'Controle de Preparo'!D1:D1388,'Controle de Preparo'!C1:C1388),2,FALSE),""),"")</f>
        <v/>
      </c>
      <c r="I36" s="116" t="str">
        <f ca="1">_xlfn.IFNA(VLOOKUP(D36,'Controle de Preparo'!D1:T1388,10,FALSE),"")</f>
        <v/>
      </c>
      <c r="J36" s="67"/>
      <c r="K36" s="67"/>
      <c r="L36" s="67"/>
      <c r="M36" s="116" t="str">
        <f t="shared" ca="1" si="0"/>
        <v/>
      </c>
      <c r="N36" s="118" t="str">
        <f ca="1">_xlfn.IFNA(MID(VLOOKUP(D36,'Controle de Preparo'!D1:T1388,12,FALSE),1,$B$4)&amp;MID(VLOOKUP(D36,'Controle de Preparo'!D1:T1388,14,FALSE),1,$B$4),"")</f>
        <v/>
      </c>
      <c r="O36" s="68" t="str">
        <f ca="1">_xlfn.IFNA(D36&amp;","&amp;SUBSTITUTE(G36," ","_")&amp;","&amp;H36&amp;","&amp;VLOOKUP(D36,'Controle de Preparo'!D1:T1388,7,FALSE)&amp;","&amp;VLOOKUP(D36,'Controle de Preparo'!D1:T1388,9,FALSE)&amp;","&amp;VLOOKUP(D36,'Controle de Preparo'!D1:T1388,11,FALSE)&amp;","&amp;MID(VLOOKUP(D36,'Controle de Preparo'!D1:T1388,12,FALSE),1,$B$4)&amp;","&amp;VLOOKUP(D36,'Controle de Preparo'!D1:T1388,13,FALSE)&amp;","&amp;IF($B$3="MiSeq",MID(VLOOKUP(D36,'Controle de Preparo'!D1:T1388,14,FALSE),1,$B$4),MID(VLOOKUP(D36,'Controle de Preparo'!D1:T1388,16,FALSE),1,$B$4))&amp;","&amp;F36&amp;","&amp;SUBSTITUTE(SUBSTITUTE(E36,".","")," ","_"),"")</f>
        <v/>
      </c>
      <c r="Q36" s="73" t="s">
        <v>56</v>
      </c>
      <c r="R36" s="119">
        <v>1000</v>
      </c>
      <c r="T36" s="79" t="s">
        <v>55</v>
      </c>
      <c r="U36" s="77"/>
      <c r="V36" s="75"/>
      <c r="X36" s="95" t="s">
        <v>69</v>
      </c>
      <c r="Y36" s="96" t="s">
        <v>70</v>
      </c>
      <c r="Z36" s="97" t="s">
        <v>71</v>
      </c>
      <c r="AA36" s="97" t="s">
        <v>72</v>
      </c>
      <c r="AB36" s="98" t="s">
        <v>73</v>
      </c>
    </row>
    <row r="37" spans="4:28" ht="19.5" thickBot="1" x14ac:dyDescent="0.35">
      <c r="D37" s="115"/>
      <c r="E37" s="116" t="str">
        <f ca="1">_xlfn.IFNA(VLOOKUP(D37,'Controle de Preparo'!D1:T1388,2,FALSE),"")</f>
        <v/>
      </c>
      <c r="F37" s="116" t="str">
        <f ca="1">_xlfn.IFNA(VLOOKUP(D37,'Controle de Preparo'!D1:T1388,3,FALSE),"")</f>
        <v/>
      </c>
      <c r="G37" s="66" t="str">
        <f ca="1">IF(_xlfn.IFNA(VLOOKUP(D37,CHOOSE({1,2},'Controle de Preparo'!D1:D1388,'Controle de Preparo'!A1:A1388),2,FALSE),"")&lt;&gt;0,_xlfn.IFNA(VLOOKUP(D37,CHOOSE({1,2},'Controle de Preparo'!D1:D1388,'Controle de Preparo'!A1:A1388),2,FALSE),""),"")</f>
        <v/>
      </c>
      <c r="H37" s="116" t="str">
        <f ca="1">IF(_xlfn.IFNA(VLOOKUP(D37,CHOOSE({1,2},'Controle de Preparo'!D1:D1388,'Controle de Preparo'!C1:C1388),2,FALSE),"")&lt;&gt;0,_xlfn.IFNA(VLOOKUP(D37,CHOOSE({1,2},'Controle de Preparo'!D1:D1388,'Controle de Preparo'!C1:C1388),2,FALSE),""),"")</f>
        <v/>
      </c>
      <c r="I37" s="116" t="str">
        <f ca="1">_xlfn.IFNA(VLOOKUP(D37,'Controle de Preparo'!D1:T1388,10,FALSE),"")</f>
        <v/>
      </c>
      <c r="J37" s="67"/>
      <c r="K37" s="67"/>
      <c r="L37" s="67"/>
      <c r="M37" s="116" t="str">
        <f t="shared" ca="1" si="0"/>
        <v/>
      </c>
      <c r="N37" s="118" t="str">
        <f ca="1">_xlfn.IFNA(MID(VLOOKUP(D37,'Controle de Preparo'!D1:T1388,12,FALSE),1,$B$4)&amp;MID(VLOOKUP(D37,'Controle de Preparo'!D1:T1388,14,FALSE),1,$B$4),"")</f>
        <v/>
      </c>
      <c r="O37" s="68" t="str">
        <f ca="1">_xlfn.IFNA(D37&amp;","&amp;SUBSTITUTE(G37," ","_")&amp;","&amp;H37&amp;","&amp;VLOOKUP(D37,'Controle de Preparo'!D1:T1388,7,FALSE)&amp;","&amp;VLOOKUP(D37,'Controle de Preparo'!D1:T1388,9,FALSE)&amp;","&amp;VLOOKUP(D37,'Controle de Preparo'!D1:T1388,11,FALSE)&amp;","&amp;MID(VLOOKUP(D37,'Controle de Preparo'!D1:T1388,12,FALSE),1,$B$4)&amp;","&amp;VLOOKUP(D37,'Controle de Preparo'!D1:T1388,13,FALSE)&amp;","&amp;IF($B$3="MiSeq",MID(VLOOKUP(D37,'Controle de Preparo'!D1:T1388,14,FALSE),1,$B$4),MID(VLOOKUP(D37,'Controle de Preparo'!D1:T1388,16,FALSE),1,$B$4))&amp;","&amp;F37&amp;","&amp;SUBSTITUTE(SUBSTITUTE(E37,".","")," ","_"),"")</f>
        <v/>
      </c>
      <c r="Q37" s="73" t="s">
        <v>57</v>
      </c>
      <c r="R37" s="119">
        <v>100</v>
      </c>
      <c r="T37" s="80">
        <f>IFERROR((R38*R37)/R36,"0")</f>
        <v>2</v>
      </c>
      <c r="U37" s="82" t="s">
        <v>6</v>
      </c>
      <c r="V37" s="75"/>
      <c r="X37" s="99" t="str" cm="1">
        <f t="array" aca="1" ref="X37" ca="1">IFERROR(_xlfn._xlws.SORT(_xlfn.UNIQUE(_xlfn._xlws.FILTER(F2:F46,F2:F46&lt;&gt;""),FALSE,FALSE),1,1),"")</f>
        <v/>
      </c>
      <c r="Y37" s="100" t="str">
        <f ca="1">_xlfn.IFNA(VLOOKUP(X37,Database!$AB$1:$AC$7,2,FALSE),"")</f>
        <v/>
      </c>
      <c r="Z37" s="27" t="str">
        <f ca="1">IF(COUNTIF($F$2:$F$46,"="&amp;X37)&lt;&gt;0,COUNTIF($F$2:$F$46,"="&amp;X37),"")</f>
        <v/>
      </c>
      <c r="AA37" s="101" t="str">
        <f t="shared" ref="AA37:AA43" ca="1" si="1">IFERROR(Z37*Y37/$Y$35,"")</f>
        <v/>
      </c>
      <c r="AB37" s="102" t="str">
        <f t="shared" ref="AB37:AB43" ca="1" si="2">IFERROR(AA37/SUM($AA$37:$AA$43)*($AB$35-$AB$44),"")</f>
        <v/>
      </c>
    </row>
    <row r="38" spans="4:28" ht="19.5" thickBot="1" x14ac:dyDescent="0.35">
      <c r="D38" s="115"/>
      <c r="E38" s="116" t="str">
        <f ca="1">_xlfn.IFNA(VLOOKUP(D38,'Controle de Preparo'!D1:T1388,2,FALSE),"")</f>
        <v/>
      </c>
      <c r="F38" s="116" t="str">
        <f ca="1">_xlfn.IFNA(VLOOKUP(D38,'Controle de Preparo'!D1:T1388,3,FALSE),"")</f>
        <v/>
      </c>
      <c r="G38" s="66" t="str">
        <f ca="1">IF(_xlfn.IFNA(VLOOKUP(D38,CHOOSE({1,2},'Controle de Preparo'!D1:D1388,'Controle de Preparo'!A1:A1388),2,FALSE),"")&lt;&gt;0,_xlfn.IFNA(VLOOKUP(D38,CHOOSE({1,2},'Controle de Preparo'!D1:D1388,'Controle de Preparo'!A1:A1388),2,FALSE),""),"")</f>
        <v/>
      </c>
      <c r="H38" s="116" t="str">
        <f ca="1">IF(_xlfn.IFNA(VLOOKUP(D38,CHOOSE({1,2},'Controle de Preparo'!D1:D1388,'Controle de Preparo'!C1:C1388),2,FALSE),"")&lt;&gt;0,_xlfn.IFNA(VLOOKUP(D38,CHOOSE({1,2},'Controle de Preparo'!D1:D1388,'Controle de Preparo'!C1:C1388),2,FALSE),""),"")</f>
        <v/>
      </c>
      <c r="I38" s="116" t="str">
        <f ca="1">_xlfn.IFNA(VLOOKUP(D38,'Controle de Preparo'!D1:T1388,10,FALSE),"")</f>
        <v/>
      </c>
      <c r="J38" s="67"/>
      <c r="K38" s="67"/>
      <c r="L38" s="67"/>
      <c r="M38" s="116" t="str">
        <f t="shared" ca="1" si="0"/>
        <v/>
      </c>
      <c r="N38" s="118" t="str">
        <f ca="1">_xlfn.IFNA(MID(VLOOKUP(D38,'Controle de Preparo'!D1:T1388,12,FALSE),1,$B$4)&amp;MID(VLOOKUP(D38,'Controle de Preparo'!D1:T1388,14,FALSE),1,$B$4),"")</f>
        <v/>
      </c>
      <c r="O38" s="68" t="str">
        <f ca="1">_xlfn.IFNA(D38&amp;","&amp;SUBSTITUTE(G38," ","_")&amp;","&amp;H38&amp;","&amp;VLOOKUP(D38,'Controle de Preparo'!D1:T1388,7,FALSE)&amp;","&amp;VLOOKUP(D38,'Controle de Preparo'!D1:T1388,9,FALSE)&amp;","&amp;VLOOKUP(D38,'Controle de Preparo'!D1:T1388,11,FALSE)&amp;","&amp;MID(VLOOKUP(D38,'Controle de Preparo'!D1:T1388,12,FALSE),1,$B$4)&amp;","&amp;VLOOKUP(D38,'Controle de Preparo'!D1:T1388,13,FALSE)&amp;","&amp;IF($B$3="MiSeq",MID(VLOOKUP(D38,'Controle de Preparo'!D1:T1388,14,FALSE),1,$B$4),MID(VLOOKUP(D38,'Controle de Preparo'!D1:T1388,16,FALSE),1,$B$4))&amp;","&amp;F38&amp;","&amp;SUBSTITUTE(SUBSTITUTE(E38,".","")," ","_"),"")</f>
        <v/>
      </c>
      <c r="Q38" s="73" t="s">
        <v>60</v>
      </c>
      <c r="R38" s="80">
        <v>20</v>
      </c>
      <c r="S38" s="77"/>
      <c r="T38" s="80">
        <f>IFERROR(R38-T37,"")</f>
        <v>18</v>
      </c>
      <c r="U38" s="82" t="s">
        <v>44</v>
      </c>
      <c r="V38" s="78"/>
      <c r="X38" s="99"/>
      <c r="Y38" s="100" t="str">
        <f>_xlfn.IFNA(VLOOKUP(X38,Database!$AB$1:$AC$7,2,FALSE),"")</f>
        <v/>
      </c>
      <c r="Z38" s="27" t="str">
        <f ca="1">IF(COUNTIF($F$2:$F$46,"="&amp;X38)&lt;&gt;0,COUNTIF($F$2:$F$46,"="&amp;X38),"")</f>
        <v/>
      </c>
      <c r="AA38" s="101" t="str">
        <f t="shared" ca="1" si="1"/>
        <v/>
      </c>
      <c r="AB38" s="102" t="str">
        <f t="shared" ca="1" si="2"/>
        <v/>
      </c>
    </row>
    <row r="39" spans="4:28" ht="19.5" thickBot="1" x14ac:dyDescent="0.35">
      <c r="D39" s="115"/>
      <c r="E39" s="116" t="str">
        <f ca="1">_xlfn.IFNA(VLOOKUP(D39,'Controle de Preparo'!D1:T1388,2,FALSE),"")</f>
        <v/>
      </c>
      <c r="F39" s="116" t="str">
        <f ca="1">_xlfn.IFNA(VLOOKUP(D39,'Controle de Preparo'!D1:T1388,3,FALSE),"")</f>
        <v/>
      </c>
      <c r="G39" s="66" t="str">
        <f ca="1">IF(_xlfn.IFNA(VLOOKUP(D39,CHOOSE({1,2},'Controle de Preparo'!D1:D1388,'Controle de Preparo'!A1:A1388),2,FALSE),"")&lt;&gt;0,_xlfn.IFNA(VLOOKUP(D39,CHOOSE({1,2},'Controle de Preparo'!D1:D1388,'Controle de Preparo'!A1:A1388),2,FALSE),""),"")</f>
        <v/>
      </c>
      <c r="H39" s="116" t="str">
        <f ca="1">IF(_xlfn.IFNA(VLOOKUP(D39,CHOOSE({1,2},'Controle de Preparo'!D1:D1388,'Controle de Preparo'!C1:C1388),2,FALSE),"")&lt;&gt;0,_xlfn.IFNA(VLOOKUP(D39,CHOOSE({1,2},'Controle de Preparo'!D1:D1388,'Controle de Preparo'!C1:C1388),2,FALSE),""),"")</f>
        <v/>
      </c>
      <c r="I39" s="116" t="str">
        <f ca="1">_xlfn.IFNA(VLOOKUP(D39,'Controle de Preparo'!D1:T1388,10,FALSE),"")</f>
        <v/>
      </c>
      <c r="J39" s="67"/>
      <c r="K39" s="67"/>
      <c r="L39" s="67"/>
      <c r="M39" s="116" t="str">
        <f t="shared" ca="1" si="0"/>
        <v/>
      </c>
      <c r="N39" s="118" t="str">
        <f ca="1">_xlfn.IFNA(MID(VLOOKUP(D39,'Controle de Preparo'!D1:T1388,12,FALSE),1,$B$4)&amp;MID(VLOOKUP(D39,'Controle de Preparo'!D1:T1388,14,FALSE),1,$B$4),"")</f>
        <v/>
      </c>
      <c r="O39" s="68" t="str">
        <f ca="1">_xlfn.IFNA(D39&amp;","&amp;SUBSTITUTE(G39," ","_")&amp;","&amp;H39&amp;","&amp;VLOOKUP(D39,'Controle de Preparo'!D1:T1388,7,FALSE)&amp;","&amp;VLOOKUP(D39,'Controle de Preparo'!D1:T1388,9,FALSE)&amp;","&amp;VLOOKUP(D39,'Controle de Preparo'!D1:T1388,11,FALSE)&amp;","&amp;MID(VLOOKUP(D39,'Controle de Preparo'!D1:T1388,12,FALSE),1,$B$4)&amp;","&amp;VLOOKUP(D39,'Controle de Preparo'!D1:T1388,13,FALSE)&amp;","&amp;IF($B$3="MiSeq",MID(VLOOKUP(D39,'Controle de Preparo'!D1:T1388,14,FALSE),1,$B$4),MID(VLOOKUP(D39,'Controle de Preparo'!D1:T1388,16,FALSE),1,$B$4))&amp;","&amp;F39&amp;","&amp;SUBSTITUTE(SUBSTITUTE(E39,".","")," ","_"),"")</f>
        <v/>
      </c>
      <c r="Q39" s="85"/>
      <c r="R39" s="86"/>
      <c r="S39" s="86"/>
      <c r="T39" s="86"/>
      <c r="U39" s="86"/>
      <c r="V39" s="87"/>
      <c r="X39" s="99"/>
      <c r="Y39" s="100" t="str">
        <f>_xlfn.IFNA(VLOOKUP(X39,Database!$AB$1:$AC$7,2,FALSE),"")</f>
        <v/>
      </c>
      <c r="Z39" s="27" t="str">
        <f ca="1">IF(COUNTIF($F$2:$F$46,"="&amp;X39)&lt;&gt;0,COUNTIF($F$2:$F$46,"="&amp;X39),"")</f>
        <v/>
      </c>
      <c r="AA39" s="101" t="str">
        <f t="shared" ca="1" si="1"/>
        <v/>
      </c>
      <c r="AB39" s="102" t="str">
        <f t="shared" ca="1" si="2"/>
        <v/>
      </c>
    </row>
    <row r="40" spans="4:28" ht="19.5" thickBot="1" x14ac:dyDescent="0.35">
      <c r="D40" s="115"/>
      <c r="E40" s="116" t="str">
        <f ca="1">_xlfn.IFNA(VLOOKUP(D40,'Controle de Preparo'!D1:T1388,2,FALSE),"")</f>
        <v/>
      </c>
      <c r="F40" s="116" t="str">
        <f ca="1">_xlfn.IFNA(VLOOKUP(D40,'Controle de Preparo'!D1:T1388,3,FALSE),"")</f>
        <v/>
      </c>
      <c r="G40" s="66" t="str">
        <f ca="1">IF(_xlfn.IFNA(VLOOKUP(D40,CHOOSE({1,2},'Controle de Preparo'!D1:D1388,'Controle de Preparo'!A1:A1388),2,FALSE),"")&lt;&gt;0,_xlfn.IFNA(VLOOKUP(D40,CHOOSE({1,2},'Controle de Preparo'!D1:D1388,'Controle de Preparo'!A1:A1388),2,FALSE),""),"")</f>
        <v/>
      </c>
      <c r="H40" s="116" t="str">
        <f ca="1">IF(_xlfn.IFNA(VLOOKUP(D40,CHOOSE({1,2},'Controle de Preparo'!D1:D1388,'Controle de Preparo'!C1:C1388),2,FALSE),"")&lt;&gt;0,_xlfn.IFNA(VLOOKUP(D40,CHOOSE({1,2},'Controle de Preparo'!D1:D1388,'Controle de Preparo'!C1:C1388),2,FALSE),""),"")</f>
        <v/>
      </c>
      <c r="I40" s="116" t="str">
        <f ca="1">_xlfn.IFNA(VLOOKUP(D40,'Controle de Preparo'!D1:T1388,10,FALSE),"")</f>
        <v/>
      </c>
      <c r="J40" s="67"/>
      <c r="K40" s="67"/>
      <c r="L40" s="67"/>
      <c r="M40" s="116" t="str">
        <f t="shared" ca="1" si="0"/>
        <v/>
      </c>
      <c r="N40" s="118" t="str">
        <f ca="1">_xlfn.IFNA(MID(VLOOKUP(D40,'Controle de Preparo'!D1:T1388,12,FALSE),1,$B$4)&amp;MID(VLOOKUP(D40,'Controle de Preparo'!D1:T1388,14,FALSE),1,$B$4),"")</f>
        <v/>
      </c>
      <c r="O40" s="68" t="str">
        <f ca="1">_xlfn.IFNA(D40&amp;","&amp;SUBSTITUTE(G40," ","_")&amp;","&amp;H40&amp;","&amp;VLOOKUP(D40,'Controle de Preparo'!D1:T1388,7,FALSE)&amp;","&amp;VLOOKUP(D40,'Controle de Preparo'!D1:T1388,9,FALSE)&amp;","&amp;VLOOKUP(D40,'Controle de Preparo'!D1:T1388,11,FALSE)&amp;","&amp;MID(VLOOKUP(D40,'Controle de Preparo'!D1:T1388,12,FALSE),1,$B$4)&amp;","&amp;VLOOKUP(D40,'Controle de Preparo'!D1:T1388,13,FALSE)&amp;","&amp;IF($B$3="MiSeq",MID(VLOOKUP(D40,'Controle de Preparo'!D1:T1388,14,FALSE),1,$B$4),MID(VLOOKUP(D40,'Controle de Preparo'!D1:T1388,16,FALSE),1,$B$4))&amp;","&amp;F40&amp;","&amp;SUBSTITUTE(SUBSTITUTE(E40,".","")," ","_"),"")</f>
        <v/>
      </c>
      <c r="X40" s="99"/>
      <c r="Y40" s="100" t="str">
        <f>_xlfn.IFNA(VLOOKUP(X40,Database!$AB$1:$AC$7,2,FALSE),"")</f>
        <v/>
      </c>
      <c r="Z40" s="27" t="str">
        <f ca="1">IF(COUNTIF($F$2:$F$46,"="&amp;X40)&lt;&gt;0,COUNTIF($F$2:$F$46,"="&amp;X40),"")</f>
        <v/>
      </c>
      <c r="AA40" s="101" t="str">
        <f t="shared" ca="1" si="1"/>
        <v/>
      </c>
      <c r="AB40" s="102" t="str">
        <f t="shared" ca="1" si="2"/>
        <v/>
      </c>
    </row>
    <row r="41" spans="4:28" ht="19.5" thickBot="1" x14ac:dyDescent="0.35">
      <c r="D41" s="115"/>
      <c r="E41" s="116" t="str">
        <f ca="1">_xlfn.IFNA(VLOOKUP(D41,'Controle de Preparo'!D1:T1388,2,FALSE),"")</f>
        <v/>
      </c>
      <c r="F41" s="116" t="str">
        <f ca="1">_xlfn.IFNA(VLOOKUP(D41,'Controle de Preparo'!D1:T1388,3,FALSE),"")</f>
        <v/>
      </c>
      <c r="G41" s="66" t="str">
        <f ca="1">IF(_xlfn.IFNA(VLOOKUP(D41,CHOOSE({1,2},'Controle de Preparo'!D1:D1388,'Controle de Preparo'!A1:A1388),2,FALSE),"")&lt;&gt;0,_xlfn.IFNA(VLOOKUP(D41,CHOOSE({1,2},'Controle de Preparo'!D1:D1388,'Controle de Preparo'!A1:A1388),2,FALSE),""),"")</f>
        <v/>
      </c>
      <c r="H41" s="116" t="str">
        <f ca="1">IF(_xlfn.IFNA(VLOOKUP(D41,CHOOSE({1,2},'Controle de Preparo'!D1:D1388,'Controle de Preparo'!C1:C1388),2,FALSE),"")&lt;&gt;0,_xlfn.IFNA(VLOOKUP(D41,CHOOSE({1,2},'Controle de Preparo'!D1:D1388,'Controle de Preparo'!C1:C1388),2,FALSE),""),"")</f>
        <v/>
      </c>
      <c r="I41" s="116" t="str">
        <f ca="1">_xlfn.IFNA(VLOOKUP(D41,'Controle de Preparo'!D1:T1388,10,FALSE),"")</f>
        <v/>
      </c>
      <c r="J41" s="67"/>
      <c r="K41" s="67"/>
      <c r="L41" s="67"/>
      <c r="M41" s="116" t="str">
        <f t="shared" ca="1" si="0"/>
        <v/>
      </c>
      <c r="N41" s="118" t="str">
        <f ca="1">_xlfn.IFNA(MID(VLOOKUP(D41,'Controle de Preparo'!D1:T1388,12,FALSE),1,$B$4)&amp;MID(VLOOKUP(D41,'Controle de Preparo'!D1:T1388,14,FALSE),1,$B$4),"")</f>
        <v/>
      </c>
      <c r="O41" s="68" t="str">
        <f ca="1">_xlfn.IFNA(D41&amp;","&amp;SUBSTITUTE(G41," ","_")&amp;","&amp;H41&amp;","&amp;VLOOKUP(D41,'Controle de Preparo'!D1:T1388,7,FALSE)&amp;","&amp;VLOOKUP(D41,'Controle de Preparo'!D1:T1388,9,FALSE)&amp;","&amp;VLOOKUP(D41,'Controle de Preparo'!D1:T1388,11,FALSE)&amp;","&amp;MID(VLOOKUP(D41,'Controle de Preparo'!D1:T1388,12,FALSE),1,$B$4)&amp;","&amp;VLOOKUP(D41,'Controle de Preparo'!D1:T1388,13,FALSE)&amp;","&amp;IF($B$3="MiSeq",MID(VLOOKUP(D41,'Controle de Preparo'!D1:T1388,14,FALSE),1,$B$4),MID(VLOOKUP(D41,'Controle de Preparo'!D1:T1388,16,FALSE),1,$B$4))&amp;","&amp;F41&amp;","&amp;SUBSTITUTE(SUBSTITUTE(E41,".","")," ","_"),"")</f>
        <v/>
      </c>
      <c r="Q41" s="69" t="s">
        <v>74</v>
      </c>
      <c r="R41" s="70"/>
      <c r="S41" s="70"/>
      <c r="T41" s="70"/>
      <c r="U41" s="70"/>
      <c r="V41" s="71"/>
      <c r="X41" s="103"/>
      <c r="Y41" s="100" t="str">
        <f>_xlfn.IFNA(VLOOKUP(X41,Database!$AB$1:$AC$7,2,FALSE),"")</f>
        <v/>
      </c>
      <c r="Z41" s="27" t="str">
        <f t="shared" ref="Z41:Z44" ca="1" si="3">IF(COUNTIF($F$2:$F$46,"="&amp;X41)&lt;&gt;0,COUNTIF($F$2:$F$46,"="&amp;X41),"")</f>
        <v/>
      </c>
      <c r="AA41" s="101" t="str">
        <f t="shared" ca="1" si="1"/>
        <v/>
      </c>
      <c r="AB41" s="102" t="str">
        <f t="shared" ca="1" si="2"/>
        <v/>
      </c>
    </row>
    <row r="42" spans="4:28" ht="19.5" thickBot="1" x14ac:dyDescent="0.35">
      <c r="D42" s="115"/>
      <c r="E42" s="116" t="str">
        <f ca="1">_xlfn.IFNA(VLOOKUP(D42,'Controle de Preparo'!D1:T1388,2,FALSE),"")</f>
        <v/>
      </c>
      <c r="F42" s="116" t="str">
        <f ca="1">_xlfn.IFNA(VLOOKUP(D42,'Controle de Preparo'!D1:T1388,3,FALSE),"")</f>
        <v/>
      </c>
      <c r="G42" s="66" t="str">
        <f ca="1">IF(_xlfn.IFNA(VLOOKUP(D42,CHOOSE({1,2},'Controle de Preparo'!D1:D1388,'Controle de Preparo'!A1:A1388),2,FALSE),"")&lt;&gt;0,_xlfn.IFNA(VLOOKUP(D42,CHOOSE({1,2},'Controle de Preparo'!D1:D1388,'Controle de Preparo'!A1:A1388),2,FALSE),""),"")</f>
        <v/>
      </c>
      <c r="H42" s="116" t="str">
        <f ca="1">IF(_xlfn.IFNA(VLOOKUP(D42,CHOOSE({1,2},'Controle de Preparo'!D1:D1388,'Controle de Preparo'!C1:C1388),2,FALSE),"")&lt;&gt;0,_xlfn.IFNA(VLOOKUP(D42,CHOOSE({1,2},'Controle de Preparo'!D1:D1388,'Controle de Preparo'!C1:C1388),2,FALSE),""),"")</f>
        <v/>
      </c>
      <c r="I42" s="116" t="str">
        <f ca="1">_xlfn.IFNA(VLOOKUP(D42,'Controle de Preparo'!D1:T1388,10,FALSE),"")</f>
        <v/>
      </c>
      <c r="J42" s="67"/>
      <c r="K42" s="67"/>
      <c r="L42" s="67"/>
      <c r="M42" s="116" t="str">
        <f t="shared" ca="1" si="0"/>
        <v/>
      </c>
      <c r="N42" s="118" t="str">
        <f ca="1">_xlfn.IFNA(MID(VLOOKUP(D42,'Controle de Preparo'!D1:T1388,12,FALSE),1,$B$4)&amp;MID(VLOOKUP(D42,'Controle de Preparo'!D1:T1388,14,FALSE),1,$B$4),"")</f>
        <v/>
      </c>
      <c r="O42" s="68" t="str">
        <f ca="1">_xlfn.IFNA(D42&amp;","&amp;SUBSTITUTE(G42," ","_")&amp;","&amp;H42&amp;","&amp;VLOOKUP(D42,'Controle de Preparo'!D1:T1388,7,FALSE)&amp;","&amp;VLOOKUP(D42,'Controle de Preparo'!D1:T1388,9,FALSE)&amp;","&amp;VLOOKUP(D42,'Controle de Preparo'!D1:T1388,11,FALSE)&amp;","&amp;MID(VLOOKUP(D42,'Controle de Preparo'!D1:T1388,12,FALSE),1,$B$4)&amp;","&amp;VLOOKUP(D42,'Controle de Preparo'!D1:T1388,13,FALSE)&amp;","&amp;IF($B$3="MiSeq",MID(VLOOKUP(D42,'Controle de Preparo'!D1:T1388,14,FALSE),1,$B$4),MID(VLOOKUP(D42,'Controle de Preparo'!D1:T1388,16,FALSE),1,$B$4))&amp;","&amp;F42&amp;","&amp;SUBSTITUTE(SUBSTITUTE(E42,".","")," ","_"),"")</f>
        <v/>
      </c>
      <c r="Q42" s="73" t="s">
        <v>56</v>
      </c>
      <c r="R42" s="119">
        <v>40</v>
      </c>
      <c r="T42" s="79" t="s">
        <v>55</v>
      </c>
      <c r="U42" s="77"/>
      <c r="V42" s="75"/>
      <c r="X42" s="104"/>
      <c r="Y42" s="100" t="str">
        <f>_xlfn.IFNA(VLOOKUP(X42,Database!$AB$1:$AC$7,2,FALSE),"")</f>
        <v/>
      </c>
      <c r="Z42" s="27" t="str">
        <f t="shared" ca="1" si="3"/>
        <v/>
      </c>
      <c r="AA42" s="101" t="str">
        <f t="shared" ca="1" si="1"/>
        <v/>
      </c>
      <c r="AB42" s="102" t="str">
        <f t="shared" ca="1" si="2"/>
        <v/>
      </c>
    </row>
    <row r="43" spans="4:28" ht="19.5" thickBot="1" x14ac:dyDescent="0.35">
      <c r="D43" s="115"/>
      <c r="E43" s="116" t="str">
        <f ca="1">_xlfn.IFNA(VLOOKUP(D43,'Controle de Preparo'!D1:T1388,2,FALSE),"")</f>
        <v/>
      </c>
      <c r="F43" s="116" t="str">
        <f ca="1">_xlfn.IFNA(VLOOKUP(D43,'Controle de Preparo'!D1:T1388,3,FALSE),"")</f>
        <v/>
      </c>
      <c r="G43" s="66" t="str">
        <f ca="1">IF(_xlfn.IFNA(VLOOKUP(D43,CHOOSE({1,2},'Controle de Preparo'!D1:D1388,'Controle de Preparo'!A1:A1388),2,FALSE),"")&lt;&gt;0,_xlfn.IFNA(VLOOKUP(D43,CHOOSE({1,2},'Controle de Preparo'!D1:D1388,'Controle de Preparo'!A1:A1388),2,FALSE),""),"")</f>
        <v/>
      </c>
      <c r="H43" s="116" t="str">
        <f ca="1">IF(_xlfn.IFNA(VLOOKUP(D43,CHOOSE({1,2},'Controle de Preparo'!D1:D1388,'Controle de Preparo'!C1:C1388),2,FALSE),"")&lt;&gt;0,_xlfn.IFNA(VLOOKUP(D43,CHOOSE({1,2},'Controle de Preparo'!D1:D1388,'Controle de Preparo'!C1:C1388),2,FALSE),""),"")</f>
        <v/>
      </c>
      <c r="I43" s="116" t="str">
        <f ca="1">_xlfn.IFNA(VLOOKUP(D43,'Controle de Preparo'!D1:T1388,10,FALSE),"")</f>
        <v/>
      </c>
      <c r="J43" s="67"/>
      <c r="K43" s="67"/>
      <c r="L43" s="67"/>
      <c r="M43" s="116" t="str">
        <f t="shared" ca="1" si="0"/>
        <v/>
      </c>
      <c r="N43" s="118" t="str">
        <f ca="1">_xlfn.IFNA(MID(VLOOKUP(D43,'Controle de Preparo'!D1:T1388,12,FALSE),1,$B$4)&amp;MID(VLOOKUP(D43,'Controle de Preparo'!D1:T1388,14,FALSE),1,$B$4),"")</f>
        <v/>
      </c>
      <c r="O43" s="68" t="str">
        <f ca="1">_xlfn.IFNA(D43&amp;","&amp;SUBSTITUTE(G43," ","_")&amp;","&amp;H43&amp;","&amp;VLOOKUP(D43,'Controle de Preparo'!D1:T1388,7,FALSE)&amp;","&amp;VLOOKUP(D43,'Controle de Preparo'!D1:T1388,9,FALSE)&amp;","&amp;VLOOKUP(D43,'Controle de Preparo'!D1:T1388,11,FALSE)&amp;","&amp;MID(VLOOKUP(D43,'Controle de Preparo'!D1:T1388,12,FALSE),1,$B$4)&amp;","&amp;VLOOKUP(D43,'Controle de Preparo'!D1:T1388,13,FALSE)&amp;","&amp;IF($B$3="MiSeq",MID(VLOOKUP(D43,'Controle de Preparo'!D1:T1388,14,FALSE),1,$B$4),MID(VLOOKUP(D43,'Controle de Preparo'!D1:T1388,16,FALSE),1,$B$4))&amp;","&amp;F43&amp;","&amp;SUBSTITUTE(SUBSTITUTE(E43,".","")," ","_"),"")</f>
        <v/>
      </c>
      <c r="Q43" s="73" t="s">
        <v>57</v>
      </c>
      <c r="R43" s="119">
        <v>8</v>
      </c>
      <c r="T43" s="80">
        <f>IFERROR((R44*R43)/R42,"0")</f>
        <v>12</v>
      </c>
      <c r="U43" s="82" t="s">
        <v>6</v>
      </c>
      <c r="V43" s="75"/>
      <c r="X43" s="104"/>
      <c r="Y43" s="100" t="str">
        <f>_xlfn.IFNA(VLOOKUP(X43,Database!$AB$1:$AC$7,2,FALSE),"")</f>
        <v/>
      </c>
      <c r="Z43" s="27" t="str">
        <f t="shared" ca="1" si="3"/>
        <v/>
      </c>
      <c r="AA43" s="101" t="str">
        <f t="shared" ca="1" si="1"/>
        <v/>
      </c>
      <c r="AB43" s="102" t="str">
        <f t="shared" ca="1" si="2"/>
        <v/>
      </c>
    </row>
    <row r="44" spans="4:28" ht="19.5" thickBot="1" x14ac:dyDescent="0.35">
      <c r="D44" s="115"/>
      <c r="E44" s="116" t="str">
        <f ca="1">_xlfn.IFNA(VLOOKUP(D44,'Controle de Preparo'!D1:T1388,2,FALSE),"")</f>
        <v/>
      </c>
      <c r="F44" s="116" t="str">
        <f ca="1">_xlfn.IFNA(VLOOKUP(D44,'Controle de Preparo'!D1:T1388,3,FALSE),"")</f>
        <v/>
      </c>
      <c r="G44" s="66" t="str">
        <f ca="1">IF(_xlfn.IFNA(VLOOKUP(D44,CHOOSE({1,2},'Controle de Preparo'!D1:D1388,'Controle de Preparo'!A1:A1388),2,FALSE),"")&lt;&gt;0,_xlfn.IFNA(VLOOKUP(D44,CHOOSE({1,2},'Controle de Preparo'!D1:D1388,'Controle de Preparo'!A1:A1388),2,FALSE),""),"")</f>
        <v/>
      </c>
      <c r="H44" s="116" t="str">
        <f ca="1">IF(_xlfn.IFNA(VLOOKUP(D44,CHOOSE({1,2},'Controle de Preparo'!D1:D1388,'Controle de Preparo'!C1:C1388),2,FALSE),"")&lt;&gt;0,_xlfn.IFNA(VLOOKUP(D44,CHOOSE({1,2},'Controle de Preparo'!D1:D1388,'Controle de Preparo'!C1:C1388),2,FALSE),""),"")</f>
        <v/>
      </c>
      <c r="I44" s="116" t="str">
        <f ca="1">_xlfn.IFNA(VLOOKUP(D44,'Controle de Preparo'!D1:T1388,10,FALSE),"")</f>
        <v/>
      </c>
      <c r="J44" s="67"/>
      <c r="K44" s="67"/>
      <c r="L44" s="67"/>
      <c r="M44" s="116" t="str">
        <f t="shared" ca="1" si="0"/>
        <v/>
      </c>
      <c r="N44" s="118" t="str">
        <f ca="1">_xlfn.IFNA(MID(VLOOKUP(D44,'Controle de Preparo'!D1:T1388,12,FALSE),1,$B$4)&amp;MID(VLOOKUP(D44,'Controle de Preparo'!D1:T1388,14,FALSE),1,$B$4),"")</f>
        <v/>
      </c>
      <c r="O44" s="68" t="str">
        <f ca="1">_xlfn.IFNA(D44&amp;","&amp;SUBSTITUTE(G44," ","_")&amp;","&amp;H44&amp;","&amp;VLOOKUP(D44,'Controle de Preparo'!D1:T1388,7,FALSE)&amp;","&amp;VLOOKUP(D44,'Controle de Preparo'!D1:T1388,9,FALSE)&amp;","&amp;VLOOKUP(D44,'Controle de Preparo'!D1:T1388,11,FALSE)&amp;","&amp;MID(VLOOKUP(D44,'Controle de Preparo'!D1:T1388,12,FALSE),1,$B$4)&amp;","&amp;VLOOKUP(D44,'Controle de Preparo'!D1:T1388,13,FALSE)&amp;","&amp;IF($B$3="MiSeq",MID(VLOOKUP(D44,'Controle de Preparo'!D1:T1388,14,FALSE),1,$B$4),MID(VLOOKUP(D44,'Controle de Preparo'!D1:T1388,16,FALSE),1,$B$4))&amp;","&amp;F44&amp;","&amp;SUBSTITUTE(SUBSTITUTE(E44,".","")," ","_"),"")</f>
        <v/>
      </c>
      <c r="Q44" s="73" t="s">
        <v>60</v>
      </c>
      <c r="R44" s="80">
        <v>60</v>
      </c>
      <c r="S44" s="77"/>
      <c r="T44" s="80">
        <f>IFERROR(R44-T43,"")</f>
        <v>48</v>
      </c>
      <c r="U44" s="82" t="s">
        <v>44</v>
      </c>
      <c r="V44" s="78"/>
      <c r="X44" s="105" t="s">
        <v>75</v>
      </c>
      <c r="Y44" s="106" t="str">
        <f>_xlfn.IFNA(VLOOKUP(X44,Database!$AB$1:$AC$7,2,FALSE),"")</f>
        <v/>
      </c>
      <c r="Z44" s="107" t="str">
        <f t="shared" ca="1" si="3"/>
        <v/>
      </c>
      <c r="AA44" s="108">
        <v>0.15</v>
      </c>
      <c r="AB44" s="109">
        <f>IFERROR(AA44*$AB$35,"")</f>
        <v>75</v>
      </c>
    </row>
    <row r="45" spans="4:28" ht="19.5" thickBot="1" x14ac:dyDescent="0.35">
      <c r="D45" s="115"/>
      <c r="E45" s="116" t="str">
        <f ca="1">_xlfn.IFNA(VLOOKUP(D45,'Controle de Preparo'!D1:T1388,2,FALSE),"")</f>
        <v/>
      </c>
      <c r="F45" s="116" t="str">
        <f ca="1">_xlfn.IFNA(VLOOKUP(D45,'Controle de Preparo'!D1:T1388,3,FALSE),"")</f>
        <v/>
      </c>
      <c r="G45" s="66" t="str">
        <f ca="1">IF(_xlfn.IFNA(VLOOKUP(D45,CHOOSE({1,2},'Controle de Preparo'!D1:D1388,'Controle de Preparo'!A1:A1388),2,FALSE),"")&lt;&gt;0,_xlfn.IFNA(VLOOKUP(D45,CHOOSE({1,2},'Controle de Preparo'!D1:D1388,'Controle de Preparo'!A1:A1388),2,FALSE),""),"")</f>
        <v/>
      </c>
      <c r="H45" s="116" t="str">
        <f ca="1">IF(_xlfn.IFNA(VLOOKUP(D45,CHOOSE({1,2},'Controle de Preparo'!D1:D1388,'Controle de Preparo'!C1:C1388),2,FALSE),"")&lt;&gt;0,_xlfn.IFNA(VLOOKUP(D45,CHOOSE({1,2},'Controle de Preparo'!D1:D1388,'Controle de Preparo'!C1:C1388),2,FALSE),""),"")</f>
        <v/>
      </c>
      <c r="I45" s="116" t="str">
        <f ca="1">_xlfn.IFNA(VLOOKUP(D45,'Controle de Preparo'!D1:T1388,10,FALSE),"")</f>
        <v/>
      </c>
      <c r="J45" s="67"/>
      <c r="K45" s="67"/>
      <c r="L45" s="67"/>
      <c r="M45" s="116" t="str">
        <f t="shared" ca="1" si="0"/>
        <v/>
      </c>
      <c r="N45" s="118" t="str">
        <f ca="1">_xlfn.IFNA(MID(VLOOKUP(D45,'Controle de Preparo'!D1:T1388,12,FALSE),1,$B$4)&amp;MID(VLOOKUP(D45,'Controle de Preparo'!D1:T1388,14,FALSE),1,$B$4),"")</f>
        <v/>
      </c>
      <c r="O45" s="68" t="str">
        <f ca="1">_xlfn.IFNA(D45&amp;","&amp;SUBSTITUTE(G45," ","_")&amp;","&amp;H45&amp;","&amp;VLOOKUP(D45,'Controle de Preparo'!D1:T1388,7,FALSE)&amp;","&amp;VLOOKUP(D45,'Controle de Preparo'!D1:T1388,9,FALSE)&amp;","&amp;VLOOKUP(D45,'Controle de Preparo'!D1:T1388,11,FALSE)&amp;","&amp;MID(VLOOKUP(D45,'Controle de Preparo'!D1:T1388,12,FALSE),1,$B$4)&amp;","&amp;VLOOKUP(D45,'Controle de Preparo'!D1:T1388,13,FALSE)&amp;","&amp;IF($B$3="MiSeq",MID(VLOOKUP(D45,'Controle de Preparo'!D1:T1388,14,FALSE),1,$B$4),MID(VLOOKUP(D45,'Controle de Preparo'!D1:T1388,16,FALSE),1,$B$4))&amp;","&amp;F45&amp;","&amp;SUBSTITUTE(SUBSTITUTE(E45,".","")," ","_"),"")</f>
        <v/>
      </c>
      <c r="Q45" s="85"/>
      <c r="R45" s="86"/>
      <c r="S45" s="86"/>
      <c r="T45" s="86"/>
      <c r="U45" s="86"/>
      <c r="V45" s="87"/>
      <c r="Z45" s="110" t="s">
        <v>76</v>
      </c>
      <c r="AA45" s="111">
        <f ca="1">SUM(AA37:AA44)</f>
        <v>0.15</v>
      </c>
      <c r="AB45" s="89"/>
    </row>
    <row r="46" spans="4:28" x14ac:dyDescent="0.3">
      <c r="D46" s="115"/>
      <c r="E46" s="116" t="str">
        <f ca="1">_xlfn.IFNA(VLOOKUP(D46,'Controle de Preparo'!D1:T1388,2,FALSE),"")</f>
        <v/>
      </c>
      <c r="F46" s="116" t="str">
        <f ca="1">_xlfn.IFNA(VLOOKUP(D46,'Controle de Preparo'!D1:T1388,3,FALSE),"")</f>
        <v/>
      </c>
      <c r="G46" s="66" t="str">
        <f ca="1">IF(_xlfn.IFNA(VLOOKUP(D46,CHOOSE({1,2},'Controle de Preparo'!D1:D1388,'Controle de Preparo'!A1:A1388),2,FALSE),"")&lt;&gt;0,_xlfn.IFNA(VLOOKUP(D46,CHOOSE({1,2},'Controle de Preparo'!D1:D1388,'Controle de Preparo'!A1:A1388),2,FALSE),""),"")</f>
        <v/>
      </c>
      <c r="H46" s="116" t="str">
        <f ca="1">IF(_xlfn.IFNA(VLOOKUP(D46,CHOOSE({1,2},'Controle de Preparo'!D1:D1388,'Controle de Preparo'!C1:C1388),2,FALSE),"")&lt;&gt;0,_xlfn.IFNA(VLOOKUP(D46,CHOOSE({1,2},'Controle de Preparo'!D1:D1388,'Controle de Preparo'!C1:C1388),2,FALSE),""),"")</f>
        <v/>
      </c>
      <c r="I46" s="116" t="str">
        <f ca="1">_xlfn.IFNA(VLOOKUP(D46,'Controle de Preparo'!D1:T1388,10,FALSE),"")</f>
        <v/>
      </c>
      <c r="J46" s="67"/>
      <c r="K46" s="67"/>
      <c r="L46" s="67"/>
      <c r="M46" s="116" t="str">
        <f t="shared" ca="1" si="0"/>
        <v/>
      </c>
      <c r="N46" s="118" t="str">
        <f ca="1">_xlfn.IFNA(MID(VLOOKUP(D46,'Controle de Preparo'!D1:T1388,12,FALSE),1,$B$4)&amp;MID(VLOOKUP(D46,'Controle de Preparo'!D1:T1388,14,FALSE),1,$B$4),"")</f>
        <v/>
      </c>
      <c r="O46" s="68" t="str">
        <f ca="1">_xlfn.IFNA(D46&amp;","&amp;SUBSTITUTE(G46," ","_")&amp;","&amp;H46&amp;","&amp;VLOOKUP(D46,'Controle de Preparo'!D1:T1388,7,FALSE)&amp;","&amp;VLOOKUP(D46,'Controle de Preparo'!D1:T1388,9,FALSE)&amp;","&amp;VLOOKUP(D46,'Controle de Preparo'!D1:T1388,11,FALSE)&amp;","&amp;MID(VLOOKUP(D46,'Controle de Preparo'!D1:T1388,12,FALSE),1,$B$4)&amp;","&amp;VLOOKUP(D46,'Controle de Preparo'!D1:T1388,13,FALSE)&amp;","&amp;IF($B$3="MiSeq",MID(VLOOKUP(D46,'Controle de Preparo'!D1:T1388,14,FALSE),1,$B$4),MID(VLOOKUP(D46,'Controle de Preparo'!D1:T1388,16,FALSE),1,$B$4))&amp;","&amp;F46&amp;","&amp;SUBSTITUTE(SUBSTITUTE(E46,".","")," ","_"),"")</f>
        <v/>
      </c>
    </row>
    <row r="47" spans="4:28" x14ac:dyDescent="0.3">
      <c r="D47" s="115"/>
      <c r="E47" s="116" t="str">
        <f ca="1">_xlfn.IFNA(VLOOKUP(D47,'Controle de Preparo'!D2:T1389,2,FALSE),"")</f>
        <v/>
      </c>
      <c r="F47" s="116" t="str">
        <f ca="1">_xlfn.IFNA(VLOOKUP(D47,'Controle de Preparo'!D2:T1389,3,FALSE),"")</f>
        <v/>
      </c>
      <c r="G47" s="66" t="str">
        <f ca="1">IF(_xlfn.IFNA(VLOOKUP(D47,CHOOSE({1,2},'Controle de Preparo'!D2:D1389,'Controle de Preparo'!A2:A1389),2,FALSE),"")&lt;&gt;0,_xlfn.IFNA(VLOOKUP(D47,CHOOSE({1,2},'Controle de Preparo'!D2:D1389,'Controle de Preparo'!A2:A1389),2,FALSE),""),"")</f>
        <v/>
      </c>
      <c r="H47" s="116" t="str">
        <f ca="1">IF(_xlfn.IFNA(VLOOKUP(D47,CHOOSE({1,2},'Controle de Preparo'!D2:D1389,'Controle de Preparo'!C2:C1389),2,FALSE),"")&lt;&gt;0,_xlfn.IFNA(VLOOKUP(D47,CHOOSE({1,2},'Controle de Preparo'!D2:D1389,'Controle de Preparo'!C2:C1389),2,FALSE),""),"")</f>
        <v/>
      </c>
      <c r="I47" s="116" t="str">
        <f ca="1">_xlfn.IFNA(VLOOKUP(D47,'Controle de Preparo'!D2:T1389,10,FALSE),"")</f>
        <v/>
      </c>
      <c r="J47" s="67"/>
      <c r="K47" s="67"/>
      <c r="L47" s="67"/>
      <c r="M47" s="116" t="str">
        <f t="shared" ca="1" si="0"/>
        <v/>
      </c>
      <c r="N47" s="118" t="str">
        <f ca="1">_xlfn.IFNA(MID(VLOOKUP(D47,'Controle de Preparo'!D2:T1389,12,FALSE),1,$B$4)&amp;MID(VLOOKUP(D47,'Controle de Preparo'!D2:T1389,14,FALSE),1,$B$4),"")</f>
        <v/>
      </c>
      <c r="O47" s="68" t="str">
        <f ca="1">_xlfn.IFNA(D47&amp;","&amp;SUBSTITUTE(G47," ","_")&amp;","&amp;H47&amp;","&amp;VLOOKUP(D47,'Controle de Preparo'!D2:T1389,7,FALSE)&amp;","&amp;VLOOKUP(D47,'Controle de Preparo'!D2:T1389,9,FALSE)&amp;","&amp;VLOOKUP(D47,'Controle de Preparo'!D2:T1389,11,FALSE)&amp;","&amp;MID(VLOOKUP(D47,'Controle de Preparo'!D2:T1389,12,FALSE),1,$B$4)&amp;","&amp;VLOOKUP(D47,'Controle de Preparo'!D2:T1389,13,FALSE)&amp;","&amp;IF($B$3="MiSeq",MID(VLOOKUP(D47,'Controle de Preparo'!D2:T1389,14,FALSE),1,$B$4),MID(VLOOKUP(D47,'Controle de Preparo'!D2:T1389,16,FALSE),1,$B$4))&amp;","&amp;F47&amp;","&amp;SUBSTITUTE(SUBSTITUTE(E47,".","")," ","_"),"")</f>
        <v/>
      </c>
    </row>
    <row r="48" spans="4:28" x14ac:dyDescent="0.3">
      <c r="D48" s="115"/>
      <c r="E48" s="116" t="str">
        <f ca="1">_xlfn.IFNA(VLOOKUP(D48,'Controle de Preparo'!D3:T1390,2,FALSE),"")</f>
        <v/>
      </c>
      <c r="F48" s="116" t="str">
        <f ca="1">_xlfn.IFNA(VLOOKUP(D48,'Controle de Preparo'!D3:T1390,3,FALSE),"")</f>
        <v/>
      </c>
      <c r="G48" s="66" t="str">
        <f ca="1">IF(_xlfn.IFNA(VLOOKUP(D48,CHOOSE({1,2},'Controle de Preparo'!D3:D1390,'Controle de Preparo'!A3:A1390),2,FALSE),"")&lt;&gt;0,_xlfn.IFNA(VLOOKUP(D48,CHOOSE({1,2},'Controle de Preparo'!D3:D1390,'Controle de Preparo'!A3:A1390),2,FALSE),""),"")</f>
        <v/>
      </c>
      <c r="H48" s="116" t="str">
        <f ca="1">IF(_xlfn.IFNA(VLOOKUP(D48,CHOOSE({1,2},'Controle de Preparo'!D3:D1390,'Controle de Preparo'!C3:C1390),2,FALSE),"")&lt;&gt;0,_xlfn.IFNA(VLOOKUP(D48,CHOOSE({1,2},'Controle de Preparo'!D3:D1390,'Controle de Preparo'!C3:C1390),2,FALSE),""),"")</f>
        <v/>
      </c>
      <c r="I48" s="116" t="str">
        <f ca="1">_xlfn.IFNA(VLOOKUP(D48,'Controle de Preparo'!D3:T1390,10,FALSE),"")</f>
        <v/>
      </c>
      <c r="J48" s="67"/>
      <c r="K48" s="67"/>
      <c r="L48" s="67"/>
      <c r="M48" s="116" t="str">
        <f t="shared" ca="1" si="0"/>
        <v/>
      </c>
      <c r="N48" s="118" t="str">
        <f ca="1">_xlfn.IFNA(MID(VLOOKUP(D48,'Controle de Preparo'!D3:T1390,12,FALSE),1,$B$4)&amp;MID(VLOOKUP(D48,'Controle de Preparo'!D3:T1390,14,FALSE),1,$B$4),"")</f>
        <v/>
      </c>
      <c r="O48" s="68" t="str">
        <f ca="1">_xlfn.IFNA(D48&amp;","&amp;SUBSTITUTE(G48," ","_")&amp;","&amp;H48&amp;","&amp;VLOOKUP(D48,'Controle de Preparo'!D3:T1390,7,FALSE)&amp;","&amp;VLOOKUP(D48,'Controle de Preparo'!D3:T1390,9,FALSE)&amp;","&amp;VLOOKUP(D48,'Controle de Preparo'!D3:T1390,11,FALSE)&amp;","&amp;MID(VLOOKUP(D48,'Controle de Preparo'!D3:T1390,12,FALSE),1,$B$4)&amp;","&amp;VLOOKUP(D48,'Controle de Preparo'!D3:T1390,13,FALSE)&amp;","&amp;IF($B$3="MiSeq",MID(VLOOKUP(D48,'Controle de Preparo'!D3:T1390,14,FALSE),1,$B$4),MID(VLOOKUP(D48,'Controle de Preparo'!D3:T1390,16,FALSE),1,$B$4))&amp;","&amp;F48&amp;","&amp;SUBSTITUTE(SUBSTITUTE(E48,".","")," ","_"),"")</f>
        <v/>
      </c>
    </row>
    <row r="49" spans="4:15" x14ac:dyDescent="0.3">
      <c r="D49" s="115"/>
      <c r="E49" s="116" t="str">
        <f ca="1">_xlfn.IFNA(VLOOKUP(D49,'Controle de Preparo'!D4:T1391,2,FALSE),"")</f>
        <v/>
      </c>
      <c r="F49" s="116" t="str">
        <f ca="1">_xlfn.IFNA(VLOOKUP(D49,'Controle de Preparo'!D4:T1391,3,FALSE),"")</f>
        <v/>
      </c>
      <c r="G49" s="66" t="str">
        <f ca="1">IF(_xlfn.IFNA(VLOOKUP(D49,CHOOSE({1,2},'Controle de Preparo'!D4:D1391,'Controle de Preparo'!A4:A1391),2,FALSE),"")&lt;&gt;0,_xlfn.IFNA(VLOOKUP(D49,CHOOSE({1,2},'Controle de Preparo'!D4:D1391,'Controle de Preparo'!A4:A1391),2,FALSE),""),"")</f>
        <v/>
      </c>
      <c r="H49" s="116" t="str">
        <f ca="1">IF(_xlfn.IFNA(VLOOKUP(D49,CHOOSE({1,2},'Controle de Preparo'!D4:D1391,'Controle de Preparo'!C4:C1391),2,FALSE),"")&lt;&gt;0,_xlfn.IFNA(VLOOKUP(D49,CHOOSE({1,2},'Controle de Preparo'!D4:D1391,'Controle de Preparo'!C4:C1391),2,FALSE),""),"")</f>
        <v/>
      </c>
      <c r="I49" s="116" t="str">
        <f ca="1">_xlfn.IFNA(VLOOKUP(D49,'Controle de Preparo'!D4:T1391,10,FALSE),"")</f>
        <v/>
      </c>
      <c r="J49" s="67"/>
      <c r="K49" s="67"/>
      <c r="L49" s="67"/>
      <c r="M49" s="116" t="str">
        <f t="shared" ca="1" si="0"/>
        <v/>
      </c>
      <c r="N49" s="118" t="str">
        <f ca="1">_xlfn.IFNA(MID(VLOOKUP(D49,'Controle de Preparo'!D4:T1391,12,FALSE),1,$B$4)&amp;MID(VLOOKUP(D49,'Controle de Preparo'!D4:T1391,14,FALSE),1,$B$4),"")</f>
        <v/>
      </c>
      <c r="O49" s="68" t="str">
        <f ca="1">_xlfn.IFNA(D49&amp;","&amp;SUBSTITUTE(G49," ","_")&amp;","&amp;H49&amp;","&amp;VLOOKUP(D49,'Controle de Preparo'!D4:T1391,7,FALSE)&amp;","&amp;VLOOKUP(D49,'Controle de Preparo'!D4:T1391,9,FALSE)&amp;","&amp;VLOOKUP(D49,'Controle de Preparo'!D4:T1391,11,FALSE)&amp;","&amp;MID(VLOOKUP(D49,'Controle de Preparo'!D4:T1391,12,FALSE),1,$B$4)&amp;","&amp;VLOOKUP(D49,'Controle de Preparo'!D4:T1391,13,FALSE)&amp;","&amp;IF($B$3="MiSeq",MID(VLOOKUP(D49,'Controle de Preparo'!D4:T1391,14,FALSE),1,$B$4),MID(VLOOKUP(D49,'Controle de Preparo'!D4:T1391,16,FALSE),1,$B$4))&amp;","&amp;F49&amp;","&amp;SUBSTITUTE(SUBSTITUTE(E49,".","")," ","_"),"")</f>
        <v/>
      </c>
    </row>
    <row r="50" spans="4:15" x14ac:dyDescent="0.3">
      <c r="D50" s="115"/>
      <c r="E50" s="116" t="str">
        <f ca="1">_xlfn.IFNA(VLOOKUP(D50,'Controle de Preparo'!D5:T1392,2,FALSE),"")</f>
        <v/>
      </c>
      <c r="F50" s="116" t="str">
        <f ca="1">_xlfn.IFNA(VLOOKUP(D50,'Controle de Preparo'!D5:T1392,3,FALSE),"")</f>
        <v/>
      </c>
      <c r="G50" s="66" t="str">
        <f ca="1">IF(_xlfn.IFNA(VLOOKUP(D50,CHOOSE({1,2},'Controle de Preparo'!D5:D1392,'Controle de Preparo'!A5:A1392),2,FALSE),"")&lt;&gt;0,_xlfn.IFNA(VLOOKUP(D50,CHOOSE({1,2},'Controle de Preparo'!D5:D1392,'Controle de Preparo'!A5:A1392),2,FALSE),""),"")</f>
        <v/>
      </c>
      <c r="H50" s="116" t="str">
        <f ca="1">IF(_xlfn.IFNA(VLOOKUP(D50,CHOOSE({1,2},'Controle de Preparo'!D5:D1392,'Controle de Preparo'!C5:C1392),2,FALSE),"")&lt;&gt;0,_xlfn.IFNA(VLOOKUP(D50,CHOOSE({1,2},'Controle de Preparo'!D5:D1392,'Controle de Preparo'!C5:C1392),2,FALSE),""),"")</f>
        <v/>
      </c>
      <c r="I50" s="116" t="str">
        <f ca="1">_xlfn.IFNA(VLOOKUP(D50,'Controle de Preparo'!D5:T1392,10,FALSE),"")</f>
        <v/>
      </c>
      <c r="J50" s="67"/>
      <c r="K50" s="67"/>
      <c r="L50" s="67"/>
      <c r="M50" s="116" t="str">
        <f t="shared" ca="1" si="0"/>
        <v/>
      </c>
      <c r="N50" s="118" t="str">
        <f ca="1">_xlfn.IFNA(MID(VLOOKUP(D50,'Controle de Preparo'!D5:T1392,12,FALSE),1,$B$4)&amp;MID(VLOOKUP(D50,'Controle de Preparo'!D5:T1392,14,FALSE),1,$B$4),"")</f>
        <v/>
      </c>
      <c r="O50" s="68" t="str">
        <f ca="1">_xlfn.IFNA(D50&amp;","&amp;SUBSTITUTE(G50," ","_")&amp;","&amp;H50&amp;","&amp;VLOOKUP(D50,'Controle de Preparo'!D5:T1392,7,FALSE)&amp;","&amp;VLOOKUP(D50,'Controle de Preparo'!D5:T1392,9,FALSE)&amp;","&amp;VLOOKUP(D50,'Controle de Preparo'!D5:T1392,11,FALSE)&amp;","&amp;MID(VLOOKUP(D50,'Controle de Preparo'!D5:T1392,12,FALSE),1,$B$4)&amp;","&amp;VLOOKUP(D50,'Controle de Preparo'!D5:T1392,13,FALSE)&amp;","&amp;IF($B$3="MiSeq",MID(VLOOKUP(D50,'Controle de Preparo'!D5:T1392,14,FALSE),1,$B$4),MID(VLOOKUP(D50,'Controle de Preparo'!D5:T1392,16,FALSE),1,$B$4))&amp;","&amp;F50&amp;","&amp;SUBSTITUTE(SUBSTITUTE(E50,".","")," ","_"),"")</f>
        <v/>
      </c>
    </row>
    <row r="51" spans="4:15" x14ac:dyDescent="0.3">
      <c r="D51" s="115"/>
      <c r="E51" s="116" t="str">
        <f ca="1">_xlfn.IFNA(VLOOKUP(D51,'Controle de Preparo'!D6:T1393,2,FALSE),"")</f>
        <v/>
      </c>
      <c r="F51" s="116" t="str">
        <f ca="1">_xlfn.IFNA(VLOOKUP(D51,'Controle de Preparo'!D6:T1393,3,FALSE),"")</f>
        <v/>
      </c>
      <c r="G51" s="66" t="str">
        <f ca="1">IF(_xlfn.IFNA(VLOOKUP(D51,CHOOSE({1,2},'Controle de Preparo'!D6:D1393,'Controle de Preparo'!A6:A1393),2,FALSE),"")&lt;&gt;0,_xlfn.IFNA(VLOOKUP(D51,CHOOSE({1,2},'Controle de Preparo'!D6:D1393,'Controle de Preparo'!A6:A1393),2,FALSE),""),"")</f>
        <v/>
      </c>
      <c r="H51" s="116" t="str">
        <f ca="1">IF(_xlfn.IFNA(VLOOKUP(D51,CHOOSE({1,2},'Controle de Preparo'!D6:D1393,'Controle de Preparo'!C6:C1393),2,FALSE),"")&lt;&gt;0,_xlfn.IFNA(VLOOKUP(D51,CHOOSE({1,2},'Controle de Preparo'!D6:D1393,'Controle de Preparo'!C6:C1393),2,FALSE),""),"")</f>
        <v/>
      </c>
      <c r="I51" s="116" t="str">
        <f ca="1">_xlfn.IFNA(VLOOKUP(D51,'Controle de Preparo'!D6:T1393,10,FALSE),"")</f>
        <v/>
      </c>
      <c r="J51" s="67"/>
      <c r="K51" s="67"/>
      <c r="L51" s="67"/>
      <c r="M51" s="116" t="str">
        <f t="shared" ca="1" si="0"/>
        <v/>
      </c>
      <c r="N51" s="118" t="str">
        <f ca="1">_xlfn.IFNA(MID(VLOOKUP(D51,'Controle de Preparo'!D6:T1393,12,FALSE),1,$B$4)&amp;MID(VLOOKUP(D51,'Controle de Preparo'!D6:T1393,14,FALSE),1,$B$4),"")</f>
        <v/>
      </c>
      <c r="O51" s="68" t="str">
        <f ca="1">_xlfn.IFNA(D51&amp;","&amp;SUBSTITUTE(G51," ","_")&amp;","&amp;H51&amp;","&amp;VLOOKUP(D51,'Controle de Preparo'!D6:T1393,7,FALSE)&amp;","&amp;VLOOKUP(D51,'Controle de Preparo'!D6:T1393,9,FALSE)&amp;","&amp;VLOOKUP(D51,'Controle de Preparo'!D6:T1393,11,FALSE)&amp;","&amp;MID(VLOOKUP(D51,'Controle de Preparo'!D6:T1393,12,FALSE),1,$B$4)&amp;","&amp;VLOOKUP(D51,'Controle de Preparo'!D6:T1393,13,FALSE)&amp;","&amp;IF($B$3="MiSeq",MID(VLOOKUP(D51,'Controle de Preparo'!D6:T1393,14,FALSE),1,$B$4),MID(VLOOKUP(D51,'Controle de Preparo'!D6:T1393,16,FALSE),1,$B$4))&amp;","&amp;F51&amp;","&amp;SUBSTITUTE(SUBSTITUTE(E51,".","")," ","_"),"")</f>
        <v/>
      </c>
    </row>
    <row r="52" spans="4:15" x14ac:dyDescent="0.3">
      <c r="D52" s="115"/>
      <c r="E52" s="116" t="str">
        <f ca="1">_xlfn.IFNA(VLOOKUP(D52,'Controle de Preparo'!D7:T1394,2,FALSE),"")</f>
        <v/>
      </c>
      <c r="F52" s="116" t="str">
        <f ca="1">_xlfn.IFNA(VLOOKUP(D52,'Controle de Preparo'!D7:T1394,3,FALSE),"")</f>
        <v/>
      </c>
      <c r="G52" s="66" t="str">
        <f ca="1">IF(_xlfn.IFNA(VLOOKUP(D52,CHOOSE({1,2},'Controle de Preparo'!D7:D1394,'Controle de Preparo'!A7:A1394),2,FALSE),"")&lt;&gt;0,_xlfn.IFNA(VLOOKUP(D52,CHOOSE({1,2},'Controle de Preparo'!D7:D1394,'Controle de Preparo'!A7:A1394),2,FALSE),""),"")</f>
        <v/>
      </c>
      <c r="H52" s="116" t="str">
        <f ca="1">IF(_xlfn.IFNA(VLOOKUP(D52,CHOOSE({1,2},'Controle de Preparo'!D7:D1394,'Controle de Preparo'!C7:C1394),2,FALSE),"")&lt;&gt;0,_xlfn.IFNA(VLOOKUP(D52,CHOOSE({1,2},'Controle de Preparo'!D7:D1394,'Controle de Preparo'!C7:C1394),2,FALSE),""),"")</f>
        <v/>
      </c>
      <c r="I52" s="116" t="str">
        <f ca="1">_xlfn.IFNA(VLOOKUP(D52,'Controle de Preparo'!D7:T1394,10,FALSE),"")</f>
        <v/>
      </c>
      <c r="J52" s="67"/>
      <c r="K52" s="67"/>
      <c r="L52" s="67"/>
      <c r="M52" s="116" t="str">
        <f t="shared" ca="1" si="0"/>
        <v/>
      </c>
      <c r="N52" s="118" t="str">
        <f ca="1">_xlfn.IFNA(MID(VLOOKUP(D52,'Controle de Preparo'!D7:T1394,12,FALSE),1,$B$4)&amp;MID(VLOOKUP(D52,'Controle de Preparo'!D7:T1394,14,FALSE),1,$B$4),"")</f>
        <v/>
      </c>
      <c r="O52" s="68" t="str">
        <f ca="1">_xlfn.IFNA(D52&amp;","&amp;SUBSTITUTE(G52," ","_")&amp;","&amp;H52&amp;","&amp;VLOOKUP(D52,'Controle de Preparo'!D7:T1394,7,FALSE)&amp;","&amp;VLOOKUP(D52,'Controle de Preparo'!D7:T1394,9,FALSE)&amp;","&amp;VLOOKUP(D52,'Controle de Preparo'!D7:T1394,11,FALSE)&amp;","&amp;MID(VLOOKUP(D52,'Controle de Preparo'!D7:T1394,12,FALSE),1,$B$4)&amp;","&amp;VLOOKUP(D52,'Controle de Preparo'!D7:T1394,13,FALSE)&amp;","&amp;IF($B$3="MiSeq",MID(VLOOKUP(D52,'Controle de Preparo'!D7:T1394,14,FALSE),1,$B$4),MID(VLOOKUP(D52,'Controle de Preparo'!D7:T1394,16,FALSE),1,$B$4))&amp;","&amp;F52&amp;","&amp;SUBSTITUTE(SUBSTITUTE(E52,".","")," ","_"),"")</f>
        <v/>
      </c>
    </row>
    <row r="53" spans="4:15" x14ac:dyDescent="0.3">
      <c r="D53" s="115"/>
      <c r="E53" s="116" t="str">
        <f ca="1">_xlfn.IFNA(VLOOKUP(D53,'Controle de Preparo'!D8:T1395,2,FALSE),"")</f>
        <v/>
      </c>
      <c r="F53" s="116" t="str">
        <f ca="1">_xlfn.IFNA(VLOOKUP(D53,'Controle de Preparo'!D8:T1395,3,FALSE),"")</f>
        <v/>
      </c>
      <c r="G53" s="66" t="str">
        <f ca="1">IF(_xlfn.IFNA(VLOOKUP(D53,CHOOSE({1,2},'Controle de Preparo'!D8:D1395,'Controle de Preparo'!A8:A1395),2,FALSE),"")&lt;&gt;0,_xlfn.IFNA(VLOOKUP(D53,CHOOSE({1,2},'Controle de Preparo'!D8:D1395,'Controle de Preparo'!A8:A1395),2,FALSE),""),"")</f>
        <v/>
      </c>
      <c r="H53" s="116" t="str">
        <f ca="1">IF(_xlfn.IFNA(VLOOKUP(D53,CHOOSE({1,2},'Controle de Preparo'!D8:D1395,'Controle de Preparo'!C8:C1395),2,FALSE),"")&lt;&gt;0,_xlfn.IFNA(VLOOKUP(D53,CHOOSE({1,2},'Controle de Preparo'!D8:D1395,'Controle de Preparo'!C8:C1395),2,FALSE),""),"")</f>
        <v/>
      </c>
      <c r="I53" s="116" t="str">
        <f ca="1">_xlfn.IFNA(VLOOKUP(D53,'Controle de Preparo'!D8:T1395,10,FALSE),"")</f>
        <v/>
      </c>
      <c r="J53" s="67"/>
      <c r="K53" s="67"/>
      <c r="L53" s="67"/>
      <c r="M53" s="116" t="str">
        <f t="shared" ca="1" si="0"/>
        <v/>
      </c>
      <c r="N53" s="118" t="str">
        <f ca="1">_xlfn.IFNA(MID(VLOOKUP(D53,'Controle de Preparo'!D8:T1395,12,FALSE),1,$B$4)&amp;MID(VLOOKUP(D53,'Controle de Preparo'!D8:T1395,14,FALSE),1,$B$4),"")</f>
        <v/>
      </c>
      <c r="O53" s="68" t="str">
        <f ca="1">_xlfn.IFNA(D53&amp;","&amp;SUBSTITUTE(G53," ","_")&amp;","&amp;H53&amp;","&amp;VLOOKUP(D53,'Controle de Preparo'!D8:T1395,7,FALSE)&amp;","&amp;VLOOKUP(D53,'Controle de Preparo'!D8:T1395,9,FALSE)&amp;","&amp;VLOOKUP(D53,'Controle de Preparo'!D8:T1395,11,FALSE)&amp;","&amp;MID(VLOOKUP(D53,'Controle de Preparo'!D8:T1395,12,FALSE),1,$B$4)&amp;","&amp;VLOOKUP(D53,'Controle de Preparo'!D8:T1395,13,FALSE)&amp;","&amp;IF($B$3="MiSeq",MID(VLOOKUP(D53,'Controle de Preparo'!D8:T1395,14,FALSE),1,$B$4),MID(VLOOKUP(D53,'Controle de Preparo'!D8:T1395,16,FALSE),1,$B$4))&amp;","&amp;F53&amp;","&amp;SUBSTITUTE(SUBSTITUTE(E53,".","")," ","_"),"")</f>
        <v/>
      </c>
    </row>
    <row r="54" spans="4:15" x14ac:dyDescent="0.3">
      <c r="D54" s="115"/>
      <c r="E54" s="116" t="str">
        <f ca="1">_xlfn.IFNA(VLOOKUP(D54,'Controle de Preparo'!D9:T1396,2,FALSE),"")</f>
        <v/>
      </c>
      <c r="F54" s="116" t="str">
        <f ca="1">_xlfn.IFNA(VLOOKUP(D54,'Controle de Preparo'!D9:T1396,3,FALSE),"")</f>
        <v/>
      </c>
      <c r="G54" s="66" t="str">
        <f ca="1">IF(_xlfn.IFNA(VLOOKUP(D54,CHOOSE({1,2},'Controle de Preparo'!D9:D1396,'Controle de Preparo'!A9:A1396),2,FALSE),"")&lt;&gt;0,_xlfn.IFNA(VLOOKUP(D54,CHOOSE({1,2},'Controle de Preparo'!D9:D1396,'Controle de Preparo'!A9:A1396),2,FALSE),""),"")</f>
        <v/>
      </c>
      <c r="H54" s="116" t="str">
        <f ca="1">IF(_xlfn.IFNA(VLOOKUP(D54,CHOOSE({1,2},'Controle de Preparo'!D9:D1396,'Controle de Preparo'!C9:C1396),2,FALSE),"")&lt;&gt;0,_xlfn.IFNA(VLOOKUP(D54,CHOOSE({1,2},'Controle de Preparo'!D9:D1396,'Controle de Preparo'!C9:C1396),2,FALSE),""),"")</f>
        <v/>
      </c>
      <c r="I54" s="116" t="str">
        <f ca="1">_xlfn.IFNA(VLOOKUP(D54,'Controle de Preparo'!D9:T1396,10,FALSE),"")</f>
        <v/>
      </c>
      <c r="J54" s="67"/>
      <c r="K54" s="67"/>
      <c r="L54" s="67"/>
      <c r="M54" s="116" t="str">
        <f t="shared" ca="1" si="0"/>
        <v/>
      </c>
      <c r="N54" s="118" t="str">
        <f ca="1">_xlfn.IFNA(MID(VLOOKUP(D54,'Controle de Preparo'!D9:T1396,12,FALSE),1,$B$4)&amp;MID(VLOOKUP(D54,'Controle de Preparo'!D9:T1396,14,FALSE),1,$B$4),"")</f>
        <v/>
      </c>
      <c r="O54" s="68" t="str">
        <f ca="1">_xlfn.IFNA(D54&amp;","&amp;SUBSTITUTE(G54," ","_")&amp;","&amp;H54&amp;","&amp;VLOOKUP(D54,'Controle de Preparo'!D9:T1396,7,FALSE)&amp;","&amp;VLOOKUP(D54,'Controle de Preparo'!D9:T1396,9,FALSE)&amp;","&amp;VLOOKUP(D54,'Controle de Preparo'!D9:T1396,11,FALSE)&amp;","&amp;MID(VLOOKUP(D54,'Controle de Preparo'!D9:T1396,12,FALSE),1,$B$4)&amp;","&amp;VLOOKUP(D54,'Controle de Preparo'!D9:T1396,13,FALSE)&amp;","&amp;IF($B$3="MiSeq",MID(VLOOKUP(D54,'Controle de Preparo'!D9:T1396,14,FALSE),1,$B$4),MID(VLOOKUP(D54,'Controle de Preparo'!D9:T1396,16,FALSE),1,$B$4))&amp;","&amp;F54&amp;","&amp;SUBSTITUTE(SUBSTITUTE(E54,".","")," ","_"),"")</f>
        <v/>
      </c>
    </row>
    <row r="55" spans="4:15" x14ac:dyDescent="0.3">
      <c r="D55" s="115"/>
      <c r="E55" s="116" t="str">
        <f ca="1">_xlfn.IFNA(VLOOKUP(D55,'Controle de Preparo'!D10:T1397,2,FALSE),"")</f>
        <v/>
      </c>
      <c r="F55" s="116" t="str">
        <f ca="1">_xlfn.IFNA(VLOOKUP(D55,'Controle de Preparo'!D10:T1397,3,FALSE),"")</f>
        <v/>
      </c>
      <c r="G55" s="66" t="str">
        <f ca="1">IF(_xlfn.IFNA(VLOOKUP(D55,CHOOSE({1,2},'Controle de Preparo'!D10:D1397,'Controle de Preparo'!A10:A1397),2,FALSE),"")&lt;&gt;0,_xlfn.IFNA(VLOOKUP(D55,CHOOSE({1,2},'Controle de Preparo'!D10:D1397,'Controle de Preparo'!A10:A1397),2,FALSE),""),"")</f>
        <v/>
      </c>
      <c r="H55" s="116" t="str">
        <f ca="1">IF(_xlfn.IFNA(VLOOKUP(D55,CHOOSE({1,2},'Controle de Preparo'!D10:D1397,'Controle de Preparo'!C10:C1397),2,FALSE),"")&lt;&gt;0,_xlfn.IFNA(VLOOKUP(D55,CHOOSE({1,2},'Controle de Preparo'!D10:D1397,'Controle de Preparo'!C10:C1397),2,FALSE),""),"")</f>
        <v/>
      </c>
      <c r="I55" s="116" t="str">
        <f ca="1">_xlfn.IFNA(VLOOKUP(D55,'Controle de Preparo'!D10:T1397,10,FALSE),"")</f>
        <v/>
      </c>
      <c r="J55" s="67"/>
      <c r="K55" s="67"/>
      <c r="L55" s="67"/>
      <c r="M55" s="116" t="str">
        <f t="shared" ca="1" si="0"/>
        <v/>
      </c>
      <c r="N55" s="118" t="str">
        <f ca="1">_xlfn.IFNA(MID(VLOOKUP(D55,'Controle de Preparo'!D10:T1397,12,FALSE),1,$B$4)&amp;MID(VLOOKUP(D55,'Controle de Preparo'!D10:T1397,14,FALSE),1,$B$4),"")</f>
        <v/>
      </c>
      <c r="O55" s="68" t="str">
        <f ca="1">_xlfn.IFNA(D55&amp;","&amp;SUBSTITUTE(G55," ","_")&amp;","&amp;H55&amp;","&amp;VLOOKUP(D55,'Controle de Preparo'!D10:T1397,7,FALSE)&amp;","&amp;VLOOKUP(D55,'Controle de Preparo'!D10:T1397,9,FALSE)&amp;","&amp;VLOOKUP(D55,'Controle de Preparo'!D10:T1397,11,FALSE)&amp;","&amp;MID(VLOOKUP(D55,'Controle de Preparo'!D10:T1397,12,FALSE),1,$B$4)&amp;","&amp;VLOOKUP(D55,'Controle de Preparo'!D10:T1397,13,FALSE)&amp;","&amp;IF($B$3="MiSeq",MID(VLOOKUP(D55,'Controle de Preparo'!D10:T1397,14,FALSE),1,$B$4),MID(VLOOKUP(D55,'Controle de Preparo'!D10:T1397,16,FALSE),1,$B$4))&amp;","&amp;F55&amp;","&amp;SUBSTITUTE(SUBSTITUTE(E55,".","")," ","_"),"")</f>
        <v/>
      </c>
    </row>
    <row r="56" spans="4:15" x14ac:dyDescent="0.3">
      <c r="D56" s="115"/>
      <c r="E56" s="116" t="str">
        <f ca="1">_xlfn.IFNA(VLOOKUP(D56,'Controle de Preparo'!D11:T1398,2,FALSE),"")</f>
        <v/>
      </c>
      <c r="F56" s="116" t="str">
        <f ca="1">_xlfn.IFNA(VLOOKUP(D56,'Controle de Preparo'!D11:T1398,3,FALSE),"")</f>
        <v/>
      </c>
      <c r="G56" s="66" t="str">
        <f ca="1">IF(_xlfn.IFNA(VLOOKUP(D56,CHOOSE({1,2},'Controle de Preparo'!D11:D1398,'Controle de Preparo'!A11:A1398),2,FALSE),"")&lt;&gt;0,_xlfn.IFNA(VLOOKUP(D56,CHOOSE({1,2},'Controle de Preparo'!D11:D1398,'Controle de Preparo'!A11:A1398),2,FALSE),""),"")</f>
        <v/>
      </c>
      <c r="H56" s="116" t="str">
        <f ca="1">IF(_xlfn.IFNA(VLOOKUP(D56,CHOOSE({1,2},'Controle de Preparo'!D11:D1398,'Controle de Preparo'!C11:C1398),2,FALSE),"")&lt;&gt;0,_xlfn.IFNA(VLOOKUP(D56,CHOOSE({1,2},'Controle de Preparo'!D11:D1398,'Controle de Preparo'!C11:C1398),2,FALSE),""),"")</f>
        <v/>
      </c>
      <c r="I56" s="116" t="str">
        <f ca="1">_xlfn.IFNA(VLOOKUP(D56,'Controle de Preparo'!D11:T1398,10,FALSE),"")</f>
        <v/>
      </c>
      <c r="J56" s="67"/>
      <c r="K56" s="67"/>
      <c r="L56" s="67"/>
      <c r="M56" s="116" t="str">
        <f t="shared" ca="1" si="0"/>
        <v/>
      </c>
      <c r="N56" s="118" t="str">
        <f ca="1">_xlfn.IFNA(MID(VLOOKUP(D56,'Controle de Preparo'!D11:T1398,12,FALSE),1,$B$4)&amp;MID(VLOOKUP(D56,'Controle de Preparo'!D11:T1398,14,FALSE),1,$B$4),"")</f>
        <v/>
      </c>
      <c r="O56" s="68" t="str">
        <f ca="1">_xlfn.IFNA(D56&amp;","&amp;SUBSTITUTE(G56," ","_")&amp;","&amp;H56&amp;","&amp;VLOOKUP(D56,'Controle de Preparo'!D11:T1398,7,FALSE)&amp;","&amp;VLOOKUP(D56,'Controle de Preparo'!D11:T1398,9,FALSE)&amp;","&amp;VLOOKUP(D56,'Controle de Preparo'!D11:T1398,11,FALSE)&amp;","&amp;MID(VLOOKUP(D56,'Controle de Preparo'!D11:T1398,12,FALSE),1,$B$4)&amp;","&amp;VLOOKUP(D56,'Controle de Preparo'!D11:T1398,13,FALSE)&amp;","&amp;IF($B$3="MiSeq",MID(VLOOKUP(D56,'Controle de Preparo'!D11:T1398,14,FALSE),1,$B$4),MID(VLOOKUP(D56,'Controle de Preparo'!D11:T1398,16,FALSE),1,$B$4))&amp;","&amp;F56&amp;","&amp;SUBSTITUTE(SUBSTITUTE(E56,".","")," ","_"),"")</f>
        <v/>
      </c>
    </row>
    <row r="57" spans="4:15" x14ac:dyDescent="0.3">
      <c r="D57" s="115"/>
      <c r="E57" s="116" t="str">
        <f ca="1">_xlfn.IFNA(VLOOKUP(D57,'Controle de Preparo'!D12:T1399,2,FALSE),"")</f>
        <v/>
      </c>
      <c r="F57" s="116" t="str">
        <f ca="1">_xlfn.IFNA(VLOOKUP(D57,'Controle de Preparo'!D12:T1399,3,FALSE),"")</f>
        <v/>
      </c>
      <c r="G57" s="66" t="str">
        <f ca="1">IF(_xlfn.IFNA(VLOOKUP(D57,CHOOSE({1,2},'Controle de Preparo'!D12:D1399,'Controle de Preparo'!A12:A1399),2,FALSE),"")&lt;&gt;0,_xlfn.IFNA(VLOOKUP(D57,CHOOSE({1,2},'Controle de Preparo'!D12:D1399,'Controle de Preparo'!A12:A1399),2,FALSE),""),"")</f>
        <v/>
      </c>
      <c r="H57" s="116" t="str">
        <f ca="1">IF(_xlfn.IFNA(VLOOKUP(D57,CHOOSE({1,2},'Controle de Preparo'!D12:D1399,'Controle de Preparo'!C12:C1399),2,FALSE),"")&lt;&gt;0,_xlfn.IFNA(VLOOKUP(D57,CHOOSE({1,2},'Controle de Preparo'!D12:D1399,'Controle de Preparo'!C12:C1399),2,FALSE),""),"")</f>
        <v/>
      </c>
      <c r="I57" s="116" t="str">
        <f ca="1">_xlfn.IFNA(VLOOKUP(D57,'Controle de Preparo'!D12:T1399,10,FALSE),"")</f>
        <v/>
      </c>
      <c r="J57" s="67"/>
      <c r="K57" s="67"/>
      <c r="L57" s="67"/>
      <c r="M57" s="116" t="str">
        <f t="shared" ca="1" si="0"/>
        <v/>
      </c>
      <c r="N57" s="118" t="str">
        <f ca="1">_xlfn.IFNA(MID(VLOOKUP(D57,'Controle de Preparo'!D12:T1399,12,FALSE),1,$B$4)&amp;MID(VLOOKUP(D57,'Controle de Preparo'!D12:T1399,14,FALSE),1,$B$4),"")</f>
        <v/>
      </c>
      <c r="O57" s="68" t="str">
        <f ca="1">_xlfn.IFNA(D57&amp;","&amp;SUBSTITUTE(G57," ","_")&amp;","&amp;H57&amp;","&amp;VLOOKUP(D57,'Controle de Preparo'!D12:T1399,7,FALSE)&amp;","&amp;VLOOKUP(D57,'Controle de Preparo'!D12:T1399,9,FALSE)&amp;","&amp;VLOOKUP(D57,'Controle de Preparo'!D12:T1399,11,FALSE)&amp;","&amp;MID(VLOOKUP(D57,'Controle de Preparo'!D12:T1399,12,FALSE),1,$B$4)&amp;","&amp;VLOOKUP(D57,'Controle de Preparo'!D12:T1399,13,FALSE)&amp;","&amp;IF($B$3="MiSeq",MID(VLOOKUP(D57,'Controle de Preparo'!D12:T1399,14,FALSE),1,$B$4),MID(VLOOKUP(D57,'Controle de Preparo'!D12:T1399,16,FALSE),1,$B$4))&amp;","&amp;F57&amp;","&amp;SUBSTITUTE(SUBSTITUTE(E57,".","")," ","_"),"")</f>
        <v/>
      </c>
    </row>
  </sheetData>
  <conditionalFormatting sqref="A16:A17">
    <cfRule type="expression" dxfId="144" priority="8">
      <formula>ISNUMBER(FIND("POOL",$D16))*COUNTIF($N$2:$N$46,$N16)&gt;1</formula>
    </cfRule>
  </conditionalFormatting>
  <conditionalFormatting sqref="D2:D3">
    <cfRule type="expression" dxfId="143" priority="9">
      <formula>ISNUMBER(FIND("POOL",$D2))*COUNTIF($N$2:$N$46,$N2)&gt;1</formula>
    </cfRule>
  </conditionalFormatting>
  <conditionalFormatting sqref="D4:G57">
    <cfRule type="expression" dxfId="142" priority="4">
      <formula>ISNUMBER(FIND("POOL",$D4))*COUNTIF($N$2:$N$46,$N4)&gt;1</formula>
    </cfRule>
  </conditionalFormatting>
  <conditionalFormatting sqref="E2:F2 I2:N2 E3:G3">
    <cfRule type="expression" dxfId="141" priority="17">
      <formula>ISNUMBER(FIND("POOL",$D2))*COUNTIF($N$2:$N$46,$N2)&gt;1</formula>
    </cfRule>
  </conditionalFormatting>
  <conditionalFormatting sqref="G2:H57">
    <cfRule type="expression" dxfId="140" priority="3">
      <formula>ISNUMBER(FIND("POOL",$D2))*COUNTIF($N$2:$N$46,$N2)&gt;1</formula>
    </cfRule>
  </conditionalFormatting>
  <conditionalFormatting sqref="I3:O57">
    <cfRule type="expression" dxfId="139" priority="1">
      <formula>ISNUMBER(FIND("POOL",$D3))*COUNTIF($N$2:$N$46,$N3)&gt;1</formula>
    </cfRule>
  </conditionalFormatting>
  <conditionalFormatting sqref="O2:O57">
    <cfRule type="expression" dxfId="138" priority="16">
      <formula>ISNUMBER(FIND("POOL",$D2))*COUNTIF($N$2:$N$46,$N2)&gt;1</formula>
    </cfRule>
  </conditionalFormatting>
  <pageMargins left="0.25" right="0.25" top="0.75" bottom="0.75" header="0.3" footer="0.3"/>
  <pageSetup paperSize="9" scale="44" orientation="landscape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7029BA4-9C8A-4388-B866-E369C3C31315}">
          <x14:formula1>
            <xm:f>Database!$AE$1:$AE$7</xm:f>
          </x14:formula1>
          <xm:sqref>B3</xm:sqref>
        </x14:dataValidation>
        <x14:dataValidation type="list" allowBlank="1" showInputMessage="1" showErrorMessage="1" xr:uid="{EE336F70-98EB-4F44-B379-9F822276060A}">
          <x14:formula1>
            <xm:f>Database!$Y$1:$Y$11</xm:f>
          </x14:formula1>
          <xm:sqref>B8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5BB88-3B56-4093-A0B4-1B3511728E2A}">
  <dimension ref="A2:M78"/>
  <sheetViews>
    <sheetView view="pageBreakPreview" zoomScale="70" zoomScaleNormal="70" zoomScaleSheetLayoutView="70" zoomScalePageLayoutView="55" workbookViewId="0">
      <selection activeCell="F9" sqref="F9"/>
    </sheetView>
  </sheetViews>
  <sheetFormatPr defaultColWidth="9.140625" defaultRowHeight="15" x14ac:dyDescent="0.25"/>
  <cols>
    <col min="1" max="1" width="18.28515625" style="5" customWidth="1"/>
    <col min="2" max="4" width="15" style="5" customWidth="1"/>
    <col min="5" max="5" width="16.140625" style="130" customWidth="1"/>
    <col min="6" max="6" width="17.7109375" style="5" customWidth="1"/>
    <col min="7" max="7" width="15" style="5" customWidth="1"/>
    <col min="8" max="9" width="15" style="8" customWidth="1"/>
    <col min="10" max="12" width="15" style="5" customWidth="1"/>
    <col min="13" max="13" width="15" style="8" customWidth="1"/>
    <col min="14" max="16384" width="9.140625" style="5"/>
  </cols>
  <sheetData>
    <row r="2" spans="1:13" ht="17.25" x14ac:dyDescent="0.3">
      <c r="C2" s="18" t="s">
        <v>1892</v>
      </c>
      <c r="D2" s="15" t="s">
        <v>159</v>
      </c>
      <c r="F2" s="18" t="s">
        <v>1893</v>
      </c>
      <c r="G2" s="43"/>
      <c r="H2" s="8" t="s">
        <v>1894</v>
      </c>
      <c r="J2" s="18" t="s">
        <v>1895</v>
      </c>
      <c r="K2" s="61"/>
      <c r="L2" s="60"/>
    </row>
    <row r="3" spans="1:13" ht="9.75" customHeight="1" x14ac:dyDescent="0.3">
      <c r="C3" s="13"/>
      <c r="D3" s="16"/>
    </row>
    <row r="4" spans="1:13" ht="18.75" x14ac:dyDescent="0.3">
      <c r="C4" s="18" t="s">
        <v>1896</v>
      </c>
      <c r="D4" s="17">
        <v>16</v>
      </c>
      <c r="E4" s="140" t="str">
        <f>IF(24-COUNTBLANK(E8:E31)&lt;&gt;D4,"Diferente quantidade de amostras do que preenchido",IF(24-COUNTBLANK(F8:F31)&lt;&gt;D4,"Diferente quantidade de amostras do que preenchido",IF(24-COUNTBLANK(G8:G31)&lt;&gt;D4,"Diferente quantidade de amostras do que preenchido",IF(24-COUNTBLANK(K8:K31)&lt;&gt;D4,"Diferente quantidade de amostras do que preenchido",""))))</f>
        <v>Diferente quantidade de amostras do que preenchido</v>
      </c>
      <c r="F4" s="141"/>
      <c r="G4" s="141"/>
      <c r="H4" s="141"/>
      <c r="J4" s="18" t="s">
        <v>1897</v>
      </c>
      <c r="K4" s="142"/>
      <c r="L4" s="143"/>
    </row>
    <row r="5" spans="1:13" ht="17.25" x14ac:dyDescent="0.3">
      <c r="C5" s="18" t="s">
        <v>1898</v>
      </c>
      <c r="D5" s="17">
        <v>1</v>
      </c>
      <c r="J5" s="18"/>
      <c r="K5" s="144"/>
      <c r="L5" s="145"/>
    </row>
    <row r="6" spans="1:13" ht="12" customHeight="1" x14ac:dyDescent="0.25">
      <c r="B6" s="6"/>
      <c r="C6" s="6"/>
    </row>
    <row r="7" spans="1:13" s="40" customFormat="1" ht="37.5" x14ac:dyDescent="0.25">
      <c r="B7" s="146" t="str">
        <f>IF(D4&gt;=1,"Posção placa PCR","")</f>
        <v>Posção placa PCR</v>
      </c>
      <c r="C7" s="146"/>
      <c r="D7" s="41" t="str">
        <f>IF(D4&gt;=1,"Nome do Pool","")</f>
        <v>Nome do Pool</v>
      </c>
      <c r="E7" s="131" t="str">
        <f>IF(D4&gt;=1,"ID da Amostra","")</f>
        <v>ID da Amostra</v>
      </c>
      <c r="F7" s="41" t="str">
        <f>IF(D4&gt;=1,"Procedimento","")</f>
        <v>Procedimento</v>
      </c>
      <c r="G7" s="41" t="str">
        <f>IF(D4&gt;=1,"Conc. Inicial (C1)","")</f>
        <v>Conc. Inicial (C1)</v>
      </c>
      <c r="H7" s="41" t="str">
        <f>IF(D4&gt;=1,"DNA/RNA (V1)","")</f>
        <v>DNA/RNA (V1)</v>
      </c>
      <c r="I7" s="41" t="str">
        <f>IF(D4&gt;=1,"Eluente
(V2-V1)","")</f>
        <v>Eluente
(V2-V1)</v>
      </c>
      <c r="J7" s="41" t="str">
        <f>IF(D4&gt;=1,"Placa de Index","")</f>
        <v>Placa de Index</v>
      </c>
      <c r="K7" s="146" t="str">
        <f>IF(D4&gt;=1,"Posção na placa Index","")</f>
        <v>Posção na placa Index</v>
      </c>
      <c r="L7" s="146"/>
      <c r="M7" s="41" t="str">
        <f>IF(D4&gt;=1,"Segunda Quant. ","")</f>
        <v xml:space="preserve">Segunda Quant. </v>
      </c>
    </row>
    <row r="8" spans="1:13" ht="19.5" x14ac:dyDescent="0.3">
      <c r="A8" s="6"/>
      <c r="B8" s="33">
        <f>IF(ROW(C4)-3&lt;=$D$4,ROW(C4)-3,"")</f>
        <v>1</v>
      </c>
      <c r="C8" s="33" t="str">
        <f>_xlfn.IFNA(VLOOKUP(B8,Database!H1:I100,2,FALSE),"")</f>
        <v>A01</v>
      </c>
      <c r="D8" s="28" t="str">
        <f>IF(ROW(C4)-3&lt;=$D$4,"POOL-"&amp;D5,"")</f>
        <v>POOL-1</v>
      </c>
      <c r="E8" s="132"/>
      <c r="F8" s="136" t="s">
        <v>93</v>
      </c>
      <c r="G8" s="30" t="str">
        <f>IF(ISNUMBER(FIND(" ",_xlfn.IFNA(VLOOKUP(E8,[1]!Extração[[ID Tubo]:[CONCENTRAÇÃO QUBIT]],16,FALSE),""))),MID(_xlfn.IFNA(VLOOKUP(E8,[1]!Extração[[ID Tubo]:[CONCENTRAÇÃO QUBIT]],16,FALSE),""),1,FIND(" ",_xlfn.IFNA(VLOOKUP(E8,[1]!Extração[[ID Tubo]:[CONCENTRAÇÃO QUBIT]],16,FALSE),""))-1),_xlfn.IFNA(VLOOKUP(E8,[1]!Extração[[ID Tubo]:[CONCENTRAÇÃO QUBIT]],16,FALSE),""))</f>
        <v/>
      </c>
      <c r="H8" s="31"/>
      <c r="I8" s="49" t="str">
        <f>IFERROR(_xlfn.IFNA(IF(H8&lt;&gt;"",IF(VLOOKUP(F8,Database!A1:D500,2,FALSE)&gt;=G8,IF(VLOOKUP(F8,Database!A1:D500,3,FALSE)&lt;=H8,0,"Aumente o volume de DNA"),IF((G8/VLOOKUP(F8,Database!A1:D500,2,FALSE)*H8)&gt;VLOOKUP(F8,Database!A1:D500,3,FALSE),(G8/VLOOKUP(F8,Database!A1:D500,2,FALSE)*H8)-H8,"Aumente o volume de DNA")),""),"-"),"-")</f>
        <v/>
      </c>
      <c r="J8" s="30"/>
      <c r="K8" s="30"/>
      <c r="L8" s="33" t="str">
        <f>_xlfn.IFNA(VLOOKUP(K8,Database!H1:I100,2,FALSE),"")</f>
        <v/>
      </c>
      <c r="M8" s="30"/>
    </row>
    <row r="9" spans="1:13" ht="19.5" x14ac:dyDescent="0.3">
      <c r="A9" s="6"/>
      <c r="B9" s="33">
        <f>IF(ROW(B5)-3&lt;=$D$4,ROW(B5)-3,"")</f>
        <v>2</v>
      </c>
      <c r="C9" s="33" t="str">
        <f>_xlfn.IFNA(VLOOKUP(B9,Database!H1:I100,2,FALSE),"")</f>
        <v>B01</v>
      </c>
      <c r="D9" s="28" t="str">
        <f>IF(ROW(C5)-3&lt;=$D$4,"POOL-"&amp;$D$5+1,"")</f>
        <v>POOL-2</v>
      </c>
      <c r="E9" s="132"/>
      <c r="F9" s="136" t="str">
        <f>_xlfn.IFNA(VLOOKUP(VLOOKUP(E9,[1]!Extração[[ID Tubo]:[CONCENTRAÇÃO QUBIT]],3,FALSE),Database!$AK$1:$AL$250,2,FALSE),"")</f>
        <v/>
      </c>
      <c r="G9" s="30" t="str">
        <f>IF(ISNUMBER(FIND(" ",_xlfn.IFNA(VLOOKUP(E9,[1]!Extração[[ID Tubo]:[CONCENTRAÇÃO QUBIT]],16,FALSE),""))),MID(_xlfn.IFNA(VLOOKUP(E9,[1]!Extração[[ID Tubo]:[CONCENTRAÇÃO QUBIT]],16,FALSE),""),1,FIND(" ",_xlfn.IFNA(VLOOKUP(E9,[1]!Extração[[ID Tubo]:[CONCENTRAÇÃO QUBIT]],16,FALSE),""))-1),_xlfn.IFNA(VLOOKUP(E9,[1]!Extração[[ID Tubo]:[CONCENTRAÇÃO QUBIT]],16,FALSE),""))</f>
        <v/>
      </c>
      <c r="H9" s="31"/>
      <c r="I9" s="49" t="str">
        <f>IFERROR(_xlfn.IFNA(IF(H9&lt;&gt;"",IF(VLOOKUP(F9,Database!A1:D500,2,FALSE)&gt;=G9,IF(VLOOKUP(F9,Database!A1:D500,3,FALSE)&lt;=H9,0,"Aumente o volume de DNA"),IF((G9/VLOOKUP(F9,Database!A1:D500,2,FALSE)*H9)&gt;VLOOKUP(F9,Database!A1:D500,3,FALSE),(G9/VLOOKUP(F9,Database!A1:D500,2,FALSE)*H9)-H9,"Aumente o volume de DNA")),""),"-"),"-")</f>
        <v/>
      </c>
      <c r="J9" s="30"/>
      <c r="K9" s="30"/>
      <c r="L9" s="33" t="str">
        <f>_xlfn.IFNA(VLOOKUP(K9,Database!H1:I100,2,FALSE),"")</f>
        <v/>
      </c>
      <c r="M9" s="30"/>
    </row>
    <row r="10" spans="1:13" ht="19.5" x14ac:dyDescent="0.3">
      <c r="A10" s="6"/>
      <c r="B10" s="33">
        <f>IF(ROW(B6)-3&lt;=$D$4,ROW(B6)-3,"")</f>
        <v>3</v>
      </c>
      <c r="C10" s="33" t="str">
        <f>_xlfn.IFNA(VLOOKUP(B10,Database!H1:I100,2,FALSE),"")</f>
        <v>C01</v>
      </c>
      <c r="D10" s="28" t="str">
        <f>IF(ROW(B6)-3&lt;=$D$4,"POOL-"&amp;$D$5+2,"")</f>
        <v>POOL-3</v>
      </c>
      <c r="E10" s="132"/>
      <c r="F10" s="136" t="str">
        <f>_xlfn.IFNA(VLOOKUP(VLOOKUP(E10,[1]!Extração[[ID Tubo]:[CONCENTRAÇÃO QUBIT]],3,FALSE),Database!$AK$1:$AL$250,2,FALSE),"")</f>
        <v/>
      </c>
      <c r="G10" s="30" t="str">
        <f>IF(ISNUMBER(FIND(" ",_xlfn.IFNA(VLOOKUP(E10,[1]!Extração[[ID Tubo]:[CONCENTRAÇÃO QUBIT]],16,FALSE),""))),MID(_xlfn.IFNA(VLOOKUP(E10,[1]!Extração[[ID Tubo]:[CONCENTRAÇÃO QUBIT]],16,FALSE),""),1,FIND(" ",_xlfn.IFNA(VLOOKUP(E10,[1]!Extração[[ID Tubo]:[CONCENTRAÇÃO QUBIT]],16,FALSE),""))-1),_xlfn.IFNA(VLOOKUP(E10,[1]!Extração[[ID Tubo]:[CONCENTRAÇÃO QUBIT]],16,FALSE),""))</f>
        <v/>
      </c>
      <c r="H10" s="31"/>
      <c r="I10" s="49" t="str">
        <f>IFERROR(_xlfn.IFNA(IF(H10&lt;&gt;"",IF(VLOOKUP(F10,Database!A1:D500,2,FALSE)&gt;=G10,IF(VLOOKUP(F10,Database!A1:D500,3,FALSE)&lt;=H10,0,"Aumente o volume de DNA"),IF((G10/VLOOKUP(F10,Database!A1:D500,2,FALSE)*H10)&gt;VLOOKUP(F10,Database!A1:D500,3,FALSE),(G10/VLOOKUP(F10,Database!A1:D500,2,FALSE)*H10)-H10,"Aumente o volume de DNA")),""),"-"),"-")</f>
        <v/>
      </c>
      <c r="J10" s="30"/>
      <c r="K10" s="30"/>
      <c r="L10" s="33" t="str">
        <f>_xlfn.IFNA(VLOOKUP(K10,Database!H1:I100,2,FALSE),"")</f>
        <v/>
      </c>
      <c r="M10" s="30"/>
    </row>
    <row r="11" spans="1:13" ht="19.5" x14ac:dyDescent="0.3">
      <c r="A11" s="6"/>
      <c r="B11" s="33">
        <f t="shared" ref="B11:B31" si="0">IF(ROW(A7)-3&lt;=$D$4,ROW(A7)-3,"")</f>
        <v>4</v>
      </c>
      <c r="C11" s="33" t="str">
        <f>_xlfn.IFNA(VLOOKUP(B11,Database!H1:I100,2,FALSE),"")</f>
        <v>D01</v>
      </c>
      <c r="D11" s="28" t="str">
        <f>IF(ROW(A7)-3&lt;=$D$4,"POOL-"&amp;$D$5+3,"")</f>
        <v>POOL-4</v>
      </c>
      <c r="E11" s="132"/>
      <c r="F11" s="136" t="str">
        <f>_xlfn.IFNA(VLOOKUP(VLOOKUP(E11,[1]!Extração[[ID Tubo]:[CONCENTRAÇÃO QUBIT]],3,FALSE),Database!$AK$1:$AL$250,2,FALSE),"")</f>
        <v/>
      </c>
      <c r="G11" s="30"/>
      <c r="H11" s="31"/>
      <c r="I11" s="49" t="str">
        <f>IFERROR(_xlfn.IFNA(IF(H11&lt;&gt;"",IF(VLOOKUP(F11,Database!A1:D500,2,FALSE)&gt;=G11,IF(VLOOKUP(F11,Database!A1:D500,3,FALSE)&lt;=H11,0,"Aumente o volume de DNA"),IF((G11/VLOOKUP(F11,Database!A1:D500,2,FALSE)*H11)&gt;VLOOKUP(F11,Database!A1:D500,3,FALSE),(G11/VLOOKUP(F11,Database!A1:D500,2,FALSE)*H11)-H11,"Aumente o volume de DNA")),""),"-"),"-")</f>
        <v/>
      </c>
      <c r="J11" s="30"/>
      <c r="K11" s="30"/>
      <c r="L11" s="33" t="str">
        <f>_xlfn.IFNA(VLOOKUP(K11,Database!H1:I100,2,FALSE),"")</f>
        <v/>
      </c>
      <c r="M11" s="30"/>
    </row>
    <row r="12" spans="1:13" ht="19.5" x14ac:dyDescent="0.3">
      <c r="A12" s="6"/>
      <c r="B12" s="33">
        <f t="shared" si="0"/>
        <v>5</v>
      </c>
      <c r="C12" s="33" t="str">
        <f>_xlfn.IFNA(VLOOKUP(B12,Database!H1:I100,2,FALSE),"")</f>
        <v>E01</v>
      </c>
      <c r="D12" s="28" t="str">
        <f>IF(ROW(A8)-3&lt;=$D$4,"POOL-"&amp;$D$5+4,"")</f>
        <v>POOL-5</v>
      </c>
      <c r="E12" s="132"/>
      <c r="F12" s="136" t="str">
        <f>_xlfn.IFNA(VLOOKUP(VLOOKUP(E12,[1]!Extração[[ID Tubo]:[CONCENTRAÇÃO QUBIT]],3,FALSE),Database!$AK$1:$AL$250,2,FALSE),"")</f>
        <v/>
      </c>
      <c r="G12" s="30" t="str">
        <f>IF(ISNUMBER(FIND(" ",_xlfn.IFNA(VLOOKUP(E12,[1]!Extração[[ID Tubo]:[CONCENTRAÇÃO QUBIT]],16,FALSE),""))),MID(_xlfn.IFNA(VLOOKUP(E12,[1]!Extração[[ID Tubo]:[CONCENTRAÇÃO QUBIT]],16,FALSE),""),1,FIND(" ",_xlfn.IFNA(VLOOKUP(E12,[1]!Extração[[ID Tubo]:[CONCENTRAÇÃO QUBIT]],16,FALSE),""))-1),_xlfn.IFNA(VLOOKUP(E12,[1]!Extração[[ID Tubo]:[CONCENTRAÇÃO QUBIT]],16,FALSE),""))</f>
        <v/>
      </c>
      <c r="H12" s="31"/>
      <c r="I12" s="49" t="str">
        <f>IFERROR(_xlfn.IFNA(IF(H12&lt;&gt;"",IF(VLOOKUP(F12,Database!A1:D500,2,FALSE)&gt;=G12,IF(VLOOKUP(F12,Database!A1:D500,3,FALSE)&lt;=H12,0,"Aumente o volume de DNA"),IF((G12/VLOOKUP(F12,Database!A1:D500,2,FALSE)*H12)&gt;VLOOKUP(F12,Database!A1:D500,3,FALSE),(G12/VLOOKUP(F12,Database!A1:D500,2,FALSE)*H12)-H12,"Aumente o volume de DNA")),""),"-"),"-")</f>
        <v/>
      </c>
      <c r="J12" s="30"/>
      <c r="K12" s="30"/>
      <c r="L12" s="33" t="str">
        <f>_xlfn.IFNA(VLOOKUP(K12,Database!H1:I100,2,FALSE),"")</f>
        <v/>
      </c>
      <c r="M12" s="30"/>
    </row>
    <row r="13" spans="1:13" ht="19.5" x14ac:dyDescent="0.3">
      <c r="A13" s="6"/>
      <c r="B13" s="33">
        <f t="shared" si="0"/>
        <v>6</v>
      </c>
      <c r="C13" s="33" t="str">
        <f>_xlfn.IFNA(VLOOKUP(B13,Database!H1:I100,2,FALSE),"")</f>
        <v>F01</v>
      </c>
      <c r="D13" s="28" t="str">
        <f>IF(ROW(A9)-3&lt;=$D$4,"POOL-"&amp;$D$5+5,"")</f>
        <v>POOL-6</v>
      </c>
      <c r="E13" s="132"/>
      <c r="F13" s="136" t="str">
        <f>_xlfn.IFNA(VLOOKUP(VLOOKUP(E13,[1]!Extração[[ID Tubo]:[CONCENTRAÇÃO QUBIT]],3,FALSE),Database!$AK$1:$AL$250,2,FALSE),"")</f>
        <v/>
      </c>
      <c r="G13" s="30" t="str">
        <f>IF(ISNUMBER(FIND(" ",_xlfn.IFNA(VLOOKUP(E13,[1]!Extração[[ID Tubo]:[CONCENTRAÇÃO QUBIT]],16,FALSE),""))),MID(_xlfn.IFNA(VLOOKUP(E13,[1]!Extração[[ID Tubo]:[CONCENTRAÇÃO QUBIT]],16,FALSE),""),1,FIND(" ",_xlfn.IFNA(VLOOKUP(E13,[1]!Extração[[ID Tubo]:[CONCENTRAÇÃO QUBIT]],16,FALSE),""))-1),_xlfn.IFNA(VLOOKUP(E13,[1]!Extração[[ID Tubo]:[CONCENTRAÇÃO QUBIT]],16,FALSE),""))</f>
        <v/>
      </c>
      <c r="H13" s="31"/>
      <c r="I13" s="49" t="str">
        <f>IFERROR(_xlfn.IFNA(IF(H13&lt;&gt;"",IF(VLOOKUP(F13,Database!A1:D500,2,FALSE)&gt;=G13,IF(VLOOKUP(F13,Database!A1:D500,3,FALSE)&lt;=H13,0,"Aumente o volume de DNA"),IF((G13/VLOOKUP(F13,Database!A1:D500,2,FALSE)*H13)&gt;VLOOKUP(F13,Database!A1:D500,3,FALSE),(G13/VLOOKUP(F13,Database!A1:D500,2,FALSE)*H13)-H13,"Aumente o volume de DNA")),""),"-"),"-")</f>
        <v/>
      </c>
      <c r="J13" s="30"/>
      <c r="K13" s="30"/>
      <c r="L13" s="33" t="str">
        <f>_xlfn.IFNA(VLOOKUP(K13,Database!H1:I100,2,FALSE),"")</f>
        <v/>
      </c>
      <c r="M13" s="30"/>
    </row>
    <row r="14" spans="1:13" ht="19.5" x14ac:dyDescent="0.3">
      <c r="A14" s="6"/>
      <c r="B14" s="33">
        <f t="shared" si="0"/>
        <v>7</v>
      </c>
      <c r="C14" s="33" t="str">
        <f>_xlfn.IFNA(VLOOKUP(B14,Database!H1:I100,2,FALSE),"")</f>
        <v>G01</v>
      </c>
      <c r="D14" s="28" t="str">
        <f>IF(ROW(A10)-3&lt;=$D$4,"POOL-"&amp;$D$5+6,"")</f>
        <v>POOL-7</v>
      </c>
      <c r="E14" s="132"/>
      <c r="F14" s="136" t="str">
        <f>_xlfn.IFNA(VLOOKUP(VLOOKUP(E14,[1]!Extração[[ID Tubo]:[CONCENTRAÇÃO QUBIT]],3,FALSE),Database!$AK$1:$AL$250,2,FALSE),"")</f>
        <v/>
      </c>
      <c r="G14" s="30" t="str">
        <f>IF(ISNUMBER(FIND(" ",_xlfn.IFNA(VLOOKUP(E14,[1]!Extração[[ID Tubo]:[CONCENTRAÇÃO QUBIT]],16,FALSE),""))),MID(_xlfn.IFNA(VLOOKUP(E14,[1]!Extração[[ID Tubo]:[CONCENTRAÇÃO QUBIT]],16,FALSE),""),1,FIND(" ",_xlfn.IFNA(VLOOKUP(E14,[1]!Extração[[ID Tubo]:[CONCENTRAÇÃO QUBIT]],16,FALSE),""))-1),_xlfn.IFNA(VLOOKUP(E14,[1]!Extração[[ID Tubo]:[CONCENTRAÇÃO QUBIT]],16,FALSE),""))</f>
        <v/>
      </c>
      <c r="H14" s="31"/>
      <c r="I14" s="49" t="str">
        <f>IFERROR(_xlfn.IFNA(IF(H14&lt;&gt;"",IF(VLOOKUP(F14,Database!A1:D500,2,FALSE)&gt;=G14,IF(VLOOKUP(F14,Database!A1:D500,3,FALSE)&lt;=H14,0,"Aumente o volume de DNA"),IF((G14/VLOOKUP(F14,Database!A1:D500,2,FALSE)*H14)&gt;VLOOKUP(F14,Database!A1:D500,3,FALSE),(G14/VLOOKUP(F14,Database!A1:D500,2,FALSE)*H14)-H14,"Aumente o volume de DNA")),""),"-"),"-")</f>
        <v/>
      </c>
      <c r="J14" s="30"/>
      <c r="K14" s="30"/>
      <c r="L14" s="33" t="str">
        <f>_xlfn.IFNA(VLOOKUP(K14,Database!H1:I100,2,FALSE),"")</f>
        <v/>
      </c>
      <c r="M14" s="30"/>
    </row>
    <row r="15" spans="1:13" ht="19.5" x14ac:dyDescent="0.3">
      <c r="A15" s="6"/>
      <c r="B15" s="33">
        <f t="shared" si="0"/>
        <v>8</v>
      </c>
      <c r="C15" s="33" t="str">
        <f>_xlfn.IFNA(VLOOKUP(B15,Database!H1:I100,2,FALSE),"")</f>
        <v>H01</v>
      </c>
      <c r="D15" s="28" t="str">
        <f>IF(ROW(A11)-3&lt;=$D$4,"POOL-"&amp;$D$5+7,"")</f>
        <v>POOL-8</v>
      </c>
      <c r="E15" s="132"/>
      <c r="F15" s="136" t="str">
        <f>_xlfn.IFNA(VLOOKUP(VLOOKUP(E15,[1]!Extração[[ID Tubo]:[CONCENTRAÇÃO QUBIT]],3,FALSE),Database!$AK$1:$AL$250,2,FALSE),"")</f>
        <v/>
      </c>
      <c r="G15" s="30" t="str">
        <f>IF(ISNUMBER(FIND(" ",_xlfn.IFNA(VLOOKUP(E15,[1]!Extração[[ID Tubo]:[CONCENTRAÇÃO QUBIT]],16,FALSE),""))),MID(_xlfn.IFNA(VLOOKUP(E15,[1]!Extração[[ID Tubo]:[CONCENTRAÇÃO QUBIT]],16,FALSE),""),1,FIND(" ",_xlfn.IFNA(VLOOKUP(E15,[1]!Extração[[ID Tubo]:[CONCENTRAÇÃO QUBIT]],16,FALSE),""))-1),_xlfn.IFNA(VLOOKUP(E15,[1]!Extração[[ID Tubo]:[CONCENTRAÇÃO QUBIT]],16,FALSE),""))</f>
        <v/>
      </c>
      <c r="H15" s="31"/>
      <c r="I15" s="49" t="str">
        <f>IFERROR(_xlfn.IFNA(IF(H15&lt;&gt;"",IF(VLOOKUP(F15,Database!A1:D500,2,FALSE)&gt;=G15,IF(VLOOKUP(F15,Database!A1:D500,3,FALSE)&lt;=H15,0,"Aumente o volume de DNA"),IF((G15/VLOOKUP(F15,Database!A1:D500,2,FALSE)*H15)&gt;VLOOKUP(F15,Database!A1:D500,3,FALSE),(G15/VLOOKUP(F15,Database!A1:D500,2,FALSE)*H15)-H15,"Aumente o volume de DNA")),""),"-"),"-")</f>
        <v/>
      </c>
      <c r="J15" s="30"/>
      <c r="K15" s="30"/>
      <c r="L15" s="33" t="str">
        <f>_xlfn.IFNA(VLOOKUP(K15,Database!H1:I100,2,FALSE),"")</f>
        <v/>
      </c>
      <c r="M15" s="30"/>
    </row>
    <row r="16" spans="1:13" ht="19.5" x14ac:dyDescent="0.3">
      <c r="A16" s="6"/>
      <c r="B16" s="33">
        <f t="shared" si="0"/>
        <v>9</v>
      </c>
      <c r="C16" s="33" t="str">
        <f>_xlfn.IFNA(VLOOKUP(B16,Database!H1:I100,2,FALSE),"")</f>
        <v>A02</v>
      </c>
      <c r="D16" s="28" t="str">
        <f>IF(ROW(A12)-3&lt;=$D$4,"POOL-"&amp;$D$5+8,"")</f>
        <v>POOL-9</v>
      </c>
      <c r="E16" s="132"/>
      <c r="F16" s="136" t="str">
        <f>_xlfn.IFNA(VLOOKUP(VLOOKUP(E16,[1]!Extração[[ID Tubo]:[CONCENTRAÇÃO QUBIT]],3,FALSE),Database!$AK$1:$AL$250,2,FALSE),"")</f>
        <v/>
      </c>
      <c r="G16" s="30" t="str">
        <f>IF(ISNUMBER(FIND(" ",_xlfn.IFNA(VLOOKUP(E16,[1]!Extração[[ID Tubo]:[CONCENTRAÇÃO QUBIT]],16,FALSE),""))),MID(_xlfn.IFNA(VLOOKUP(E16,[1]!Extração[[ID Tubo]:[CONCENTRAÇÃO QUBIT]],16,FALSE),""),1,FIND(" ",_xlfn.IFNA(VLOOKUP(E16,[1]!Extração[[ID Tubo]:[CONCENTRAÇÃO QUBIT]],16,FALSE),""))-1),_xlfn.IFNA(VLOOKUP(E16,[1]!Extração[[ID Tubo]:[CONCENTRAÇÃO QUBIT]],16,FALSE),""))</f>
        <v/>
      </c>
      <c r="H16" s="31"/>
      <c r="I16" s="49" t="str">
        <f>IFERROR(_xlfn.IFNA(IF(H16&lt;&gt;"",IF(VLOOKUP(F16,Database!A1:D500,2,FALSE)&gt;=G16,IF(VLOOKUP(F16,Database!A1:D500,3,FALSE)&lt;=H16,0,"Aumente o volume de DNA"),IF((G16/VLOOKUP(F16,Database!A1:D500,2,FALSE)*H16)&gt;VLOOKUP(F16,Database!A1:D500,3,FALSE),(G16/VLOOKUP(F16,Database!A1:D500,2,FALSE)*H16)-H16,"Aumente o volume de DNA")),""),"-"),"-")</f>
        <v/>
      </c>
      <c r="J16" s="30"/>
      <c r="K16" s="30"/>
      <c r="L16" s="33" t="str">
        <f>_xlfn.IFNA(VLOOKUP(K16,Database!H1:I100,2,FALSE),"")</f>
        <v/>
      </c>
      <c r="M16" s="30"/>
    </row>
    <row r="17" spans="1:13" ht="19.5" x14ac:dyDescent="0.3">
      <c r="A17" s="6"/>
      <c r="B17" s="33">
        <f t="shared" si="0"/>
        <v>10</v>
      </c>
      <c r="C17" s="33" t="str">
        <f>_xlfn.IFNA(VLOOKUP(B17,Database!H1:I100,2,FALSE),"")</f>
        <v>B02</v>
      </c>
      <c r="D17" s="28" t="str">
        <f>IF(ROW(A13)-3&lt;=$D$4,"POOL-"&amp;$D$5+9,"")</f>
        <v>POOL-10</v>
      </c>
      <c r="E17" s="132"/>
      <c r="F17" s="136" t="str">
        <f>_xlfn.IFNA(VLOOKUP(VLOOKUP(E17,[1]!Extração[[ID Tubo]:[CONCENTRAÇÃO QUBIT]],3,FALSE),Database!$AK$1:$AL$250,2,FALSE),"")</f>
        <v/>
      </c>
      <c r="G17" s="30" t="str">
        <f>IF(ISNUMBER(FIND(" ",_xlfn.IFNA(VLOOKUP(E17,[1]!Extração[[ID Tubo]:[CONCENTRAÇÃO QUBIT]],16,FALSE),""))),MID(_xlfn.IFNA(VLOOKUP(E17,[1]!Extração[[ID Tubo]:[CONCENTRAÇÃO QUBIT]],16,FALSE),""),1,FIND(" ",_xlfn.IFNA(VLOOKUP(E17,[1]!Extração[[ID Tubo]:[CONCENTRAÇÃO QUBIT]],16,FALSE),""))-1),_xlfn.IFNA(VLOOKUP(E17,[1]!Extração[[ID Tubo]:[CONCENTRAÇÃO QUBIT]],16,FALSE),""))</f>
        <v/>
      </c>
      <c r="H17" s="31"/>
      <c r="I17" s="49" t="str">
        <f>IFERROR(_xlfn.IFNA(IF(H17&lt;&gt;"",IF(VLOOKUP(F17,Database!A1:D500,2,FALSE)&gt;=G17,IF(VLOOKUP(F17,Database!A1:D500,3,FALSE)&lt;=H17,0,"Aumente o volume de DNA"),IF((G17/VLOOKUP(F17,Database!A1:D500,2,FALSE)*H17)&gt;VLOOKUP(F17,Database!A1:D500,3,FALSE),(G17/VLOOKUP(F17,Database!A1:D500,2,FALSE)*H17)-H17,"Aumente o volume de DNA")),""),"-"),"-")</f>
        <v/>
      </c>
      <c r="J17" s="30"/>
      <c r="K17" s="30"/>
      <c r="L17" s="33" t="str">
        <f>_xlfn.IFNA(VLOOKUP(K17,Database!H1:I100,2,FALSE),"")</f>
        <v/>
      </c>
      <c r="M17" s="30"/>
    </row>
    <row r="18" spans="1:13" ht="19.5" x14ac:dyDescent="0.3">
      <c r="A18" s="6"/>
      <c r="B18" s="33">
        <f t="shared" si="0"/>
        <v>11</v>
      </c>
      <c r="C18" s="33" t="str">
        <f>_xlfn.IFNA(VLOOKUP(B18,Database!H1:I100,2,FALSE),"")</f>
        <v>C02</v>
      </c>
      <c r="D18" s="28" t="str">
        <f>IF(ROW(A14)-3&lt;=$D$4,"POOL-"&amp;$D$5+10,"")</f>
        <v>POOL-11</v>
      </c>
      <c r="E18" s="132"/>
      <c r="F18" s="136" t="str">
        <f>_xlfn.IFNA(VLOOKUP(VLOOKUP(E18,[1]!Extração[[ID Tubo]:[CONCENTRAÇÃO QUBIT]],3,FALSE),Database!$AK$1:$AL$250,2,FALSE),"")</f>
        <v/>
      </c>
      <c r="G18" s="30" t="str">
        <f>IF(ISNUMBER(FIND(" ",_xlfn.IFNA(VLOOKUP(E18,[1]!Extração[[ID Tubo]:[CONCENTRAÇÃO QUBIT]],16,FALSE),""))),MID(_xlfn.IFNA(VLOOKUP(E18,[1]!Extração[[ID Tubo]:[CONCENTRAÇÃO QUBIT]],16,FALSE),""),1,FIND(" ",_xlfn.IFNA(VLOOKUP(E18,[1]!Extração[[ID Tubo]:[CONCENTRAÇÃO QUBIT]],16,FALSE),""))-1),_xlfn.IFNA(VLOOKUP(E18,[1]!Extração[[ID Tubo]:[CONCENTRAÇÃO QUBIT]],16,FALSE),""))</f>
        <v/>
      </c>
      <c r="H18" s="31"/>
      <c r="I18" s="49" t="str">
        <f>IFERROR(_xlfn.IFNA(IF(H18&lt;&gt;"",IF(VLOOKUP(F18,Database!A1:D500,2,FALSE)&gt;=G18,IF(VLOOKUP(F18,Database!A1:D500,3,FALSE)&lt;=H18,0,"Aumente o volume de DNA"),IF((G18/VLOOKUP(F18,Database!A1:D500,2,FALSE)*H18)&gt;VLOOKUP(F18,Database!A1:D500,3,FALSE),(G18/VLOOKUP(F18,Database!A1:D500,2,FALSE)*H18)-H18,"Aumente o volume de DNA")),""),"-"),"-")</f>
        <v/>
      </c>
      <c r="J18" s="30"/>
      <c r="K18" s="30"/>
      <c r="L18" s="33" t="str">
        <f>_xlfn.IFNA(VLOOKUP(K18,Database!H1:I100,2,FALSE),"")</f>
        <v/>
      </c>
      <c r="M18" s="30"/>
    </row>
    <row r="19" spans="1:13" ht="19.5" x14ac:dyDescent="0.3">
      <c r="A19" s="6"/>
      <c r="B19" s="33">
        <f t="shared" si="0"/>
        <v>12</v>
      </c>
      <c r="C19" s="33" t="str">
        <f>_xlfn.IFNA(VLOOKUP(B19,Database!H1:I100,2,FALSE),"")</f>
        <v>D02</v>
      </c>
      <c r="D19" s="28" t="str">
        <f>IF(ROW(A15)-3&lt;=$D$4,"POOL-"&amp;$D$5+11,"")</f>
        <v>POOL-12</v>
      </c>
      <c r="E19" s="132"/>
      <c r="F19" s="136" t="str">
        <f>_xlfn.IFNA(VLOOKUP(VLOOKUP(E19,[1]!Extração[[ID Tubo]:[CONCENTRAÇÃO QUBIT]],3,FALSE),Database!$AK$1:$AL$250,2,FALSE),"")</f>
        <v/>
      </c>
      <c r="G19" s="30" t="str">
        <f>IF(ISNUMBER(FIND(" ",_xlfn.IFNA(VLOOKUP(E19,[1]!Extração[[ID Tubo]:[CONCENTRAÇÃO QUBIT]],16,FALSE),""))),MID(_xlfn.IFNA(VLOOKUP(E19,[1]!Extração[[ID Tubo]:[CONCENTRAÇÃO QUBIT]],16,FALSE),""),1,FIND(" ",_xlfn.IFNA(VLOOKUP(E19,[1]!Extração[[ID Tubo]:[CONCENTRAÇÃO QUBIT]],16,FALSE),""))-1),_xlfn.IFNA(VLOOKUP(E19,[1]!Extração[[ID Tubo]:[CONCENTRAÇÃO QUBIT]],16,FALSE),""))</f>
        <v/>
      </c>
      <c r="H19" s="31"/>
      <c r="I19" s="49" t="str">
        <f>IFERROR(_xlfn.IFNA(IF(H19&lt;&gt;"",IF(VLOOKUP(F19,Database!A1:D500,2,FALSE)&gt;=G19,IF(VLOOKUP(F19,Database!A1:D500,3,FALSE)&lt;=H19,0,"Aumente o volume de DNA"),IF((G19/VLOOKUP(F19,Database!A1:D500,2,FALSE)*H19)&gt;VLOOKUP(F19,Database!A1:D500,3,FALSE),(G19/VLOOKUP(F19,Database!A1:D500,2,FALSE)*H19)-H19,"Aumente o volume de DNA")),""),"-"),"-")</f>
        <v/>
      </c>
      <c r="J19" s="30"/>
      <c r="K19" s="30"/>
      <c r="L19" s="33" t="str">
        <f>_xlfn.IFNA(VLOOKUP(K19,Database!H1:I100,2,FALSE),"")</f>
        <v/>
      </c>
      <c r="M19" s="30"/>
    </row>
    <row r="20" spans="1:13" ht="19.5" x14ac:dyDescent="0.3">
      <c r="A20" s="6"/>
      <c r="B20" s="33">
        <f t="shared" si="0"/>
        <v>13</v>
      </c>
      <c r="C20" s="33" t="str">
        <f>_xlfn.IFNA(VLOOKUP(B20,Database!H1:I100,2,FALSE),"")</f>
        <v>E02</v>
      </c>
      <c r="D20" s="28" t="str">
        <f>IF(ROW(A16)-3&lt;=$D$4,"POOL-"&amp;$D$5+12,"")</f>
        <v>POOL-13</v>
      </c>
      <c r="E20" s="132"/>
      <c r="F20" s="136" t="str">
        <f>_xlfn.IFNA(VLOOKUP(VLOOKUP(E20,[1]!Extração[[ID Tubo]:[CONCENTRAÇÃO QUBIT]],3,FALSE),Database!$AK$1:$AL$250,2,FALSE),"")</f>
        <v/>
      </c>
      <c r="G20" s="30" t="str">
        <f>IF(ISNUMBER(FIND(" ",_xlfn.IFNA(VLOOKUP(E20,[1]!Extração[[ID Tubo]:[CONCENTRAÇÃO QUBIT]],16,FALSE),""))),MID(_xlfn.IFNA(VLOOKUP(E20,[1]!Extração[[ID Tubo]:[CONCENTRAÇÃO QUBIT]],16,FALSE),""),1,FIND(" ",_xlfn.IFNA(VLOOKUP(E20,[1]!Extração[[ID Tubo]:[CONCENTRAÇÃO QUBIT]],16,FALSE),""))-1),_xlfn.IFNA(VLOOKUP(E20,[1]!Extração[[ID Tubo]:[CONCENTRAÇÃO QUBIT]],16,FALSE),""))</f>
        <v/>
      </c>
      <c r="H20" s="31"/>
      <c r="I20" s="49" t="str">
        <f>IFERROR(_xlfn.IFNA(IF(H20&lt;&gt;"",IF(VLOOKUP(F20,Database!A1:D500,2,FALSE)&gt;=G20,IF(VLOOKUP(F20,Database!A1:D500,3,FALSE)&lt;=H20,0,"Aumente o volume de DNA"),IF((G20/VLOOKUP(F20,Database!A1:D500,2,FALSE)*H20)&gt;VLOOKUP(F20,Database!A1:D500,3,FALSE),(G20/VLOOKUP(F20,Database!A1:D500,2,FALSE)*H20)-H20,"Aumente o volume de DNA")),""),"-"),"-")</f>
        <v/>
      </c>
      <c r="J20" s="30"/>
      <c r="K20" s="30"/>
      <c r="L20" s="33" t="str">
        <f>_xlfn.IFNA(VLOOKUP(K20,Database!H1:I100,2,FALSE),"")</f>
        <v/>
      </c>
      <c r="M20" s="30"/>
    </row>
    <row r="21" spans="1:13" ht="19.5" x14ac:dyDescent="0.3">
      <c r="A21" s="6"/>
      <c r="B21" s="33">
        <f t="shared" si="0"/>
        <v>14</v>
      </c>
      <c r="C21" s="33" t="str">
        <f>_xlfn.IFNA(VLOOKUP(B21,Database!H1:I100,2,FALSE),"")</f>
        <v>F02</v>
      </c>
      <c r="D21" s="28" t="str">
        <f>IF(ROW(A17)-3&lt;=$D$4,"POOL-"&amp;$D$5+13,"")</f>
        <v>POOL-14</v>
      </c>
      <c r="E21" s="132"/>
      <c r="F21" s="136" t="str">
        <f>_xlfn.IFNA(VLOOKUP(VLOOKUP(E21,[1]!Extração[[ID Tubo]:[CONCENTRAÇÃO QUBIT]],3,FALSE),Database!$AK$1:$AL$250,2,FALSE),"")</f>
        <v/>
      </c>
      <c r="G21" s="30" t="str">
        <f>IF(ISNUMBER(FIND(" ",_xlfn.IFNA(VLOOKUP(E21,[1]!Extração[[ID Tubo]:[CONCENTRAÇÃO QUBIT]],16,FALSE),""))),MID(_xlfn.IFNA(VLOOKUP(E21,[1]!Extração[[ID Tubo]:[CONCENTRAÇÃO QUBIT]],16,FALSE),""),1,FIND(" ",_xlfn.IFNA(VLOOKUP(E21,[1]!Extração[[ID Tubo]:[CONCENTRAÇÃO QUBIT]],16,FALSE),""))-1),_xlfn.IFNA(VLOOKUP(E21,[1]!Extração[[ID Tubo]:[CONCENTRAÇÃO QUBIT]],16,FALSE),""))</f>
        <v/>
      </c>
      <c r="H21" s="31"/>
      <c r="I21" s="49" t="str">
        <f>IFERROR(_xlfn.IFNA(IF(H21&lt;&gt;"",IF(VLOOKUP(F21,Database!A1:D500,2,FALSE)&gt;=G21,IF(VLOOKUP(F21,Database!A1:D500,3,FALSE)&lt;=H21,0,"Aumente o volume de DNA"),IF((G21/VLOOKUP(F21,Database!A1:D500,2,FALSE)*H21)&gt;VLOOKUP(F21,Database!A1:D500,3,FALSE),(G21/VLOOKUP(F21,Database!A1:D500,2,FALSE)*H21)-H21,"Aumente o volume de DNA")),""),"-"),"-")</f>
        <v/>
      </c>
      <c r="J21" s="30"/>
      <c r="K21" s="30"/>
      <c r="L21" s="33" t="str">
        <f>_xlfn.IFNA(VLOOKUP(K21,Database!H1:I100,2,FALSE),"")</f>
        <v/>
      </c>
      <c r="M21" s="30"/>
    </row>
    <row r="22" spans="1:13" ht="19.5" x14ac:dyDescent="0.3">
      <c r="A22" s="6"/>
      <c r="B22" s="33">
        <f t="shared" si="0"/>
        <v>15</v>
      </c>
      <c r="C22" s="33" t="str">
        <f>_xlfn.IFNA(VLOOKUP(B22,Database!H1:I100,2,FALSE),"")</f>
        <v>G02</v>
      </c>
      <c r="D22" s="28" t="str">
        <f>IF(ROW(A18)-3&lt;=$D$4,"POOL-"&amp;$D$5+14,"")</f>
        <v>POOL-15</v>
      </c>
      <c r="E22" s="132"/>
      <c r="F22" s="136" t="str">
        <f>_xlfn.IFNA(VLOOKUP(VLOOKUP(E22,[1]!Extração[[ID Tubo]:[CONCENTRAÇÃO QUBIT]],3,FALSE),Database!$AK$1:$AL$250,2,FALSE),"")</f>
        <v/>
      </c>
      <c r="G22" s="30" t="str">
        <f>IF(ISNUMBER(FIND(" ",_xlfn.IFNA(VLOOKUP(E22,[1]!Extração[[ID Tubo]:[CONCENTRAÇÃO QUBIT]],16,FALSE),""))),MID(_xlfn.IFNA(VLOOKUP(E22,[1]!Extração[[ID Tubo]:[CONCENTRAÇÃO QUBIT]],16,FALSE),""),1,FIND(" ",_xlfn.IFNA(VLOOKUP(E22,[1]!Extração[[ID Tubo]:[CONCENTRAÇÃO QUBIT]],16,FALSE),""))-1),_xlfn.IFNA(VLOOKUP(E22,[1]!Extração[[ID Tubo]:[CONCENTRAÇÃO QUBIT]],16,FALSE),""))</f>
        <v/>
      </c>
      <c r="H22" s="31"/>
      <c r="I22" s="49" t="str">
        <f>IFERROR(_xlfn.IFNA(IF(H22&lt;&gt;"",IF(VLOOKUP(F22,Database!A1:D500,2,FALSE)&gt;=G22,IF(VLOOKUP(F22,Database!A1:D500,3,FALSE)&lt;=H22,0,"Aumente o volume de DNA"),IF((G22/VLOOKUP(F22,Database!A1:D500,2,FALSE)*H22)&gt;VLOOKUP(F22,Database!A1:D500,3,FALSE),(G22/VLOOKUP(F22,Database!A1:D500,2,FALSE)*H22)-H22,"Aumente o volume de DNA")),""),"-"),"-")</f>
        <v/>
      </c>
      <c r="J22" s="30"/>
      <c r="K22" s="30"/>
      <c r="L22" s="33" t="str">
        <f>_xlfn.IFNA(VLOOKUP(K22,Database!H1:I100,2,FALSE),"")</f>
        <v/>
      </c>
      <c r="M22" s="30"/>
    </row>
    <row r="23" spans="1:13" ht="19.5" x14ac:dyDescent="0.3">
      <c r="A23" s="6"/>
      <c r="B23" s="33">
        <f t="shared" si="0"/>
        <v>16</v>
      </c>
      <c r="C23" s="33" t="str">
        <f>_xlfn.IFNA(VLOOKUP(B23,Database!H1:I100,2,FALSE),"")</f>
        <v>H02</v>
      </c>
      <c r="D23" s="28" t="str">
        <f>IF(ROW(A19)-3&lt;=$D$4,"POOL-"&amp;$D$5+15,"")</f>
        <v>POOL-16</v>
      </c>
      <c r="E23" s="132"/>
      <c r="F23" s="136" t="str">
        <f>_xlfn.IFNA(VLOOKUP(VLOOKUP(E23,[1]!Extração[[ID Tubo]:[CONCENTRAÇÃO QUBIT]],3,FALSE),Database!$AK$1:$AL$250,2,FALSE),"")</f>
        <v/>
      </c>
      <c r="G23" s="30" t="str">
        <f>IF(ISNUMBER(FIND(" ",_xlfn.IFNA(VLOOKUP(E23,[1]!Extração[[ID Tubo]:[CONCENTRAÇÃO QUBIT]],16,FALSE),""))),MID(_xlfn.IFNA(VLOOKUP(E23,[1]!Extração[[ID Tubo]:[CONCENTRAÇÃO QUBIT]],16,FALSE),""),1,FIND(" ",_xlfn.IFNA(VLOOKUP(E23,[1]!Extração[[ID Tubo]:[CONCENTRAÇÃO QUBIT]],16,FALSE),""))-1),_xlfn.IFNA(VLOOKUP(E23,[1]!Extração[[ID Tubo]:[CONCENTRAÇÃO QUBIT]],16,FALSE),""))</f>
        <v/>
      </c>
      <c r="H23" s="31"/>
      <c r="I23" s="49" t="str">
        <f>IFERROR(_xlfn.IFNA(IF(H23&lt;&gt;"",IF(VLOOKUP(F23,Database!A1:D500,2,FALSE)&gt;=G23,IF(VLOOKUP(F23,Database!A1:D500,3,FALSE)&lt;=H23,0,"Aumente o volume de DNA"),IF((G23/VLOOKUP(F23,Database!A1:D500,2,FALSE)*H23)&gt;VLOOKUP(F23,Database!A1:D500,3,FALSE),(G23/VLOOKUP(F23,Database!A1:D500,2,FALSE)*H23)-H23,"Aumente o volume de DNA")),""),"-"),"-")</f>
        <v/>
      </c>
      <c r="J23" s="30"/>
      <c r="K23" s="30"/>
      <c r="L23" s="33" t="str">
        <f>_xlfn.IFNA(VLOOKUP(K23,Database!H1:I100,2,FALSE),"")</f>
        <v/>
      </c>
      <c r="M23" s="30"/>
    </row>
    <row r="24" spans="1:13" ht="19.5" x14ac:dyDescent="0.3">
      <c r="A24" s="6"/>
      <c r="B24" s="33" t="str">
        <f t="shared" si="0"/>
        <v/>
      </c>
      <c r="C24" s="33" t="str">
        <f>_xlfn.IFNA(VLOOKUP(B24,Database!H1:I100,2,FALSE),"")</f>
        <v/>
      </c>
      <c r="D24" s="28" t="str">
        <f>IF(ROW(A20)-3&lt;=$D$4,"POOL-"&amp;$D$5+16,"")</f>
        <v/>
      </c>
      <c r="E24" s="132"/>
      <c r="F24" s="136" t="str">
        <f>_xlfn.IFNA(VLOOKUP(VLOOKUP(E24,[1]!Extração[[ID Tubo]:[CONCENTRAÇÃO QUBIT]],3,FALSE),Database!$AK$1:$AL$250,2,FALSE),"")</f>
        <v/>
      </c>
      <c r="G24" s="30" t="str">
        <f>IF(ISNUMBER(FIND(" ",_xlfn.IFNA(VLOOKUP(E24,[1]!Extração[[ID Tubo]:[CONCENTRAÇÃO QUBIT]],16,FALSE),""))),MID(_xlfn.IFNA(VLOOKUP(E24,[1]!Extração[[ID Tubo]:[CONCENTRAÇÃO QUBIT]],16,FALSE),""),1,FIND(" ",_xlfn.IFNA(VLOOKUP(E24,[1]!Extração[[ID Tubo]:[CONCENTRAÇÃO QUBIT]],16,FALSE),""))-1),_xlfn.IFNA(VLOOKUP(E24,[1]!Extração[[ID Tubo]:[CONCENTRAÇÃO QUBIT]],16,FALSE),""))</f>
        <v/>
      </c>
      <c r="H24" s="31"/>
      <c r="I24" s="49" t="str">
        <f>IFERROR(_xlfn.IFNA(IF(H24&lt;&gt;"",IF(VLOOKUP(F24,Database!A1:D500,2,FALSE)&gt;=G24,IF(VLOOKUP(F24,Database!A1:D500,3,FALSE)&lt;=H24,0,"Aumente o volume de DNA"),IF((G24/VLOOKUP(F24,Database!A1:D500,2,FALSE)*H24)&gt;VLOOKUP(F24,Database!A1:D500,3,FALSE),(G24/VLOOKUP(F24,Database!A1:D500,2,FALSE)*H24)-H24,"Aumente o volume de DNA")),""),"-"),"-")</f>
        <v/>
      </c>
      <c r="J24" s="30"/>
      <c r="K24" s="30"/>
      <c r="L24" s="33" t="str">
        <f>_xlfn.IFNA(VLOOKUP(K24,Database!H1:I100,2,FALSE),"")</f>
        <v/>
      </c>
      <c r="M24" s="30"/>
    </row>
    <row r="25" spans="1:13" ht="19.5" x14ac:dyDescent="0.3">
      <c r="A25" s="6"/>
      <c r="B25" s="33" t="str">
        <f t="shared" si="0"/>
        <v/>
      </c>
      <c r="C25" s="33" t="str">
        <f>_xlfn.IFNA(VLOOKUP(B25,Database!H1:I100,2,FALSE),"")</f>
        <v/>
      </c>
      <c r="D25" s="28" t="str">
        <f>IF(ROW(A21)-3&lt;=$D$4,"POOL-"&amp;$D$5+17,"")</f>
        <v/>
      </c>
      <c r="E25" s="132"/>
      <c r="F25" s="136" t="str">
        <f>_xlfn.IFNA(VLOOKUP(VLOOKUP(E25,[1]!Extração[[ID Tubo]:[CONCENTRAÇÃO QUBIT]],3,FALSE),Database!$AK$1:$AL$250,2,FALSE),"")</f>
        <v/>
      </c>
      <c r="G25" s="30" t="str">
        <f>IF(ISNUMBER(FIND(" ",_xlfn.IFNA(VLOOKUP(E25,[1]!Extração[[ID Tubo]:[CONCENTRAÇÃO QUBIT]],16,FALSE),""))),MID(_xlfn.IFNA(VLOOKUP(E25,[1]!Extração[[ID Tubo]:[CONCENTRAÇÃO QUBIT]],16,FALSE),""),1,FIND(" ",_xlfn.IFNA(VLOOKUP(E25,[1]!Extração[[ID Tubo]:[CONCENTRAÇÃO QUBIT]],16,FALSE),""))-1),_xlfn.IFNA(VLOOKUP(E25,[1]!Extração[[ID Tubo]:[CONCENTRAÇÃO QUBIT]],16,FALSE),""))</f>
        <v/>
      </c>
      <c r="H25" s="31"/>
      <c r="I25" s="49" t="str">
        <f>IFERROR(_xlfn.IFNA(IF(H25&lt;&gt;"",IF(VLOOKUP(F25,Database!A1:D500,2,FALSE)&gt;=G25,IF(VLOOKUP(F25,Database!A1:D500,3,FALSE)&lt;=H25,0,"Aumente o volume de DNA"),IF((G25/VLOOKUP(F25,Database!A1:D500,2,FALSE)*H25)&gt;VLOOKUP(F25,Database!A1:D500,3,FALSE),(G25/VLOOKUP(F25,Database!A1:D500,2,FALSE)*H25)-H25,"Aumente o volume de DNA")),""),"-"),"-")</f>
        <v/>
      </c>
      <c r="J25" s="30"/>
      <c r="K25" s="30"/>
      <c r="L25" s="33" t="str">
        <f>_xlfn.IFNA(VLOOKUP(K25,Database!H1:I100,2,FALSE),"")</f>
        <v/>
      </c>
      <c r="M25" s="30"/>
    </row>
    <row r="26" spans="1:13" ht="19.5" x14ac:dyDescent="0.3">
      <c r="A26" s="6"/>
      <c r="B26" s="33" t="str">
        <f t="shared" si="0"/>
        <v/>
      </c>
      <c r="C26" s="33" t="str">
        <f>_xlfn.IFNA(VLOOKUP(B26,Database!H1:I100,2,FALSE),"")</f>
        <v/>
      </c>
      <c r="D26" s="28" t="str">
        <f>IF(ROW(A22)-3&lt;=$D$4,"POOL-"&amp;$D$5+18,"")</f>
        <v/>
      </c>
      <c r="E26" s="132"/>
      <c r="F26" s="136" t="str">
        <f>_xlfn.IFNA(VLOOKUP(VLOOKUP(E26,[1]!Extração[[ID Tubo]:[CONCENTRAÇÃO QUBIT]],3,FALSE),Database!$AK$1:$AL$250,2,FALSE),"")</f>
        <v/>
      </c>
      <c r="G26" s="30" t="str">
        <f>IF(ISNUMBER(FIND(" ",_xlfn.IFNA(VLOOKUP(E26,[1]!Extração[[ID Tubo]:[CONCENTRAÇÃO QUBIT]],16,FALSE),""))),MID(_xlfn.IFNA(VLOOKUP(E26,[1]!Extração[[ID Tubo]:[CONCENTRAÇÃO QUBIT]],16,FALSE),""),1,FIND(" ",_xlfn.IFNA(VLOOKUP(E26,[1]!Extração[[ID Tubo]:[CONCENTRAÇÃO QUBIT]],16,FALSE),""))-1),_xlfn.IFNA(VLOOKUP(E26,[1]!Extração[[ID Tubo]:[CONCENTRAÇÃO QUBIT]],16,FALSE),""))</f>
        <v/>
      </c>
      <c r="H26" s="31"/>
      <c r="I26" s="49" t="str">
        <f>IFERROR(_xlfn.IFNA(IF(H26&lt;&gt;"",IF(VLOOKUP(F26,Database!A1:D500,2,FALSE)&gt;=G26,IF(VLOOKUP(F26,Database!A1:D500,3,FALSE)&lt;=H26,0,"Aumente o volume de DNA"),IF((G26/VLOOKUP(F26,Database!A1:D500,2,FALSE)*H26)&gt;VLOOKUP(F26,Database!A1:D500,3,FALSE),(G26/VLOOKUP(F26,Database!A1:D500,2,FALSE)*H26)-H26,"Aumente o volume de DNA")),""),"-"),"-")</f>
        <v/>
      </c>
      <c r="J26" s="30"/>
      <c r="K26" s="30"/>
      <c r="L26" s="33" t="str">
        <f>_xlfn.IFNA(VLOOKUP(K26,Database!H1:I100,2,FALSE),"")</f>
        <v/>
      </c>
      <c r="M26" s="30"/>
    </row>
    <row r="27" spans="1:13" ht="19.5" x14ac:dyDescent="0.3">
      <c r="A27" s="6"/>
      <c r="B27" s="33" t="str">
        <f t="shared" si="0"/>
        <v/>
      </c>
      <c r="C27" s="33" t="str">
        <f>_xlfn.IFNA(VLOOKUP(B27,Database!H1:I100,2,FALSE),"")</f>
        <v/>
      </c>
      <c r="D27" s="28" t="str">
        <f>IF(ROW(A23)-3&lt;=$D$4,"POOL-"&amp;$D$5+19,"")</f>
        <v/>
      </c>
      <c r="E27" s="132"/>
      <c r="F27" s="136" t="str">
        <f>_xlfn.IFNA(VLOOKUP(VLOOKUP(E27,[1]!Extração[[ID Tubo]:[CONCENTRAÇÃO QUBIT]],3,FALSE),Database!$AK$1:$AL$250,2,FALSE),"")</f>
        <v/>
      </c>
      <c r="G27" s="30" t="str">
        <f>IF(ISNUMBER(FIND(" ",_xlfn.IFNA(VLOOKUP(E27,[1]!Extração[[ID Tubo]:[CONCENTRAÇÃO QUBIT]],16,FALSE),""))),MID(_xlfn.IFNA(VLOOKUP(E27,[1]!Extração[[ID Tubo]:[CONCENTRAÇÃO QUBIT]],16,FALSE),""),1,FIND(" ",_xlfn.IFNA(VLOOKUP(E27,[1]!Extração[[ID Tubo]:[CONCENTRAÇÃO QUBIT]],16,FALSE),""))-1),_xlfn.IFNA(VLOOKUP(E27,[1]!Extração[[ID Tubo]:[CONCENTRAÇÃO QUBIT]],16,FALSE),""))</f>
        <v/>
      </c>
      <c r="H27" s="31"/>
      <c r="I27" s="49" t="str">
        <f>IFERROR(_xlfn.IFNA(IF(H27&lt;&gt;"",IF(VLOOKUP(F27,Database!A1:D500,2,FALSE)&gt;=G27,IF(VLOOKUP(F27,Database!A1:D500,3,FALSE)&lt;=H27,0,"Aumente o volume de DNA"),IF((G27/VLOOKUP(F27,Database!A1:D500,2,FALSE)*H27)&gt;VLOOKUP(F27,Database!A1:D500,3,FALSE),(G27/VLOOKUP(F27,Database!A1:D500,2,FALSE)*H27)-H27,"Aumente o volume de DNA")),""),"-"),"-")</f>
        <v/>
      </c>
      <c r="J27" s="30"/>
      <c r="K27" s="30"/>
      <c r="L27" s="33" t="str">
        <f>_xlfn.IFNA(VLOOKUP(K27,Database!H1:I100,2,FALSE),"")</f>
        <v/>
      </c>
      <c r="M27" s="30"/>
    </row>
    <row r="28" spans="1:13" ht="19.5" x14ac:dyDescent="0.3">
      <c r="A28" s="6"/>
      <c r="B28" s="33" t="str">
        <f t="shared" si="0"/>
        <v/>
      </c>
      <c r="C28" s="33" t="str">
        <f>_xlfn.IFNA(VLOOKUP(B28,Database!H1:I100,2,FALSE),"")</f>
        <v/>
      </c>
      <c r="D28" s="28" t="str">
        <f>IF(ROW(A24)-3&lt;=$D$4,"POOL-"&amp;$D$5+20,"")</f>
        <v/>
      </c>
      <c r="E28" s="132"/>
      <c r="F28" s="136" t="str">
        <f>_xlfn.IFNA(VLOOKUP(VLOOKUP(E28,[1]!Extração[[ID Tubo]:[CONCENTRAÇÃO QUBIT]],3,FALSE),Database!$AK$1:$AL$250,2,FALSE),"")</f>
        <v/>
      </c>
      <c r="G28" s="30" t="str">
        <f>IF(ISNUMBER(FIND(" ",_xlfn.IFNA(VLOOKUP(E28,[1]!Extração[[ID Tubo]:[CONCENTRAÇÃO QUBIT]],16,FALSE),""))),MID(_xlfn.IFNA(VLOOKUP(E28,[1]!Extração[[ID Tubo]:[CONCENTRAÇÃO QUBIT]],16,FALSE),""),1,FIND(" ",_xlfn.IFNA(VLOOKUP(E28,[1]!Extração[[ID Tubo]:[CONCENTRAÇÃO QUBIT]],16,FALSE),""))-1),_xlfn.IFNA(VLOOKUP(E28,[1]!Extração[[ID Tubo]:[CONCENTRAÇÃO QUBIT]],16,FALSE),""))</f>
        <v/>
      </c>
      <c r="H28" s="31"/>
      <c r="I28" s="49" t="str">
        <f>IFERROR(_xlfn.IFNA(IF(H28&lt;&gt;"",IF(VLOOKUP(F28,Database!A1:D500,2,FALSE)&gt;=G28,IF(VLOOKUP(F28,Database!A1:D500,3,FALSE)&lt;=H28,0,"Aumente o volume de DNA"),IF((G28/VLOOKUP(F28,Database!A1:D500,2,FALSE)*H28)&gt;VLOOKUP(F28,Database!A1:D500,3,FALSE),(G28/VLOOKUP(F28,Database!A1:D500,2,FALSE)*H28)-H28,"Aumente o volume de DNA")),""),"-"),"-")</f>
        <v/>
      </c>
      <c r="J28" s="30"/>
      <c r="K28" s="30"/>
      <c r="L28" s="33" t="str">
        <f>_xlfn.IFNA(VLOOKUP(K28,Database!H1:I100,2,FALSE),"")</f>
        <v/>
      </c>
      <c r="M28" s="30"/>
    </row>
    <row r="29" spans="1:13" ht="19.5" x14ac:dyDescent="0.3">
      <c r="A29" s="6"/>
      <c r="B29" s="33" t="str">
        <f t="shared" si="0"/>
        <v/>
      </c>
      <c r="C29" s="33" t="str">
        <f>_xlfn.IFNA(VLOOKUP(B29,Database!H1:I100,2,FALSE),"")</f>
        <v/>
      </c>
      <c r="D29" s="28" t="str">
        <f>IF(ROW(A25)-3&lt;=$D$4,"POOL-"&amp;$D$5+21,"")</f>
        <v/>
      </c>
      <c r="E29" s="132"/>
      <c r="F29" s="136" t="str">
        <f>_xlfn.IFNA(VLOOKUP(VLOOKUP(E29,[1]!Extração[[ID Tubo]:[CONCENTRAÇÃO QUBIT]],3,FALSE),Database!$AK$1:$AL$250,2,FALSE),"")</f>
        <v/>
      </c>
      <c r="G29" s="30" t="str">
        <f>IF(ISNUMBER(FIND(" ",_xlfn.IFNA(VLOOKUP(E29,[1]!Extração[[ID Tubo]:[CONCENTRAÇÃO QUBIT]],16,FALSE),""))),MID(_xlfn.IFNA(VLOOKUP(E29,[1]!Extração[[ID Tubo]:[CONCENTRAÇÃO QUBIT]],16,FALSE),""),1,FIND(" ",_xlfn.IFNA(VLOOKUP(E29,[1]!Extração[[ID Tubo]:[CONCENTRAÇÃO QUBIT]],16,FALSE),""))-1),_xlfn.IFNA(VLOOKUP(E29,[1]!Extração[[ID Tubo]:[CONCENTRAÇÃO QUBIT]],16,FALSE),""))</f>
        <v/>
      </c>
      <c r="H29" s="31"/>
      <c r="I29" s="49" t="str">
        <f>IFERROR(_xlfn.IFNA(IF(H29&lt;&gt;"",IF(VLOOKUP(F29,Database!A1:D500,2,FALSE)&gt;=G29,IF(VLOOKUP(F29,Database!A1:D500,3,FALSE)&lt;=H29,0,"Aumente o volume de DNA"),IF((G29/VLOOKUP(F29,Database!A1:D500,2,FALSE)*H29)&gt;VLOOKUP(F29,Database!A1:D500,3,FALSE),(G29/VLOOKUP(F29,Database!A1:D500,2,FALSE)*H29)-H29,"Aumente o volume de DNA")),""),"-"),"-")</f>
        <v/>
      </c>
      <c r="J29" s="30"/>
      <c r="K29" s="30"/>
      <c r="L29" s="33" t="str">
        <f>_xlfn.IFNA(VLOOKUP(K29,Database!H1:I100,2,FALSE),"")</f>
        <v/>
      </c>
      <c r="M29" s="30"/>
    </row>
    <row r="30" spans="1:13" ht="19.5" x14ac:dyDescent="0.3">
      <c r="A30" s="6"/>
      <c r="B30" s="33" t="str">
        <f t="shared" si="0"/>
        <v/>
      </c>
      <c r="C30" s="33" t="str">
        <f>_xlfn.IFNA(VLOOKUP(B30,Database!H1:I100,2,FALSE),"")</f>
        <v/>
      </c>
      <c r="D30" s="28" t="str">
        <f>IF(ROW(A26)-3&lt;=$D$4,"POOL-"&amp;$D$5+22,"")</f>
        <v/>
      </c>
      <c r="E30" s="132"/>
      <c r="F30" s="136" t="str">
        <f>_xlfn.IFNA(VLOOKUP(VLOOKUP(E30,[1]!Extração[[ID Tubo]:[CONCENTRAÇÃO QUBIT]],3,FALSE),Database!$AK$1:$AL$250,2,FALSE),"")</f>
        <v/>
      </c>
      <c r="G30" s="30" t="str">
        <f>IF(ISNUMBER(FIND(" ",_xlfn.IFNA(VLOOKUP(E30,[1]!Extração[[ID Tubo]:[CONCENTRAÇÃO QUBIT]],16,FALSE),""))),MID(_xlfn.IFNA(VLOOKUP(E30,[1]!Extração[[ID Tubo]:[CONCENTRAÇÃO QUBIT]],16,FALSE),""),1,FIND(" ",_xlfn.IFNA(VLOOKUP(E30,[1]!Extração[[ID Tubo]:[CONCENTRAÇÃO QUBIT]],16,FALSE),""))-1),_xlfn.IFNA(VLOOKUP(E30,[1]!Extração[[ID Tubo]:[CONCENTRAÇÃO QUBIT]],16,FALSE),""))</f>
        <v/>
      </c>
      <c r="H30" s="31"/>
      <c r="I30" s="49" t="str">
        <f>IFERROR(_xlfn.IFNA(IF(H30&lt;&gt;"",IF(VLOOKUP(F30,Database!A1:D500,2,FALSE)&gt;=G30,IF(VLOOKUP(F30,Database!A1:D500,3,FALSE)&lt;=H30,0,"Aumente o volume de DNA"),IF((G30/VLOOKUP(F30,Database!A1:D500,2,FALSE)*H30)&gt;VLOOKUP(F30,Database!A1:D500,3,FALSE),(G30/VLOOKUP(F30,Database!A1:D500,2,FALSE)*H30)-H30,"Aumente o volume de DNA")),""),"-"),"-")</f>
        <v/>
      </c>
      <c r="J30" s="30"/>
      <c r="K30" s="30"/>
      <c r="L30" s="33" t="str">
        <f>_xlfn.IFNA(VLOOKUP(K30,Database!H1:I100,2,FALSE),"")</f>
        <v/>
      </c>
      <c r="M30" s="30"/>
    </row>
    <row r="31" spans="1:13" ht="19.5" x14ac:dyDescent="0.3">
      <c r="A31" s="6"/>
      <c r="B31" s="33" t="str">
        <f t="shared" si="0"/>
        <v/>
      </c>
      <c r="C31" s="33" t="str">
        <f>_xlfn.IFNA(VLOOKUP(B31,Database!H1:I100,2,FALSE),"")</f>
        <v/>
      </c>
      <c r="D31" s="28" t="str">
        <f>IF(ROW(A27)-3&lt;=$D$4,"POOL-"&amp;$D$5+23,"")</f>
        <v/>
      </c>
      <c r="E31" s="132"/>
      <c r="F31" s="136" t="str">
        <f>_xlfn.IFNA(VLOOKUP(VLOOKUP(E31,[1]!Extração[[ID Tubo]:[CONCENTRAÇÃO QUBIT]],3,FALSE),Database!$AK$1:$AL$250,2,FALSE),"")</f>
        <v/>
      </c>
      <c r="G31" s="30" t="str">
        <f>IF(ISNUMBER(FIND(" ",_xlfn.IFNA(VLOOKUP(E31,[1]!Extração[[ID Tubo]:[CONCENTRAÇÃO QUBIT]],16,FALSE),""))),MID(_xlfn.IFNA(VLOOKUP(E31,[1]!Extração[[ID Tubo]:[CONCENTRAÇÃO QUBIT]],16,FALSE),""),1,FIND(" ",_xlfn.IFNA(VLOOKUP(E31,[1]!Extração[[ID Tubo]:[CONCENTRAÇÃO QUBIT]],16,FALSE),""))-1),_xlfn.IFNA(VLOOKUP(E31,[1]!Extração[[ID Tubo]:[CONCENTRAÇÃO QUBIT]],16,FALSE),""))</f>
        <v/>
      </c>
      <c r="H31" s="31"/>
      <c r="I31" s="49" t="str">
        <f>IFERROR(_xlfn.IFNA(IF(H31&lt;&gt;"",IF(VLOOKUP(F31,Database!A1:D500,2,FALSE)&gt;=G31,IF(VLOOKUP(F31,Database!A1:D500,3,FALSE)&lt;=H31,0,"Aumente o volume de DNA"),IF((G31/VLOOKUP(F31,Database!A1:D500,2,FALSE)*H31)&gt;VLOOKUP(F31,Database!A1:D500,3,FALSE),(G31/VLOOKUP(F31,Database!A1:D500,2,FALSE)*H31)-H31,"Aumente o volume de DNA")),""),"-"),"-")</f>
        <v/>
      </c>
      <c r="J31" s="30"/>
      <c r="K31" s="30"/>
      <c r="L31" s="33" t="str">
        <f>_xlfn.IFNA(VLOOKUP(K31,Database!H1:I100,2,FALSE),"")</f>
        <v/>
      </c>
      <c r="M31" s="30"/>
    </row>
    <row r="32" spans="1:13" x14ac:dyDescent="0.25">
      <c r="A32" s="11"/>
    </row>
    <row r="33" spans="1:12" ht="18.75" x14ac:dyDescent="0.3">
      <c r="A33" s="11"/>
      <c r="B33" s="34" t="str">
        <f>IF(D4&lt;&gt;"","Fator de Eluição","")</f>
        <v>Fator de Eluição</v>
      </c>
      <c r="C33" s="35" cm="1">
        <f t="array" ref="C33">IF(D4&lt;&gt;"",($D$4+LOOKUP(2,1/(Database!A29:A33&lt;=$D$4)/(Database!B29:B33&gt;=$D$4),Database!$C$29:$C$33)),"")</f>
        <v>17</v>
      </c>
      <c r="D33" s="28"/>
      <c r="E33" s="133"/>
      <c r="F33" s="28"/>
      <c r="G33" s="28"/>
      <c r="H33" s="27"/>
      <c r="I33" s="27"/>
      <c r="J33" s="28"/>
      <c r="K33" s="28"/>
      <c r="L33" s="28"/>
    </row>
    <row r="34" spans="1:12" ht="12.75" customHeight="1" x14ac:dyDescent="0.3">
      <c r="A34" s="11"/>
      <c r="B34" s="28"/>
      <c r="C34" s="28"/>
      <c r="D34" s="28"/>
      <c r="E34" s="133"/>
      <c r="F34" s="28"/>
      <c r="G34" s="28"/>
      <c r="H34" s="27"/>
      <c r="I34" s="27"/>
      <c r="J34" s="28"/>
      <c r="K34" s="28"/>
      <c r="L34" s="28"/>
    </row>
    <row r="35" spans="1:12" ht="18.75" x14ac:dyDescent="0.3">
      <c r="B35" s="34" t="str">
        <f>IF($D$2=Database!A17,"AmpliSeq - cDNA Mix",IF(OR($D$2=Database!A18,$D$2=Database!A19),IF(COUNTIF($F$8:$F$31,"*FFPE*")&gt;0,"FFPE DNA Repair",""),""))</f>
        <v/>
      </c>
      <c r="C35" s="36" t="str">
        <f>IF($D$2=Database!A17,"μL (Ind.)",IF(OR($D$2=Database!A18,$D$2=Database!A19),IF(COUNTIF($F$8:$F$31,"*FFPE*")&gt;0,"μL (Ind.)",""),""))</f>
        <v/>
      </c>
      <c r="D35" s="35" t="str">
        <f>IF($D$2=Database!A17,"μL (Mix)",IF(OR($D$2=Database!A18,$D$2=Database!A19),IF(COUNTIF($F$8:$F$31,"*FFPE*")&gt;0,"μL (Mix)",""),""))</f>
        <v/>
      </c>
      <c r="E35" s="133"/>
      <c r="F35" s="34" t="str">
        <f>IF(OR($D$2=Database!A17,$D$2=Database!A16),"AmpliSeq Amplify Mix",IF(OR($D$2=Database!A18,$D$2=Database!A19),IF(COUNTIF($F$8:$F$31,"*FFPE*")&gt;0,"FFPE Fragmentation",""),""))</f>
        <v/>
      </c>
      <c r="G35" s="36" t="str">
        <f>IF(OR($D$2=Database!A17,$D$2=Database!A16),"μL (Ind.)",IF(OR($D$2=Database!A18,$D$2=Database!A19),IF(COUNTIF($F$8:$F$31,"*FFPE*")&gt;0,"μL (Ind.)",""),""))</f>
        <v/>
      </c>
      <c r="H35" s="35" t="str">
        <f>IF(OR($D$2=Database!A17,$D$2=Database!A16),"μL (Mix)",IF(OR($D$2=Database!A18,$D$2=Database!A19),IF(COUNTIF($F$8:$F$31,"*FFPE*")&gt;0,"μL (Ind.)",""),""))</f>
        <v/>
      </c>
      <c r="I35" s="27"/>
      <c r="J35" s="34" t="str">
        <f>IF(OR($D$2=Database!A17,$D$2=Database!A16),"Digestão Fupa",IF(OR($D$2=Database!A18,$D$2=Database!A19),IF(COUNTIF($F$8:$F$31,"*_gDNA*")&gt;0,"gDNA Fragmentation",""),""))</f>
        <v>gDNA Fragmentation</v>
      </c>
      <c r="K35" s="36" t="str">
        <f>IF(OR($D$2=Database!A17,$D$2=Database!A16),"μL (Ind.)",IF(OR($D$2=Database!A18,$D$2=Database!A19),IF(COUNTIF($F$8:$F$31,"*_gDNA*")&gt;0,"μL (Ind.)",""),""))</f>
        <v>μL (Ind.)</v>
      </c>
      <c r="L35" s="35" t="str">
        <f>IF(OR($D$2=Database!A17,$D$2=Database!A16),"μL (Ind.)",IF(OR($D$2=Database!A18,$D$2=Database!A19),IF(COUNTIF($F$8:$F$31,"*_gDNA*")&gt;0,"μL (Mix)",""),""))</f>
        <v>μL (Mix)</v>
      </c>
    </row>
    <row r="36" spans="1:12" ht="18.75" x14ac:dyDescent="0.3">
      <c r="B36" s="37" t="str" cm="1">
        <f t="array" aca="1" ref="B36" ca="1">IF($D$2=Database!A17,INDIRECT("'Database'!B"&amp;MATCH($D$2,Database!B1:B1000,0)+1),IF(OR($D$2=Database!A18,$D$2=Database!A19),IF(COUNTIF($F$8:$F$31,"*FFPE*")&gt;0,INDIRECT("'Database'!B"&amp;MATCH($D$2,Database!B1:B1000,0)+1),""),""))</f>
        <v/>
      </c>
      <c r="C36" s="36" t="str" cm="1">
        <f t="array" aca="1" ref="C36" ca="1">IF($D$2=Database!A17,INDIRECT("'Database'!C"&amp;MATCH($D$2,Database!B1:B1000,0)+1),IF(OR($D$2=Database!A18,$D$2=Database!A19),IF(COUNTIF($F$8:$F$31,"*FFPE*")&gt;0,INDIRECT("'Database'!C"&amp;MATCH($D$2,Database!B1:B1000,0)+1),""),""))</f>
        <v/>
      </c>
      <c r="D36" s="35" t="str" cm="1">
        <f t="array" aca="1" ref="D36" ca="1">IF($D$2=Database!A17,INDIRECT("'Database'!C"&amp;MATCH($D$2,Database!B1:B1000,0)+1)*($D$4+LOOKUP(2,1/(Database!A29:A33&lt;=$D$4)/(Database!B29:B33&gt;=$D$4),Database!$C$29:$C$33)),IF(OR($D$2=Database!A18,$D$2=Database!A19),IF(COUNTIF($F$8:$F$31,"*FFPE*")&gt;0,INDIRECT("'Database'!C"&amp;MATCH($D$2,Database!B1:B1000,0)+1)*(COUNTIF($F$8:$F$31,"*FFPE*")+LOOKUP(2,1/(Database!A29:A33&lt;=COUNTIF($F$8:$F$31,"*FFPE*"))/(Database!B29:B33&gt;=COUNTIF($F$8:$F$31,"*FFPE*")),Database!$C$29:$C$33)),""),""))</f>
        <v/>
      </c>
      <c r="E36" s="133"/>
      <c r="F36" s="37" t="str" cm="1">
        <f t="array" aca="1" ref="F36" ca="1">IF(OR($D$2=Database!A17,$D$2=Database!A16),INDIRECT("'Database'!B"&amp;MATCH($D$2,Database!B1:B1000,0)+3),IF(OR($D$2=Database!A18,$D$2=Database!A19),IF(COUNTIF($F$8:$F$31,"*FFPE*")&gt;0,INDIRECT("'Database'!B"&amp;MATCH($D$2,Database!B1:B1000,0)+4),""),""))</f>
        <v/>
      </c>
      <c r="G36" s="36" t="str" cm="1">
        <f t="array" aca="1" ref="G36" ca="1">IF(OR($D$2=Database!A17,$D$2=Database!A16),INDIRECT("'Database'!C"&amp;MATCH($D$2,Database!B1:B1000,0)+3),IF(OR($D$2=Database!A18,$D$2=Database!A19),IF(COUNTIF($F$8:$F$31,"*FFPE*")&gt;0,INDIRECT("'Database'!C"&amp;MATCH($D$2,Database!B1:B1000,0)+4),""),""))</f>
        <v/>
      </c>
      <c r="H36" s="35" t="str" cm="1">
        <f t="array" aca="1" ref="H36" ca="1">IF(OR($D$2=Database!A17,$D$2=Database!A16),INDIRECT("'Database'!C"&amp;MATCH($D$2,Database!B1:B1000,0)+3)*($D$4+LOOKUP(2,1/(Database!A29:A33&lt;=$D$4)/(Database!B29:B33&gt;=$D$4),Database!$C$29:$C$33)),IF(OR($D$2=Database!A18,$D$2=Database!A19),IF(COUNTIF($F$8:$F$31,"*FFPE*")&gt;0,INDIRECT("'Database'!C"&amp;MATCH($D$2,Database!B1:B1000,0)+4),""),""))</f>
        <v/>
      </c>
      <c r="I36" s="27"/>
      <c r="J36" s="37" t="str" cm="1">
        <f t="array" aca="1" ref="J36" ca="1">IF(OR($D$2=Database!A17,$D$2=Database!A16),INDIRECT("'Database'!B"&amp;MATCH($D$2,Database!B1:B1000,0)+6),IF(OR($D$2=Database!A18,$D$2=Database!A19),IF(COUNTIF($F$8:$F$31,"*_gDNA*")&gt;0,INDIRECT("'Database'!B"&amp;MATCH($D$2,Database!B1:B1000,0)+1),""),""))</f>
        <v>10X FX Buffer</v>
      </c>
      <c r="K36" s="36" cm="1">
        <f t="array" aca="1" ref="K36" ca="1">IF(OR($D$2=Database!A17,$D$2=Database!A16),INDIRECT("'Database'!C"&amp;MATCH($D$2,Database!B1:B1000,0)+6),IF(OR($D$2=Database!A18,$D$2=Database!A19),IF(COUNTIF($F$8:$F$31,"*_gDNA*")&gt;0,INDIRECT("'Database'!C"&amp;MATCH($D$2,Database!B1:B1000,0)+1),""),""))</f>
        <v>0.7</v>
      </c>
      <c r="L36" s="35" cm="1">
        <f t="array" aca="1" ref="L36" ca="1">IF(OR($D$2=Database!A17,$D$2=Database!A16),INDIRECT("'Database'!C"&amp;MATCH($D$2,Database!B1:B1000,0)+6),IF(OR($D$2=Database!A18,$D$2=Database!A19),IF(COUNTIF($F$8:$F$31,"*_gDNA*")&gt;0,INDIRECT("'Database'!C"&amp;MATCH($D$2,Database!B1:B1000,0)+1)*(COUNTIF($F$8:$F$31,"*_gDNA*")+LOOKUP(2,1/(Database!A29:A33&lt;=COUNTIF($F$8:$F$31,"*_gDNA*"))/(Database!B29:B33&gt;=COUNTIF($F$8:$F$31,"*_gDNA*")),Database!$C$29:$C$33)),""),""))</f>
        <v>0.7</v>
      </c>
    </row>
    <row r="37" spans="1:12" ht="18.75" x14ac:dyDescent="0.3">
      <c r="B37" s="37" t="str" cm="1">
        <f t="array" aca="1" ref="B37" ca="1">IF($D$2=Database!A17,INDIRECT("'Database'!B"&amp;MATCH($D$2,Database!B1:B1000,0)+2),IF(OR($D$2=Database!A18,$D$2=Database!A19),IF(COUNTIF($F$8:$F$31,"*FFPE*")&gt;0,INDIRECT("'Database'!B"&amp;MATCH($D$2,Database!B1:B1000,0)+2),""),""))</f>
        <v/>
      </c>
      <c r="C37" s="36" t="str" cm="1">
        <f t="array" aca="1" ref="C37" ca="1">IF($D$2=Database!A17,INDIRECT("'Database'!C"&amp;MATCH($D$2,Database!B1:B1000,0)+2),IF(OR($D$2=Database!A18,$D$2=Database!A19),IF(COUNTIF($F$8:$F$31,"*FFPE*")&gt;0,INDIRECT("'Database'!C"&amp;MATCH($D$2,Database!B1:B1000,0)+2),""),""))</f>
        <v/>
      </c>
      <c r="D37" s="35" t="str" cm="1">
        <f t="array" aca="1" ref="D37" ca="1">IF($D$2=Database!A17,INDIRECT("'Database'!C"&amp;MATCH($D$2,Database!B1:B1000,0)+2)*($D$4+LOOKUP(2,1/(Database!A29:A33&lt;=$D$4)/(Database!B29:B33&gt;=$D$4),Database!$C$29:$C$33)),IF(OR($D$2=Database!A18,$D$2=Database!A19),IF(COUNTIF($F$8:$F$31,"*FFPE*")&gt;0,INDIRECT("'Database'!C"&amp;MATCH($D$2,Database!B1:B1000,0)+2)*(COUNTIF($F$8:$F$31,"*FFPE*")+LOOKUP(2,1/(Database!A29:A33&lt;=COUNTIF($F$8:$F$31,"*FFPE*"))/(Database!B29:B33&gt;=COUNTIF($F$8:$F$31,"*FFPE*")),Database!$C$29:$C$33)),""),""))</f>
        <v/>
      </c>
      <c r="E37" s="133"/>
      <c r="F37" s="37" t="str" cm="1">
        <f t="array" aca="1" ref="F37" ca="1">IF(OR($D$2=Database!A17,$D$2=Database!A16),INDIRECT("'Database'!B"&amp;MATCH($D$2,Database!B1:B1000,0)+4),"")</f>
        <v/>
      </c>
      <c r="G37" s="36" t="str" cm="1">
        <f t="array" aca="1" ref="G37" ca="1">IF(OR($D$2=Database!A17,$D$2=Database!A16),INDIRECT("'Database'!C"&amp;MATCH($D$2,Database!B1:B1000,0)+4),"")</f>
        <v/>
      </c>
      <c r="H37" s="35" t="str" cm="1">
        <f t="array" aca="1" ref="H37" ca="1">IF(OR($D$2=Database!A17,$D$2=Database!A16),INDIRECT("'Database'!C"&amp;MATCH($D$2,Database!B1:B1000,0)+4)*($D$4+LOOKUP(2,1/(Database!A29:A33&lt;=$D$4)/(Database!B29:B33&gt;=$D$4),Database!$C$29:$C$33)),"")</f>
        <v/>
      </c>
      <c r="I37" s="35"/>
      <c r="J37" s="37" t="str" cm="1">
        <f t="array" aca="1" ref="J37" ca="1">IF(OR($D$2=Database!A18,$D$2=Database!A19),IF(COUNTIF($F$8:$F$31,"*_gDNA*")&gt;0,INDIRECT("'Database'!B"&amp;MATCH($D$2,Database!B1:B1000,0)+4),""),"")</f>
        <v>5X WGS FX Mix</v>
      </c>
      <c r="K37" s="36" cm="1">
        <f t="array" aca="1" ref="K37" ca="1">IF(OR($D$2=Database!A18,$D$2=Database!A19),IF(COUNTIF($F$8:$F$31,"*_gDNA*")&gt;0,INDIRECT("'Database'!C"&amp;MATCH($D$2,Database!B1:B1000,0)+4),""),"")</f>
        <v>1.4</v>
      </c>
      <c r="L37" s="35" cm="1">
        <f t="array" aca="1" ref="L37" ca="1">IF(OR($D$2=Database!A18,$D$2=Database!A19),IF(COUNTIF($F$8:$F$31,"*_gDNA*")&gt;0,INDIRECT("'Database'!C"&amp;MATCH($D$2,Database!B1:B1000,0)+4)*(COUNTIF($F$8:$F$31,"*_gDNA*")+LOOKUP(2,1/(Database!A29:A33&lt;=COUNTIF($F$8:$F$31,"*_gDNA*"))/(Database!B29:B33&gt;=COUNTIF($F$8:$F$31,"*_gDNA*")),Database!$C$29:$C$33)),""),"")</f>
        <v>1.4</v>
      </c>
    </row>
    <row r="38" spans="1:12" ht="18.75" x14ac:dyDescent="0.3">
      <c r="B38" s="37" t="str" cm="1">
        <f t="array" aca="1" ref="B38" ca="1">IF(OR($D$2=Database!A18,$D$2=Database!A19),IF(COUNTIF($F$8:$F$31,"*FFPE*")&gt;0,INDIRECT("'Database'!B"&amp;MATCH($D$2,Database!B1:B1000,0)+3),""),IF($D$2=Database!A17,"RNA",""))</f>
        <v/>
      </c>
      <c r="C38" s="36" t="str" cm="1">
        <f t="array" aca="1" ref="C38" ca="1">IF(OR($D$2=Database!A18,$D$2=Database!A19),IF(COUNTIF($F$8:$F$31,"*FFPE*")&gt;0,INDIRECT("'Database'!C"&amp;MATCH($D$2,Database!B1:B1000,0)+3),""),IF($D$2=Database!A17,Database!C6,""))</f>
        <v/>
      </c>
      <c r="D38" s="35" t="str" cm="1">
        <f t="array" aca="1" ref="D38" ca="1">IF(OR($D$2=Database!A18,$D$2=Database!A19),IF(COUNTIF($F$8:$F$31,"*FFPE*")&gt;0,INDIRECT("'Database'!C"&amp;MATCH($D$2,Database!B1:B1000,0)+3)*(COUNTIF($F$8:$F$31,"*FFPE*")+LOOKUP(2,1/(Database!A29:A33&lt;=COUNTIF($F$8:$F$31,"*FFPE*"))/(Database!B29:B33&gt;=COUNTIF($F$8:$F$31,"*FFPE*")),Database!$C$29:$C$33)),""),IF($D$2=Database!A17,"-",""))</f>
        <v/>
      </c>
      <c r="E38" s="133"/>
      <c r="F38" s="37" t="str" cm="1">
        <f t="array" aca="1" ref="F38" ca="1">IF($D$2=Database!A17,INDIRECT("'Database'!B"&amp;MATCH($D$2,Database!B1:B1000,0)+5),IF($D$2=Database!A16,"DNA",""))</f>
        <v/>
      </c>
      <c r="G38" s="36" t="str" cm="1">
        <f t="array" aca="1" ref="G38" ca="1">IF($D$2=Database!A17,INDIRECT("'Database'!C"&amp;MATCH($D$2,Database!B1:B1000,0)+5),IF($D$2=Database!A16,Database!C5,""))</f>
        <v/>
      </c>
      <c r="H38" s="35" t="str" cm="1">
        <f t="array" aca="1" ref="H38" ca="1">IF($D$2=Database!A17,INDIRECT("'Database'!C"&amp;MATCH($D$2,Database!B1:B1000,0)+5)*($D$4+LOOKUP(2,1/(Database!A29:A33&lt;=$D$4)/(Database!B29:B33&gt;=$D$4),Database!$C$29:$C$33)),IF($D$2=Database!A16,"-",""))</f>
        <v/>
      </c>
      <c r="I38" s="35"/>
      <c r="J38" s="37" t="str">
        <f>IF(OR($D$2=Database!A18,$D$2=Database!A19),IF(COUNTIF($F$8:$F$31,"*_gDNA*")&gt;0,"DNA",""),"")</f>
        <v>DNA</v>
      </c>
      <c r="K38" s="36">
        <f>IF($D$2=Database!A18,IF(COUNTIF($F$8:$F$31,"*_gDNA*")&gt;0,Database!C7,""),IF($D$2=Database!A19,IF(COUNTIF($F$8:$F$31,"*_gDNA*")&gt;0,Database!C7/2,""),""))</f>
        <v>4.9000000000000004</v>
      </c>
      <c r="L38" s="35" t="str">
        <f>IF(OR($D$2=Database!A18,$D$2=Database!A19),IF(COUNTIF($F$8:$F$31,"*_gDNA*")&gt;0,"-",""),"")</f>
        <v>-</v>
      </c>
    </row>
    <row r="39" spans="1:12" ht="18.75" x14ac:dyDescent="0.25">
      <c r="B39" s="37" t="str">
        <f>IF(OR($D$2=Database!A18,$D$2=Database!A19),IF(COUNTIF($F$8:$F$31,"*FFPE*")&gt;0,"DNA",""),IF(D36&lt;&gt;"","Total Mix",""))</f>
        <v/>
      </c>
      <c r="C39" s="36" t="str">
        <f>IF($D$2=Database!A18,IF(COUNTIF($F$8:$F$31,"*FFPE*")&gt;0,Database!C9,""),IF($D$2=Database!A19,IF(COUNTIF($F$8:$F$31,"*FFPE*")&gt;0,Database!C9/2,""),IF(D36&lt;&gt;"","-","")))</f>
        <v/>
      </c>
      <c r="D39" s="35" t="str">
        <f>IF(OR($D$2=Database!A18,$D$2=Database!A19),IF(COUNTIF($F$8:$F$31,"*FFPE*")&gt;0,"-",""),IF(D36&lt;&gt;"",SUM(C36:C37)&amp;"uL",""))</f>
        <v/>
      </c>
      <c r="E39" s="134"/>
      <c r="F39" s="37" t="str">
        <f ca="1">IF(G38&lt;&gt;"","Total Mix","")</f>
        <v/>
      </c>
      <c r="G39" s="36" t="str">
        <f ca="1">IF(F38="Nuclease-free water","-",IF(F38&lt;&gt;"","-",""))</f>
        <v/>
      </c>
      <c r="H39" s="35" t="str">
        <f ca="1">IF(F38="Nuclease-free water",SUM(G36:G38)&amp;"uL",IF(F38&lt;&gt;"",SUM(G36:G37)&amp;"uL",""))</f>
        <v/>
      </c>
      <c r="I39" s="35"/>
      <c r="J39" s="37" t="str">
        <f>IF(K38&lt;&gt;"","Total Mix","")</f>
        <v>Total Mix</v>
      </c>
      <c r="K39" s="36" t="str">
        <f>IF(K38&lt;&gt;"","-","")</f>
        <v>-</v>
      </c>
      <c r="L39" s="35" t="str">
        <f ca="1">IF(K38&lt;&gt;"",SUM(K36:K37)&amp;"uL","")</f>
        <v>2.1uL</v>
      </c>
    </row>
    <row r="40" spans="1:12" ht="18.75" customHeight="1" x14ac:dyDescent="0.25">
      <c r="B40" s="37" t="str">
        <f>IF(AND(C39&lt;&gt;"",C39&lt;&gt;"-"),"Total Mix","")</f>
        <v/>
      </c>
      <c r="C40" s="36" t="str">
        <f>IF(AND(C39&lt;&gt;"",C39&lt;&gt;"-"),"-","")</f>
        <v/>
      </c>
      <c r="D40" s="35" t="str">
        <f>IF(AND(C39&lt;&gt;"",C39&lt;&gt;"-"),SUM(C36:C38)&amp;"uL","")</f>
        <v/>
      </c>
      <c r="E40" s="134"/>
      <c r="F40" s="37"/>
      <c r="G40" s="36"/>
      <c r="H40" s="35"/>
      <c r="I40" s="35"/>
      <c r="J40" s="37"/>
      <c r="K40" s="36"/>
      <c r="L40" s="35"/>
    </row>
    <row r="41" spans="1:12" ht="12.75" customHeight="1" x14ac:dyDescent="0.25">
      <c r="B41" s="37"/>
      <c r="C41" s="36"/>
      <c r="D41" s="35"/>
      <c r="E41" s="134"/>
      <c r="F41" s="37"/>
      <c r="G41" s="36"/>
      <c r="H41" s="35"/>
      <c r="I41" s="35"/>
      <c r="J41" s="37"/>
      <c r="K41" s="36"/>
      <c r="L41" s="35"/>
    </row>
    <row r="42" spans="1:12" ht="18.75" x14ac:dyDescent="0.3">
      <c r="B42" s="34" t="str">
        <f>IF(OR($D$2=Database!A17,$D$2=Database!A16),"Ligate (Pipetar na ordem)",IF(OR($D$2=Database!A18,$D$2=Database!A19),IF(COUNTIF($F$8:$F$31,"*_ctDNA*")&gt;0,"ctDNA Fragmentation",""),""))</f>
        <v/>
      </c>
      <c r="C42" s="36" t="str">
        <f>IF(OR($D$2=Database!A17,$D$2=Database!A16),"μL (Ind.)",IF(OR($D$2=Database!A18,$D$2=Database!A19),IF(COUNTIF($F$8:$F$31,"*_ctDNA*")&gt;0,"μL (Ind.)",""),""))</f>
        <v/>
      </c>
      <c r="D42" s="35" t="str">
        <f>IF(OR($D$2=Database!A17,$D$2=Database!A16),"μL (Ind.)",IF(OR($D$2=Database!A18,$D$2=Database!A19),IF(COUNTIF($F$8:$F$31,"*_ctDNA*")&gt;0,"μL (Mix)",""),""))</f>
        <v/>
      </c>
      <c r="E42" s="133"/>
      <c r="F42" s="34" t="str">
        <f>IF($D$4&lt;&gt;"",IF(OR($D$2=Database!A17,$D$2=Database!A16),"1ª Purificação com Beads",IF(OR($D$2=Database!A18,$D$2=Database!A19),"Adapter Ligation","")),"")</f>
        <v>Adapter Ligation</v>
      </c>
      <c r="G42" s="36" t="str">
        <f>IF($D$4&lt;&gt;"",IF(OR($D$2=Database!A17,$D$2=Database!A16),"μL (Ind.)",IF(OR($D$2=Database!A18,$D$2=Database!A19),"μL (Ind.)","")),"")</f>
        <v>μL (Ind.)</v>
      </c>
      <c r="H42" s="35" t="str">
        <f>IF($D$4&lt;&gt;"",IF(OR($D$2=Database!A17,$D$2=Database!A16),"μL (Ind./Mix)",IF(OR($D$2=Database!A18,$D$2=Database!A19),"μL (Mix)","")),"")</f>
        <v>μL (Mix)</v>
      </c>
      <c r="I42" s="27"/>
      <c r="J42" s="34" t="str">
        <f>IF($D$4&lt;&gt;"",IF(OR($D$2=Database!A17,$D$2=Database!A16),"Lib Amp",IF(OR($D$2=Database!A18,$D$2=Database!A19),"Ligation Cleanup","")),"")</f>
        <v>Ligation Cleanup</v>
      </c>
      <c r="K42" s="36" t="str">
        <f>IF($D$4&lt;&gt;"",IF(OR($D$2=Database!A17,$D$2=Database!A16),"μL (Ind.)",IF(OR($D$2=Database!A18,$D$2=Database!A19),"μL (Ind.)","")),"")</f>
        <v>μL (Ind.)</v>
      </c>
      <c r="L42" s="35" t="str">
        <f>IF($D$4&lt;&gt;"",IF(OR($D$2=Database!A17,$D$2=Database!A16),"μL (Mix)",IF(OR($D$2=Database!A18,$D$2=Database!A19),"μL (Ind.)","")),"")</f>
        <v>μL (Ind.)</v>
      </c>
    </row>
    <row r="43" spans="1:12" ht="18.75" x14ac:dyDescent="0.3">
      <c r="B43" s="37" t="str" cm="1">
        <f t="array" aca="1" ref="B43" ca="1">IF(OR($D$2=Database!A17,$D$2=Database!A16),INDIRECT("'Database'!B"&amp;MATCH($D$2,Database!B1:B1000,0)+7),IF(OR($D$2=Database!A18,$D$2=Database!A19),IF(COUNTIF($F$8:$F$31,"*_ctDNA*")&gt;0,INDIRECT("'Database'!B"&amp;MATCH($D$2,Database!B1:B1000,0)+1),""),""))</f>
        <v/>
      </c>
      <c r="C43" s="36" t="str" cm="1">
        <f t="array" aca="1" ref="C43" ca="1">IF(OR($D$2=Database!A17,$D$2=Database!A16),INDIRECT("'Database'!C"&amp;MATCH($D$2,Database!B1:B1000,0)+7),IF(OR($D$2=Database!A18,$D$2=Database!A19),IF(COUNTIF($F$8:$F$31,"*_ctDNA*")&gt;0,INDIRECT("'Database'!C"&amp;MATCH($D$2,Database!B1:B1000,0)+1),""),""))</f>
        <v/>
      </c>
      <c r="D43" s="35" t="str" cm="1">
        <f t="array" aca="1" ref="D43" ca="1">IF(OR($D$2=Database!A17,$D$2=Database!A16),INDIRECT("'Database'!C"&amp;MATCH($D$2,Database!B1:B1000,0)+7),IF(OR($D$2=Database!A18,$D$2=Database!A19),IF(COUNTIF($F$8:$F$31,"*_ctDNA*")&gt;0,INDIRECT("'Database'!C"&amp;MATCH($D$2,Database!B1:B1000,0)+1)*(COUNTIF($F$8:$F$31,"*_ctDNA*")+LOOKUP(2,1/(Database!A29:A33&lt;=COUNTIF($F$8:$F$31,"*_ctDNA*"))/(Database!B29:B33&gt;=COUNTIF($F$8:$F$31,"*_ctDNA*")),Database!$C$29:$C$33)),""),""))</f>
        <v/>
      </c>
      <c r="E43" s="134"/>
      <c r="F43" s="37" t="str" cm="1">
        <f t="array" aca="1" ref="F43" ca="1">IF($D$4&lt;&gt;"",IF(OR($D$2=Database!A17,$D$2=Database!A16),INDIRECT("'Database'!B"&amp;MATCH($D$2,Database!B1:B1000,0)+10),IF(OR($D$2=Database!A18,$D$2=Database!A19),INDIRECT("'Database'!B"&amp;MATCH($D$2,Database!B1:B1000,0)+6),"")),"")</f>
        <v>UPH Ligation Buffer, 2.5X</v>
      </c>
      <c r="G43" s="36" cm="1">
        <f t="array" aca="1" ref="G43" ca="1">IF($D$4&lt;&gt;"",IF(OR($D$2=Database!A17,$D$2=Database!A16),INDIRECT("'Database'!C"&amp;MATCH($D$2,Database!B1:B1000,0)+10),IF(OR($D$2=Database!A18,$D$2=Database!A19),INDIRECT("'Database'!C"&amp;MATCH($D$2,Database!B1:B1000,0)+6),"")),"")</f>
        <v>5</v>
      </c>
      <c r="H43" s="35" cm="1">
        <f t="array" aca="1" ref="H43" ca="1">IF($D$4&lt;&gt;"",IF(OR($D$2=Database!A17,$D$2=Database!A16),INDIRECT("'Database'!C"&amp;MATCH($D$2,Database!B1:B1000,0)+10),IF(OR($D$2=Database!A18,$D$2=Database!A19),INDIRECT("'Database'!C"&amp;MATCH($D$2,Database!B1:B1000,0)+6)*(($D$4+LOOKUP(2,1/(Database!A29:A33&lt;=$D$4)/(Database!B29:B33&gt;=$D$4),Database!$C$29:$C$33))),"")),"")</f>
        <v>85</v>
      </c>
      <c r="I43" s="27"/>
      <c r="J43" s="37" t="str" cm="1">
        <f t="array" aca="1" ref="J43" ca="1">IF($D$4&lt;&gt;"",IF(OR($D$2=Database!A17,$D$2=Database!A16),INDIRECT("'Database'!B"&amp;MATCH($D$2,Database!B1:B1000,0)+12),IF(OR($D$2=Database!A18,$D$2=Database!A19),INDIRECT("'Database'!B"&amp;MATCH($D$2,Database!B1:B1000,0)+9),"")),"")</f>
        <v>Ligation Cleanup Reagent</v>
      </c>
      <c r="K43" s="36" cm="1">
        <f t="array" aca="1" ref="K43" ca="1">IF($D$4&lt;&gt;"",IF(OR($D$2=Database!A17,$D$2=Database!A16),INDIRECT("'Database'!C"&amp;MATCH($D$2,Database!B1:B1000,0)+12),IF(OR($D$2=Database!A18,$D$2=Database!A19),INDIRECT("'Database'!C"&amp;MATCH($D$2,Database!B1:B1000,0)+9),"")),"")</f>
        <v>1</v>
      </c>
      <c r="L43" s="35" cm="1">
        <f t="array" aca="1" ref="L43" ca="1">IF($D$4&lt;&gt;"",IF(OR($D$2=Database!A17,$D$2=Database!A16),INDIRECT("'Database'!C"&amp;MATCH($D$2,Database!B1:B1000,0)+12)*(($D$4+LOOKUP(2,1/(Database!A29:A33&lt;=$D$4)/(Database!B29:B33&gt;=$D$4),Database!$C$29:$C$33))),IF(OR($D$2=Database!A18,$D$2=Database!A19),INDIRECT("'Database'!C"&amp;MATCH($D$2,Database!B1:B1000,0)+9),"")),"")</f>
        <v>1</v>
      </c>
    </row>
    <row r="44" spans="1:12" ht="18.75" x14ac:dyDescent="0.3">
      <c r="B44" s="37" t="str" cm="1">
        <f t="array" aca="1" ref="B44" ca="1">IF(OR($D$2=Database!A17,$D$2=Database!A16),INDIRECT("'Database'!B"&amp;MATCH($D$2,Database!B1:B1000,0)+8),IF(OR($D$2=Database!A18,$D$2=Database!A19),IF(COUNTIF($F$8:$F$31,"*_ctDNA*")&gt;0,INDIRECT("'Database'!B"&amp;MATCH($D$2,Database!B1:B1000,0)+4),""),""))</f>
        <v/>
      </c>
      <c r="C44" s="36" t="str" cm="1">
        <f t="array" aca="1" ref="C44" ca="1">IF(OR($D$2=Database!A17,$D$2=Database!A16),INDIRECT("'Database'!C"&amp;MATCH($D$2,Database!B1:B1000,0)+8),IF(OR($D$2=Database!A18,$D$2=Database!A19),IF(COUNTIF($F$8:$F$31,"*_ctDNA*")&gt;0,INDIRECT("'Database'!C"&amp;MATCH($D$2,Database!B1:B1000,0)+4),""),""))</f>
        <v/>
      </c>
      <c r="D44" s="35" t="str" cm="1">
        <f t="array" aca="1" ref="D44" ca="1">IF(OR($D$2=Database!A17,$D$2=Database!A16),"-",IF(OR($D$2=Database!A18,$D$2=Database!A19),IF(COUNTIF($F$8:$F$31,"*_ctDNA*")&gt;0,INDIRECT("'Database'!C"&amp;MATCH($D$2,Database!B1:B1000,0)+4)*(COUNTIF($F$8:$F$31,"*_ctDNA*")+LOOKUP(2,1/(Database!A29:A33&lt;=COUNTIF($F$8:$F$31,"*_ctDNA*"))/(Database!B29:B33&gt;=COUNTIF($F$8:$F$31,"*_ctDNA*")),Database!$C$29:$C$33)),""),""))</f>
        <v/>
      </c>
      <c r="E44" s="134"/>
      <c r="F44" s="37" t="str" cm="1">
        <f t="array" aca="1" ref="F44" ca="1">IF($D$4&lt;&gt;"",IF(OR($D$2=Database!A17,$D$2=Database!A16),INDIRECT("'Database'!B"&amp;MATCH($D$2,Database!B1:B1000,0)+11),IF(OR($D$2=Database!A18,$D$2=Database!A19),INDIRECT("'Database'!B"&amp;MATCH($D$2,Database!B1:B1000,0)+7),"")),"")</f>
        <v>AdP-IL5-Phased Adapter</v>
      </c>
      <c r="G44" s="36" cm="1">
        <f t="array" aca="1" ref="G44" ca="1">IF($D$4&lt;&gt;"",IF(OR($D$2=Database!A17,$D$2=Database!A16),INDIRECT("'Database'!C"&amp;MATCH($D$2,Database!B1:B1000,0)+11),IF(OR($D$2=Database!A18,$D$2=Database!A19),INDIRECT("'Database'!C"&amp;MATCH($D$2,Database!B1:B1000,0)+7),"")),"")</f>
        <v>0.75</v>
      </c>
      <c r="H44" s="35" cm="1">
        <f t="array" aca="1" ref="H44" ca="1">IF($D$4&lt;&gt;"",IF(OR($D$2=Database!A17,$D$2=Database!A16),INDIRECT("'Database'!C"&amp;MATCH($D$2,Database!B1:B1000,0)+11)*(($D$4+LOOKUP(2,1/(Database!A29:A33&lt;=$D$4)/(Database!B29:B33&gt;=$D$4),Database!$C$29:$C$33))*2)&amp;" (min.)",IF(OR($D$2=Database!A18,$D$2=Database!A19),INDIRECT("'Database'!C"&amp;MATCH($D$2,Database!B1:B1000,0)+7)*(($D$4+LOOKUP(2,1/(Database!A29:A33&lt;=$D$4)/(Database!B29:B33&gt;=$D$4),Database!$C$29:$C$33))),"")),"")</f>
        <v>12.75</v>
      </c>
      <c r="I44" s="27"/>
      <c r="J44" s="37" t="str" cm="1">
        <f t="array" aca="1" ref="J44" ca="1">IF(OR($D$2=Database!A17,$D$2=Database!A16),INDIRECT("'Database'!B"&amp;MATCH($D$2,Database!B1:B1000,0)+13),"")</f>
        <v/>
      </c>
      <c r="K44" s="36" t="str" cm="1">
        <f t="array" aca="1" ref="K44" ca="1">IF(OR($D$2=Database!A17,$D$2=Database!A16),INDIRECT("'Database'!C"&amp;MATCH($D$2,Database!B1:B1000,0)+13),"")</f>
        <v/>
      </c>
      <c r="L44" s="35" t="str" cm="1">
        <f t="array" aca="1" ref="L44" ca="1">IF(OR($D$2=Database!A17,$D$2=Database!A16),INDIRECT("'Database'!C"&amp;MATCH($D$2,Database!B1:B1000,0)+13)*(($D$4+LOOKUP(2,1/(Database!A29:A33&lt;=$D$4)/(Database!B29:B33&gt;=$D$4),Database!$C$29:$C$33))),"")</f>
        <v/>
      </c>
    </row>
    <row r="45" spans="1:12" ht="18.75" x14ac:dyDescent="0.3">
      <c r="B45" s="37" t="str" cm="1">
        <f t="array" aca="1" ref="B45" ca="1">IF(OR($D$2=Database!A17,$D$2=Database!A16),INDIRECT("'Database'!B"&amp;MATCH($D$2,Database!B1:B1000,0)+9),IF(OR($D$2=Database!A18,$D$2=Database!A19),IF(COUNTIF($F$8:$F$31,"*_ctDNA*")&gt;0,INDIRECT("'Database'!B"&amp;MATCH($D$2,Database!B1:B1000,0)+5),""),""))</f>
        <v/>
      </c>
      <c r="C45" s="36" t="str" cm="1">
        <f t="array" aca="1" ref="C45" ca="1">IF(OR($D$2=Database!A17,$D$2=Database!A16),INDIRECT("'Database'!C"&amp;MATCH($D$2,Database!B1:B1000,0)+9),IF(OR($D$2=Database!A18,$D$2=Database!A19),IF(COUNTIF($F$8:$F$31,"*_ctDNA*")&gt;0,INDIRECT("'Database'!C"&amp;MATCH($D$2,Database!B1:B1000,0)+5),""),""))</f>
        <v/>
      </c>
      <c r="D45" s="35" t="str" cm="1">
        <f t="array" aca="1" ref="D45" ca="1">IF(OR($D$2=Database!A17,$D$2=Database!A16),INDIRECT("'Database'!C"&amp;MATCH($D$2,Database!B1:B1000,0)+9),IF(OR($D$2=Database!A18,$D$2=Database!A19),IF(COUNTIF($F$8:$F$31,"*_ctDNA*")&gt;0,INDIRECT("'Database'!C"&amp;MATCH($D$2,Database!B1:B1000,0)+5)*(COUNTIF($F$8:$F$31,"*_ctDNA*")+LOOKUP(2,1/(Database!A29:A33&lt;=COUNTIF($F$8:$F$31,"*_ctDNA*"))/(Database!B29:B33&gt;=COUNTIF($F$8:$F$31,"*_ctDNA*")),Database!$C$29:$C$33)),""),""))</f>
        <v/>
      </c>
      <c r="E45" s="134"/>
      <c r="F45" s="37" t="str" cm="1">
        <f t="array" aca="1" ref="F45" ca="1">IF($D$4&lt;&gt;"",IF(OR($D$2=Database!A18,$D$2=Database!A19),INDIRECT("'Database'!B"&amp;MATCH($D$2,Database!B1:B1000,0)+8),""),"")</f>
        <v>DNA Ligase</v>
      </c>
      <c r="G45" s="36" cm="1">
        <f t="array" aca="1" ref="G45" ca="1">IF($D$4&lt;&gt;"",IF(OR($D$2=Database!A18,$D$2=Database!A19),INDIRECT("'Database'!C"&amp;MATCH($D$2,Database!B1:B1000,0)+8),""),"")</f>
        <v>1.25</v>
      </c>
      <c r="H45" s="35" cm="1">
        <f t="array" aca="1" ref="H45" ca="1">IF($D$4&lt;&gt;"",IF(OR($D$2=Database!A18,$D$2=Database!A19),INDIRECT("'Database'!C"&amp;MATCH($D$2,Database!B1:B1000,0)+8)*(($D$4+LOOKUP(2,1/(Database!A29:A33&lt;=$D$4)/(Database!B29:B33&gt;=$D$4),Database!$C$29:$C$33))),""),"")</f>
        <v>21.25</v>
      </c>
      <c r="I45" s="27"/>
      <c r="J45" s="37" t="str">
        <f ca="1">IF(J44="10X Library Amp Primers","Total Mix","")</f>
        <v/>
      </c>
      <c r="K45" s="36" t="str">
        <f ca="1">IF(J44="10X Library Amp Primers","-","")</f>
        <v/>
      </c>
      <c r="L45" s="35" t="str">
        <f ca="1">IF(J44="10X Library Amp Primers",SUM(K43:K44)&amp;"uL","")</f>
        <v/>
      </c>
    </row>
    <row r="46" spans="1:12" ht="18.75" x14ac:dyDescent="0.3">
      <c r="B46" s="37" t="str">
        <f>IF(OR($D$2=Database!A18,$D$2=Database!A19),IF(COUNTIF($F$8:$F$31,"*_ctDNA*")&gt;0,"DNA",""),"")</f>
        <v/>
      </c>
      <c r="C46" s="36" t="str">
        <f>IF($D$2=Database!A18,IF(COUNTIF($F$8:$F$31,"*_ctDNA*")&gt;0,Database!C10,""),IF($D$2=Database!A19,IF(COUNTIF($F$8:$F$31,"*_ctDNA*")&gt;0,Database!C10/2,""),""))</f>
        <v/>
      </c>
      <c r="D46" s="35" t="str">
        <f>IF(OR($D$2=Database!A18,$D$2=Database!A19),IF(COUNTIF($F$8:$F$31,"*_ctDNA*")&gt;0,"-",""),"")</f>
        <v/>
      </c>
      <c r="E46" s="134"/>
      <c r="F46" s="37" t="str">
        <f ca="1">IF(F45="DNA Ligase","Total Mix","")</f>
        <v>Total Mix</v>
      </c>
      <c r="G46" s="36" t="str">
        <f ca="1">IF(F45="DNA Ligase","-","")</f>
        <v>-</v>
      </c>
      <c r="H46" s="35" t="str">
        <f ca="1">IF(F45="DNA Ligase",SUM(G43:G45)&amp;"uL","")</f>
        <v>7uL</v>
      </c>
      <c r="I46" s="27"/>
      <c r="J46" s="37"/>
      <c r="K46" s="36"/>
      <c r="L46" s="35"/>
    </row>
    <row r="47" spans="1:12" ht="18.75" x14ac:dyDescent="0.3">
      <c r="B47" s="37" t="str">
        <f ca="1">IF(B45="FG Solution","Total Mix","")</f>
        <v/>
      </c>
      <c r="C47" s="36" t="str">
        <f ca="1">IF(B45="FG Solution","-","")</f>
        <v/>
      </c>
      <c r="D47" s="35" t="str">
        <f ca="1">IF(B45="FG Solution",SUM(C43:C45)&amp;"uL","")</f>
        <v/>
      </c>
      <c r="E47" s="134"/>
      <c r="F47" s="37"/>
      <c r="G47" s="36"/>
      <c r="H47" s="35"/>
      <c r="I47" s="27"/>
      <c r="J47" s="37"/>
      <c r="K47" s="36"/>
      <c r="L47" s="35"/>
    </row>
    <row r="48" spans="1:12" ht="12.75" customHeight="1" x14ac:dyDescent="0.3">
      <c r="B48" s="37"/>
      <c r="C48" s="36"/>
      <c r="D48" s="35"/>
      <c r="E48" s="134"/>
      <c r="F48" s="37"/>
      <c r="G48" s="36"/>
      <c r="H48" s="35"/>
      <c r="I48" s="27"/>
      <c r="J48" s="37"/>
      <c r="K48" s="36"/>
      <c r="L48" s="35"/>
    </row>
    <row r="49" spans="2:13" ht="18.75" x14ac:dyDescent="0.3">
      <c r="B49" s="34" t="str">
        <f>IF(OR($D$2=Database!A17,$D$2=Database!A16),"2ª Purificação com Beads",IF(OR($D$2=Database!A18,$D$2=Database!A19),IF(COUNTIF($F$8:$F$31,"*MAMA*")&gt;0,"Target Enrichment MAMA",""),""))</f>
        <v>Target Enrichment MAMA</v>
      </c>
      <c r="C49" s="36" t="str">
        <f>IF(OR($D$2=Database!A17,$D$2=Database!A16),"μL (Ind.)",IF(OR($D$2=Database!A18,$D$2=Database!A19),IF(COUNTIF($F$8:$F$31,"*MAMA*")&gt;0,"μL (Ind.)",""),""))</f>
        <v>μL (Ind.)</v>
      </c>
      <c r="D49" s="35" t="str">
        <f>IF(OR($D$2=Database!A17,$D$2=Database!A16),"μL (Ind./Mix)",IF(OR($D$2=Database!A18,$D$2=Database!A19),IF(COUNTIF($F$8:$F$31,"*MAMA*")&gt;0,"μL (Mix)",""),""))</f>
        <v>μL (Mix)</v>
      </c>
      <c r="E49" s="134"/>
      <c r="F49" s="34" t="str">
        <f>IF(OR($D$2=Database!A18,$D$2=Database!A19),IF(COUNTIF($F$8:$F$31,"*ONCO*")&gt;0,"Target Enrichment ONCO",""),"")</f>
        <v/>
      </c>
      <c r="G49" s="36" t="str">
        <f>IF(OR($D$2=Database!A18,$D$2=Database!A19),IF(COUNTIF($F$8:$F$31,"*ONCO*")&gt;0,"μL (Ind.)",""),"")</f>
        <v/>
      </c>
      <c r="H49" s="35" t="str">
        <f>IF(OR($D$2=Database!A18,$D$2=Database!A19),IF(COUNTIF($F$8:$F$31,"*ONCO*")&gt;0,"μL (Mix)",""),"")</f>
        <v/>
      </c>
      <c r="I49" s="27"/>
      <c r="J49" s="34" t="str">
        <f>IF($D$4&lt;&gt;"",IF(OR($D$2=Database!A18,$D$2=Database!A19),"TEPCR Cleanup",""),"")</f>
        <v>TEPCR Cleanup</v>
      </c>
      <c r="K49" s="36" t="str">
        <f>IF($D$4&lt;&gt;"",IF(OR($D$2=Database!A18,$D$2=Database!A19),"μL (Ind.)",""),"")</f>
        <v>μL (Ind.)</v>
      </c>
      <c r="L49" s="35" t="str">
        <f>IF($D$4&lt;&gt;"",IF(OR($D$2=Database!A18,$D$2=Database!A19),"μL (Ind.)",""),"")</f>
        <v>μL (Ind.)</v>
      </c>
    </row>
    <row r="50" spans="2:13" ht="18.75" x14ac:dyDescent="0.3">
      <c r="B50" s="37" t="str" cm="1">
        <f t="array" aca="1" ref="B50" ca="1">IF(OR($D$2=Database!A17,$D$2=Database!A16),INDIRECT("'Database'!B"&amp;MATCH($D$2,Database!B1:B1000,0)+14),IF(OR($D$2=Database!A18,$D$2=Database!A19),IF(COUNTIF($F$8:$F$31,"*MAMA*")&gt;0,INDIRECT("'Database'!B"&amp;MATCH($D$2,Database!B1:B1000,0)+10),""),""))</f>
        <v>TEPCR Buffer, 5X</v>
      </c>
      <c r="C50" s="36" cm="1">
        <f t="array" aca="1" ref="C50" ca="1">IF(OR($D$2=Database!A17,$D$2=Database!A16),INDIRECT("'Database'!C"&amp;MATCH($D$2,Database!B1:B1000,0)+14),IF(OR($D$2=Database!A18,$D$2=Database!A19),IF(COUNTIF($F$8:$F$31,"*MAMA*")&gt;0,INDIRECT("'Database'!C"&amp;MATCH($D$2,Database!B1:B1000,0)+10),""),""))</f>
        <v>5</v>
      </c>
      <c r="D50" s="35" cm="1">
        <f t="array" aca="1" ref="D50" ca="1">IF(OR($D$2=Database!A17,$D$2=Database!A16),INDIRECT("'Database'!C"&amp;MATCH($D$2,Database!B1:B1000,0)+14),IF(OR($D$2=Database!A18,$D$2=Database!A19),IF(COUNTIF($F$8:$F$31,"*MAMA*")&gt;0,INDIRECT("'Database'!C"&amp;MATCH($D$2,Database!B1:B1000,0)+10)*(COUNTIF($F$8:$F$31,"*MAMA*")+LOOKUP(2,1/(Database!A29:A33&lt;=COUNTIF($F$8:$F$31,"*MAMA*"))/(Database!B29:B33&gt;=COUNTIF($F$8:$F$31,"*MAMA*")),Database!$C$29:$C$33)),""),""))</f>
        <v>5</v>
      </c>
      <c r="E50" s="134"/>
      <c r="F50" s="37" t="str" cm="1">
        <f t="array" aca="1" ref="F50" ca="1">IF(OR($D$2=Database!A18,$D$2=Database!A19),IF(COUNTIF($F$8:$F$31,"*ONCO*")&gt;0,INDIRECT("'Database'!B"&amp;MATCH($D$2,Database!B1:B1000,0)+10),""),"")</f>
        <v/>
      </c>
      <c r="G50" s="36" t="str" cm="1">
        <f t="array" aca="1" ref="G50" ca="1">IF(OR($D$2=Database!A18,$D$2=Database!A19),IF(COUNTIF($F$8:$F$31,"*ONCO*")&gt;0,INDIRECT("'Database'!C"&amp;MATCH($D$2,Database!B1:B1000,0)+10),""),"")</f>
        <v/>
      </c>
      <c r="H50" s="35" t="str" cm="1">
        <f t="array" aca="1" ref="H50" ca="1">IF(OR($D$2=Database!A18,$D$2=Database!A19),IF(COUNTIF($F$8:$F$31,"*ONCO*")&gt;0,INDIRECT("'Database'!C"&amp;MATCH($D$2,Database!B1:B1000,0)+10)*(COUNTIF($F$8:$F$31,"*ONCO*")+LOOKUP(2,1/(Database!A29:A33&lt;=COUNTIF($F$8:$F$31,"*ONCO*"))/(Database!B29:B33&gt;=COUNTIF($F$8:$F$31,"*ONCO*")),Database!$C$29:$C$33)),""),"")</f>
        <v/>
      </c>
      <c r="I50" s="27"/>
      <c r="J50" s="37" t="str" cm="1">
        <f t="array" aca="1" ref="J50" ca="1">IF($D$4&lt;&gt;"",IF(OR($D$2=Database!A18,$D$2=Database!A19),INDIRECT("'Database'!B"&amp;MATCH($D$2,Database!B1:B1000,0)+15),""),"")</f>
        <v>Target Enriched DNA</v>
      </c>
      <c r="K50" s="36" cm="1">
        <f t="array" aca="1" ref="K50" ca="1">IF($D$4&lt;&gt;"",IF(OR($D$2=Database!A18,$D$2=Database!A19),INDIRECT("'Database'!C"&amp;MATCH($D$2,Database!B1:B1000,0)+15),""),"")</f>
        <v>10</v>
      </c>
      <c r="L50" s="35" cm="1">
        <f t="array" aca="1" ref="L50" ca="1">IF($D$4&lt;&gt;"",IF(OR($D$2=Database!A18,$D$2=Database!A19),INDIRECT("'Database'!C"&amp;MATCH($D$2,Database!B1:B1000,0)+15),""),"")</f>
        <v>10</v>
      </c>
    </row>
    <row r="51" spans="2:13" ht="18.75" x14ac:dyDescent="0.3">
      <c r="B51" s="37" t="str" cm="1">
        <f t="array" aca="1" ref="B51" ca="1">IF(OR($D$2=Database!A17,$D$2=Database!A16),INDIRECT("'Database'!B"&amp;MATCH($D$2,Database!B1:B1000,0)+15),IF(OR($D$2=Database!A18,$D$2=Database!A19),IF(COUNTIF($F$8:$F$31,"*MAMA*")&gt;0,INDIRECT("'Database'!B"&amp;MATCH($D$2,Database!B1:B1000,0)+11),""),""))</f>
        <v>QIAseq Target DNA Pro Panel</v>
      </c>
      <c r="C51" s="36" cm="1">
        <f t="array" aca="1" ref="C51" ca="1">IF(OR($D$2=Database!A17,$D$2=Database!A16),INDIRECT("'Database'!C"&amp;MATCH($D$2,Database!B1:B1000,0)+15),IF(OR($D$2=Database!A18,$D$2=Database!A19),IF(COUNTIF($F$8:$F$31,"*MAMA*")&gt;0,INDIRECT("'Database'!C"&amp;MATCH($D$2,Database!B1:B1000,0)+11),""),""))</f>
        <v>3.15</v>
      </c>
      <c r="D51" s="35" cm="1">
        <f t="array" aca="1" ref="D51" ca="1">IF(OR($D$2=Database!A17,$D$2=Database!A16),INDIRECT("'Database'!C"&amp;MATCH($D$2,Database!B1:B1000,0)+15),IF(OR($D$2=Database!A18,$D$2=Database!A19),IF(COUNTIF($F$8:$F$31,"*MAMA*")&gt;0,INDIRECT("'Database'!C"&amp;MATCH($D$2,Database!B1:B1000,0)+11)*(COUNTIF($F$8:$F$31,"*MAMA*")+LOOKUP(2,1/(Database!A29:A33&lt;=COUNTIF($F$8:$F$31,"*MAMA*"))/(Database!B29:B33&gt;=COUNTIF($F$8:$F$31,"*MAMA*")),Database!$C$29:$C$33)),""),""))</f>
        <v>3.15</v>
      </c>
      <c r="E51" s="134"/>
      <c r="F51" s="37" t="str" cm="1">
        <f t="array" aca="1" ref="F51" ca="1">IF(OR($D$2=Database!A18,$D$2=Database!A19),IF(COUNTIF($F$8:$F$31,"*ONCO*")&gt;0,INDIRECT("'Database'!B"&amp;MATCH($D$2,Database!B1:B1000,0)+11),""),"")</f>
        <v/>
      </c>
      <c r="G51" s="36" t="str" cm="1">
        <f t="array" aca="1" ref="G51" ca="1">IF(OR($D$2=Database!A18,$D$2=Database!A19),IF(COUNTIF($F$8:$F$31,"*ONCO*")&gt;0,INDIRECT("'Database'!C"&amp;MATCH($D$2,Database!B1:B1000,0)+11),""),"")</f>
        <v/>
      </c>
      <c r="H51" s="35" t="str" cm="1">
        <f t="array" aca="1" ref="H51" ca="1">IF(OR($D$2=Database!A18,$D$2=Database!A19),IF(COUNTIF($F$8:$F$31,"*ONCO*")&gt;0,INDIRECT("'Database'!C"&amp;MATCH($D$2,Database!B1:B1000,0)+11)*(COUNTIF($F$8:$F$31,"*ONCO*")+LOOKUP(2,1/(Database!A29:A33&lt;=COUNTIF($F$8:$F$31,"*ONCO*"))/(Database!B29:B33&gt;=COUNTIF($F$8:$F$31,"*ONCO*")),Database!$C$29:$C$33)),""),"")</f>
        <v/>
      </c>
      <c r="I51" s="27"/>
      <c r="J51" s="37" t="str" cm="1">
        <f t="array" aca="1" ref="J51" ca="1">IF($D$4&lt;&gt;"",IF(OR($D$2=Database!A18,$D$2=Database!A19),INDIRECT("'Database'!B"&amp;MATCH($D$2,Database!B1:B1000,0)+16),""),"")</f>
        <v>TEPCR Cleanup Reagent</v>
      </c>
      <c r="K51" s="36" cm="1">
        <f t="array" aca="1" ref="K51" ca="1">IF($D$4&lt;&gt;"",IF(OR($D$2=Database!A18,$D$2=Database!A19),INDIRECT("'Database'!C"&amp;MATCH($D$2,Database!B1:B1000,0)+16),""),"")</f>
        <v>2.5</v>
      </c>
      <c r="L51" s="35" cm="1">
        <f t="array" aca="1" ref="L51" ca="1">IF($D$4&lt;&gt;"",IF(OR($D$2=Database!A18,$D$2=Database!A19),INDIRECT("'Database'!C"&amp;MATCH($D$2,Database!B1:B1000,0)+16),""),"")</f>
        <v>2.5</v>
      </c>
    </row>
    <row r="52" spans="2:13" ht="18.75" x14ac:dyDescent="0.25">
      <c r="B52" s="37" t="str" cm="1">
        <f t="array" aca="1" ref="B52" ca="1">IF(OR($D$2=Database!A17,$D$2=Database!A16),INDIRECT("'Database'!B"&amp;MATCH($D$2,Database!B1:B1000,0)+16),IF(OR($D$2=Database!A18,$D$2=Database!A19),IF(COUNTIF($F$8:$F$31,"*MAMA*")&gt;0,INDIRECT("'Database'!B"&amp;MATCH($D$2,Database!B1:B1000,0)+12),""),""))</f>
        <v>SmP-IL5 TEPCR-F Primer</v>
      </c>
      <c r="C52" s="36" cm="1">
        <f t="array" aca="1" ref="C52" ca="1">IF(OR($D$2=Database!A17,$D$2=Database!A16),INDIRECT("'Database'!C"&amp;MATCH($D$2,Database!B1:B1000,0)+16),IF(OR($D$2=Database!A18,$D$2=Database!A19),IF(COUNTIF($F$8:$F$31,"*MAMA*")&gt;0,INDIRECT("'Database'!C"&amp;MATCH($D$2,Database!B1:B1000,0)+12),""),""))</f>
        <v>1</v>
      </c>
      <c r="D52" s="35" cm="1">
        <f t="array" aca="1" ref="D52" ca="1">IF(OR($D$2=Database!A17,$D$2=Database!A16),INDIRECT("'Database'!C"&amp;MATCH($D$2,Database!B1:B1000,0)+16)*(($D$4+LOOKUP(2,1/(Database!A29:A33&lt;=$D$4)/(Database!B29:B33&gt;=$D$4),Database!$C$29:$C$33))*2)&amp;" (min.)",IF(OR($D$2=Database!A18,$D$2=Database!A19),IF(COUNTIF($F$8:$F$31,"*MAMA*")&gt;0,INDIRECT("'Database'!C"&amp;MATCH($D$2,Database!B1:B1000,0)+12)*(COUNTIF($F$8:$F$31,"*MAMA*")+LOOKUP(2,1/(Database!A29:A33&lt;=COUNTIF($F$8:$F$31,"*MAMA*"))/(Database!B29:B33&gt;=COUNTIF($F$8:$F$31,"*MAMA*")),Database!$C$29:$C$33)),""),""))</f>
        <v>1</v>
      </c>
      <c r="E52" s="134"/>
      <c r="F52" s="37" t="str" cm="1">
        <f t="array" aca="1" ref="F52" ca="1">IF(OR($D$2=Database!A18,$D$2=Database!A19),IF(COUNTIF($F$8:$F$31,"*ONCO*")&gt;0,INDIRECT("'Database'!B"&amp;MATCH($D$2,Database!B1:B1000,0)+12),""),"")</f>
        <v/>
      </c>
      <c r="G52" s="36" t="str" cm="1">
        <f t="array" aca="1" ref="G52" ca="1">IF(OR($D$2=Database!A18,$D$2=Database!A19),IF(COUNTIF($F$8:$F$31,"*ONCO*")&gt;0,INDIRECT("'Database'!C"&amp;MATCH($D$2,Database!B1:B1000,0)+12),""),"")</f>
        <v/>
      </c>
      <c r="H52" s="35" t="str" cm="1">
        <f t="array" aca="1" ref="H52" ca="1">IF(OR($D$2=Database!A18,$D$2=Database!A19),IF(COUNTIF($F$8:$F$31,"*ONCO*")&gt;0,INDIRECT("'Database'!C"&amp;MATCH($D$2,Database!B1:B1000,0)+12)*(COUNTIF($F$8:$F$31,"*ONCO*")+LOOKUP(2,1/(Database!A29:A33&lt;=COUNTIF($F$8:$F$31,"*ONCO*"))/(Database!B29:B33&gt;=COUNTIF($F$8:$F$31,"*ONCO*")),Database!$C$29:$C$33)),""),"")</f>
        <v/>
      </c>
      <c r="J52" s="37" t="str">
        <f ca="1">IF(J51="TEPCR Cleanup Reagent","Total Mix","")</f>
        <v>Total Mix</v>
      </c>
      <c r="K52" s="22" t="str">
        <f ca="1">IF(J51="TEPCR Cleanup Reagent","-","")</f>
        <v>-</v>
      </c>
      <c r="L52" s="23">
        <f ca="1">IF(J51="TEPCR Cleanup Reagent",SUM(K50:K51),"")</f>
        <v>12.5</v>
      </c>
    </row>
    <row r="53" spans="2:13" ht="18.75" x14ac:dyDescent="0.25">
      <c r="B53" s="37" t="str" cm="1">
        <f t="array" aca="1" ref="B53" ca="1">IF(OR($D$2=Database!A17,$D$2=Database!A16),INDIRECT("'Database'!B"&amp;MATCH($D$2,Database!B1:B1000,0)+17),IF(OR($D$2=Database!A18,$D$2=Database!A19),IF(COUNTIF($F$8:$F$31,"*MAMA*")&gt;0,INDIRECT("'Database'!B"&amp;MATCH($D$2,Database!B1:B1000,0)+13),""),""))</f>
        <v>TEPCR modifier</v>
      </c>
      <c r="C53" s="36" cm="1">
        <f t="array" aca="1" ref="C53" ca="1">IF(OR($D$2=Database!A17,$D$2=Database!A16),INDIRECT("'Database'!C"&amp;MATCH($D$2,Database!B1:B1000,0)+17),IF(OR($D$2=Database!A18,$D$2=Database!A19),IF(COUNTIF($F$8:$F$31,"*MAMA*")&gt;0,INDIRECT("'Database'!C"&amp;MATCH($D$2,Database!B1:B1000,0)+13),""),""))</f>
        <v>0.97499999999999998</v>
      </c>
      <c r="D53" s="35" cm="1">
        <f t="array" aca="1" ref="D53" ca="1">IF(OR($D$2=Database!A17,$D$2=Database!A16),INDIRECT("'Database'!C"&amp;MATCH($D$2,Database!B1:B1000,0)+17),IF(OR($D$2=Database!A18,$D$2=Database!A19),IF(COUNTIF($F$8:$F$31,"*MAMA*")&gt;0,INDIRECT("'Database'!C"&amp;MATCH($D$2,Database!B1:B1000,0)+13)*(COUNTIF($F$8:$F$31,"*MAMA*")+LOOKUP(2,1/(Database!A29:A33&lt;=COUNTIF($F$8:$F$31,"*MAMA*"))/(Database!B29:B33&gt;=COUNTIF($F$8:$F$31,"*MAMA*")),Database!$C$29:$C$33)),""),""))</f>
        <v>0.97499999999999998</v>
      </c>
      <c r="E53" s="134"/>
      <c r="F53" s="37" t="str" cm="1">
        <f t="array" aca="1" ref="F53" ca="1">IF(OR($D$2=Database!A18,$D$2=Database!A19),IF(COUNTIF($F$8:$F$31,"*ONCO*")&gt;0,INDIRECT("'Database'!B"&amp;MATCH($D$2,Database!B1:B1000,0)+13),""),"")</f>
        <v/>
      </c>
      <c r="G53" s="36" t="str" cm="1">
        <f t="array" aca="1" ref="G53" ca="1">IF(OR($D$2=Database!A18,$D$2=Database!A19),IF(COUNTIF($F$8:$F$31,"*ONCO*")&gt;0,INDIRECT("'Database'!C"&amp;MATCH($D$2,Database!B1:B1000,0)+13),""),"")</f>
        <v/>
      </c>
      <c r="H53" s="35" t="str" cm="1">
        <f t="array" aca="1" ref="H53" ca="1">IF(OR($D$2=Database!A18,$D$2=Database!A19),IF(COUNTIF($F$8:$F$31,"*ONCO*")&gt;0,INDIRECT("'Database'!C"&amp;MATCH($D$2,Database!B1:B1000,0)+13)*(COUNTIF($F$8:$F$31,"*ONCO*")+LOOKUP(2,1/(Database!A29:A33&lt;=COUNTIF($F$8:$F$31,"*ONCO*"))/(Database!B29:B33&gt;=COUNTIF($F$8:$F$31,"*ONCO*")),Database!$C$29:$C$33)),""),"")</f>
        <v/>
      </c>
      <c r="J53" s="21"/>
      <c r="K53" s="22"/>
      <c r="L53" s="23"/>
    </row>
    <row r="54" spans="2:13" ht="18.75" x14ac:dyDescent="0.25">
      <c r="B54" s="37" t="str" cm="1">
        <f t="array" aca="1" ref="B54" ca="1">IF(OR($D$2=Database!A18,$D$2=Database!A19),IF(COUNTIF($F$8:$F$31,"*MAMA*")&gt;0,INDIRECT("'Database'!B"&amp;MATCH($D$2,Database!B1:B1000,0)+14),""),"")</f>
        <v>QN Taq Polymerase</v>
      </c>
      <c r="C54" s="36" cm="1">
        <f t="array" aca="1" ref="C54" ca="1">IF(OR($D$2=Database!A18,$D$2=Database!A19),IF(COUNTIF($F$8:$F$31,"*MAMA*")&gt;0,INDIRECT("'Database'!C"&amp;MATCH($D$2,Database!B1:B1000,0)+14),""),"")</f>
        <v>1.2</v>
      </c>
      <c r="D54" s="35" cm="1">
        <f t="array" aca="1" ref="D54" ca="1">IF(OR($D$2=Database!A18,$D$2=Database!A19),IF(COUNTIF($F$8:$F$31,"*MAMA*")&gt;0,INDIRECT("'Database'!C"&amp;MATCH($D$2,Database!B1:B1000,0)+14)*(COUNTIF($F$8:$F$31,"*MAMA*")+LOOKUP(2,1/(Database!A29:A33&lt;=COUNTIF($F$8:$F$31,"*MAMA*"))/(Database!B29:B33&gt;=COUNTIF($F$8:$F$31,"*MAMA*")),Database!$C$29:$C$33)),""),"")</f>
        <v>1.2</v>
      </c>
      <c r="E54" s="134"/>
      <c r="F54" s="37" t="str" cm="1">
        <f t="array" aca="1" ref="F54" ca="1">IF(OR($D$2=Database!A18,$D$2=Database!A19),IF(COUNTIF($F$8:$F$31,"*ONCO*")&gt;0,INDIRECT("'Database'!B"&amp;MATCH($D$2,Database!B1:B1000,0)+14),""),"")</f>
        <v/>
      </c>
      <c r="G54" s="36" t="str" cm="1">
        <f t="array" aca="1" ref="G54" ca="1">IF(OR($D$2=Database!A18,$D$2=Database!A19),IF(COUNTIF($F$8:$F$31,"*ONCO*")&gt;0,INDIRECT("'Database'!C"&amp;MATCH($D$2,Database!B1:B1000,0)+14),""),"")</f>
        <v/>
      </c>
      <c r="H54" s="35" t="str" cm="1">
        <f t="array" aca="1" ref="H54" ca="1">IF(OR($D$2=Database!A18,$D$2=Database!A19),IF(COUNTIF($F$8:$F$31,"*ONCO*")&gt;0,INDIRECT("'Database'!C"&amp;MATCH($D$2,Database!B1:B1000,0)+14)*(COUNTIF($F$8:$F$31,"*ONCO*")+LOOKUP(2,1/(Database!A29:A33&lt;=COUNTIF($F$8:$F$31,"*ONCO*"))/(Database!B29:B33&gt;=COUNTIF($F$8:$F$31,"*ONCO*")),Database!$C$29:$C$33)),""),"")</f>
        <v/>
      </c>
      <c r="J54" s="21"/>
      <c r="K54" s="22"/>
      <c r="L54" s="23"/>
    </row>
    <row r="55" spans="2:13" ht="18.75" x14ac:dyDescent="0.25">
      <c r="B55" s="37" t="str">
        <f ca="1">IF(B54="QN Taq Polymerase","Total Mix","")</f>
        <v>Total Mix</v>
      </c>
      <c r="C55" s="36" t="str">
        <f ca="1">IF(B54="QN Taq Polymerase","-","")</f>
        <v>-</v>
      </c>
      <c r="D55" s="35" t="str">
        <f ca="1">IF(B54="QN Taq Polymerase",SUM(C50:C54)&amp;"uL","")</f>
        <v>11.325uL</v>
      </c>
      <c r="E55" s="134"/>
      <c r="F55" s="37" t="str">
        <f ca="1">IF(F54="QN Taq Polymerase","Total Mix","")</f>
        <v/>
      </c>
      <c r="G55" s="36" t="str">
        <f ca="1">IF(F54="QN Taq Polymerase","-","")</f>
        <v/>
      </c>
      <c r="H55" s="35" t="str">
        <f ca="1">IF(F54="QN Taq Polymerase",SUM(G50:G54)&amp;"uL","")</f>
        <v/>
      </c>
      <c r="J55" s="21"/>
      <c r="K55" s="22"/>
      <c r="L55" s="23"/>
    </row>
    <row r="56" spans="2:13" ht="12.75" customHeight="1" x14ac:dyDescent="0.25">
      <c r="B56" s="37"/>
      <c r="C56" s="36"/>
      <c r="D56" s="35"/>
      <c r="E56" s="134"/>
      <c r="F56" s="37"/>
      <c r="G56" s="36"/>
      <c r="H56" s="35"/>
      <c r="J56" s="21"/>
      <c r="K56" s="22"/>
      <c r="L56" s="23"/>
    </row>
    <row r="57" spans="2:13" ht="18.75" x14ac:dyDescent="0.3">
      <c r="B57" s="34" t="str">
        <f>IF($D$4&lt;&gt;"",IF(OR($D$2=Database!A18,$D$2=Database!A19),"Universal PCR",""),"")</f>
        <v>Universal PCR</v>
      </c>
      <c r="C57" s="36" t="str">
        <f>IF($D$4&lt;&gt;"",IF(OR($D$2=Database!A18,$D$2=Database!A19),"μL (Ind.)",""),"")</f>
        <v>μL (Ind.)</v>
      </c>
      <c r="D57" s="35" t="str">
        <f>IF($D$4&lt;&gt;"",IF(OR($D$2=Database!A18,$D$2=Database!A19),"μL (Mix)",""),"")</f>
        <v>μL (Mix)</v>
      </c>
      <c r="E57" s="133"/>
      <c r="F57" s="34" t="str">
        <f>IF($D$4&lt;&gt;"",IF(OR($D$2=Database!A18,$D$2=Database!A19),"Termo Ciclador",""),"")</f>
        <v>Termo Ciclador</v>
      </c>
      <c r="G57" s="34" t="str">
        <f>IF($D$4&lt;&gt;"",IF(OR($D$2=Database!A18,$D$2=Database!A19),"Ciclos de PCR",""),"")</f>
        <v>Ciclos de PCR</v>
      </c>
      <c r="H57" s="28"/>
      <c r="J57" s="8"/>
      <c r="K57" s="12" t="s">
        <v>1899</v>
      </c>
      <c r="L57" s="12" t="s">
        <v>1900</v>
      </c>
      <c r="M57" s="12" t="s">
        <v>1901</v>
      </c>
    </row>
    <row r="58" spans="2:13" ht="31.5" customHeight="1" x14ac:dyDescent="0.3">
      <c r="B58" s="37" t="str" cm="1">
        <f t="array" aca="1" ref="B58" ca="1">IF($D$4&lt;&gt;"",IF(OR($D$2=Database!A18,$D$2=Database!A19),INDIRECT("'Database'!B"&amp;MATCH($D$2,Database!B1:B1000,0)+17),""),"")</f>
        <v>UPCR Buffer, 5X</v>
      </c>
      <c r="C58" s="36" cm="1">
        <f t="array" aca="1" ref="C58" ca="1">IF($D$4&lt;&gt;"",IF(OR($D$2=Database!A18,$D$2=Database!A19),INDIRECT("'Database'!C"&amp;MATCH($D$2,Database!B1:B1000,0)+17),""),"")</f>
        <v>10</v>
      </c>
      <c r="D58" s="35" cm="1">
        <f t="array" aca="1" ref="D58" ca="1">IF($D$4&lt;&gt;"",IF(OR($D$2=Database!A18,$D$2=Database!A19),INDIRECT("'Database'!C"&amp;MATCH($D$2,Database!B1:B1000,0)+17)*(($D$4+LOOKUP(2,1/(Database!A29:A33&lt;=$D$4)/(Database!B29:B33&gt;=$D$4),Database!$C$29:$C$33))),""),"")</f>
        <v>170</v>
      </c>
      <c r="E58" s="133"/>
      <c r="F58" s="37" t="str" cm="1">
        <f t="array" aca="1" ref="F58:F59" ca="1">IF(OR($D$2=Database!A18,$D$2=Database!A19),_xlfn.IFNA(VLOOKUP(_xlfn.UNIQUE(F8:INDIRECT("F"&amp;(D4+7)),FALSE,FALSE),Database!A5:D11,1,FALSE),""),"")</f>
        <v>MAMA_gDNA</v>
      </c>
      <c r="G58" s="37" cm="1">
        <f t="array" aca="1" ref="G58:G59" ca="1">IF(OR($D$2=Database!A18,$D$2=Database!A19),_xlfn.IFNA(VLOOKUP(_xlfn.UNIQUE(F8:INDIRECT("F"&amp;(D4+7)),FALSE,FALSE),Database!A5:D11,4,FALSE),""),"")</f>
        <v>27</v>
      </c>
      <c r="H58" s="27"/>
      <c r="I58" s="5"/>
      <c r="J58" s="7" t="s">
        <v>79</v>
      </c>
      <c r="K58" s="14" t="str">
        <f t="shared" ref="K58:M65" si="1">_xlfn.IFNA(VLOOKUP(_xlfn.CONCAT($J58,K$57),$C$8:$D$31,2,FALSE)&amp;CHAR(10)&amp;VLOOKUP(_xlfn.CONCAT($J58,K$57),$C$8:$E$31,3,FALSE),"-")</f>
        <v xml:space="preserve">POOL-1
</v>
      </c>
      <c r="L58" s="14" t="str">
        <f t="shared" si="1"/>
        <v xml:space="preserve">POOL-9
</v>
      </c>
      <c r="M58" s="14" t="str">
        <f t="shared" si="1"/>
        <v>-</v>
      </c>
    </row>
    <row r="59" spans="2:13" ht="31.5" customHeight="1" x14ac:dyDescent="0.3">
      <c r="B59" s="37" t="str" cm="1">
        <f t="array" aca="1" ref="B59" ca="1">IF($D$4&lt;&gt;"",IF(OR($D$2=Database!A18,$D$2=Database!A19),INDIRECT("'Database'!B"&amp;MATCH($D$2,Database!B1:B1000,0)+18),""),"")</f>
        <v>UDI Index Plate (A, B, C or D)</v>
      </c>
      <c r="C59" s="36" cm="1">
        <f t="array" aca="1" ref="C59" ca="1">IF($D$4&lt;&gt;"",IF(OR($D$2=Database!A18,$D$2=Database!A19),INDIRECT("'Database'!C"&amp;MATCH($D$2,Database!B1:B1000,0)+18),""),"")</f>
        <v>2.5</v>
      </c>
      <c r="D59" s="35" t="str">
        <f>IF($D$4&lt;&gt;"",IF(OR($D$2=Database!A18,$D$2=Database!A19),"-",""),"")</f>
        <v>-</v>
      </c>
      <c r="E59" s="133"/>
      <c r="F59" s="37" t="str">
        <f ca="1"/>
        <v/>
      </c>
      <c r="G59" s="37" t="str">
        <f ca="1"/>
        <v/>
      </c>
      <c r="H59" s="27"/>
      <c r="J59" s="7" t="s">
        <v>152</v>
      </c>
      <c r="K59" s="14" t="str">
        <f t="shared" si="1"/>
        <v xml:space="preserve">POOL-2
</v>
      </c>
      <c r="L59" s="14" t="str">
        <f t="shared" si="1"/>
        <v xml:space="preserve">POOL-10
</v>
      </c>
      <c r="M59" s="14" t="str">
        <f t="shared" si="1"/>
        <v>-</v>
      </c>
    </row>
    <row r="60" spans="2:13" ht="29.25" customHeight="1" x14ac:dyDescent="0.3">
      <c r="B60" s="37" t="str" cm="1">
        <f t="array" aca="1" ref="B60" ca="1">IF($D$4&lt;&gt;"",IF(OR($D$2=Database!A18,$D$2=Database!A19),INDIRECT("'Database'!B"&amp;MATCH($D$2,Database!B1:B1000,0)+19),""),"")</f>
        <v>QN Taq Polymerase</v>
      </c>
      <c r="C60" s="36" cm="1">
        <f t="array" aca="1" ref="C60" ca="1">IF($D$4&lt;&gt;"",IF(OR($D$2=Database!A18,$D$2=Database!A19),INDIRECT("'Database'!C"&amp;MATCH($D$2,Database!B1:B1000,0)+19),""),"")</f>
        <v>2.4</v>
      </c>
      <c r="D60" s="35" cm="1">
        <f t="array" aca="1" ref="D60" ca="1">IF($D$4&lt;&gt;"",IF(OR($D$2=Database!A18,$D$2=Database!A19),INDIRECT("'Database'!C"&amp;MATCH($D$2,Database!B1:B1000,0)+19)*(($D$4+LOOKUP(2,1/(Database!A29:A33&lt;=$D$4)/(Database!B29:B33&gt;=$D$4),Database!$C$29:$C$33))),""),"")</f>
        <v>40.799999999999997</v>
      </c>
      <c r="E60" s="133"/>
      <c r="F60" s="37"/>
      <c r="G60" s="37"/>
      <c r="H60" s="27"/>
      <c r="J60" s="7" t="s">
        <v>156</v>
      </c>
      <c r="K60" s="14" t="str">
        <f t="shared" si="1"/>
        <v xml:space="preserve">POOL-3
</v>
      </c>
      <c r="L60" s="14" t="str">
        <f t="shared" si="1"/>
        <v xml:space="preserve">POOL-11
</v>
      </c>
      <c r="M60" s="14" t="str">
        <f t="shared" si="1"/>
        <v>-</v>
      </c>
    </row>
    <row r="61" spans="2:13" ht="31.5" customHeight="1" x14ac:dyDescent="0.3">
      <c r="B61" s="37" t="str" cm="1">
        <f t="array" aca="1" ref="B61" ca="1">IF($D$4&lt;&gt;"",IF(OR($D$2=Database!A18,$D$2=Database!A19),INDIRECT("'Database'!B"&amp;MATCH($D$2,Database!B1:B1000,0)+20),""),"")</f>
        <v>Nuclease-free water</v>
      </c>
      <c r="C61" s="36" cm="1">
        <f t="array" aca="1" ref="C61" ca="1">IF($D$4&lt;&gt;"",IF(OR($D$2=Database!A18,$D$2=Database!A19),INDIRECT("'Database'!C"&amp;MATCH($D$2,Database!B1:B1000,0)+20),""),"")</f>
        <v>22.6</v>
      </c>
      <c r="D61" s="35" cm="1">
        <f t="array" aca="1" ref="D61" ca="1">IF($D$4&lt;&gt;"",IF(OR($D$2=Database!A18,$D$2=Database!A19),INDIRECT("'Database'!C"&amp;MATCH($D$2,Database!B1:B1000,0)+20)*(($D$4+LOOKUP(2,1/(Database!A29:A33&lt;=$D$4)/(Database!B29:B33&gt;=$D$4),Database!$C$29:$C$33))),""),"")</f>
        <v>384.20000000000005</v>
      </c>
      <c r="E61" s="133"/>
      <c r="F61" s="37"/>
      <c r="G61" s="28"/>
      <c r="H61" s="27"/>
      <c r="J61" s="7" t="s">
        <v>160</v>
      </c>
      <c r="K61" s="14" t="str">
        <f t="shared" si="1"/>
        <v xml:space="preserve">POOL-4
</v>
      </c>
      <c r="L61" s="14" t="str">
        <f t="shared" si="1"/>
        <v xml:space="preserve">POOL-12
</v>
      </c>
      <c r="M61" s="14" t="str">
        <f t="shared" si="1"/>
        <v>-</v>
      </c>
    </row>
    <row r="62" spans="2:13" ht="31.5" customHeight="1" x14ac:dyDescent="0.3">
      <c r="B62" s="37" t="str">
        <f ca="1">IF(B61="Nuclease-free water","Total Mix (sem index)","")</f>
        <v>Total Mix (sem index)</v>
      </c>
      <c r="C62" s="36" t="str">
        <f ca="1">IF(B61="Nuclease-free water","-","")</f>
        <v>-</v>
      </c>
      <c r="D62" s="35">
        <f ca="1">IF(B61="Nuclease-free water",SUM(C58,C60:C61),"")</f>
        <v>35</v>
      </c>
      <c r="E62" s="133"/>
      <c r="F62" s="37"/>
      <c r="G62" s="28"/>
      <c r="H62" s="27"/>
      <c r="J62" s="7" t="s">
        <v>1902</v>
      </c>
      <c r="K62" s="14" t="str">
        <f t="shared" si="1"/>
        <v xml:space="preserve">POOL-5
</v>
      </c>
      <c r="L62" s="14" t="str">
        <f t="shared" si="1"/>
        <v xml:space="preserve">POOL-13
</v>
      </c>
      <c r="M62" s="14" t="str">
        <f t="shared" si="1"/>
        <v>-</v>
      </c>
    </row>
    <row r="63" spans="2:13" ht="31.5" customHeight="1" x14ac:dyDescent="0.3">
      <c r="E63" s="133"/>
      <c r="F63" s="38"/>
      <c r="G63" s="28"/>
      <c r="H63" s="27"/>
      <c r="J63" s="7" t="s">
        <v>1903</v>
      </c>
      <c r="K63" s="14" t="str">
        <f t="shared" si="1"/>
        <v xml:space="preserve">POOL-6
</v>
      </c>
      <c r="L63" s="14" t="str">
        <f t="shared" si="1"/>
        <v xml:space="preserve">POOL-14
</v>
      </c>
      <c r="M63" s="14" t="str">
        <f t="shared" si="1"/>
        <v>-</v>
      </c>
    </row>
    <row r="64" spans="2:13" ht="31.5" customHeight="1" x14ac:dyDescent="0.3">
      <c r="B64" s="34" t="str">
        <f>IF($D$4&lt;&gt;"",IF(OR($D$2=Database!A18,$D$2=Database!A19),"Clean UP",""),"")</f>
        <v>Clean UP</v>
      </c>
      <c r="C64" s="36" t="str">
        <f>IF($D$4&lt;&gt;"",IF(OR($D$2=Database!A18,$D$2=Database!A19),"μL (Ind.)",""),"")</f>
        <v>μL (Ind.)</v>
      </c>
      <c r="D64" s="35" t="str">
        <f>IF($D$4&lt;&gt;"",IF(OR($D$2=Database!A18,$D$2=Database!A19),"μL (Ind.)",""),"")</f>
        <v>μL (Ind.)</v>
      </c>
      <c r="E64" s="133"/>
      <c r="F64" s="38"/>
      <c r="G64" s="28"/>
      <c r="H64" s="27"/>
      <c r="J64" s="7" t="s">
        <v>1904</v>
      </c>
      <c r="K64" s="14" t="str">
        <f t="shared" si="1"/>
        <v xml:space="preserve">POOL-7
</v>
      </c>
      <c r="L64" s="14" t="str">
        <f t="shared" si="1"/>
        <v xml:space="preserve">POOL-15
</v>
      </c>
      <c r="M64" s="14" t="str">
        <f t="shared" si="1"/>
        <v>-</v>
      </c>
    </row>
    <row r="65" spans="1:13" ht="31.5" customHeight="1" x14ac:dyDescent="0.3">
      <c r="B65" s="37" t="str" cm="1">
        <f t="array" aca="1" ref="B65" ca="1">IF($D$4&lt;&gt;"",IF(OR($D$2=Database!A18,$D$2=Database!A19),INDIRECT("'Database'!B"&amp;MATCH($D$2,Database!B1:B1000,0)+21),""),"")</f>
        <v>QIAseq Beads</v>
      </c>
      <c r="C65" s="36" cm="1">
        <f t="array" aca="1" ref="C65" ca="1">IF($D$4&lt;&gt;"",IF(OR($D$2=Database!A18,$D$2=Database!A19),INDIRECT("'Database'!C"&amp;MATCH($D$2,Database!B1:B1000,0)+21),""),"")</f>
        <v>40</v>
      </c>
      <c r="D65" s="35" cm="1">
        <f t="array" aca="1" ref="D65" ca="1">IF($D$4&lt;&gt;"",IF(OR($D$2=Database!A18,$D$2=Database!A19),INDIRECT("'Database'!C"&amp;MATCH($D$2,Database!B1:B1000,0)+21),""),"")</f>
        <v>40</v>
      </c>
      <c r="E65" s="133"/>
      <c r="F65" s="38"/>
      <c r="G65" s="28"/>
      <c r="H65" s="27"/>
      <c r="J65" s="7" t="s">
        <v>1905</v>
      </c>
      <c r="K65" s="14" t="str">
        <f t="shared" si="1"/>
        <v xml:space="preserve">POOL-8
</v>
      </c>
      <c r="L65" s="14" t="str">
        <f t="shared" si="1"/>
        <v xml:space="preserve">POOL-16
</v>
      </c>
      <c r="M65" s="14" t="str">
        <f t="shared" si="1"/>
        <v>-</v>
      </c>
    </row>
    <row r="66" spans="1:13" ht="18.75" x14ac:dyDescent="0.25">
      <c r="B66" s="37" t="str" cm="1">
        <f t="array" aca="1" ref="B66" ca="1">IF($D$4&lt;&gt;"",IF(OR($D$2=Database!A18,$D$2=Database!A19),INDIRECT("'Database'!B"&amp;MATCH($D$2,Database!B1:B1000,0)+22),""),"")</f>
        <v>Nuclease-free water</v>
      </c>
      <c r="C66" s="36" cm="1">
        <f t="array" aca="1" ref="C66" ca="1">IF($D$4&lt;&gt;"",IF(OR($D$2=Database!A18,$D$2=Database!A19),INDIRECT("'Database'!C"&amp;MATCH($D$2,Database!B1:B1000,0)+22),""),"")</f>
        <v>50</v>
      </c>
      <c r="D66" s="35" cm="1">
        <f t="array" aca="1" ref="D66" ca="1">IF($D$4&lt;&gt;"",IF(OR($D$2=Database!A18,$D$2=Database!A19),INDIRECT("'Database'!C"&amp;MATCH($D$2,Database!B1:B1000,0)+22),""),"")</f>
        <v>50</v>
      </c>
      <c r="E66" s="134"/>
      <c r="F66" s="37"/>
      <c r="G66" s="36"/>
      <c r="H66" s="35"/>
      <c r="J66" s="21"/>
      <c r="K66" s="22"/>
      <c r="L66" s="23"/>
    </row>
    <row r="67" spans="1:13" ht="18.75" x14ac:dyDescent="0.25">
      <c r="B67" s="37" t="str" cm="1">
        <f t="array" aca="1" ref="B67" ca="1">IF($D$4&lt;&gt;"",IF(OR($D$2=Database!A18,$D$2=Database!A19),INDIRECT("'Database'!B"&amp;MATCH($D$2,Database!B1:B1000,0)+23),""),"")</f>
        <v>QIAseq Bead Binding Buffer</v>
      </c>
      <c r="C67" s="36" cm="1">
        <f t="array" aca="1" ref="C67" ca="1">IF($D$4&lt;&gt;"",IF(OR($D$2=Database!A18,$D$2=Database!A19),INDIRECT("'Database'!C"&amp;MATCH($D$2,Database!B1:B1000,0)+23),""),"")</f>
        <v>40</v>
      </c>
      <c r="D67" s="35" cm="1">
        <f t="array" aca="1" ref="D67" ca="1">IF($D$4&lt;&gt;"",IF(OR($D$2=Database!A18,$D$2=Database!A19),INDIRECT("'Database'!C"&amp;MATCH($D$2,Database!B1:B1000,0)+23),""),"")</f>
        <v>40</v>
      </c>
      <c r="E67" s="134"/>
      <c r="F67" s="37"/>
      <c r="G67" s="36"/>
      <c r="H67" s="35"/>
      <c r="J67" s="21"/>
      <c r="K67" s="22"/>
      <c r="L67" s="23"/>
    </row>
    <row r="68" spans="1:13" ht="18.75" x14ac:dyDescent="0.25">
      <c r="B68" s="37" t="str" cm="1">
        <f t="array" aca="1" ref="B68" ca="1">IF($D$4&lt;&gt;"",IF(OR($D$2=Database!A18,$D$2=Database!A19),INDIRECT("'Database'!B"&amp;MATCH($D$2,Database!B1:B1000,0)+24),""),"")</f>
        <v>2x Etanol 80%</v>
      </c>
      <c r="C68" s="36" cm="1">
        <f t="array" aca="1" ref="C68" ca="1">IF($D$4&lt;&gt;"",IF(OR($D$2=Database!A18,$D$2=Database!A19),INDIRECT("'Database'!C"&amp;MATCH($D$2,Database!B1:B1000,0)+24),""),"")</f>
        <v>200</v>
      </c>
      <c r="D68" s="35" cm="1">
        <f t="array" aca="1" ref="D68" ca="1">IF($D$4&lt;&gt;"",IF(OR($D$2=Database!A18,$D$2=Database!A19),INDIRECT("'Database'!C"&amp;MATCH($D$2,Database!B1:B1000,0)+24),""),"")</f>
        <v>200</v>
      </c>
      <c r="E68" s="134"/>
      <c r="F68" s="37"/>
      <c r="G68" s="36"/>
      <c r="H68" s="35"/>
      <c r="J68" s="21"/>
      <c r="K68" s="22"/>
      <c r="L68" s="23"/>
    </row>
    <row r="69" spans="1:13" ht="12.75" customHeight="1" x14ac:dyDescent="0.25">
      <c r="B69" s="37"/>
      <c r="C69" s="36"/>
      <c r="D69" s="35"/>
      <c r="E69" s="134"/>
      <c r="F69" s="37"/>
      <c r="G69" s="36"/>
      <c r="H69" s="35"/>
      <c r="J69" s="21"/>
      <c r="K69" s="22"/>
      <c r="L69" s="23"/>
    </row>
    <row r="70" spans="1:13" x14ac:dyDescent="0.25">
      <c r="B70" s="12" t="s">
        <v>1899</v>
      </c>
      <c r="C70" s="12" t="s">
        <v>1900</v>
      </c>
      <c r="D70" s="12" t="s">
        <v>1901</v>
      </c>
      <c r="E70" s="135" t="s">
        <v>1906</v>
      </c>
      <c r="F70" s="12" t="s">
        <v>1907</v>
      </c>
      <c r="G70" s="12" t="s">
        <v>1908</v>
      </c>
      <c r="H70" s="12" t="s">
        <v>1909</v>
      </c>
      <c r="I70" s="12" t="s">
        <v>1910</v>
      </c>
      <c r="J70" s="12" t="s">
        <v>1911</v>
      </c>
      <c r="K70" s="12" t="s">
        <v>1912</v>
      </c>
      <c r="L70" s="12" t="s">
        <v>1913</v>
      </c>
      <c r="M70" s="12" t="s">
        <v>1914</v>
      </c>
    </row>
    <row r="71" spans="1:13" ht="18.75" customHeight="1" x14ac:dyDescent="0.25">
      <c r="A71" s="7" t="s">
        <v>79</v>
      </c>
      <c r="B71" s="14" t="str">
        <f>_xlfn.IFNA(VLOOKUP(_xlfn.CONCAT($A71,B$70),CHOOSE({1,2},$L$8:$L$31,$D$8:$D$31),2,FALSE),"-")</f>
        <v>-</v>
      </c>
      <c r="C71" s="14" t="str">
        <f>_xlfn.IFNA(VLOOKUP(_xlfn.CONCAT($A71,C$70),CHOOSE({1,2},$L$8:$L$31,$D$8:$D$31),2,FALSE),"-")</f>
        <v>-</v>
      </c>
      <c r="D71" s="14" t="str">
        <f>_xlfn.IFNA(VLOOKUP(_xlfn.CONCAT($A71,D$70),CHOOSE({1,2},$L$8:$L$31,$D$8:$D$31),2,FALSE),"-")</f>
        <v>-</v>
      </c>
      <c r="E71" s="14" t="str">
        <f>_xlfn.IFNA(VLOOKUP(_xlfn.CONCAT($A71,E$70),CHOOSE({1,2},$L$8:$L$31,$D$8:$D$31),2,FALSE),"-")</f>
        <v>-</v>
      </c>
      <c r="F71" s="14" t="str">
        <f>_xlfn.IFNA(VLOOKUP(_xlfn.CONCAT($A71,F$70),CHOOSE({1,2},$L$8:$L$31,$D$8:$D$31),2,FALSE),"-")</f>
        <v>-</v>
      </c>
      <c r="G71" s="14" t="str">
        <f>_xlfn.IFNA(VLOOKUP(_xlfn.CONCAT($A71,G$70),CHOOSE({1,2},$L$8:$L$31,$D$8:$D$31),2,FALSE),"-")</f>
        <v>-</v>
      </c>
      <c r="H71" s="14" t="str">
        <f>_xlfn.IFNA(VLOOKUP(_xlfn.CONCAT($A71,H$70),CHOOSE({1,2},$L$8:$L$31,$D$8:$D$31),2,FALSE),"-")</f>
        <v>-</v>
      </c>
      <c r="I71" s="14" t="str">
        <f>_xlfn.IFNA(VLOOKUP(_xlfn.CONCAT($A71,I$70),CHOOSE({1,2},$L$8:$L$31,$D$8:$D$31),2,FALSE),"-")</f>
        <v>-</v>
      </c>
      <c r="J71" s="14" t="str">
        <f>_xlfn.IFNA(VLOOKUP(_xlfn.CONCAT($A71,J$70),CHOOSE({1,2},$L$8:$L$31,$D$8:$D$31),2,FALSE),"-")</f>
        <v>-</v>
      </c>
      <c r="K71" s="14" t="str">
        <f>_xlfn.IFNA(VLOOKUP(_xlfn.CONCAT($A71,K$70),CHOOSE({1,2},$L$8:$L$31,$D$8:$D$31),2,FALSE),"-")</f>
        <v>-</v>
      </c>
      <c r="L71" s="14" t="str">
        <f>_xlfn.IFNA(VLOOKUP(_xlfn.CONCAT($A71,L$70),CHOOSE({1,2},$L$8:$L$31,$D$8:$D$31),2,FALSE),"-")</f>
        <v>-</v>
      </c>
      <c r="M71" s="14" t="str">
        <f>_xlfn.IFNA(VLOOKUP(_xlfn.CONCAT($A71,M$70),CHOOSE({1,2},$L$8:$L$31,$D$8:$D$31),2,FALSE),"-")</f>
        <v>-</v>
      </c>
    </row>
    <row r="72" spans="1:13" ht="18.75" customHeight="1" x14ac:dyDescent="0.25">
      <c r="A72" s="7" t="s">
        <v>152</v>
      </c>
      <c r="B72" s="14" t="str">
        <f>_xlfn.IFNA(VLOOKUP(_xlfn.CONCAT($A72,B$70),CHOOSE({1,2},$L$8:$L$31,$D$8:$D$31),2,FALSE),"-")</f>
        <v>-</v>
      </c>
      <c r="C72" s="14" t="str">
        <f>_xlfn.IFNA(VLOOKUP(_xlfn.CONCAT($A72,C$70),CHOOSE({1,2},$L$8:$L$31,$D$8:$D$31),2,FALSE),"-")</f>
        <v>-</v>
      </c>
      <c r="D72" s="14" t="str">
        <f>_xlfn.IFNA(VLOOKUP(_xlfn.CONCAT($A72,D$70),CHOOSE({1,2},$L$8:$L$31,$D$8:$D$31),2,FALSE),"-")</f>
        <v>-</v>
      </c>
      <c r="E72" s="14" t="str">
        <f>_xlfn.IFNA(VLOOKUP(_xlfn.CONCAT($A72,E$70),CHOOSE({1,2},$L$8:$L$31,$D$8:$D$31),2,FALSE),"-")</f>
        <v>-</v>
      </c>
      <c r="F72" s="14" t="str">
        <f>_xlfn.IFNA(VLOOKUP(_xlfn.CONCAT($A72,F$70),CHOOSE({1,2},$L$8:$L$31,$D$8:$D$31),2,FALSE),"-")</f>
        <v>-</v>
      </c>
      <c r="G72" s="14" t="str">
        <f>_xlfn.IFNA(VLOOKUP(_xlfn.CONCAT($A72,G$70),CHOOSE({1,2},$L$8:$L$31,$D$8:$D$31),2,FALSE),"-")</f>
        <v>-</v>
      </c>
      <c r="H72" s="14" t="str">
        <f>_xlfn.IFNA(VLOOKUP(_xlfn.CONCAT($A72,H$70),CHOOSE({1,2},$L$8:$L$31,$D$8:$D$31),2,FALSE),"-")</f>
        <v>-</v>
      </c>
      <c r="I72" s="14" t="str">
        <f>_xlfn.IFNA(VLOOKUP(_xlfn.CONCAT($A72,I$70),CHOOSE({1,2},$L$8:$L$31,$D$8:$D$31),2,FALSE),"-")</f>
        <v>-</v>
      </c>
      <c r="J72" s="14" t="str">
        <f>_xlfn.IFNA(VLOOKUP(_xlfn.CONCAT($A72,J$70),CHOOSE({1,2},$L$8:$L$31,$D$8:$D$31),2,FALSE),"-")</f>
        <v>-</v>
      </c>
      <c r="K72" s="14" t="str">
        <f>_xlfn.IFNA(VLOOKUP(_xlfn.CONCAT($A72,K$70),CHOOSE({1,2},$L$8:$L$31,$D$8:$D$31),2,FALSE),"-")</f>
        <v>-</v>
      </c>
      <c r="L72" s="14" t="str">
        <f>_xlfn.IFNA(VLOOKUP(_xlfn.CONCAT($A72,L$70),CHOOSE({1,2},$L$8:$L$31,$D$8:$D$31),2,FALSE),"-")</f>
        <v>-</v>
      </c>
      <c r="M72" s="14" t="str">
        <f>_xlfn.IFNA(VLOOKUP(_xlfn.CONCAT($A72,M$70),CHOOSE({1,2},$L$8:$L$31,$D$8:$D$31),2,FALSE),"-")</f>
        <v>-</v>
      </c>
    </row>
    <row r="73" spans="1:13" ht="18.75" customHeight="1" x14ac:dyDescent="0.25">
      <c r="A73" s="7" t="s">
        <v>156</v>
      </c>
      <c r="B73" s="14" t="str">
        <f>_xlfn.IFNA(VLOOKUP(_xlfn.CONCAT($A73,B$70),CHOOSE({1,2},$L$8:$L$31,$D$8:$D$31),2,FALSE),"-")</f>
        <v>-</v>
      </c>
      <c r="C73" s="14" t="str">
        <f>_xlfn.IFNA(VLOOKUP(_xlfn.CONCAT($A73,C$70),CHOOSE({1,2},$L$8:$L$31,$D$8:$D$31),2,FALSE),"-")</f>
        <v>-</v>
      </c>
      <c r="D73" s="14" t="str">
        <f>_xlfn.IFNA(VLOOKUP(_xlfn.CONCAT($A73,D$70),CHOOSE({1,2},$L$8:$L$31,$D$8:$D$31),2,FALSE),"-")</f>
        <v>-</v>
      </c>
      <c r="E73" s="14" t="str">
        <f>_xlfn.IFNA(VLOOKUP(_xlfn.CONCAT($A73,E$70),CHOOSE({1,2},$L$8:$L$31,$D$8:$D$31),2,FALSE),"-")</f>
        <v>-</v>
      </c>
      <c r="F73" s="14" t="str">
        <f>_xlfn.IFNA(VLOOKUP(_xlfn.CONCAT($A73,F$70),CHOOSE({1,2},$L$8:$L$31,$D$8:$D$31),2,FALSE),"-")</f>
        <v>-</v>
      </c>
      <c r="G73" s="14" t="str">
        <f>_xlfn.IFNA(VLOOKUP(_xlfn.CONCAT($A73,G$70),CHOOSE({1,2},$L$8:$L$31,$D$8:$D$31),2,FALSE),"-")</f>
        <v>-</v>
      </c>
      <c r="H73" s="14" t="str">
        <f>_xlfn.IFNA(VLOOKUP(_xlfn.CONCAT($A73,H$70),CHOOSE({1,2},$L$8:$L$31,$D$8:$D$31),2,FALSE),"-")</f>
        <v>-</v>
      </c>
      <c r="I73" s="14" t="str">
        <f>_xlfn.IFNA(VLOOKUP(_xlfn.CONCAT($A73,I$70),CHOOSE({1,2},$L$8:$L$31,$D$8:$D$31),2,FALSE),"-")</f>
        <v>-</v>
      </c>
      <c r="J73" s="14" t="str">
        <f>_xlfn.IFNA(VLOOKUP(_xlfn.CONCAT($A73,J$70),CHOOSE({1,2},$L$8:$L$31,$D$8:$D$31),2,FALSE),"-")</f>
        <v>-</v>
      </c>
      <c r="K73" s="14" t="str">
        <f>_xlfn.IFNA(VLOOKUP(_xlfn.CONCAT($A73,K$70),CHOOSE({1,2},$L$8:$L$31,$D$8:$D$31),2,FALSE),"-")</f>
        <v>-</v>
      </c>
      <c r="L73" s="14" t="str">
        <f>_xlfn.IFNA(VLOOKUP(_xlfn.CONCAT($A73,L$70),CHOOSE({1,2},$L$8:$L$31,$D$8:$D$31),2,FALSE),"-")</f>
        <v>-</v>
      </c>
      <c r="M73" s="14" t="str">
        <f>_xlfn.IFNA(VLOOKUP(_xlfn.CONCAT($A73,M$70),CHOOSE({1,2},$L$8:$L$31,$D$8:$D$31),2,FALSE),"-")</f>
        <v>-</v>
      </c>
    </row>
    <row r="74" spans="1:13" ht="18.75" customHeight="1" x14ac:dyDescent="0.25">
      <c r="A74" s="7" t="s">
        <v>160</v>
      </c>
      <c r="B74" s="14" t="str">
        <f>_xlfn.IFNA(VLOOKUP(_xlfn.CONCAT($A74,B$70),CHOOSE({1,2},$L$8:$L$31,$D$8:$D$31),2,FALSE),"-")</f>
        <v>-</v>
      </c>
      <c r="C74" s="14" t="str">
        <f>_xlfn.IFNA(VLOOKUP(_xlfn.CONCAT($A74,C$70),CHOOSE({1,2},$L$8:$L$31,$D$8:$D$31),2,FALSE),"-")</f>
        <v>-</v>
      </c>
      <c r="D74" s="14" t="str">
        <f>_xlfn.IFNA(VLOOKUP(_xlfn.CONCAT($A74,D$70),CHOOSE({1,2},$L$8:$L$31,$D$8:$D$31),2,FALSE),"-")</f>
        <v>-</v>
      </c>
      <c r="E74" s="14" t="str">
        <f>_xlfn.IFNA(VLOOKUP(_xlfn.CONCAT($A74,E$70),CHOOSE({1,2},$L$8:$L$31,$D$8:$D$31),2,FALSE),"-")</f>
        <v>-</v>
      </c>
      <c r="F74" s="14" t="str">
        <f>_xlfn.IFNA(VLOOKUP(_xlfn.CONCAT($A74,F$70),CHOOSE({1,2},$L$8:$L$31,$D$8:$D$31),2,FALSE),"-")</f>
        <v>-</v>
      </c>
      <c r="G74" s="14" t="str">
        <f>_xlfn.IFNA(VLOOKUP(_xlfn.CONCAT($A74,G$70),CHOOSE({1,2},$L$8:$L$31,$D$8:$D$31),2,FALSE),"-")</f>
        <v>-</v>
      </c>
      <c r="H74" s="14" t="str">
        <f>_xlfn.IFNA(VLOOKUP(_xlfn.CONCAT($A74,H$70),CHOOSE({1,2},$L$8:$L$31,$D$8:$D$31),2,FALSE),"-")</f>
        <v>-</v>
      </c>
      <c r="I74" s="14" t="str">
        <f>_xlfn.IFNA(VLOOKUP(_xlfn.CONCAT($A74,I$70),CHOOSE({1,2},$L$8:$L$31,$D$8:$D$31),2,FALSE),"-")</f>
        <v>-</v>
      </c>
      <c r="J74" s="14" t="str">
        <f>_xlfn.IFNA(VLOOKUP(_xlfn.CONCAT($A74,J$70),CHOOSE({1,2},$L$8:$L$31,$D$8:$D$31),2,FALSE),"-")</f>
        <v>-</v>
      </c>
      <c r="K74" s="14" t="str">
        <f>_xlfn.IFNA(VLOOKUP(_xlfn.CONCAT($A74,K$70),CHOOSE({1,2},$L$8:$L$31,$D$8:$D$31),2,FALSE),"-")</f>
        <v>-</v>
      </c>
      <c r="L74" s="14" t="str">
        <f>_xlfn.IFNA(VLOOKUP(_xlfn.CONCAT($A74,L$70),CHOOSE({1,2},$L$8:$L$31,$D$8:$D$31),2,FALSE),"-")</f>
        <v>-</v>
      </c>
      <c r="M74" s="14" t="str">
        <f>_xlfn.IFNA(VLOOKUP(_xlfn.CONCAT($A74,M$70),CHOOSE({1,2},$L$8:$L$31,$D$8:$D$31),2,FALSE),"-")</f>
        <v>-</v>
      </c>
    </row>
    <row r="75" spans="1:13" ht="18.75" customHeight="1" x14ac:dyDescent="0.25">
      <c r="A75" s="7" t="s">
        <v>1902</v>
      </c>
      <c r="B75" s="14" t="str">
        <f>_xlfn.IFNA(VLOOKUP(_xlfn.CONCAT($A75,B$70),CHOOSE({1,2},$L$8:$L$31,$D$8:$D$31),2,FALSE),"-")</f>
        <v>-</v>
      </c>
      <c r="C75" s="14" t="str">
        <f>_xlfn.IFNA(VLOOKUP(_xlfn.CONCAT($A75,C$70),CHOOSE({1,2},$L$8:$L$31,$D$8:$D$31),2,FALSE),"-")</f>
        <v>-</v>
      </c>
      <c r="D75" s="14" t="str">
        <f>_xlfn.IFNA(VLOOKUP(_xlfn.CONCAT($A75,D$70),CHOOSE({1,2},$L$8:$L$31,$D$8:$D$31),2,FALSE),"-")</f>
        <v>-</v>
      </c>
      <c r="E75" s="14" t="str">
        <f>_xlfn.IFNA(VLOOKUP(_xlfn.CONCAT($A75,E$70),CHOOSE({1,2},$L$8:$L$31,$D$8:$D$31),2,FALSE),"-")</f>
        <v>-</v>
      </c>
      <c r="F75" s="14" t="str">
        <f>_xlfn.IFNA(VLOOKUP(_xlfn.CONCAT($A75,F$70),CHOOSE({1,2},$L$8:$L$31,$D$8:$D$31),2,FALSE),"-")</f>
        <v>-</v>
      </c>
      <c r="G75" s="14" t="str">
        <f>_xlfn.IFNA(VLOOKUP(_xlfn.CONCAT($A75,G$70),CHOOSE({1,2},$L$8:$L$31,$D$8:$D$31),2,FALSE),"-")</f>
        <v>-</v>
      </c>
      <c r="H75" s="14" t="str">
        <f>_xlfn.IFNA(VLOOKUP(_xlfn.CONCAT($A75,H$70),CHOOSE({1,2},$L$8:$L$31,$D$8:$D$31),2,FALSE),"-")</f>
        <v>-</v>
      </c>
      <c r="I75" s="14" t="str">
        <f>_xlfn.IFNA(VLOOKUP(_xlfn.CONCAT($A75,I$70),CHOOSE({1,2},$L$8:$L$31,$D$8:$D$31),2,FALSE),"-")</f>
        <v>-</v>
      </c>
      <c r="J75" s="14" t="str">
        <f>_xlfn.IFNA(VLOOKUP(_xlfn.CONCAT($A75,J$70),CHOOSE({1,2},$L$8:$L$31,$D$8:$D$31),2,FALSE),"-")</f>
        <v>-</v>
      </c>
      <c r="K75" s="14" t="str">
        <f>_xlfn.IFNA(VLOOKUP(_xlfn.CONCAT($A75,K$70),CHOOSE({1,2},$L$8:$L$31,$D$8:$D$31),2,FALSE),"-")</f>
        <v>-</v>
      </c>
      <c r="L75" s="14" t="str">
        <f>_xlfn.IFNA(VLOOKUP(_xlfn.CONCAT($A75,L$70),CHOOSE({1,2},$L$8:$L$31,$D$8:$D$31),2,FALSE),"-")</f>
        <v>-</v>
      </c>
      <c r="M75" s="14" t="str">
        <f>_xlfn.IFNA(VLOOKUP(_xlfn.CONCAT($A75,M$70),CHOOSE({1,2},$L$8:$L$31,$D$8:$D$31),2,FALSE),"-")</f>
        <v>-</v>
      </c>
    </row>
    <row r="76" spans="1:13" ht="18.75" customHeight="1" x14ac:dyDescent="0.25">
      <c r="A76" s="7" t="s">
        <v>1903</v>
      </c>
      <c r="B76" s="14" t="str">
        <f>_xlfn.IFNA(VLOOKUP(_xlfn.CONCAT($A76,B$70),CHOOSE({1,2},$L$8:$L$31,$D$8:$D$31),2,FALSE),"-")</f>
        <v>-</v>
      </c>
      <c r="C76" s="14" t="str">
        <f>_xlfn.IFNA(VLOOKUP(_xlfn.CONCAT($A76,C$70),CHOOSE({1,2},$L$8:$L$31,$D$8:$D$31),2,FALSE),"-")</f>
        <v>-</v>
      </c>
      <c r="D76" s="14" t="str">
        <f>_xlfn.IFNA(VLOOKUP(_xlfn.CONCAT($A76,D$70),CHOOSE({1,2},$L$8:$L$31,$D$8:$D$31),2,FALSE),"-")</f>
        <v>-</v>
      </c>
      <c r="E76" s="14" t="str">
        <f>_xlfn.IFNA(VLOOKUP(_xlfn.CONCAT($A76,E$70),CHOOSE({1,2},$L$8:$L$31,$D$8:$D$31),2,FALSE),"-")</f>
        <v>-</v>
      </c>
      <c r="F76" s="14" t="str">
        <f>_xlfn.IFNA(VLOOKUP(_xlfn.CONCAT($A76,F$70),CHOOSE({1,2},$L$8:$L$31,$D$8:$D$31),2,FALSE),"-")</f>
        <v>-</v>
      </c>
      <c r="G76" s="14" t="str">
        <f>_xlfn.IFNA(VLOOKUP(_xlfn.CONCAT($A76,G$70),CHOOSE({1,2},$L$8:$L$31,$D$8:$D$31),2,FALSE),"-")</f>
        <v>-</v>
      </c>
      <c r="H76" s="14" t="str">
        <f>_xlfn.IFNA(VLOOKUP(_xlfn.CONCAT($A76,H$70),CHOOSE({1,2},$L$8:$L$31,$D$8:$D$31),2,FALSE),"-")</f>
        <v>-</v>
      </c>
      <c r="I76" s="14" t="str">
        <f>_xlfn.IFNA(VLOOKUP(_xlfn.CONCAT($A76,I$70),CHOOSE({1,2},$L$8:$L$31,$D$8:$D$31),2,FALSE),"-")</f>
        <v>-</v>
      </c>
      <c r="J76" s="14" t="str">
        <f>_xlfn.IFNA(VLOOKUP(_xlfn.CONCAT($A76,J$70),CHOOSE({1,2},$L$8:$L$31,$D$8:$D$31),2,FALSE),"-")</f>
        <v>-</v>
      </c>
      <c r="K76" s="14" t="str">
        <f>_xlfn.IFNA(VLOOKUP(_xlfn.CONCAT($A76,K$70),CHOOSE({1,2},$L$8:$L$31,$D$8:$D$31),2,FALSE),"-")</f>
        <v>-</v>
      </c>
      <c r="L76" s="14" t="str">
        <f>_xlfn.IFNA(VLOOKUP(_xlfn.CONCAT($A76,L$70),CHOOSE({1,2},$L$8:$L$31,$D$8:$D$31),2,FALSE),"-")</f>
        <v>-</v>
      </c>
      <c r="M76" s="14" t="str">
        <f>_xlfn.IFNA(VLOOKUP(_xlfn.CONCAT($A76,M$70),CHOOSE({1,2},$L$8:$L$31,$D$8:$D$31),2,FALSE),"-")</f>
        <v>-</v>
      </c>
    </row>
    <row r="77" spans="1:13" ht="18.75" customHeight="1" x14ac:dyDescent="0.25">
      <c r="A77" s="7" t="s">
        <v>1904</v>
      </c>
      <c r="B77" s="14" t="str">
        <f>_xlfn.IFNA(VLOOKUP(_xlfn.CONCAT($A77,B$70),CHOOSE({1,2},$L$8:$L$31,$D$8:$D$31),2,FALSE),"-")</f>
        <v>-</v>
      </c>
      <c r="C77" s="14" t="str">
        <f>_xlfn.IFNA(VLOOKUP(_xlfn.CONCAT($A77,C$70),CHOOSE({1,2},$L$8:$L$31,$D$8:$D$31),2,FALSE),"-")</f>
        <v>-</v>
      </c>
      <c r="D77" s="14" t="str">
        <f>_xlfn.IFNA(VLOOKUP(_xlfn.CONCAT($A77,D$70),CHOOSE({1,2},$L$8:$L$31,$D$8:$D$31),2,FALSE),"-")</f>
        <v>-</v>
      </c>
      <c r="E77" s="14" t="str">
        <f>_xlfn.IFNA(VLOOKUP(_xlfn.CONCAT($A77,E$70),CHOOSE({1,2},$L$8:$L$31,$D$8:$D$31),2,FALSE),"-")</f>
        <v>-</v>
      </c>
      <c r="F77" s="14" t="str">
        <f>_xlfn.IFNA(VLOOKUP(_xlfn.CONCAT($A77,F$70),CHOOSE({1,2},$L$8:$L$31,$D$8:$D$31),2,FALSE),"-")</f>
        <v>-</v>
      </c>
      <c r="G77" s="14" t="str">
        <f>_xlfn.IFNA(VLOOKUP(_xlfn.CONCAT($A77,G$70),CHOOSE({1,2},$L$8:$L$31,$D$8:$D$31),2,FALSE),"-")</f>
        <v>-</v>
      </c>
      <c r="H77" s="14" t="str">
        <f>_xlfn.IFNA(VLOOKUP(_xlfn.CONCAT($A77,H$70),CHOOSE({1,2},$L$8:$L$31,$D$8:$D$31),2,FALSE),"-")</f>
        <v>-</v>
      </c>
      <c r="I77" s="14" t="str">
        <f>_xlfn.IFNA(VLOOKUP(_xlfn.CONCAT($A77,I$70),CHOOSE({1,2},$L$8:$L$31,$D$8:$D$31),2,FALSE),"-")</f>
        <v>-</v>
      </c>
      <c r="J77" s="14" t="str">
        <f>_xlfn.IFNA(VLOOKUP(_xlfn.CONCAT($A77,J$70),CHOOSE({1,2},$L$8:$L$31,$D$8:$D$31),2,FALSE),"-")</f>
        <v>-</v>
      </c>
      <c r="K77" s="14" t="str">
        <f>_xlfn.IFNA(VLOOKUP(_xlfn.CONCAT($A77,K$70),CHOOSE({1,2},$L$8:$L$31,$D$8:$D$31),2,FALSE),"-")</f>
        <v>-</v>
      </c>
      <c r="L77" s="14" t="str">
        <f>_xlfn.IFNA(VLOOKUP(_xlfn.CONCAT($A77,L$70),CHOOSE({1,2},$L$8:$L$31,$D$8:$D$31),2,FALSE),"-")</f>
        <v>-</v>
      </c>
      <c r="M77" s="14" t="str">
        <f>_xlfn.IFNA(VLOOKUP(_xlfn.CONCAT($A77,M$70),CHOOSE({1,2},$L$8:$L$31,$D$8:$D$31),2,FALSE),"-")</f>
        <v>-</v>
      </c>
    </row>
    <row r="78" spans="1:13" ht="18.75" customHeight="1" x14ac:dyDescent="0.25">
      <c r="A78" s="7" t="s">
        <v>1905</v>
      </c>
      <c r="B78" s="14" t="str">
        <f>_xlfn.IFNA(VLOOKUP(_xlfn.CONCAT($A78,B$70),CHOOSE({1,2},$L$8:$L$31,$D$8:$D$31),2,FALSE),"-")</f>
        <v>-</v>
      </c>
      <c r="C78" s="14" t="str">
        <f>_xlfn.IFNA(VLOOKUP(_xlfn.CONCAT($A78,C$70),CHOOSE({1,2},$L$8:$L$31,$D$8:$D$31),2,FALSE),"-")</f>
        <v>-</v>
      </c>
      <c r="D78" s="14" t="str">
        <f>_xlfn.IFNA(VLOOKUP(_xlfn.CONCAT($A78,D$70),CHOOSE({1,2},$L$8:$L$31,$D$8:$D$31),2,FALSE),"-")</f>
        <v>-</v>
      </c>
      <c r="E78" s="14" t="str">
        <f>_xlfn.IFNA(VLOOKUP(_xlfn.CONCAT($A78,E$70),CHOOSE({1,2},$L$8:$L$31,$D$8:$D$31),2,FALSE),"-")</f>
        <v>-</v>
      </c>
      <c r="F78" s="14" t="str">
        <f>_xlfn.IFNA(VLOOKUP(_xlfn.CONCAT($A78,F$70),CHOOSE({1,2},$L$8:$L$31,$D$8:$D$31),2,FALSE),"-")</f>
        <v>-</v>
      </c>
      <c r="G78" s="14" t="str">
        <f>_xlfn.IFNA(VLOOKUP(_xlfn.CONCAT($A78,G$70),CHOOSE({1,2},$L$8:$L$31,$D$8:$D$31),2,FALSE),"-")</f>
        <v>-</v>
      </c>
      <c r="H78" s="14" t="str">
        <f>_xlfn.IFNA(VLOOKUP(_xlfn.CONCAT($A78,H$70),CHOOSE({1,2},$L$8:$L$31,$D$8:$D$31),2,FALSE),"-")</f>
        <v>-</v>
      </c>
      <c r="I78" s="14" t="str">
        <f>_xlfn.IFNA(VLOOKUP(_xlfn.CONCAT($A78,I$70),CHOOSE({1,2},$L$8:$L$31,$D$8:$D$31),2,FALSE),"-")</f>
        <v>-</v>
      </c>
      <c r="J78" s="14" t="str">
        <f>_xlfn.IFNA(VLOOKUP(_xlfn.CONCAT($A78,J$70),CHOOSE({1,2},$L$8:$L$31,$D$8:$D$31),2,FALSE),"-")</f>
        <v>-</v>
      </c>
      <c r="K78" s="14" t="str">
        <f>_xlfn.IFNA(VLOOKUP(_xlfn.CONCAT($A78,K$70),CHOOSE({1,2},$L$8:$L$31,$D$8:$D$31),2,FALSE),"-")</f>
        <v>-</v>
      </c>
      <c r="L78" s="14" t="str">
        <f>_xlfn.IFNA(VLOOKUP(_xlfn.CONCAT($A78,L$70),CHOOSE({1,2},$L$8:$L$31,$D$8:$D$31),2,FALSE),"-")</f>
        <v>-</v>
      </c>
      <c r="M78" s="14" t="str">
        <f>_xlfn.IFNA(VLOOKUP(_xlfn.CONCAT($A78,M$70),CHOOSE({1,2},$L$8:$L$31,$D$8:$D$31),2,FALSE),"-")</f>
        <v>-</v>
      </c>
    </row>
  </sheetData>
  <mergeCells count="4">
    <mergeCell ref="E4:H4"/>
    <mergeCell ref="K4:L5"/>
    <mergeCell ref="B7:C7"/>
    <mergeCell ref="K7:L7"/>
  </mergeCells>
  <conditionalFormatting sqref="A38:L39 A46:D46">
    <cfRule type="containsText" dxfId="137" priority="6" operator="containsText" text="RNA">
      <formula>NOT(ISERROR(SEARCH("RNA",A38)))</formula>
    </cfRule>
    <cfRule type="containsText" dxfId="136" priority="7" operator="containsText" text="DNA">
      <formula>NOT(ISERROR(SEARCH("DNA",A38)))</formula>
    </cfRule>
  </conditionalFormatting>
  <conditionalFormatting sqref="B8:B31">
    <cfRule type="duplicateValues" dxfId="135" priority="22"/>
  </conditionalFormatting>
  <conditionalFormatting sqref="B8:C31">
    <cfRule type="containsBlanks" dxfId="134" priority="13">
      <formula>LEN(TRIM(B8))=0</formula>
    </cfRule>
  </conditionalFormatting>
  <conditionalFormatting sqref="B35:M68">
    <cfRule type="containsText" dxfId="133" priority="3" operator="containsText" text="Total Mix">
      <formula>NOT(ISERROR(SEARCH("Total Mix",B35)))</formula>
    </cfRule>
  </conditionalFormatting>
  <conditionalFormatting sqref="C8:C31">
    <cfRule type="duplicateValues" dxfId="132" priority="14"/>
  </conditionalFormatting>
  <conditionalFormatting sqref="E4">
    <cfRule type="notContainsBlanks" dxfId="131" priority="18">
      <formula>LEN(TRIM(E4))&gt;0</formula>
    </cfRule>
  </conditionalFormatting>
  <conditionalFormatting sqref="E8:H31">
    <cfRule type="expression" dxfId="130" priority="1">
      <formula>ISNUMBER(FIND("POOL",$D8))</formula>
    </cfRule>
  </conditionalFormatting>
  <conditionalFormatting sqref="J8:J31">
    <cfRule type="expression" dxfId="129" priority="17">
      <formula>ISNUMBER(FIND("POOL",$D8))</formula>
    </cfRule>
  </conditionalFormatting>
  <conditionalFormatting sqref="K8:K31">
    <cfRule type="duplicateValues" dxfId="128" priority="19"/>
    <cfRule type="expression" dxfId="127" priority="20">
      <formula>ISNUMBER(FIND("POOL",$D8))</formula>
    </cfRule>
  </conditionalFormatting>
  <conditionalFormatting sqref="L8:L31">
    <cfRule type="containsBlanks" dxfId="126" priority="15">
      <formula>LEN(TRIM(L8))=0</formula>
    </cfRule>
    <cfRule type="duplicateValues" dxfId="125" priority="16"/>
  </conditionalFormatting>
  <conditionalFormatting sqref="M8:M31">
    <cfRule type="expression" dxfId="124" priority="10">
      <formula>ISNUMBER(FIND("POOL",$D8))</formula>
    </cfRule>
  </conditionalFormatting>
  <dataValidations count="1">
    <dataValidation type="whole" allowBlank="1" showInputMessage="1" showErrorMessage="1" sqref="D4" xr:uid="{BACD91F0-B0FD-4B84-9C8D-DD875BDB93DA}">
      <formula1>0</formula1>
      <formula2>24</formula2>
    </dataValidation>
  </dataValidations>
  <pageMargins left="0.25" right="0.25" top="0.75" bottom="0.75" header="0.3" footer="0.3"/>
  <pageSetup paperSize="9" scale="47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CD954FA-3074-4D25-8C13-92DB3DD19606}">
          <x14:formula1>
            <xm:f>Database!$B$16:$B$19</xm:f>
          </x14:formula1>
          <xm:sqref>J8:J31</xm:sqref>
        </x14:dataValidation>
        <x14:dataValidation type="list" allowBlank="1" showInputMessage="1" showErrorMessage="1" xr:uid="{4C89FCE8-CDE6-4C92-A1BB-BA934CE9B5FE}">
          <x14:formula1>
            <xm:f>Database!$A$16:$A$19</xm:f>
          </x14:formula1>
          <xm:sqref>D2</xm:sqref>
        </x14:dataValidation>
        <x14:dataValidation type="list" allowBlank="1" showInputMessage="1" showErrorMessage="1" xr:uid="{C5DC37F6-D8D8-4710-BDE4-E03F0438734E}">
          <x14:formula1>
            <xm:f>Database!$A$5:$A$11</xm:f>
          </x14:formula1>
          <xm:sqref>F8:F31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DFED9-6C50-4116-8235-8D5923CF1069}">
  <dimension ref="A1:AB46"/>
  <sheetViews>
    <sheetView view="pageBreakPreview" zoomScale="55" zoomScaleNormal="100" zoomScaleSheetLayoutView="55" zoomScalePageLayoutView="40" workbookViewId="0">
      <selection activeCell="E39" sqref="E39"/>
    </sheetView>
  </sheetViews>
  <sheetFormatPr defaultColWidth="9.140625" defaultRowHeight="18.75" x14ac:dyDescent="0.3"/>
  <cols>
    <col min="1" max="1" width="23.7109375" style="28" customWidth="1"/>
    <col min="2" max="2" width="33.28515625" style="28" customWidth="1"/>
    <col min="3" max="3" width="3.42578125" style="28" customWidth="1"/>
    <col min="4" max="4" width="18.42578125" style="28" customWidth="1"/>
    <col min="5" max="5" width="21.5703125" style="28" customWidth="1"/>
    <col min="6" max="7" width="27.5703125" style="28" customWidth="1"/>
    <col min="8" max="8" width="12.5703125" style="28" bestFit="1" customWidth="1"/>
    <col min="9" max="9" width="16.5703125" style="28" customWidth="1"/>
    <col min="10" max="10" width="12.140625" style="28" bestFit="1" customWidth="1"/>
    <col min="11" max="11" width="17.140625" style="28" bestFit="1" customWidth="1"/>
    <col min="12" max="12" width="6.28515625" style="28" bestFit="1" customWidth="1"/>
    <col min="13" max="13" width="8" style="28" customWidth="1"/>
    <col min="14" max="14" width="31.140625" style="28" customWidth="1"/>
    <col min="15" max="15" width="134.28515625" style="28" hidden="1" customWidth="1"/>
    <col min="16" max="16" width="2.7109375" style="28" customWidth="1"/>
    <col min="17" max="17" width="24" style="28" customWidth="1"/>
    <col min="18" max="18" width="12.28515625" style="28" bestFit="1" customWidth="1"/>
    <col min="19" max="19" width="14.28515625" style="28" bestFit="1" customWidth="1"/>
    <col min="20" max="20" width="12.28515625" style="28" bestFit="1" customWidth="1"/>
    <col min="21" max="21" width="7.140625" style="28" bestFit="1" customWidth="1"/>
    <col min="22" max="22" width="4" style="28" customWidth="1"/>
    <col min="23" max="23" width="3.42578125" style="28" customWidth="1"/>
    <col min="24" max="24" width="24" style="28" bestFit="1" customWidth="1"/>
    <col min="25" max="25" width="16" style="28" bestFit="1" customWidth="1"/>
    <col min="26" max="26" width="14.28515625" style="28" bestFit="1" customWidth="1"/>
    <col min="27" max="27" width="17.140625" style="28" bestFit="1" customWidth="1"/>
    <col min="28" max="28" width="10.5703125" style="28" bestFit="1" customWidth="1"/>
    <col min="29" max="29" width="3.140625" style="28" customWidth="1"/>
    <col min="30" max="30" width="3.7109375" style="28" customWidth="1"/>
    <col min="31" max="31" width="24" style="28" customWidth="1"/>
    <col min="32" max="32" width="12.28515625" style="28" bestFit="1" customWidth="1"/>
    <col min="33" max="33" width="14.28515625" style="28" bestFit="1" customWidth="1"/>
    <col min="34" max="34" width="12.28515625" style="28" bestFit="1" customWidth="1"/>
    <col min="35" max="35" width="7.140625" style="28" bestFit="1" customWidth="1"/>
    <col min="36" max="36" width="2.140625" style="28" customWidth="1"/>
    <col min="37" max="16384" width="9.140625" style="28"/>
  </cols>
  <sheetData>
    <row r="1" spans="1:22" ht="38.25" thickBot="1" x14ac:dyDescent="0.35">
      <c r="A1" s="63" t="s">
        <v>41</v>
      </c>
      <c r="B1" s="64" t="s">
        <v>1937</v>
      </c>
      <c r="D1" s="65" t="s">
        <v>2</v>
      </c>
      <c r="E1" s="65" t="s">
        <v>3</v>
      </c>
      <c r="F1" s="65" t="s">
        <v>4</v>
      </c>
      <c r="G1" s="65" t="s">
        <v>0</v>
      </c>
      <c r="H1" s="65" t="s">
        <v>1</v>
      </c>
      <c r="I1" s="65" t="s">
        <v>10</v>
      </c>
      <c r="J1" s="65" t="s">
        <v>42</v>
      </c>
      <c r="K1" s="65" t="s">
        <v>43</v>
      </c>
      <c r="L1" s="65" t="s">
        <v>6</v>
      </c>
      <c r="M1" s="65" t="s">
        <v>44</v>
      </c>
      <c r="N1" s="65" t="s">
        <v>45</v>
      </c>
      <c r="O1" s="65" t="s">
        <v>46</v>
      </c>
    </row>
    <row r="2" spans="1:22" ht="19.5" thickBot="1" x14ac:dyDescent="0.35">
      <c r="D2" s="88" t="s">
        <v>2059</v>
      </c>
      <c r="E2" s="66" t="s">
        <v>1974</v>
      </c>
      <c r="F2" s="66" t="s">
        <v>84</v>
      </c>
      <c r="G2" s="66" t="s">
        <v>15</v>
      </c>
      <c r="H2" s="66" t="s">
        <v>80</v>
      </c>
      <c r="I2" s="66">
        <v>7.76</v>
      </c>
      <c r="J2" s="67"/>
      <c r="K2" s="67">
        <v>0.92500000000000004</v>
      </c>
      <c r="L2" s="67">
        <v>2</v>
      </c>
      <c r="M2" s="66">
        <v>14.778378378378378</v>
      </c>
      <c r="N2" s="68" t="s">
        <v>2060</v>
      </c>
      <c r="O2" s="68" t="s">
        <v>2061</v>
      </c>
      <c r="Q2" s="69" t="s">
        <v>47</v>
      </c>
      <c r="R2" s="70"/>
      <c r="S2" s="70"/>
      <c r="T2" s="70"/>
      <c r="U2" s="70"/>
      <c r="V2" s="71"/>
    </row>
    <row r="3" spans="1:22" ht="19.5" thickBot="1" x14ac:dyDescent="0.35">
      <c r="A3" s="63" t="s">
        <v>49</v>
      </c>
      <c r="B3" s="72" t="s">
        <v>50</v>
      </c>
      <c r="D3" s="88" t="s">
        <v>2062</v>
      </c>
      <c r="E3" s="66" t="s">
        <v>1978</v>
      </c>
      <c r="F3" s="66" t="s">
        <v>84</v>
      </c>
      <c r="G3" s="66" t="s">
        <v>15</v>
      </c>
      <c r="H3" s="66" t="s">
        <v>86</v>
      </c>
      <c r="I3" s="66">
        <v>7.48</v>
      </c>
      <c r="J3" s="67"/>
      <c r="K3" s="67">
        <v>0.92500000000000004</v>
      </c>
      <c r="L3" s="67">
        <v>2</v>
      </c>
      <c r="M3" s="66">
        <v>14.172972972972975</v>
      </c>
      <c r="N3" s="68" t="s">
        <v>2063</v>
      </c>
      <c r="O3" s="68" t="s">
        <v>2064</v>
      </c>
      <c r="Q3" s="73" t="s">
        <v>51</v>
      </c>
      <c r="R3" s="74">
        <v>0.8</v>
      </c>
      <c r="V3" s="75"/>
    </row>
    <row r="4" spans="1:22" ht="19.5" thickBot="1" x14ac:dyDescent="0.35">
      <c r="A4" s="63" t="s">
        <v>52</v>
      </c>
      <c r="B4" s="72">
        <v>8</v>
      </c>
      <c r="D4" s="88" t="s">
        <v>2065</v>
      </c>
      <c r="E4" s="66" t="s">
        <v>1982</v>
      </c>
      <c r="F4" s="66" t="s">
        <v>84</v>
      </c>
      <c r="G4" s="66" t="s">
        <v>15</v>
      </c>
      <c r="H4" s="66" t="s">
        <v>94</v>
      </c>
      <c r="I4" s="66">
        <v>15.9</v>
      </c>
      <c r="J4" s="67"/>
      <c r="K4" s="67">
        <v>0.92500000000000004</v>
      </c>
      <c r="L4" s="67">
        <v>2</v>
      </c>
      <c r="M4" s="66">
        <v>32.378378378378379</v>
      </c>
      <c r="N4" s="68" t="s">
        <v>2066</v>
      </c>
      <c r="O4" s="68" t="s">
        <v>2067</v>
      </c>
      <c r="Q4" s="76"/>
      <c r="R4" s="77"/>
      <c r="S4" s="77"/>
      <c r="T4" s="77"/>
      <c r="V4" s="78"/>
    </row>
    <row r="5" spans="1:22" ht="19.5" thickBot="1" x14ac:dyDescent="0.35">
      <c r="A5" s="63" t="s">
        <v>53</v>
      </c>
      <c r="B5" s="72">
        <v>151</v>
      </c>
      <c r="D5" s="88" t="s">
        <v>2068</v>
      </c>
      <c r="E5" s="66" t="s">
        <v>1986</v>
      </c>
      <c r="F5" s="66" t="s">
        <v>84</v>
      </c>
      <c r="G5" s="66" t="s">
        <v>16</v>
      </c>
      <c r="H5" s="66" t="s">
        <v>86</v>
      </c>
      <c r="I5" s="66">
        <v>29.8</v>
      </c>
      <c r="J5" s="67"/>
      <c r="K5" s="67">
        <v>0.92500000000000004</v>
      </c>
      <c r="L5" s="67">
        <v>2</v>
      </c>
      <c r="M5" s="66">
        <v>62.432432432432435</v>
      </c>
      <c r="N5" s="68" t="s">
        <v>2069</v>
      </c>
      <c r="O5" s="68" t="s">
        <v>2070</v>
      </c>
      <c r="Q5" s="73" t="s">
        <v>54</v>
      </c>
      <c r="R5" s="74">
        <v>350</v>
      </c>
      <c r="T5" s="79" t="s">
        <v>55</v>
      </c>
      <c r="U5" s="77"/>
      <c r="V5" s="75"/>
    </row>
    <row r="6" spans="1:22" ht="19.5" thickBot="1" x14ac:dyDescent="0.35">
      <c r="D6" s="88" t="s">
        <v>2071</v>
      </c>
      <c r="E6" s="66" t="s">
        <v>1986</v>
      </c>
      <c r="F6" s="66" t="s">
        <v>84</v>
      </c>
      <c r="G6" s="66" t="s">
        <v>16</v>
      </c>
      <c r="H6" s="66" t="s">
        <v>94</v>
      </c>
      <c r="I6" s="66">
        <v>27.4</v>
      </c>
      <c r="J6" s="67"/>
      <c r="K6" s="67">
        <v>0.92500000000000004</v>
      </c>
      <c r="L6" s="67">
        <v>2</v>
      </c>
      <c r="M6" s="66">
        <v>57.243243243243235</v>
      </c>
      <c r="N6" s="68" t="s">
        <v>2072</v>
      </c>
      <c r="O6" s="68" t="s">
        <v>2073</v>
      </c>
      <c r="Q6" s="73" t="s">
        <v>56</v>
      </c>
      <c r="R6" s="80">
        <v>3516.4835164835163</v>
      </c>
      <c r="T6" s="80">
        <v>11.375</v>
      </c>
      <c r="U6" s="82" t="s">
        <v>6</v>
      </c>
      <c r="V6" s="75"/>
    </row>
    <row r="7" spans="1:22" ht="19.5" thickBot="1" x14ac:dyDescent="0.35">
      <c r="D7" s="88" t="s">
        <v>2074</v>
      </c>
      <c r="E7" s="66" t="s">
        <v>1994</v>
      </c>
      <c r="F7" s="66" t="s">
        <v>84</v>
      </c>
      <c r="G7" s="66" t="s">
        <v>16</v>
      </c>
      <c r="H7" s="66" t="s">
        <v>103</v>
      </c>
      <c r="I7" s="66">
        <v>28.8</v>
      </c>
      <c r="J7" s="67"/>
      <c r="K7" s="67">
        <v>0.92500000000000004</v>
      </c>
      <c r="L7" s="67">
        <v>2</v>
      </c>
      <c r="M7" s="66">
        <v>60.270270270270267</v>
      </c>
      <c r="N7" s="68" t="s">
        <v>2075</v>
      </c>
      <c r="O7" s="68" t="s">
        <v>2076</v>
      </c>
      <c r="Q7" s="73" t="s">
        <v>57</v>
      </c>
      <c r="R7" s="83">
        <v>2000</v>
      </c>
      <c r="T7" s="80">
        <v>8.625</v>
      </c>
      <c r="U7" s="82" t="s">
        <v>44</v>
      </c>
      <c r="V7" s="75"/>
    </row>
    <row r="8" spans="1:22" ht="19.5" thickBot="1" x14ac:dyDescent="0.35">
      <c r="A8" s="63" t="s">
        <v>58</v>
      </c>
      <c r="B8" s="72" t="s">
        <v>89</v>
      </c>
      <c r="D8" s="88" t="s">
        <v>2077</v>
      </c>
      <c r="E8" s="66" t="s">
        <v>1998</v>
      </c>
      <c r="F8" s="66" t="s">
        <v>84</v>
      </c>
      <c r="G8" s="66" t="s">
        <v>16</v>
      </c>
      <c r="H8" s="66" t="s">
        <v>109</v>
      </c>
      <c r="I8" s="66">
        <v>8.98</v>
      </c>
      <c r="J8" s="67"/>
      <c r="K8" s="67">
        <v>0.92500000000000004</v>
      </c>
      <c r="L8" s="67">
        <v>2</v>
      </c>
      <c r="M8" s="66">
        <v>17.416216216216217</v>
      </c>
      <c r="N8" s="68" t="s">
        <v>2078</v>
      </c>
      <c r="O8" s="68" t="s">
        <v>2079</v>
      </c>
      <c r="Q8" s="73" t="s">
        <v>60</v>
      </c>
      <c r="R8" s="83">
        <v>20</v>
      </c>
      <c r="S8" s="77"/>
      <c r="T8" s="84"/>
      <c r="V8" s="78"/>
    </row>
    <row r="9" spans="1:22" ht="19.5" thickBot="1" x14ac:dyDescent="0.35">
      <c r="A9" s="63" t="s">
        <v>61</v>
      </c>
      <c r="B9" s="72" t="s">
        <v>2150</v>
      </c>
      <c r="D9" s="88" t="s">
        <v>2080</v>
      </c>
      <c r="E9" s="66" t="s">
        <v>2002</v>
      </c>
      <c r="F9" s="66" t="s">
        <v>84</v>
      </c>
      <c r="G9" s="66" t="s">
        <v>16</v>
      </c>
      <c r="H9" s="66" t="s">
        <v>125</v>
      </c>
      <c r="I9" s="66">
        <v>15.8</v>
      </c>
      <c r="J9" s="67"/>
      <c r="K9" s="67">
        <v>0.92500000000000004</v>
      </c>
      <c r="L9" s="67">
        <v>2</v>
      </c>
      <c r="M9" s="66">
        <v>32.162162162162161</v>
      </c>
      <c r="N9" s="68" t="s">
        <v>2081</v>
      </c>
      <c r="O9" s="68" t="s">
        <v>2082</v>
      </c>
      <c r="Q9" s="85"/>
      <c r="R9" s="86"/>
      <c r="S9" s="86"/>
      <c r="T9" s="86"/>
      <c r="U9" s="86"/>
      <c r="V9" s="87"/>
    </row>
    <row r="10" spans="1:22" x14ac:dyDescent="0.3">
      <c r="A10" s="63" t="s">
        <v>62</v>
      </c>
      <c r="B10" s="72">
        <v>20623197</v>
      </c>
      <c r="D10" s="88" t="s">
        <v>2083</v>
      </c>
      <c r="E10" s="66" t="s">
        <v>2033</v>
      </c>
      <c r="F10" s="66" t="s">
        <v>90</v>
      </c>
      <c r="G10" s="66" t="s">
        <v>17</v>
      </c>
      <c r="H10" s="66" t="s">
        <v>129</v>
      </c>
      <c r="I10" s="66">
        <v>23</v>
      </c>
      <c r="J10" s="67"/>
      <c r="K10" s="67">
        <v>0.92500000000000004</v>
      </c>
      <c r="L10" s="67">
        <v>2</v>
      </c>
      <c r="M10" s="66">
        <v>47.729729729729726</v>
      </c>
      <c r="N10" s="68" t="s">
        <v>2084</v>
      </c>
      <c r="O10" s="68" t="s">
        <v>2085</v>
      </c>
    </row>
    <row r="11" spans="1:22" x14ac:dyDescent="0.3">
      <c r="A11" s="63" t="s">
        <v>63</v>
      </c>
      <c r="B11" s="72">
        <v>20623145</v>
      </c>
      <c r="D11" s="88" t="s">
        <v>2086</v>
      </c>
      <c r="E11" s="66" t="s">
        <v>2037</v>
      </c>
      <c r="F11" s="66" t="s">
        <v>90</v>
      </c>
      <c r="G11" s="66" t="s">
        <v>17</v>
      </c>
      <c r="H11" s="66" t="s">
        <v>132</v>
      </c>
      <c r="I11" s="66">
        <v>28.4</v>
      </c>
      <c r="J11" s="67"/>
      <c r="K11" s="67">
        <v>0.92500000000000004</v>
      </c>
      <c r="L11" s="67">
        <v>2</v>
      </c>
      <c r="M11" s="66">
        <v>59.405405405405396</v>
      </c>
      <c r="N11" s="68" t="s">
        <v>2087</v>
      </c>
      <c r="O11" s="68" t="s">
        <v>2088</v>
      </c>
    </row>
    <row r="12" spans="1:22" x14ac:dyDescent="0.3">
      <c r="D12" s="88" t="s">
        <v>2089</v>
      </c>
      <c r="E12" s="66" t="s">
        <v>2037</v>
      </c>
      <c r="F12" s="66" t="s">
        <v>90</v>
      </c>
      <c r="G12" s="66" t="s">
        <v>17</v>
      </c>
      <c r="H12" s="66" t="s">
        <v>134</v>
      </c>
      <c r="I12" s="66">
        <v>33</v>
      </c>
      <c r="J12" s="67"/>
      <c r="K12" s="67">
        <v>0.92500000000000004</v>
      </c>
      <c r="L12" s="67">
        <v>2</v>
      </c>
      <c r="M12" s="66">
        <v>69.351351351351354</v>
      </c>
      <c r="N12" s="68" t="s">
        <v>2090</v>
      </c>
      <c r="O12" s="68" t="s">
        <v>2091</v>
      </c>
    </row>
    <row r="13" spans="1:22" x14ac:dyDescent="0.3">
      <c r="D13" s="88" t="s">
        <v>2092</v>
      </c>
      <c r="E13" s="66" t="s">
        <v>2044</v>
      </c>
      <c r="F13" s="66" t="s">
        <v>90</v>
      </c>
      <c r="G13" s="66" t="s">
        <v>17</v>
      </c>
      <c r="H13" s="66" t="s">
        <v>140</v>
      </c>
      <c r="I13" s="66">
        <v>4.5199999999999996</v>
      </c>
      <c r="J13" s="67"/>
      <c r="K13" s="67">
        <v>0.92500000000000004</v>
      </c>
      <c r="L13" s="67">
        <v>2</v>
      </c>
      <c r="M13" s="66">
        <v>7.7729729729729709</v>
      </c>
      <c r="N13" s="68" t="s">
        <v>2093</v>
      </c>
      <c r="O13" s="68" t="s">
        <v>2094</v>
      </c>
    </row>
    <row r="14" spans="1:22" x14ac:dyDescent="0.3">
      <c r="D14" s="88" t="s">
        <v>2095</v>
      </c>
      <c r="E14" s="66" t="s">
        <v>2048</v>
      </c>
      <c r="F14" s="66" t="s">
        <v>90</v>
      </c>
      <c r="G14" s="66" t="s">
        <v>17</v>
      </c>
      <c r="H14" s="66" t="s">
        <v>142</v>
      </c>
      <c r="I14" s="66">
        <v>7.64</v>
      </c>
      <c r="J14" s="67"/>
      <c r="K14" s="67">
        <v>0.92500000000000004</v>
      </c>
      <c r="L14" s="67">
        <v>2</v>
      </c>
      <c r="M14" s="66">
        <v>14.518918918918917</v>
      </c>
      <c r="N14" s="68" t="s">
        <v>2096</v>
      </c>
      <c r="O14" s="68" t="s">
        <v>2097</v>
      </c>
    </row>
    <row r="15" spans="1:22" x14ac:dyDescent="0.3">
      <c r="D15" s="88" t="s">
        <v>2098</v>
      </c>
      <c r="E15" s="66" t="s">
        <v>2052</v>
      </c>
      <c r="F15" s="66" t="s">
        <v>90</v>
      </c>
      <c r="G15" s="66" t="s">
        <v>17</v>
      </c>
      <c r="H15" s="66" t="s">
        <v>144</v>
      </c>
      <c r="I15" s="66">
        <v>22</v>
      </c>
      <c r="J15" s="67"/>
      <c r="K15" s="67">
        <v>0.92500000000000004</v>
      </c>
      <c r="L15" s="67">
        <v>2</v>
      </c>
      <c r="M15" s="66">
        <v>45.567567567567565</v>
      </c>
      <c r="N15" s="68" t="s">
        <v>2099</v>
      </c>
      <c r="O15" s="68" t="s">
        <v>2100</v>
      </c>
    </row>
    <row r="16" spans="1:22" x14ac:dyDescent="0.3">
      <c r="D16" s="88" t="s">
        <v>2101</v>
      </c>
      <c r="E16" s="66" t="s">
        <v>2056</v>
      </c>
      <c r="F16" s="66" t="s">
        <v>90</v>
      </c>
      <c r="G16" s="66" t="s">
        <v>17</v>
      </c>
      <c r="H16" s="66" t="s">
        <v>148</v>
      </c>
      <c r="I16" s="66">
        <v>3.94</v>
      </c>
      <c r="J16" s="67"/>
      <c r="K16" s="67">
        <v>0.92500000000000004</v>
      </c>
      <c r="L16" s="67">
        <v>2</v>
      </c>
      <c r="M16" s="66">
        <v>6.5189189189189189</v>
      </c>
      <c r="N16" s="68" t="s">
        <v>2102</v>
      </c>
      <c r="O16" s="68" t="s">
        <v>2103</v>
      </c>
    </row>
    <row r="17" spans="4:15" x14ac:dyDescent="0.3">
      <c r="D17" s="88"/>
      <c r="E17" s="66" t="s">
        <v>1916</v>
      </c>
      <c r="F17" s="66" t="s">
        <v>1916</v>
      </c>
      <c r="G17" s="66" t="s">
        <v>1916</v>
      </c>
      <c r="H17" s="66" t="s">
        <v>1916</v>
      </c>
      <c r="I17" s="66" t="s">
        <v>1916</v>
      </c>
      <c r="J17" s="67"/>
      <c r="K17" s="67"/>
      <c r="L17" s="67"/>
      <c r="M17" s="66" t="s">
        <v>1916</v>
      </c>
      <c r="N17" s="68" t="s">
        <v>1916</v>
      </c>
      <c r="O17" s="68" t="s">
        <v>1916</v>
      </c>
    </row>
    <row r="18" spans="4:15" x14ac:dyDescent="0.3">
      <c r="D18" s="88"/>
      <c r="E18" s="66" t="s">
        <v>1916</v>
      </c>
      <c r="F18" s="66" t="s">
        <v>1916</v>
      </c>
      <c r="G18" s="66" t="s">
        <v>1916</v>
      </c>
      <c r="H18" s="66" t="s">
        <v>1916</v>
      </c>
      <c r="I18" s="66" t="s">
        <v>1916</v>
      </c>
      <c r="J18" s="67"/>
      <c r="K18" s="67"/>
      <c r="L18" s="67"/>
      <c r="M18" s="66" t="s">
        <v>1916</v>
      </c>
      <c r="N18" s="68" t="s">
        <v>1916</v>
      </c>
      <c r="O18" s="68" t="s">
        <v>1916</v>
      </c>
    </row>
    <row r="19" spans="4:15" x14ac:dyDescent="0.3">
      <c r="D19" s="88"/>
      <c r="E19" s="66" t="s">
        <v>1916</v>
      </c>
      <c r="F19" s="66" t="s">
        <v>1916</v>
      </c>
      <c r="G19" s="66" t="s">
        <v>1916</v>
      </c>
      <c r="H19" s="66" t="s">
        <v>1916</v>
      </c>
      <c r="I19" s="66" t="s">
        <v>1916</v>
      </c>
      <c r="J19" s="67"/>
      <c r="K19" s="67"/>
      <c r="L19" s="67"/>
      <c r="M19" s="66" t="s">
        <v>1916</v>
      </c>
      <c r="N19" s="68" t="s">
        <v>1916</v>
      </c>
      <c r="O19" s="68" t="s">
        <v>1916</v>
      </c>
    </row>
    <row r="20" spans="4:15" x14ac:dyDescent="0.3">
      <c r="D20" s="88"/>
      <c r="E20" s="66" t="s">
        <v>1916</v>
      </c>
      <c r="F20" s="66" t="s">
        <v>1916</v>
      </c>
      <c r="G20" s="66" t="s">
        <v>1916</v>
      </c>
      <c r="H20" s="66" t="s">
        <v>1916</v>
      </c>
      <c r="I20" s="66" t="s">
        <v>1916</v>
      </c>
      <c r="J20" s="67"/>
      <c r="K20" s="67"/>
      <c r="L20" s="67"/>
      <c r="M20" s="66" t="s">
        <v>1916</v>
      </c>
      <c r="N20" s="68" t="s">
        <v>1916</v>
      </c>
      <c r="O20" s="68" t="s">
        <v>1916</v>
      </c>
    </row>
    <row r="21" spans="4:15" x14ac:dyDescent="0.3">
      <c r="D21" s="88"/>
      <c r="E21" s="66" t="s">
        <v>1916</v>
      </c>
      <c r="F21" s="66" t="s">
        <v>1916</v>
      </c>
      <c r="G21" s="66" t="s">
        <v>1916</v>
      </c>
      <c r="H21" s="66" t="s">
        <v>1916</v>
      </c>
      <c r="I21" s="66" t="s">
        <v>1916</v>
      </c>
      <c r="J21" s="67"/>
      <c r="K21" s="67"/>
      <c r="L21" s="67"/>
      <c r="M21" s="66" t="s">
        <v>1916</v>
      </c>
      <c r="N21" s="68" t="s">
        <v>1916</v>
      </c>
      <c r="O21" s="68" t="s">
        <v>1916</v>
      </c>
    </row>
    <row r="22" spans="4:15" x14ac:dyDescent="0.3">
      <c r="D22" s="88"/>
      <c r="E22" s="66" t="s">
        <v>1916</v>
      </c>
      <c r="F22" s="66" t="s">
        <v>1916</v>
      </c>
      <c r="G22" s="66" t="s">
        <v>1916</v>
      </c>
      <c r="H22" s="66" t="s">
        <v>1916</v>
      </c>
      <c r="I22" s="66" t="s">
        <v>1916</v>
      </c>
      <c r="J22" s="67"/>
      <c r="K22" s="67"/>
      <c r="L22" s="67"/>
      <c r="M22" s="66" t="s">
        <v>1916</v>
      </c>
      <c r="N22" s="68" t="s">
        <v>1916</v>
      </c>
      <c r="O22" s="68" t="s">
        <v>1916</v>
      </c>
    </row>
    <row r="23" spans="4:15" x14ac:dyDescent="0.3">
      <c r="D23" s="88"/>
      <c r="E23" s="66" t="s">
        <v>1916</v>
      </c>
      <c r="F23" s="66" t="s">
        <v>1916</v>
      </c>
      <c r="G23" s="66" t="s">
        <v>1916</v>
      </c>
      <c r="H23" s="66" t="s">
        <v>1916</v>
      </c>
      <c r="I23" s="66" t="s">
        <v>1916</v>
      </c>
      <c r="J23" s="67"/>
      <c r="K23" s="67"/>
      <c r="L23" s="67"/>
      <c r="M23" s="66" t="s">
        <v>1916</v>
      </c>
      <c r="N23" s="68" t="s">
        <v>1916</v>
      </c>
      <c r="O23" s="68" t="s">
        <v>1916</v>
      </c>
    </row>
    <row r="24" spans="4:15" x14ac:dyDescent="0.3">
      <c r="D24" s="88"/>
      <c r="E24" s="66" t="s">
        <v>1916</v>
      </c>
      <c r="F24" s="66" t="s">
        <v>1916</v>
      </c>
      <c r="G24" s="66" t="s">
        <v>1916</v>
      </c>
      <c r="H24" s="66" t="s">
        <v>1916</v>
      </c>
      <c r="I24" s="66" t="s">
        <v>1916</v>
      </c>
      <c r="J24" s="67"/>
      <c r="K24" s="67"/>
      <c r="L24" s="67"/>
      <c r="M24" s="66" t="s">
        <v>1916</v>
      </c>
      <c r="N24" s="68" t="s">
        <v>1916</v>
      </c>
      <c r="O24" s="68" t="s">
        <v>1916</v>
      </c>
    </row>
    <row r="25" spans="4:15" x14ac:dyDescent="0.3">
      <c r="D25" s="88"/>
      <c r="E25" s="66" t="s">
        <v>1916</v>
      </c>
      <c r="F25" s="66" t="s">
        <v>1916</v>
      </c>
      <c r="G25" s="66" t="s">
        <v>1916</v>
      </c>
      <c r="H25" s="66" t="s">
        <v>1916</v>
      </c>
      <c r="I25" s="66" t="s">
        <v>1916</v>
      </c>
      <c r="J25" s="67"/>
      <c r="K25" s="67"/>
      <c r="L25" s="67"/>
      <c r="M25" s="66" t="s">
        <v>1916</v>
      </c>
      <c r="N25" s="68" t="s">
        <v>1916</v>
      </c>
      <c r="O25" s="68" t="s">
        <v>1916</v>
      </c>
    </row>
    <row r="26" spans="4:15" x14ac:dyDescent="0.3">
      <c r="D26" s="88"/>
      <c r="E26" s="66" t="s">
        <v>1916</v>
      </c>
      <c r="F26" s="66" t="s">
        <v>1916</v>
      </c>
      <c r="G26" s="66" t="s">
        <v>1916</v>
      </c>
      <c r="H26" s="66" t="s">
        <v>1916</v>
      </c>
      <c r="I26" s="66" t="s">
        <v>1916</v>
      </c>
      <c r="J26" s="67"/>
      <c r="K26" s="67"/>
      <c r="L26" s="67"/>
      <c r="M26" s="66" t="s">
        <v>1916</v>
      </c>
      <c r="N26" s="68" t="s">
        <v>1916</v>
      </c>
      <c r="O26" s="68" t="s">
        <v>1916</v>
      </c>
    </row>
    <row r="27" spans="4:15" x14ac:dyDescent="0.3">
      <c r="D27" s="88"/>
      <c r="E27" s="66" t="s">
        <v>1916</v>
      </c>
      <c r="F27" s="66" t="s">
        <v>1916</v>
      </c>
      <c r="G27" s="66" t="s">
        <v>1916</v>
      </c>
      <c r="H27" s="66" t="s">
        <v>1916</v>
      </c>
      <c r="I27" s="66" t="s">
        <v>1916</v>
      </c>
      <c r="J27" s="67"/>
      <c r="K27" s="67"/>
      <c r="L27" s="67"/>
      <c r="M27" s="66" t="s">
        <v>1916</v>
      </c>
      <c r="N27" s="68" t="s">
        <v>1916</v>
      </c>
      <c r="O27" s="68" t="s">
        <v>1916</v>
      </c>
    </row>
    <row r="28" spans="4:15" x14ac:dyDescent="0.3">
      <c r="D28" s="88"/>
      <c r="E28" s="66" t="s">
        <v>1916</v>
      </c>
      <c r="F28" s="66" t="s">
        <v>1916</v>
      </c>
      <c r="G28" s="66" t="s">
        <v>1916</v>
      </c>
      <c r="H28" s="66" t="s">
        <v>1916</v>
      </c>
      <c r="I28" s="66" t="s">
        <v>1916</v>
      </c>
      <c r="J28" s="67"/>
      <c r="K28" s="67"/>
      <c r="L28" s="67"/>
      <c r="M28" s="66" t="s">
        <v>1916</v>
      </c>
      <c r="N28" s="68" t="s">
        <v>1916</v>
      </c>
      <c r="O28" s="68" t="s">
        <v>1916</v>
      </c>
    </row>
    <row r="29" spans="4:15" x14ac:dyDescent="0.3">
      <c r="D29" s="88"/>
      <c r="E29" s="66" t="s">
        <v>1916</v>
      </c>
      <c r="F29" s="66" t="s">
        <v>1916</v>
      </c>
      <c r="G29" s="66" t="s">
        <v>1916</v>
      </c>
      <c r="H29" s="66" t="s">
        <v>1916</v>
      </c>
      <c r="I29" s="66" t="s">
        <v>1916</v>
      </c>
      <c r="J29" s="67"/>
      <c r="K29" s="67"/>
      <c r="L29" s="67"/>
      <c r="M29" s="66" t="s">
        <v>1916</v>
      </c>
      <c r="N29" s="68" t="s">
        <v>1916</v>
      </c>
      <c r="O29" s="68" t="s">
        <v>1916</v>
      </c>
    </row>
    <row r="30" spans="4:15" x14ac:dyDescent="0.3">
      <c r="D30" s="88"/>
      <c r="E30" s="66" t="s">
        <v>1916</v>
      </c>
      <c r="F30" s="66" t="s">
        <v>1916</v>
      </c>
      <c r="G30" s="66" t="s">
        <v>1916</v>
      </c>
      <c r="H30" s="66" t="s">
        <v>1916</v>
      </c>
      <c r="I30" s="66" t="s">
        <v>1916</v>
      </c>
      <c r="J30" s="67"/>
      <c r="K30" s="67"/>
      <c r="L30" s="67"/>
      <c r="M30" s="66" t="s">
        <v>1916</v>
      </c>
      <c r="N30" s="68" t="s">
        <v>1916</v>
      </c>
      <c r="O30" s="68" t="s">
        <v>1916</v>
      </c>
    </row>
    <row r="31" spans="4:15" x14ac:dyDescent="0.3">
      <c r="D31" s="88"/>
      <c r="E31" s="66" t="s">
        <v>1916</v>
      </c>
      <c r="F31" s="66" t="s">
        <v>1916</v>
      </c>
      <c r="G31" s="66" t="s">
        <v>1916</v>
      </c>
      <c r="H31" s="66" t="s">
        <v>1916</v>
      </c>
      <c r="I31" s="66" t="s">
        <v>1916</v>
      </c>
      <c r="J31" s="67"/>
      <c r="K31" s="67"/>
      <c r="L31" s="67"/>
      <c r="M31" s="66" t="s">
        <v>1916</v>
      </c>
      <c r="N31" s="68" t="s">
        <v>1916</v>
      </c>
      <c r="O31" s="68" t="s">
        <v>1916</v>
      </c>
    </row>
    <row r="32" spans="4:15" x14ac:dyDescent="0.3">
      <c r="D32" s="88"/>
      <c r="E32" s="66" t="s">
        <v>1916</v>
      </c>
      <c r="F32" s="66" t="s">
        <v>1916</v>
      </c>
      <c r="G32" s="66" t="s">
        <v>1916</v>
      </c>
      <c r="H32" s="66" t="s">
        <v>1916</v>
      </c>
      <c r="I32" s="66" t="s">
        <v>1916</v>
      </c>
      <c r="J32" s="67"/>
      <c r="K32" s="67"/>
      <c r="L32" s="67"/>
      <c r="M32" s="66" t="s">
        <v>1916</v>
      </c>
      <c r="N32" s="68" t="s">
        <v>1916</v>
      </c>
      <c r="O32" s="68" t="s">
        <v>1916</v>
      </c>
    </row>
    <row r="33" spans="4:28" x14ac:dyDescent="0.3">
      <c r="D33" s="88"/>
      <c r="E33" s="66" t="s">
        <v>1916</v>
      </c>
      <c r="F33" s="66" t="s">
        <v>1916</v>
      </c>
      <c r="G33" s="66" t="s">
        <v>1916</v>
      </c>
      <c r="H33" s="66" t="s">
        <v>1916</v>
      </c>
      <c r="I33" s="66" t="s">
        <v>1916</v>
      </c>
      <c r="J33" s="67"/>
      <c r="K33" s="67"/>
      <c r="L33" s="67"/>
      <c r="M33" s="66" t="s">
        <v>1916</v>
      </c>
      <c r="N33" s="68" t="s">
        <v>1916</v>
      </c>
      <c r="O33" s="68" t="s">
        <v>1916</v>
      </c>
    </row>
    <row r="34" spans="4:28" ht="19.5" thickBot="1" x14ac:dyDescent="0.35">
      <c r="D34" s="88"/>
      <c r="E34" s="66" t="s">
        <v>1916</v>
      </c>
      <c r="F34" s="66" t="s">
        <v>1916</v>
      </c>
      <c r="G34" s="66" t="s">
        <v>1916</v>
      </c>
      <c r="H34" s="66" t="s">
        <v>1916</v>
      </c>
      <c r="I34" s="66" t="s">
        <v>1916</v>
      </c>
      <c r="J34" s="67"/>
      <c r="K34" s="67"/>
      <c r="L34" s="67"/>
      <c r="M34" s="66" t="s">
        <v>1916</v>
      </c>
      <c r="N34" s="68" t="s">
        <v>1916</v>
      </c>
      <c r="O34" s="68" t="s">
        <v>1916</v>
      </c>
    </row>
    <row r="35" spans="4:28" ht="19.5" thickBot="1" x14ac:dyDescent="0.35">
      <c r="D35" s="88"/>
      <c r="E35" s="66" t="s">
        <v>1916</v>
      </c>
      <c r="F35" s="66" t="s">
        <v>1916</v>
      </c>
      <c r="G35" s="66" t="s">
        <v>1916</v>
      </c>
      <c r="H35" s="66" t="s">
        <v>1916</v>
      </c>
      <c r="I35" s="66" t="s">
        <v>1916</v>
      </c>
      <c r="J35" s="67"/>
      <c r="K35" s="67"/>
      <c r="L35" s="67"/>
      <c r="M35" s="66" t="s">
        <v>1916</v>
      </c>
      <c r="N35" s="68" t="s">
        <v>1916</v>
      </c>
      <c r="O35" s="68" t="s">
        <v>1916</v>
      </c>
      <c r="Q35" s="69" t="s">
        <v>65</v>
      </c>
      <c r="R35" s="70"/>
      <c r="S35" s="70"/>
      <c r="T35" s="70"/>
      <c r="U35" s="70"/>
      <c r="V35" s="71"/>
      <c r="X35" s="91" t="s">
        <v>66</v>
      </c>
      <c r="Y35" s="92">
        <v>1.2</v>
      </c>
      <c r="Z35" s="91" t="s">
        <v>67</v>
      </c>
      <c r="AA35" s="93" t="s">
        <v>68</v>
      </c>
      <c r="AB35" s="94">
        <v>600</v>
      </c>
    </row>
    <row r="36" spans="4:28" ht="19.5" thickBot="1" x14ac:dyDescent="0.35">
      <c r="D36" s="88"/>
      <c r="E36" s="66" t="s">
        <v>1916</v>
      </c>
      <c r="F36" s="66" t="s">
        <v>1916</v>
      </c>
      <c r="G36" s="66" t="s">
        <v>1916</v>
      </c>
      <c r="H36" s="66" t="s">
        <v>1916</v>
      </c>
      <c r="I36" s="66" t="s">
        <v>1916</v>
      </c>
      <c r="J36" s="67"/>
      <c r="K36" s="67"/>
      <c r="L36" s="67"/>
      <c r="M36" s="66" t="s">
        <v>1916</v>
      </c>
      <c r="N36" s="68" t="s">
        <v>1916</v>
      </c>
      <c r="O36" s="68" t="s">
        <v>1916</v>
      </c>
      <c r="Q36" s="73" t="s">
        <v>56</v>
      </c>
      <c r="R36" s="74">
        <v>1000</v>
      </c>
      <c r="T36" s="79" t="s">
        <v>55</v>
      </c>
      <c r="U36" s="77"/>
      <c r="V36" s="75"/>
      <c r="X36" s="95" t="s">
        <v>69</v>
      </c>
      <c r="Y36" s="96" t="s">
        <v>70</v>
      </c>
      <c r="Z36" s="97" t="s">
        <v>71</v>
      </c>
      <c r="AA36" s="97" t="s">
        <v>72</v>
      </c>
      <c r="AB36" s="98" t="s">
        <v>73</v>
      </c>
    </row>
    <row r="37" spans="4:28" ht="19.5" thickBot="1" x14ac:dyDescent="0.35">
      <c r="D37" s="88"/>
      <c r="E37" s="66" t="s">
        <v>1916</v>
      </c>
      <c r="F37" s="66" t="s">
        <v>1916</v>
      </c>
      <c r="G37" s="66" t="s">
        <v>1916</v>
      </c>
      <c r="H37" s="66" t="s">
        <v>1916</v>
      </c>
      <c r="I37" s="66" t="s">
        <v>1916</v>
      </c>
      <c r="J37" s="67"/>
      <c r="K37" s="67"/>
      <c r="L37" s="67"/>
      <c r="M37" s="66" t="s">
        <v>1916</v>
      </c>
      <c r="N37" s="68" t="s">
        <v>1916</v>
      </c>
      <c r="O37" s="68" t="s">
        <v>1916</v>
      </c>
      <c r="Q37" s="73" t="s">
        <v>57</v>
      </c>
      <c r="R37" s="74">
        <v>8</v>
      </c>
      <c r="T37" s="80">
        <v>4.8</v>
      </c>
      <c r="U37" s="82" t="s">
        <v>6</v>
      </c>
      <c r="V37" s="75"/>
      <c r="X37" s="99" t="s">
        <v>84</v>
      </c>
      <c r="Y37" s="100">
        <v>0.105</v>
      </c>
      <c r="Z37" s="27">
        <v>8</v>
      </c>
      <c r="AA37" s="101">
        <v>0.7</v>
      </c>
      <c r="AB37" s="102">
        <v>395.29411764705884</v>
      </c>
    </row>
    <row r="38" spans="4:28" ht="19.5" thickBot="1" x14ac:dyDescent="0.35">
      <c r="D38" s="88"/>
      <c r="E38" s="66" t="s">
        <v>1916</v>
      </c>
      <c r="F38" s="66" t="s">
        <v>1916</v>
      </c>
      <c r="G38" s="66" t="s">
        <v>1916</v>
      </c>
      <c r="H38" s="66" t="s">
        <v>1916</v>
      </c>
      <c r="I38" s="66" t="s">
        <v>1916</v>
      </c>
      <c r="J38" s="67"/>
      <c r="K38" s="67"/>
      <c r="L38" s="67"/>
      <c r="M38" s="66" t="s">
        <v>1916</v>
      </c>
      <c r="N38" s="68" t="s">
        <v>1916</v>
      </c>
      <c r="O38" s="68" t="s">
        <v>1916</v>
      </c>
      <c r="Q38" s="73" t="s">
        <v>60</v>
      </c>
      <c r="R38" s="80">
        <v>600</v>
      </c>
      <c r="S38" s="77"/>
      <c r="T38" s="80">
        <v>595.20000000000005</v>
      </c>
      <c r="U38" s="82" t="s">
        <v>44</v>
      </c>
      <c r="V38" s="78"/>
      <c r="X38" s="99" t="s">
        <v>90</v>
      </c>
      <c r="Y38" s="100">
        <v>4.4999999999999998E-2</v>
      </c>
      <c r="Z38" s="27">
        <v>7</v>
      </c>
      <c r="AA38" s="101">
        <v>0.26250000000000001</v>
      </c>
      <c r="AB38" s="102">
        <v>148.23529411764707</v>
      </c>
    </row>
    <row r="39" spans="4:28" ht="19.5" thickBot="1" x14ac:dyDescent="0.35">
      <c r="D39" s="88"/>
      <c r="E39" s="66" t="s">
        <v>1916</v>
      </c>
      <c r="F39" s="66" t="s">
        <v>1916</v>
      </c>
      <c r="G39" s="66" t="s">
        <v>1916</v>
      </c>
      <c r="H39" s="66" t="s">
        <v>1916</v>
      </c>
      <c r="I39" s="66" t="s">
        <v>1916</v>
      </c>
      <c r="J39" s="67"/>
      <c r="K39" s="67"/>
      <c r="L39" s="67"/>
      <c r="M39" s="66" t="s">
        <v>1916</v>
      </c>
      <c r="N39" s="68" t="s">
        <v>1916</v>
      </c>
      <c r="O39" s="68" t="s">
        <v>1916</v>
      </c>
      <c r="Q39" s="85"/>
      <c r="R39" s="86"/>
      <c r="S39" s="86"/>
      <c r="T39" s="86"/>
      <c r="U39" s="86"/>
      <c r="V39" s="87"/>
      <c r="X39" s="99"/>
      <c r="Y39" s="100" t="s">
        <v>1916</v>
      </c>
      <c r="Z39" s="27" t="s">
        <v>1916</v>
      </c>
      <c r="AA39" s="101" t="s">
        <v>1916</v>
      </c>
      <c r="AB39" s="102" t="s">
        <v>1916</v>
      </c>
    </row>
    <row r="40" spans="4:28" ht="19.5" thickBot="1" x14ac:dyDescent="0.35">
      <c r="D40" s="88"/>
      <c r="E40" s="66" t="s">
        <v>1916</v>
      </c>
      <c r="F40" s="66" t="s">
        <v>1916</v>
      </c>
      <c r="G40" s="66" t="s">
        <v>1916</v>
      </c>
      <c r="H40" s="66" t="s">
        <v>1916</v>
      </c>
      <c r="I40" s="66" t="s">
        <v>1916</v>
      </c>
      <c r="J40" s="67"/>
      <c r="K40" s="67"/>
      <c r="L40" s="67"/>
      <c r="M40" s="66" t="s">
        <v>1916</v>
      </c>
      <c r="N40" s="68" t="s">
        <v>1916</v>
      </c>
      <c r="O40" s="68" t="s">
        <v>1916</v>
      </c>
      <c r="X40" s="99"/>
      <c r="Y40" s="100" t="s">
        <v>1916</v>
      </c>
      <c r="Z40" s="27" t="s">
        <v>1916</v>
      </c>
      <c r="AA40" s="101" t="s">
        <v>1916</v>
      </c>
      <c r="AB40" s="102" t="s">
        <v>1916</v>
      </c>
    </row>
    <row r="41" spans="4:28" ht="19.5" thickBot="1" x14ac:dyDescent="0.35">
      <c r="D41" s="88"/>
      <c r="E41" s="66" t="s">
        <v>1916</v>
      </c>
      <c r="F41" s="66" t="s">
        <v>1916</v>
      </c>
      <c r="G41" s="66" t="s">
        <v>1916</v>
      </c>
      <c r="H41" s="66" t="s">
        <v>1916</v>
      </c>
      <c r="I41" s="66" t="s">
        <v>1916</v>
      </c>
      <c r="J41" s="67"/>
      <c r="K41" s="67"/>
      <c r="L41" s="67"/>
      <c r="M41" s="66" t="s">
        <v>1916</v>
      </c>
      <c r="N41" s="68" t="s">
        <v>1916</v>
      </c>
      <c r="O41" s="68" t="s">
        <v>1916</v>
      </c>
      <c r="Q41" s="69" t="s">
        <v>74</v>
      </c>
      <c r="R41" s="70"/>
      <c r="S41" s="70"/>
      <c r="T41" s="70"/>
      <c r="U41" s="70"/>
      <c r="V41" s="71"/>
      <c r="X41" s="103"/>
      <c r="Y41" s="100" t="s">
        <v>1916</v>
      </c>
      <c r="Z41" s="27" t="s">
        <v>1916</v>
      </c>
      <c r="AA41" s="101" t="s">
        <v>1916</v>
      </c>
      <c r="AB41" s="102" t="s">
        <v>1916</v>
      </c>
    </row>
    <row r="42" spans="4:28" ht="19.5" thickBot="1" x14ac:dyDescent="0.35">
      <c r="D42" s="88"/>
      <c r="E42" s="66" t="s">
        <v>1916</v>
      </c>
      <c r="F42" s="66" t="s">
        <v>1916</v>
      </c>
      <c r="G42" s="66" t="s">
        <v>1916</v>
      </c>
      <c r="H42" s="66" t="s">
        <v>1916</v>
      </c>
      <c r="I42" s="66" t="s">
        <v>1916</v>
      </c>
      <c r="J42" s="67"/>
      <c r="K42" s="67"/>
      <c r="L42" s="67"/>
      <c r="M42" s="66" t="s">
        <v>1916</v>
      </c>
      <c r="N42" s="68" t="s">
        <v>1916</v>
      </c>
      <c r="O42" s="68" t="s">
        <v>1916</v>
      </c>
      <c r="Q42" s="73" t="s">
        <v>56</v>
      </c>
      <c r="R42" s="74">
        <v>40</v>
      </c>
      <c r="T42" s="79" t="s">
        <v>55</v>
      </c>
      <c r="U42" s="77"/>
      <c r="V42" s="75"/>
      <c r="X42" s="104"/>
      <c r="Y42" s="100" t="s">
        <v>1916</v>
      </c>
      <c r="Z42" s="27" t="s">
        <v>1916</v>
      </c>
      <c r="AA42" s="101" t="s">
        <v>1916</v>
      </c>
      <c r="AB42" s="102" t="s">
        <v>1916</v>
      </c>
    </row>
    <row r="43" spans="4:28" ht="19.5" thickBot="1" x14ac:dyDescent="0.35">
      <c r="D43" s="88"/>
      <c r="E43" s="66" t="s">
        <v>1916</v>
      </c>
      <c r="F43" s="66" t="s">
        <v>1916</v>
      </c>
      <c r="G43" s="66" t="s">
        <v>1916</v>
      </c>
      <c r="H43" s="66" t="s">
        <v>1916</v>
      </c>
      <c r="I43" s="66" t="s">
        <v>1916</v>
      </c>
      <c r="J43" s="67"/>
      <c r="K43" s="67"/>
      <c r="L43" s="67"/>
      <c r="M43" s="66" t="s">
        <v>1916</v>
      </c>
      <c r="N43" s="68" t="s">
        <v>1916</v>
      </c>
      <c r="O43" s="68" t="s">
        <v>1916</v>
      </c>
      <c r="Q43" s="73" t="s">
        <v>57</v>
      </c>
      <c r="R43" s="74">
        <v>8</v>
      </c>
      <c r="T43" s="80">
        <v>12</v>
      </c>
      <c r="U43" s="82" t="s">
        <v>6</v>
      </c>
      <c r="V43" s="75"/>
      <c r="X43" s="104"/>
      <c r="Y43" s="100" t="s">
        <v>1916</v>
      </c>
      <c r="Z43" s="27" t="s">
        <v>1916</v>
      </c>
      <c r="AA43" s="101" t="s">
        <v>1916</v>
      </c>
      <c r="AB43" s="102" t="s">
        <v>1916</v>
      </c>
    </row>
    <row r="44" spans="4:28" ht="19.5" thickBot="1" x14ac:dyDescent="0.35">
      <c r="D44" s="88"/>
      <c r="E44" s="66" t="s">
        <v>1916</v>
      </c>
      <c r="F44" s="66" t="s">
        <v>1916</v>
      </c>
      <c r="G44" s="66" t="s">
        <v>1916</v>
      </c>
      <c r="H44" s="66" t="s">
        <v>1916</v>
      </c>
      <c r="I44" s="66" t="s">
        <v>1916</v>
      </c>
      <c r="J44" s="67"/>
      <c r="K44" s="67"/>
      <c r="L44" s="67"/>
      <c r="M44" s="66" t="s">
        <v>1916</v>
      </c>
      <c r="N44" s="68" t="s">
        <v>1916</v>
      </c>
      <c r="O44" s="68" t="s">
        <v>1916</v>
      </c>
      <c r="Q44" s="73" t="s">
        <v>60</v>
      </c>
      <c r="R44" s="80">
        <v>60</v>
      </c>
      <c r="S44" s="77"/>
      <c r="T44" s="80">
        <v>48</v>
      </c>
      <c r="U44" s="82" t="s">
        <v>44</v>
      </c>
      <c r="V44" s="78"/>
      <c r="X44" s="105" t="s">
        <v>75</v>
      </c>
      <c r="Y44" s="106" t="s">
        <v>1916</v>
      </c>
      <c r="Z44" s="107" t="s">
        <v>1916</v>
      </c>
      <c r="AA44" s="108">
        <v>0.1</v>
      </c>
      <c r="AB44" s="109">
        <v>56.470588235294116</v>
      </c>
    </row>
    <row r="45" spans="4:28" ht="19.5" thickBot="1" x14ac:dyDescent="0.35">
      <c r="D45" s="88"/>
      <c r="E45" s="66" t="s">
        <v>1916</v>
      </c>
      <c r="F45" s="66" t="s">
        <v>1916</v>
      </c>
      <c r="G45" s="66" t="s">
        <v>1916</v>
      </c>
      <c r="H45" s="66" t="s">
        <v>1916</v>
      </c>
      <c r="I45" s="66" t="s">
        <v>1916</v>
      </c>
      <c r="J45" s="67"/>
      <c r="K45" s="67"/>
      <c r="L45" s="67"/>
      <c r="M45" s="66" t="s">
        <v>1916</v>
      </c>
      <c r="N45" s="68" t="s">
        <v>1916</v>
      </c>
      <c r="O45" s="68" t="s">
        <v>1916</v>
      </c>
      <c r="Q45" s="85"/>
      <c r="R45" s="86"/>
      <c r="S45" s="86"/>
      <c r="T45" s="86"/>
      <c r="U45" s="86"/>
      <c r="V45" s="87"/>
      <c r="Z45" s="110" t="s">
        <v>76</v>
      </c>
      <c r="AA45" s="111">
        <v>1.0625</v>
      </c>
      <c r="AB45" s="89"/>
    </row>
    <row r="46" spans="4:28" x14ac:dyDescent="0.3">
      <c r="D46" s="88"/>
      <c r="E46" s="66" t="s">
        <v>1916</v>
      </c>
      <c r="F46" s="66" t="s">
        <v>1916</v>
      </c>
      <c r="G46" s="66" t="s">
        <v>1916</v>
      </c>
      <c r="H46" s="66" t="s">
        <v>1916</v>
      </c>
      <c r="I46" s="66" t="s">
        <v>1916</v>
      </c>
      <c r="J46" s="67"/>
      <c r="K46" s="67"/>
      <c r="L46" s="67"/>
      <c r="M46" s="66" t="s">
        <v>1916</v>
      </c>
      <c r="N46" s="68" t="s">
        <v>1916</v>
      </c>
      <c r="O46" s="68" t="s">
        <v>1916</v>
      </c>
    </row>
  </sheetData>
  <conditionalFormatting sqref="D2:O46">
    <cfRule type="expression" dxfId="123" priority="1">
      <formula>ISNUMBER(FIND("POOL",$D2))*COUNTIF($N$2:$N$46,$N2)&gt;1</formula>
    </cfRule>
  </conditionalFormatting>
  <pageMargins left="0.25" right="0.25" top="0.75" bottom="0.75" header="0.3" footer="0.3"/>
  <pageSetup paperSize="9" scale="5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423DC-7BF0-4DE3-90CB-63179D162931}">
  <dimension ref="A1:AJ46"/>
  <sheetViews>
    <sheetView view="pageBreakPreview" zoomScale="55" zoomScaleNormal="100" zoomScaleSheetLayoutView="55" zoomScalePageLayoutView="40" workbookViewId="0">
      <selection activeCell="G30" sqref="A30:G31"/>
    </sheetView>
  </sheetViews>
  <sheetFormatPr defaultColWidth="9.140625" defaultRowHeight="18.75" x14ac:dyDescent="0.3"/>
  <cols>
    <col min="1" max="1" width="23.7109375" style="28" customWidth="1"/>
    <col min="2" max="2" width="33.28515625" style="28" customWidth="1"/>
    <col min="3" max="3" width="3.42578125" style="28" customWidth="1"/>
    <col min="4" max="4" width="18.42578125" style="28" customWidth="1"/>
    <col min="5" max="5" width="21.5703125" style="28" customWidth="1"/>
    <col min="6" max="7" width="27.5703125" style="28" customWidth="1"/>
    <col min="8" max="8" width="12.5703125" style="28" bestFit="1" customWidth="1"/>
    <col min="9" max="9" width="16.5703125" style="28" customWidth="1"/>
    <col min="10" max="10" width="12.140625" style="28" bestFit="1" customWidth="1"/>
    <col min="11" max="11" width="17.140625" style="28" bestFit="1" customWidth="1"/>
    <col min="12" max="12" width="6.28515625" style="28" bestFit="1" customWidth="1"/>
    <col min="13" max="13" width="5.7109375" style="28" bestFit="1" customWidth="1"/>
    <col min="14" max="14" width="31.140625" style="28" customWidth="1"/>
    <col min="15" max="15" width="22.140625" style="28" hidden="1" customWidth="1"/>
    <col min="16" max="16" width="2.7109375" style="28" customWidth="1"/>
    <col min="17" max="17" width="24" style="28" customWidth="1"/>
    <col min="18" max="18" width="12.28515625" style="28" bestFit="1" customWidth="1"/>
    <col min="19" max="19" width="14.28515625" style="28" bestFit="1" customWidth="1"/>
    <col min="20" max="20" width="12.28515625" style="28" bestFit="1" customWidth="1"/>
    <col min="21" max="21" width="7.140625" style="28" bestFit="1" customWidth="1"/>
    <col min="22" max="22" width="4" style="28" customWidth="1"/>
    <col min="23" max="23" width="3.42578125" style="28" customWidth="1"/>
    <col min="24" max="24" width="24" style="28" bestFit="1" customWidth="1"/>
    <col min="25" max="25" width="16" style="28" bestFit="1" customWidth="1"/>
    <col min="26" max="26" width="14.28515625" style="28" bestFit="1" customWidth="1"/>
    <col min="27" max="27" width="17.140625" style="28" bestFit="1" customWidth="1"/>
    <col min="28" max="28" width="10.5703125" style="28" bestFit="1" customWidth="1"/>
    <col min="29" max="29" width="3.140625" style="28" customWidth="1"/>
    <col min="30" max="30" width="3.7109375" style="28" customWidth="1"/>
    <col min="31" max="31" width="24" style="28" customWidth="1"/>
    <col min="32" max="32" width="12.28515625" style="28" bestFit="1" customWidth="1"/>
    <col min="33" max="33" width="14.28515625" style="28" bestFit="1" customWidth="1"/>
    <col min="34" max="34" width="12.28515625" style="28" bestFit="1" customWidth="1"/>
    <col min="35" max="35" width="7.140625" style="28" bestFit="1" customWidth="1"/>
    <col min="36" max="36" width="2.140625" style="28" customWidth="1"/>
    <col min="37" max="16384" width="9.140625" style="28"/>
  </cols>
  <sheetData>
    <row r="1" spans="1:36" ht="38.25" thickBot="1" x14ac:dyDescent="0.35">
      <c r="A1" s="113" t="s">
        <v>41</v>
      </c>
      <c r="B1" s="114" t="s">
        <v>1937</v>
      </c>
      <c r="D1" s="65" t="s">
        <v>2</v>
      </c>
      <c r="E1" s="65" t="s">
        <v>3</v>
      </c>
      <c r="F1" s="65" t="s">
        <v>4</v>
      </c>
      <c r="G1" s="65" t="s">
        <v>0</v>
      </c>
      <c r="H1" s="65" t="s">
        <v>1</v>
      </c>
      <c r="I1" s="65" t="s">
        <v>10</v>
      </c>
      <c r="J1" s="65" t="s">
        <v>42</v>
      </c>
      <c r="K1" s="65" t="s">
        <v>43</v>
      </c>
      <c r="L1" s="65" t="s">
        <v>6</v>
      </c>
      <c r="M1" s="65" t="s">
        <v>44</v>
      </c>
      <c r="N1" s="65" t="s">
        <v>45</v>
      </c>
      <c r="O1" s="65" t="s">
        <v>46</v>
      </c>
    </row>
    <row r="2" spans="1:36" ht="19.5" thickBot="1" x14ac:dyDescent="0.35">
      <c r="D2" s="115" t="s">
        <v>1963</v>
      </c>
      <c r="E2" s="116" t="s">
        <v>1964</v>
      </c>
      <c r="F2" s="116" t="s">
        <v>107</v>
      </c>
      <c r="G2" s="66" t="s">
        <v>19</v>
      </c>
      <c r="H2" s="116" t="s">
        <v>80</v>
      </c>
      <c r="I2" s="116">
        <v>29.8</v>
      </c>
      <c r="J2" s="67"/>
      <c r="K2" s="67">
        <v>1</v>
      </c>
      <c r="L2" s="67">
        <v>1</v>
      </c>
      <c r="M2" s="66">
        <v>28.8</v>
      </c>
      <c r="N2" s="118" t="s">
        <v>2118</v>
      </c>
      <c r="O2" s="68" t="s">
        <v>2119</v>
      </c>
      <c r="Q2" s="69" t="s">
        <v>2145</v>
      </c>
      <c r="R2" s="70"/>
      <c r="S2" s="70"/>
      <c r="T2" s="70"/>
      <c r="U2" s="70"/>
      <c r="V2" s="71"/>
      <c r="X2" s="69" t="s">
        <v>2146</v>
      </c>
      <c r="Y2" s="70"/>
      <c r="Z2" s="70"/>
      <c r="AA2" s="70"/>
      <c r="AB2" s="70"/>
      <c r="AC2" s="71"/>
      <c r="AE2" s="69" t="s">
        <v>2147</v>
      </c>
      <c r="AF2" s="70"/>
      <c r="AG2" s="70"/>
      <c r="AH2" s="70"/>
      <c r="AI2" s="70"/>
      <c r="AJ2" s="71"/>
    </row>
    <row r="3" spans="1:36" ht="19.5" thickBot="1" x14ac:dyDescent="0.35">
      <c r="A3" s="113" t="s">
        <v>49</v>
      </c>
      <c r="B3" s="112" t="s">
        <v>50</v>
      </c>
      <c r="D3" s="115" t="s">
        <v>1967</v>
      </c>
      <c r="E3" s="116" t="s">
        <v>1947</v>
      </c>
      <c r="F3" s="116" t="s">
        <v>107</v>
      </c>
      <c r="G3" s="66" t="s">
        <v>19</v>
      </c>
      <c r="H3" s="116" t="s">
        <v>86</v>
      </c>
      <c r="I3" s="116">
        <v>12.3</v>
      </c>
      <c r="J3" s="67"/>
      <c r="K3" s="67">
        <v>1</v>
      </c>
      <c r="L3" s="67">
        <v>1</v>
      </c>
      <c r="M3" s="66">
        <v>11.3</v>
      </c>
      <c r="N3" s="118" t="s">
        <v>2120</v>
      </c>
      <c r="O3" s="68" t="s">
        <v>2121</v>
      </c>
      <c r="Q3" s="73" t="s">
        <v>51</v>
      </c>
      <c r="R3" s="119">
        <v>0.54600000000000004</v>
      </c>
      <c r="V3" s="75"/>
      <c r="X3" s="73" t="s">
        <v>51</v>
      </c>
      <c r="Y3" s="119">
        <v>0.69399999999999995</v>
      </c>
      <c r="AC3" s="75"/>
      <c r="AE3" s="73" t="s">
        <v>51</v>
      </c>
      <c r="AF3" s="119">
        <v>0.85399999999999998</v>
      </c>
      <c r="AJ3" s="75"/>
    </row>
    <row r="4" spans="1:36" ht="19.5" thickBot="1" x14ac:dyDescent="0.35">
      <c r="A4" s="113" t="s">
        <v>52</v>
      </c>
      <c r="B4" s="112">
        <v>8</v>
      </c>
      <c r="D4" s="115" t="s">
        <v>1970</v>
      </c>
      <c r="E4" s="116" t="s">
        <v>1943</v>
      </c>
      <c r="F4" s="116" t="s">
        <v>107</v>
      </c>
      <c r="G4" s="66" t="s">
        <v>19</v>
      </c>
      <c r="H4" s="116" t="s">
        <v>94</v>
      </c>
      <c r="I4" s="116">
        <v>7</v>
      </c>
      <c r="J4" s="67"/>
      <c r="K4" s="67">
        <v>1</v>
      </c>
      <c r="L4" s="67">
        <v>1</v>
      </c>
      <c r="M4" s="66">
        <v>6</v>
      </c>
      <c r="N4" s="118" t="s">
        <v>2122</v>
      </c>
      <c r="O4" s="68" t="s">
        <v>2123</v>
      </c>
      <c r="Q4" s="76"/>
      <c r="R4" s="77"/>
      <c r="S4" s="77"/>
      <c r="T4" s="77"/>
      <c r="V4" s="78"/>
      <c r="X4" s="76"/>
      <c r="Y4" s="77"/>
      <c r="Z4" s="77"/>
      <c r="AA4" s="77"/>
      <c r="AC4" s="78"/>
      <c r="AE4" s="76"/>
      <c r="AF4" s="77"/>
      <c r="AG4" s="77"/>
      <c r="AH4" s="77"/>
      <c r="AJ4" s="78"/>
    </row>
    <row r="5" spans="1:36" ht="19.5" thickBot="1" x14ac:dyDescent="0.35">
      <c r="A5" s="113" t="s">
        <v>53</v>
      </c>
      <c r="B5" s="112">
        <v>151</v>
      </c>
      <c r="D5" s="115" t="s">
        <v>1973</v>
      </c>
      <c r="E5" s="116" t="s">
        <v>1974</v>
      </c>
      <c r="F5" s="116" t="s">
        <v>112</v>
      </c>
      <c r="G5" s="66" t="s">
        <v>19</v>
      </c>
      <c r="H5" s="116" t="s">
        <v>103</v>
      </c>
      <c r="I5" s="116">
        <v>13.9</v>
      </c>
      <c r="J5" s="67"/>
      <c r="K5" s="67">
        <v>1</v>
      </c>
      <c r="L5" s="67">
        <v>1</v>
      </c>
      <c r="M5" s="66">
        <v>12.9</v>
      </c>
      <c r="N5" s="118" t="s">
        <v>2124</v>
      </c>
      <c r="O5" s="68" t="s">
        <v>2125</v>
      </c>
      <c r="Q5" s="73" t="s">
        <v>54</v>
      </c>
      <c r="R5" s="119">
        <v>430</v>
      </c>
      <c r="T5" s="79" t="s">
        <v>55</v>
      </c>
      <c r="U5" s="77"/>
      <c r="V5" s="75"/>
      <c r="X5" s="73" t="s">
        <v>54</v>
      </c>
      <c r="Y5" s="119">
        <v>430</v>
      </c>
      <c r="AA5" s="79" t="s">
        <v>55</v>
      </c>
      <c r="AB5" s="77"/>
      <c r="AC5" s="75"/>
      <c r="AE5" s="73" t="s">
        <v>54</v>
      </c>
      <c r="AF5" s="119">
        <v>350</v>
      </c>
      <c r="AH5" s="79" t="s">
        <v>55</v>
      </c>
      <c r="AI5" s="77"/>
      <c r="AJ5" s="75"/>
    </row>
    <row r="6" spans="1:36" ht="19.5" thickBot="1" x14ac:dyDescent="0.35">
      <c r="D6" s="115" t="s">
        <v>1977</v>
      </c>
      <c r="E6" s="116" t="s">
        <v>1978</v>
      </c>
      <c r="F6" s="116" t="s">
        <v>112</v>
      </c>
      <c r="G6" s="66" t="s">
        <v>19</v>
      </c>
      <c r="H6" s="116" t="s">
        <v>109</v>
      </c>
      <c r="I6" s="116">
        <v>23.8</v>
      </c>
      <c r="J6" s="67"/>
      <c r="K6" s="67">
        <v>1</v>
      </c>
      <c r="L6" s="67">
        <v>1</v>
      </c>
      <c r="M6" s="66">
        <v>22.8</v>
      </c>
      <c r="N6" s="118" t="s">
        <v>2126</v>
      </c>
      <c r="O6" s="68" t="s">
        <v>2127</v>
      </c>
      <c r="Q6" s="73" t="s">
        <v>56</v>
      </c>
      <c r="R6" s="80">
        <v>1953.4883720930234</v>
      </c>
      <c r="T6" s="80">
        <v>15.357142857142856</v>
      </c>
      <c r="U6" s="82" t="s">
        <v>6</v>
      </c>
      <c r="V6" s="75"/>
      <c r="X6" s="73" t="s">
        <v>56</v>
      </c>
      <c r="Y6" s="80">
        <v>2483.0053667262969</v>
      </c>
      <c r="AA6" s="80">
        <v>12.082132564841499</v>
      </c>
      <c r="AB6" s="82" t="s">
        <v>6</v>
      </c>
      <c r="AC6" s="75"/>
      <c r="AE6" s="73" t="s">
        <v>56</v>
      </c>
      <c r="AF6" s="80">
        <v>3753.8461538461538</v>
      </c>
      <c r="AH6" s="80">
        <v>7.9918032786885247</v>
      </c>
      <c r="AI6" s="82" t="s">
        <v>6</v>
      </c>
      <c r="AJ6" s="75"/>
    </row>
    <row r="7" spans="1:36" ht="19.5" thickBot="1" x14ac:dyDescent="0.35">
      <c r="D7" s="115" t="s">
        <v>1981</v>
      </c>
      <c r="E7" s="116" t="s">
        <v>1982</v>
      </c>
      <c r="F7" s="116" t="s">
        <v>112</v>
      </c>
      <c r="G7" s="66" t="s">
        <v>19</v>
      </c>
      <c r="H7" s="116" t="s">
        <v>114</v>
      </c>
      <c r="I7" s="116">
        <v>15.1</v>
      </c>
      <c r="J7" s="67"/>
      <c r="K7" s="67">
        <v>1</v>
      </c>
      <c r="L7" s="67">
        <v>1</v>
      </c>
      <c r="M7" s="66">
        <v>14.1</v>
      </c>
      <c r="N7" s="118" t="s">
        <v>2128</v>
      </c>
      <c r="O7" s="68" t="s">
        <v>2129</v>
      </c>
      <c r="Q7" s="73" t="s">
        <v>57</v>
      </c>
      <c r="R7" s="83">
        <v>1000</v>
      </c>
      <c r="T7" s="80">
        <v>14.642857142857144</v>
      </c>
      <c r="U7" s="82" t="s">
        <v>44</v>
      </c>
      <c r="V7" s="75"/>
      <c r="X7" s="73" t="s">
        <v>57</v>
      </c>
      <c r="Y7" s="83">
        <v>1000</v>
      </c>
      <c r="AA7" s="80">
        <v>17.917867435158499</v>
      </c>
      <c r="AB7" s="82" t="s">
        <v>44</v>
      </c>
      <c r="AC7" s="75"/>
      <c r="AE7" s="73" t="s">
        <v>57</v>
      </c>
      <c r="AF7" s="83">
        <v>1000</v>
      </c>
      <c r="AH7" s="80">
        <v>22.008196721311474</v>
      </c>
      <c r="AI7" s="82" t="s">
        <v>44</v>
      </c>
      <c r="AJ7" s="75"/>
    </row>
    <row r="8" spans="1:36" ht="19.5" thickBot="1" x14ac:dyDescent="0.35">
      <c r="A8" s="113" t="s">
        <v>58</v>
      </c>
      <c r="B8" s="112" t="s">
        <v>89</v>
      </c>
      <c r="D8" s="115" t="s">
        <v>1985</v>
      </c>
      <c r="E8" s="116" t="s">
        <v>1986</v>
      </c>
      <c r="F8" s="116" t="s">
        <v>112</v>
      </c>
      <c r="G8" s="66" t="s">
        <v>19</v>
      </c>
      <c r="H8" s="116" t="s">
        <v>120</v>
      </c>
      <c r="I8" s="116">
        <v>10.6</v>
      </c>
      <c r="J8" s="67"/>
      <c r="K8" s="67">
        <v>1</v>
      </c>
      <c r="L8" s="67">
        <v>1</v>
      </c>
      <c r="M8" s="66">
        <v>9.6</v>
      </c>
      <c r="N8" s="118" t="s">
        <v>2130</v>
      </c>
      <c r="O8" s="68" t="s">
        <v>2131</v>
      </c>
      <c r="Q8" s="73" t="s">
        <v>60</v>
      </c>
      <c r="R8" s="83">
        <v>30</v>
      </c>
      <c r="S8" s="77"/>
      <c r="T8" s="84"/>
      <c r="V8" s="78"/>
      <c r="X8" s="73" t="s">
        <v>60</v>
      </c>
      <c r="Y8" s="83">
        <v>30</v>
      </c>
      <c r="Z8" s="77"/>
      <c r="AA8" s="84"/>
      <c r="AC8" s="78"/>
      <c r="AE8" s="73" t="s">
        <v>60</v>
      </c>
      <c r="AF8" s="83">
        <v>30</v>
      </c>
      <c r="AG8" s="77"/>
      <c r="AH8" s="84"/>
      <c r="AJ8" s="78"/>
    </row>
    <row r="9" spans="1:36" ht="19.5" thickBot="1" x14ac:dyDescent="0.35">
      <c r="A9" s="113" t="s">
        <v>61</v>
      </c>
      <c r="B9" s="112" t="s">
        <v>2148</v>
      </c>
      <c r="D9" s="115" t="s">
        <v>1989</v>
      </c>
      <c r="E9" s="116" t="s">
        <v>1986</v>
      </c>
      <c r="F9" s="116" t="s">
        <v>112</v>
      </c>
      <c r="G9" s="66" t="s">
        <v>19</v>
      </c>
      <c r="H9" s="116" t="s">
        <v>125</v>
      </c>
      <c r="I9" s="116">
        <v>11.6</v>
      </c>
      <c r="J9" s="67"/>
      <c r="K9" s="67">
        <v>1</v>
      </c>
      <c r="L9" s="67">
        <v>1</v>
      </c>
      <c r="M9" s="66">
        <v>10.6</v>
      </c>
      <c r="N9" s="118" t="s">
        <v>2132</v>
      </c>
      <c r="O9" s="68" t="s">
        <v>2133</v>
      </c>
      <c r="Q9" s="85"/>
      <c r="R9" s="86"/>
      <c r="S9" s="86"/>
      <c r="T9" s="86"/>
      <c r="U9" s="86"/>
      <c r="V9" s="87"/>
      <c r="X9" s="85"/>
      <c r="Y9" s="86"/>
      <c r="Z9" s="86"/>
      <c r="AA9" s="86"/>
      <c r="AB9" s="86"/>
      <c r="AC9" s="87"/>
      <c r="AE9" s="85"/>
      <c r="AF9" s="86"/>
      <c r="AG9" s="86"/>
      <c r="AH9" s="86"/>
      <c r="AI9" s="86"/>
      <c r="AJ9" s="87"/>
    </row>
    <row r="10" spans="1:36" x14ac:dyDescent="0.3">
      <c r="A10" s="113" t="s">
        <v>62</v>
      </c>
      <c r="B10" s="112">
        <v>20623197</v>
      </c>
      <c r="D10" s="115" t="s">
        <v>1993</v>
      </c>
      <c r="E10" s="116" t="s">
        <v>1994</v>
      </c>
      <c r="F10" s="116" t="s">
        <v>123</v>
      </c>
      <c r="G10" s="66" t="s">
        <v>19</v>
      </c>
      <c r="H10" s="116" t="s">
        <v>129</v>
      </c>
      <c r="I10" s="116">
        <v>18.100000000000001</v>
      </c>
      <c r="J10" s="67"/>
      <c r="K10" s="67">
        <v>1</v>
      </c>
      <c r="L10" s="67">
        <v>1</v>
      </c>
      <c r="M10" s="66">
        <v>17.100000000000001</v>
      </c>
      <c r="N10" s="118" t="s">
        <v>2134</v>
      </c>
      <c r="O10" s="68" t="s">
        <v>2135</v>
      </c>
    </row>
    <row r="11" spans="1:36" x14ac:dyDescent="0.3">
      <c r="A11" s="113" t="s">
        <v>63</v>
      </c>
      <c r="B11" s="112">
        <v>20623145</v>
      </c>
      <c r="D11" s="115" t="s">
        <v>1997</v>
      </c>
      <c r="E11" s="116" t="s">
        <v>1998</v>
      </c>
      <c r="F11" s="116" t="s">
        <v>112</v>
      </c>
      <c r="G11" s="66" t="s">
        <v>19</v>
      </c>
      <c r="H11" s="116" t="s">
        <v>132</v>
      </c>
      <c r="I11" s="116">
        <v>14.8</v>
      </c>
      <c r="J11" s="67"/>
      <c r="K11" s="67">
        <v>1</v>
      </c>
      <c r="L11" s="67">
        <v>1</v>
      </c>
      <c r="M11" s="66">
        <v>13.8</v>
      </c>
      <c r="N11" s="118" t="s">
        <v>2136</v>
      </c>
      <c r="O11" s="68" t="s">
        <v>2137</v>
      </c>
    </row>
    <row r="12" spans="1:36" x14ac:dyDescent="0.3">
      <c r="D12" s="115" t="s">
        <v>2001</v>
      </c>
      <c r="E12" s="116" t="s">
        <v>2002</v>
      </c>
      <c r="F12" s="116" t="s">
        <v>112</v>
      </c>
      <c r="G12" s="66" t="s">
        <v>19</v>
      </c>
      <c r="H12" s="116" t="s">
        <v>134</v>
      </c>
      <c r="I12" s="116">
        <v>12.1</v>
      </c>
      <c r="J12" s="67"/>
      <c r="K12" s="67">
        <v>1</v>
      </c>
      <c r="L12" s="67">
        <v>1</v>
      </c>
      <c r="M12" s="66">
        <v>11.1</v>
      </c>
      <c r="N12" s="118" t="s">
        <v>2138</v>
      </c>
      <c r="O12" s="68" t="s">
        <v>2139</v>
      </c>
    </row>
    <row r="13" spans="1:36" x14ac:dyDescent="0.3">
      <c r="D13" s="115" t="s">
        <v>2005</v>
      </c>
      <c r="E13" s="116" t="s">
        <v>2006</v>
      </c>
      <c r="F13" s="116" t="s">
        <v>118</v>
      </c>
      <c r="G13" s="66" t="s">
        <v>19</v>
      </c>
      <c r="H13" s="116" t="s">
        <v>137</v>
      </c>
      <c r="I13" s="116">
        <v>15.6</v>
      </c>
      <c r="J13" s="67"/>
      <c r="K13" s="67">
        <v>1</v>
      </c>
      <c r="L13" s="67">
        <v>1</v>
      </c>
      <c r="M13" s="66">
        <v>14.6</v>
      </c>
      <c r="N13" s="118" t="s">
        <v>2140</v>
      </c>
      <c r="O13" s="68" t="s">
        <v>2141</v>
      </c>
    </row>
    <row r="14" spans="1:36" x14ac:dyDescent="0.3">
      <c r="D14" s="115" t="s">
        <v>2104</v>
      </c>
      <c r="E14" s="116" t="s">
        <v>1986</v>
      </c>
      <c r="F14" s="116" t="s">
        <v>84</v>
      </c>
      <c r="G14" s="66" t="s">
        <v>20</v>
      </c>
      <c r="H14" s="116" t="s">
        <v>80</v>
      </c>
      <c r="I14" s="116">
        <v>14.3</v>
      </c>
      <c r="J14" s="67"/>
      <c r="K14" s="67">
        <v>1</v>
      </c>
      <c r="L14" s="67">
        <v>1</v>
      </c>
      <c r="M14" s="66">
        <v>13.3</v>
      </c>
      <c r="N14" s="118" t="s">
        <v>2105</v>
      </c>
      <c r="O14" s="68" t="s">
        <v>2106</v>
      </c>
    </row>
    <row r="15" spans="1:36" x14ac:dyDescent="0.3">
      <c r="D15" s="115" t="s">
        <v>2111</v>
      </c>
      <c r="E15" s="116" t="s">
        <v>2037</v>
      </c>
      <c r="F15" s="116" t="s">
        <v>90</v>
      </c>
      <c r="G15" s="66" t="s">
        <v>21</v>
      </c>
      <c r="H15" s="116" t="s">
        <v>94</v>
      </c>
      <c r="I15" s="116">
        <v>39.6</v>
      </c>
      <c r="J15" s="67"/>
      <c r="K15" s="67">
        <v>1</v>
      </c>
      <c r="L15" s="67">
        <v>1</v>
      </c>
      <c r="M15" s="66">
        <v>38.6</v>
      </c>
      <c r="N15" s="118" t="s">
        <v>2112</v>
      </c>
      <c r="O15" s="68" t="s">
        <v>2113</v>
      </c>
    </row>
    <row r="16" spans="1:36" x14ac:dyDescent="0.3">
      <c r="D16" s="115" t="s">
        <v>2071</v>
      </c>
      <c r="E16" s="116" t="s">
        <v>1986</v>
      </c>
      <c r="F16" s="116" t="s">
        <v>84</v>
      </c>
      <c r="G16" s="66" t="s">
        <v>16</v>
      </c>
      <c r="H16" s="116" t="s">
        <v>94</v>
      </c>
      <c r="I16" s="116">
        <v>27.4</v>
      </c>
      <c r="J16" s="67"/>
      <c r="K16" s="67">
        <v>0.92500000000000004</v>
      </c>
      <c r="L16" s="67">
        <v>2</v>
      </c>
      <c r="M16" s="66">
        <v>57.243243243243235</v>
      </c>
      <c r="N16" s="118" t="s">
        <v>2072</v>
      </c>
      <c r="O16" s="68" t="s">
        <v>2073</v>
      </c>
    </row>
    <row r="17" spans="4:22" x14ac:dyDescent="0.3">
      <c r="D17" s="115" t="s">
        <v>2089</v>
      </c>
      <c r="E17" s="116" t="s">
        <v>2037</v>
      </c>
      <c r="F17" s="116" t="s">
        <v>90</v>
      </c>
      <c r="G17" s="66" t="s">
        <v>17</v>
      </c>
      <c r="H17" s="116" t="s">
        <v>134</v>
      </c>
      <c r="I17" s="116">
        <v>33</v>
      </c>
      <c r="J17" s="67"/>
      <c r="K17" s="67">
        <v>0.92500000000000004</v>
      </c>
      <c r="L17" s="67">
        <v>2</v>
      </c>
      <c r="M17" s="66">
        <v>69.351351351351354</v>
      </c>
      <c r="N17" s="118" t="s">
        <v>2090</v>
      </c>
      <c r="O17" s="68" t="s">
        <v>2091</v>
      </c>
    </row>
    <row r="18" spans="4:22" x14ac:dyDescent="0.3">
      <c r="D18" s="115"/>
      <c r="E18" s="116" t="s">
        <v>1916</v>
      </c>
      <c r="F18" s="116" t="s">
        <v>1916</v>
      </c>
      <c r="G18" s="66" t="s">
        <v>1916</v>
      </c>
      <c r="H18" s="116" t="s">
        <v>1916</v>
      </c>
      <c r="I18" s="116" t="s">
        <v>1916</v>
      </c>
      <c r="J18" s="67"/>
      <c r="K18" s="67"/>
      <c r="L18" s="67"/>
      <c r="M18" s="66" t="s">
        <v>1916</v>
      </c>
      <c r="N18" s="118" t="s">
        <v>1916</v>
      </c>
      <c r="O18" s="68" t="s">
        <v>1916</v>
      </c>
    </row>
    <row r="19" spans="4:22" ht="19.5" thickBot="1" x14ac:dyDescent="0.35">
      <c r="D19" s="115"/>
      <c r="E19" s="116" t="s">
        <v>1916</v>
      </c>
      <c r="F19" s="116" t="s">
        <v>1916</v>
      </c>
      <c r="G19" s="66" t="s">
        <v>1916</v>
      </c>
      <c r="H19" s="116" t="s">
        <v>1916</v>
      </c>
      <c r="I19" s="116" t="s">
        <v>1916</v>
      </c>
      <c r="J19" s="67"/>
      <c r="K19" s="67"/>
      <c r="L19" s="67"/>
      <c r="M19" s="66" t="s">
        <v>1916</v>
      </c>
      <c r="N19" s="118" t="s">
        <v>1916</v>
      </c>
      <c r="O19" s="68" t="s">
        <v>1916</v>
      </c>
    </row>
    <row r="20" spans="4:22" ht="19.5" thickBot="1" x14ac:dyDescent="0.35">
      <c r="D20" s="115"/>
      <c r="E20" s="116" t="s">
        <v>1916</v>
      </c>
      <c r="F20" s="116" t="s">
        <v>1916</v>
      </c>
      <c r="G20" s="66" t="s">
        <v>1916</v>
      </c>
      <c r="H20" s="116" t="s">
        <v>1916</v>
      </c>
      <c r="I20" s="116" t="s">
        <v>1916</v>
      </c>
      <c r="J20" s="67"/>
      <c r="K20" s="67"/>
      <c r="L20" s="67"/>
      <c r="M20" s="66" t="s">
        <v>1916</v>
      </c>
      <c r="N20" s="118" t="s">
        <v>1916</v>
      </c>
      <c r="O20" s="68" t="s">
        <v>1916</v>
      </c>
      <c r="Q20" s="69" t="s">
        <v>2149</v>
      </c>
      <c r="R20" s="70"/>
      <c r="S20" s="70"/>
      <c r="T20" s="70"/>
      <c r="U20" s="70"/>
      <c r="V20" s="71"/>
    </row>
    <row r="21" spans="4:22" ht="19.5" thickBot="1" x14ac:dyDescent="0.35">
      <c r="D21" s="115"/>
      <c r="E21" s="116" t="s">
        <v>1916</v>
      </c>
      <c r="F21" s="116" t="s">
        <v>1916</v>
      </c>
      <c r="G21" s="66" t="s">
        <v>1916</v>
      </c>
      <c r="H21" s="116" t="s">
        <v>1916</v>
      </c>
      <c r="I21" s="116" t="s">
        <v>1916</v>
      </c>
      <c r="J21" s="67"/>
      <c r="K21" s="67"/>
      <c r="L21" s="67"/>
      <c r="M21" s="66" t="s">
        <v>1916</v>
      </c>
      <c r="N21" s="118" t="s">
        <v>1916</v>
      </c>
      <c r="O21" s="68" t="s">
        <v>1916</v>
      </c>
      <c r="Q21" s="73" t="s">
        <v>51</v>
      </c>
      <c r="R21" s="119">
        <v>0.75600000000000001</v>
      </c>
      <c r="V21" s="75"/>
    </row>
    <row r="22" spans="4:22" ht="19.5" thickBot="1" x14ac:dyDescent="0.35">
      <c r="D22" s="115"/>
      <c r="E22" s="116" t="s">
        <v>1916</v>
      </c>
      <c r="F22" s="116" t="s">
        <v>1916</v>
      </c>
      <c r="G22" s="66" t="s">
        <v>1916</v>
      </c>
      <c r="H22" s="116" t="s">
        <v>1916</v>
      </c>
      <c r="I22" s="116" t="s">
        <v>1916</v>
      </c>
      <c r="J22" s="67"/>
      <c r="K22" s="67"/>
      <c r="L22" s="67"/>
      <c r="M22" s="66" t="s">
        <v>1916</v>
      </c>
      <c r="N22" s="118" t="s">
        <v>1916</v>
      </c>
      <c r="O22" s="68" t="s">
        <v>1916</v>
      </c>
      <c r="Q22" s="76"/>
      <c r="R22" s="77"/>
      <c r="S22" s="77"/>
      <c r="T22" s="77"/>
      <c r="V22" s="78"/>
    </row>
    <row r="23" spans="4:22" ht="19.5" thickBot="1" x14ac:dyDescent="0.35">
      <c r="D23" s="115"/>
      <c r="E23" s="116" t="s">
        <v>1916</v>
      </c>
      <c r="F23" s="116" t="s">
        <v>1916</v>
      </c>
      <c r="G23" s="66" t="s">
        <v>1916</v>
      </c>
      <c r="H23" s="116" t="s">
        <v>1916</v>
      </c>
      <c r="I23" s="116" t="s">
        <v>1916</v>
      </c>
      <c r="J23" s="67"/>
      <c r="K23" s="67"/>
      <c r="L23" s="67"/>
      <c r="M23" s="66" t="s">
        <v>1916</v>
      </c>
      <c r="N23" s="118" t="s">
        <v>1916</v>
      </c>
      <c r="O23" s="68" t="s">
        <v>1916</v>
      </c>
      <c r="Q23" s="73" t="s">
        <v>54</v>
      </c>
      <c r="R23" s="119">
        <v>350</v>
      </c>
      <c r="T23" s="79" t="s">
        <v>55</v>
      </c>
      <c r="U23" s="77"/>
      <c r="V23" s="75"/>
    </row>
    <row r="24" spans="4:22" ht="19.5" thickBot="1" x14ac:dyDescent="0.35">
      <c r="D24" s="115"/>
      <c r="E24" s="116" t="s">
        <v>1916</v>
      </c>
      <c r="F24" s="116" t="s">
        <v>1916</v>
      </c>
      <c r="G24" s="66" t="s">
        <v>1916</v>
      </c>
      <c r="H24" s="116" t="s">
        <v>1916</v>
      </c>
      <c r="I24" s="116" t="s">
        <v>1916</v>
      </c>
      <c r="J24" s="67"/>
      <c r="K24" s="67"/>
      <c r="L24" s="67"/>
      <c r="M24" s="66" t="s">
        <v>1916</v>
      </c>
      <c r="N24" s="118" t="s">
        <v>1916</v>
      </c>
      <c r="O24" s="68" t="s">
        <v>1916</v>
      </c>
      <c r="Q24" s="73" t="s">
        <v>56</v>
      </c>
      <c r="R24" s="80">
        <v>3323.0769230769233</v>
      </c>
      <c r="T24" s="80">
        <v>9.0277777777777768</v>
      </c>
      <c r="U24" s="82" t="s">
        <v>6</v>
      </c>
      <c r="V24" s="75"/>
    </row>
    <row r="25" spans="4:22" ht="19.5" thickBot="1" x14ac:dyDescent="0.35">
      <c r="D25" s="115"/>
      <c r="E25" s="116" t="s">
        <v>1916</v>
      </c>
      <c r="F25" s="116" t="s">
        <v>1916</v>
      </c>
      <c r="G25" s="66" t="s">
        <v>1916</v>
      </c>
      <c r="H25" s="116" t="s">
        <v>1916</v>
      </c>
      <c r="I25" s="116" t="s">
        <v>1916</v>
      </c>
      <c r="J25" s="67"/>
      <c r="K25" s="67"/>
      <c r="L25" s="67"/>
      <c r="M25" s="66" t="s">
        <v>1916</v>
      </c>
      <c r="N25" s="118" t="s">
        <v>1916</v>
      </c>
      <c r="O25" s="68" t="s">
        <v>1916</v>
      </c>
      <c r="Q25" s="73" t="s">
        <v>57</v>
      </c>
      <c r="R25" s="83">
        <v>1000</v>
      </c>
      <c r="T25" s="80">
        <v>20.972222222222221</v>
      </c>
      <c r="U25" s="82" t="s">
        <v>44</v>
      </c>
      <c r="V25" s="75"/>
    </row>
    <row r="26" spans="4:22" ht="19.5" thickBot="1" x14ac:dyDescent="0.35">
      <c r="D26" s="115"/>
      <c r="E26" s="116" t="s">
        <v>1916</v>
      </c>
      <c r="F26" s="116" t="s">
        <v>1916</v>
      </c>
      <c r="G26" s="66" t="s">
        <v>1916</v>
      </c>
      <c r="H26" s="116" t="s">
        <v>1916</v>
      </c>
      <c r="I26" s="116" t="s">
        <v>1916</v>
      </c>
      <c r="J26" s="67"/>
      <c r="K26" s="67"/>
      <c r="L26" s="67"/>
      <c r="M26" s="66" t="s">
        <v>1916</v>
      </c>
      <c r="N26" s="118" t="s">
        <v>1916</v>
      </c>
      <c r="O26" s="68" t="s">
        <v>1916</v>
      </c>
      <c r="Q26" s="73" t="s">
        <v>60</v>
      </c>
      <c r="R26" s="83">
        <v>30</v>
      </c>
      <c r="S26" s="77"/>
      <c r="T26" s="84"/>
      <c r="V26" s="78"/>
    </row>
    <row r="27" spans="4:22" ht="19.5" thickBot="1" x14ac:dyDescent="0.35">
      <c r="D27" s="115"/>
      <c r="E27" s="116" t="s">
        <v>1916</v>
      </c>
      <c r="F27" s="116" t="s">
        <v>1916</v>
      </c>
      <c r="G27" s="66" t="s">
        <v>1916</v>
      </c>
      <c r="H27" s="116" t="s">
        <v>1916</v>
      </c>
      <c r="I27" s="116" t="s">
        <v>1916</v>
      </c>
      <c r="J27" s="67"/>
      <c r="K27" s="67"/>
      <c r="L27" s="67"/>
      <c r="M27" s="66" t="s">
        <v>1916</v>
      </c>
      <c r="N27" s="118" t="s">
        <v>1916</v>
      </c>
      <c r="O27" s="68" t="s">
        <v>1916</v>
      </c>
      <c r="Q27" s="85"/>
      <c r="R27" s="86"/>
      <c r="S27" s="86"/>
      <c r="T27" s="86"/>
      <c r="U27" s="86"/>
      <c r="V27" s="87"/>
    </row>
    <row r="28" spans="4:22" x14ac:dyDescent="0.3">
      <c r="D28" s="115"/>
      <c r="E28" s="116" t="s">
        <v>1916</v>
      </c>
      <c r="F28" s="116" t="s">
        <v>1916</v>
      </c>
      <c r="G28" s="66" t="s">
        <v>1916</v>
      </c>
      <c r="H28" s="116" t="s">
        <v>1916</v>
      </c>
      <c r="I28" s="116" t="s">
        <v>1916</v>
      </c>
      <c r="J28" s="67"/>
      <c r="K28" s="67"/>
      <c r="L28" s="67"/>
      <c r="M28" s="66" t="s">
        <v>1916</v>
      </c>
      <c r="N28" s="118" t="s">
        <v>1916</v>
      </c>
      <c r="O28" s="68" t="s">
        <v>1916</v>
      </c>
    </row>
    <row r="29" spans="4:22" x14ac:dyDescent="0.3">
      <c r="D29" s="115"/>
      <c r="E29" s="116" t="s">
        <v>1916</v>
      </c>
      <c r="F29" s="116" t="s">
        <v>1916</v>
      </c>
      <c r="G29" s="66" t="s">
        <v>1916</v>
      </c>
      <c r="H29" s="116" t="s">
        <v>1916</v>
      </c>
      <c r="I29" s="116" t="s">
        <v>1916</v>
      </c>
      <c r="J29" s="67"/>
      <c r="K29" s="67"/>
      <c r="L29" s="67"/>
      <c r="M29" s="66" t="s">
        <v>1916</v>
      </c>
      <c r="N29" s="118" t="s">
        <v>1916</v>
      </c>
      <c r="O29" s="68" t="s">
        <v>1916</v>
      </c>
    </row>
    <row r="30" spans="4:22" x14ac:dyDescent="0.3">
      <c r="D30" s="115"/>
      <c r="E30" s="116" t="s">
        <v>1916</v>
      </c>
      <c r="F30" s="116" t="s">
        <v>1916</v>
      </c>
      <c r="G30" s="66" t="s">
        <v>1916</v>
      </c>
      <c r="H30" s="116" t="s">
        <v>1916</v>
      </c>
      <c r="I30" s="116" t="s">
        <v>1916</v>
      </c>
      <c r="J30" s="67"/>
      <c r="K30" s="67"/>
      <c r="L30" s="67"/>
      <c r="M30" s="66" t="s">
        <v>1916</v>
      </c>
      <c r="N30" s="118" t="s">
        <v>1916</v>
      </c>
      <c r="O30" s="68" t="s">
        <v>1916</v>
      </c>
    </row>
    <row r="31" spans="4:22" x14ac:dyDescent="0.3">
      <c r="D31" s="115"/>
      <c r="E31" s="116" t="s">
        <v>1916</v>
      </c>
      <c r="F31" s="116" t="s">
        <v>1916</v>
      </c>
      <c r="G31" s="66" t="s">
        <v>1916</v>
      </c>
      <c r="H31" s="116" t="s">
        <v>1916</v>
      </c>
      <c r="I31" s="116" t="s">
        <v>1916</v>
      </c>
      <c r="J31" s="67"/>
      <c r="K31" s="67"/>
      <c r="L31" s="67"/>
      <c r="M31" s="66" t="s">
        <v>1916</v>
      </c>
      <c r="N31" s="118" t="s">
        <v>1916</v>
      </c>
      <c r="O31" s="68" t="s">
        <v>1916</v>
      </c>
    </row>
    <row r="32" spans="4:22" x14ac:dyDescent="0.3">
      <c r="D32" s="115"/>
      <c r="E32" s="116" t="s">
        <v>1916</v>
      </c>
      <c r="F32" s="116" t="s">
        <v>1916</v>
      </c>
      <c r="G32" s="66" t="s">
        <v>1916</v>
      </c>
      <c r="H32" s="116" t="s">
        <v>1916</v>
      </c>
      <c r="I32" s="116" t="s">
        <v>1916</v>
      </c>
      <c r="J32" s="67"/>
      <c r="K32" s="67"/>
      <c r="L32" s="67"/>
      <c r="M32" s="66" t="s">
        <v>1916</v>
      </c>
      <c r="N32" s="118" t="s">
        <v>1916</v>
      </c>
      <c r="O32" s="68" t="s">
        <v>1916</v>
      </c>
    </row>
    <row r="33" spans="4:30" x14ac:dyDescent="0.3">
      <c r="D33" s="115"/>
      <c r="E33" s="116" t="s">
        <v>1916</v>
      </c>
      <c r="F33" s="116" t="s">
        <v>1916</v>
      </c>
      <c r="G33" s="66" t="s">
        <v>1916</v>
      </c>
      <c r="H33" s="116" t="s">
        <v>1916</v>
      </c>
      <c r="I33" s="116" t="s">
        <v>1916</v>
      </c>
      <c r="J33" s="67"/>
      <c r="K33" s="67"/>
      <c r="L33" s="67"/>
      <c r="M33" s="66" t="s">
        <v>1916</v>
      </c>
      <c r="N33" s="118" t="s">
        <v>1916</v>
      </c>
      <c r="O33" s="68" t="s">
        <v>1916</v>
      </c>
    </row>
    <row r="34" spans="4:30" ht="19.5" thickBot="1" x14ac:dyDescent="0.35">
      <c r="D34" s="115"/>
      <c r="E34" s="116" t="s">
        <v>1916</v>
      </c>
      <c r="F34" s="116" t="s">
        <v>1916</v>
      </c>
      <c r="G34" s="66" t="s">
        <v>1916</v>
      </c>
      <c r="H34" s="116" t="s">
        <v>1916</v>
      </c>
      <c r="I34" s="116" t="s">
        <v>1916</v>
      </c>
      <c r="J34" s="67"/>
      <c r="K34" s="67"/>
      <c r="L34" s="67"/>
      <c r="M34" s="66" t="s">
        <v>1916</v>
      </c>
      <c r="N34" s="118" t="s">
        <v>1916</v>
      </c>
      <c r="O34" s="68" t="s">
        <v>1916</v>
      </c>
    </row>
    <row r="35" spans="4:30" ht="19.5" thickBot="1" x14ac:dyDescent="0.35">
      <c r="D35" s="115"/>
      <c r="E35" s="116" t="s">
        <v>1916</v>
      </c>
      <c r="F35" s="116" t="s">
        <v>1916</v>
      </c>
      <c r="G35" s="66" t="s">
        <v>1916</v>
      </c>
      <c r="H35" s="116" t="s">
        <v>1916</v>
      </c>
      <c r="I35" s="116" t="s">
        <v>1916</v>
      </c>
      <c r="J35" s="67"/>
      <c r="K35" s="67"/>
      <c r="L35" s="67"/>
      <c r="M35" s="66" t="s">
        <v>1916</v>
      </c>
      <c r="N35" s="118" t="s">
        <v>1916</v>
      </c>
      <c r="O35" s="68" t="s">
        <v>1916</v>
      </c>
      <c r="Q35" s="69" t="s">
        <v>65</v>
      </c>
      <c r="R35" s="70"/>
      <c r="S35" s="70"/>
      <c r="T35" s="70"/>
      <c r="U35" s="70"/>
      <c r="V35" s="71"/>
      <c r="X35" s="91" t="s">
        <v>66</v>
      </c>
      <c r="Y35" s="92">
        <v>1.2</v>
      </c>
      <c r="Z35" s="91" t="s">
        <v>67</v>
      </c>
      <c r="AA35" s="93" t="s">
        <v>68</v>
      </c>
      <c r="AB35" s="94">
        <v>600</v>
      </c>
    </row>
    <row r="36" spans="4:30" ht="19.5" thickBot="1" x14ac:dyDescent="0.35">
      <c r="D36" s="115"/>
      <c r="E36" s="116" t="s">
        <v>1916</v>
      </c>
      <c r="F36" s="116" t="s">
        <v>1916</v>
      </c>
      <c r="G36" s="66" t="s">
        <v>1916</v>
      </c>
      <c r="H36" s="116" t="s">
        <v>1916</v>
      </c>
      <c r="I36" s="116" t="s">
        <v>1916</v>
      </c>
      <c r="J36" s="67"/>
      <c r="K36" s="67"/>
      <c r="L36" s="67"/>
      <c r="M36" s="66" t="s">
        <v>1916</v>
      </c>
      <c r="N36" s="118" t="s">
        <v>1916</v>
      </c>
      <c r="O36" s="68" t="s">
        <v>1916</v>
      </c>
      <c r="Q36" s="73" t="s">
        <v>56</v>
      </c>
      <c r="R36" s="119">
        <v>500</v>
      </c>
      <c r="T36" s="79" t="s">
        <v>55</v>
      </c>
      <c r="U36" s="77"/>
      <c r="V36" s="75"/>
      <c r="X36" s="95" t="s">
        <v>69</v>
      </c>
      <c r="Y36" s="96" t="s">
        <v>70</v>
      </c>
      <c r="Z36" s="97" t="s">
        <v>71</v>
      </c>
      <c r="AA36" s="98" t="s">
        <v>72</v>
      </c>
      <c r="AB36" s="98" t="s">
        <v>73</v>
      </c>
    </row>
    <row r="37" spans="4:30" ht="19.5" thickBot="1" x14ac:dyDescent="0.35">
      <c r="D37" s="115"/>
      <c r="E37" s="116" t="s">
        <v>1916</v>
      </c>
      <c r="F37" s="116" t="s">
        <v>1916</v>
      </c>
      <c r="G37" s="66" t="s">
        <v>1916</v>
      </c>
      <c r="H37" s="116" t="s">
        <v>1916</v>
      </c>
      <c r="I37" s="116" t="s">
        <v>1916</v>
      </c>
      <c r="J37" s="67"/>
      <c r="K37" s="67"/>
      <c r="L37" s="67"/>
      <c r="M37" s="66" t="s">
        <v>1916</v>
      </c>
      <c r="N37" s="118" t="s">
        <v>1916</v>
      </c>
      <c r="O37" s="68" t="s">
        <v>1916</v>
      </c>
      <c r="Q37" s="73" t="s">
        <v>57</v>
      </c>
      <c r="R37" s="119">
        <v>8</v>
      </c>
      <c r="T37" s="80">
        <v>4.8</v>
      </c>
      <c r="U37" s="82" t="s">
        <v>6</v>
      </c>
      <c r="V37" s="75"/>
      <c r="X37" s="99" t="s">
        <v>84</v>
      </c>
      <c r="Y37" s="100">
        <v>0.105</v>
      </c>
      <c r="Z37" s="27">
        <v>2</v>
      </c>
      <c r="AA37" s="101">
        <v>0.17499999999999999</v>
      </c>
      <c r="AB37" s="102">
        <v>111.99999999999999</v>
      </c>
    </row>
    <row r="38" spans="4:30" ht="19.5" thickBot="1" x14ac:dyDescent="0.35">
      <c r="D38" s="115"/>
      <c r="E38" s="116" t="s">
        <v>1916</v>
      </c>
      <c r="F38" s="116" t="s">
        <v>1916</v>
      </c>
      <c r="G38" s="66" t="s">
        <v>1916</v>
      </c>
      <c r="H38" s="116" t="s">
        <v>1916</v>
      </c>
      <c r="I38" s="116" t="s">
        <v>1916</v>
      </c>
      <c r="J38" s="67"/>
      <c r="K38" s="67"/>
      <c r="L38" s="67"/>
      <c r="M38" s="66" t="s">
        <v>1916</v>
      </c>
      <c r="N38" s="118" t="s">
        <v>1916</v>
      </c>
      <c r="O38" s="68" t="s">
        <v>1916</v>
      </c>
      <c r="Q38" s="73" t="s">
        <v>60</v>
      </c>
      <c r="R38" s="80">
        <v>300</v>
      </c>
      <c r="S38" s="77"/>
      <c r="T38" s="80">
        <v>295.2</v>
      </c>
      <c r="U38" s="82" t="s">
        <v>44</v>
      </c>
      <c r="V38" s="78"/>
      <c r="X38" s="99" t="s">
        <v>90</v>
      </c>
      <c r="Y38" s="100">
        <v>4.4999999999999998E-2</v>
      </c>
      <c r="Z38" s="27">
        <v>2</v>
      </c>
      <c r="AA38" s="101">
        <v>7.4999999999999997E-2</v>
      </c>
      <c r="AB38" s="102">
        <v>48</v>
      </c>
    </row>
    <row r="39" spans="4:30" ht="19.5" thickBot="1" x14ac:dyDescent="0.35">
      <c r="D39" s="115"/>
      <c r="E39" s="116" t="s">
        <v>1916</v>
      </c>
      <c r="F39" s="116" t="s">
        <v>1916</v>
      </c>
      <c r="G39" s="66" t="s">
        <v>1916</v>
      </c>
      <c r="H39" s="116" t="s">
        <v>1916</v>
      </c>
      <c r="I39" s="116" t="s">
        <v>1916</v>
      </c>
      <c r="J39" s="67"/>
      <c r="K39" s="67"/>
      <c r="L39" s="67"/>
      <c r="M39" s="66" t="s">
        <v>1916</v>
      </c>
      <c r="N39" s="118" t="s">
        <v>1916</v>
      </c>
      <c r="O39" s="68" t="s">
        <v>1916</v>
      </c>
      <c r="Q39" s="85"/>
      <c r="R39" s="86"/>
      <c r="S39" s="86"/>
      <c r="T39" s="86"/>
      <c r="U39" s="86"/>
      <c r="V39" s="87"/>
      <c r="X39" s="99" t="s">
        <v>107</v>
      </c>
      <c r="Y39" s="100">
        <v>7.1999999999999995E-2</v>
      </c>
      <c r="Z39" s="27">
        <v>3</v>
      </c>
      <c r="AA39" s="101">
        <v>0.18</v>
      </c>
      <c r="AB39" s="102">
        <v>115.2</v>
      </c>
      <c r="AD39" s="124"/>
    </row>
    <row r="40" spans="4:30" ht="19.5" thickBot="1" x14ac:dyDescent="0.35">
      <c r="D40" s="115"/>
      <c r="E40" s="116" t="s">
        <v>1916</v>
      </c>
      <c r="F40" s="116" t="s">
        <v>1916</v>
      </c>
      <c r="G40" s="66" t="s">
        <v>1916</v>
      </c>
      <c r="H40" s="116" t="s">
        <v>1916</v>
      </c>
      <c r="I40" s="116" t="s">
        <v>1916</v>
      </c>
      <c r="J40" s="67"/>
      <c r="K40" s="67"/>
      <c r="L40" s="67"/>
      <c r="M40" s="66" t="s">
        <v>1916</v>
      </c>
      <c r="N40" s="118" t="s">
        <v>1916</v>
      </c>
      <c r="O40" s="68" t="s">
        <v>1916</v>
      </c>
      <c r="X40" s="99" t="s">
        <v>118</v>
      </c>
      <c r="Y40" s="100">
        <v>6.0999999999999999E-2</v>
      </c>
      <c r="Z40" s="27">
        <v>1</v>
      </c>
      <c r="AA40" s="101">
        <v>5.0833333333333335E-2</v>
      </c>
      <c r="AB40" s="102">
        <v>32.533333333333331</v>
      </c>
    </row>
    <row r="41" spans="4:30" ht="19.5" thickBot="1" x14ac:dyDescent="0.35">
      <c r="D41" s="115"/>
      <c r="E41" s="116" t="s">
        <v>1916</v>
      </c>
      <c r="F41" s="116" t="s">
        <v>1916</v>
      </c>
      <c r="G41" s="66" t="s">
        <v>1916</v>
      </c>
      <c r="H41" s="116" t="s">
        <v>1916</v>
      </c>
      <c r="I41" s="116" t="s">
        <v>1916</v>
      </c>
      <c r="J41" s="67"/>
      <c r="K41" s="67"/>
      <c r="L41" s="67"/>
      <c r="M41" s="66" t="s">
        <v>1916</v>
      </c>
      <c r="N41" s="118" t="s">
        <v>1916</v>
      </c>
      <c r="O41" s="68" t="s">
        <v>1916</v>
      </c>
      <c r="Q41" s="69" t="s">
        <v>74</v>
      </c>
      <c r="R41" s="70"/>
      <c r="S41" s="70"/>
      <c r="T41" s="70"/>
      <c r="U41" s="70"/>
      <c r="V41" s="71"/>
      <c r="X41" s="103" t="s">
        <v>112</v>
      </c>
      <c r="Y41" s="100">
        <v>6.0999999999999999E-2</v>
      </c>
      <c r="Z41" s="27">
        <v>7</v>
      </c>
      <c r="AA41" s="101">
        <v>0.35583333333333333</v>
      </c>
      <c r="AB41" s="102">
        <v>227.73333333333332</v>
      </c>
    </row>
    <row r="42" spans="4:30" ht="19.5" thickBot="1" x14ac:dyDescent="0.35">
      <c r="D42" s="115"/>
      <c r="E42" s="116" t="s">
        <v>1916</v>
      </c>
      <c r="F42" s="116" t="s">
        <v>1916</v>
      </c>
      <c r="G42" s="66" t="s">
        <v>1916</v>
      </c>
      <c r="H42" s="116" t="s">
        <v>1916</v>
      </c>
      <c r="I42" s="116" t="s">
        <v>1916</v>
      </c>
      <c r="J42" s="67"/>
      <c r="K42" s="67"/>
      <c r="L42" s="67"/>
      <c r="M42" s="66" t="s">
        <v>1916</v>
      </c>
      <c r="N42" s="118" t="s">
        <v>1916</v>
      </c>
      <c r="O42" s="68" t="s">
        <v>1916</v>
      </c>
      <c r="Q42" s="73" t="s">
        <v>56</v>
      </c>
      <c r="R42" s="119">
        <v>40</v>
      </c>
      <c r="T42" s="79" t="s">
        <v>55</v>
      </c>
      <c r="U42" s="77"/>
      <c r="V42" s="75"/>
      <c r="X42" s="104" t="s">
        <v>123</v>
      </c>
      <c r="Y42" s="100">
        <v>6.0999999999999999E-2</v>
      </c>
      <c r="Z42" s="27">
        <v>1</v>
      </c>
      <c r="AA42" s="101">
        <v>5.0833333333333335E-2</v>
      </c>
      <c r="AB42" s="102">
        <v>32.533333333333331</v>
      </c>
    </row>
    <row r="43" spans="4:30" ht="19.5" thickBot="1" x14ac:dyDescent="0.35">
      <c r="D43" s="115"/>
      <c r="E43" s="116" t="s">
        <v>1916</v>
      </c>
      <c r="F43" s="116" t="s">
        <v>1916</v>
      </c>
      <c r="G43" s="66" t="s">
        <v>1916</v>
      </c>
      <c r="H43" s="116" t="s">
        <v>1916</v>
      </c>
      <c r="I43" s="116" t="s">
        <v>1916</v>
      </c>
      <c r="J43" s="67"/>
      <c r="K43" s="67"/>
      <c r="L43" s="67"/>
      <c r="M43" s="66" t="s">
        <v>1916</v>
      </c>
      <c r="N43" s="118" t="s">
        <v>1916</v>
      </c>
      <c r="O43" s="68" t="s">
        <v>1916</v>
      </c>
      <c r="Q43" s="73" t="s">
        <v>57</v>
      </c>
      <c r="R43" s="119">
        <v>8</v>
      </c>
      <c r="T43" s="80">
        <v>12</v>
      </c>
      <c r="U43" s="82" t="s">
        <v>6</v>
      </c>
      <c r="V43" s="75"/>
      <c r="X43" s="104"/>
      <c r="Y43" s="100" t="s">
        <v>1916</v>
      </c>
      <c r="Z43" s="27" t="s">
        <v>1916</v>
      </c>
      <c r="AA43" s="101" t="s">
        <v>1916</v>
      </c>
      <c r="AB43" s="102" t="s">
        <v>1916</v>
      </c>
    </row>
    <row r="44" spans="4:30" ht="19.5" thickBot="1" x14ac:dyDescent="0.35">
      <c r="D44" s="115"/>
      <c r="E44" s="116" t="s">
        <v>1916</v>
      </c>
      <c r="F44" s="116" t="s">
        <v>1916</v>
      </c>
      <c r="G44" s="66" t="s">
        <v>1916</v>
      </c>
      <c r="H44" s="116" t="s">
        <v>1916</v>
      </c>
      <c r="I44" s="116" t="s">
        <v>1916</v>
      </c>
      <c r="J44" s="67"/>
      <c r="K44" s="67"/>
      <c r="L44" s="67"/>
      <c r="M44" s="66" t="s">
        <v>1916</v>
      </c>
      <c r="N44" s="118" t="s">
        <v>1916</v>
      </c>
      <c r="O44" s="68" t="s">
        <v>1916</v>
      </c>
      <c r="Q44" s="73" t="s">
        <v>60</v>
      </c>
      <c r="R44" s="80">
        <v>60</v>
      </c>
      <c r="S44" s="77"/>
      <c r="T44" s="80">
        <v>48</v>
      </c>
      <c r="U44" s="82" t="s">
        <v>44</v>
      </c>
      <c r="V44" s="78"/>
      <c r="X44" s="105" t="s">
        <v>75</v>
      </c>
      <c r="Y44" s="106" t="s">
        <v>1916</v>
      </c>
      <c r="Z44" s="107" t="s">
        <v>1916</v>
      </c>
      <c r="AA44" s="108">
        <v>0.05</v>
      </c>
      <c r="AB44" s="109">
        <v>32</v>
      </c>
    </row>
    <row r="45" spans="4:30" ht="19.5" thickBot="1" x14ac:dyDescent="0.35">
      <c r="D45" s="115"/>
      <c r="E45" s="116" t="s">
        <v>1916</v>
      </c>
      <c r="F45" s="116" t="s">
        <v>1916</v>
      </c>
      <c r="G45" s="66" t="s">
        <v>1916</v>
      </c>
      <c r="H45" s="116" t="s">
        <v>1916</v>
      </c>
      <c r="I45" s="116" t="s">
        <v>1916</v>
      </c>
      <c r="J45" s="67"/>
      <c r="K45" s="67"/>
      <c r="L45" s="67"/>
      <c r="M45" s="66" t="s">
        <v>1916</v>
      </c>
      <c r="N45" s="118" t="s">
        <v>1916</v>
      </c>
      <c r="O45" s="68" t="s">
        <v>1916</v>
      </c>
      <c r="Q45" s="85"/>
      <c r="R45" s="86"/>
      <c r="S45" s="86"/>
      <c r="T45" s="86"/>
      <c r="U45" s="86"/>
      <c r="V45" s="87"/>
      <c r="Z45" s="110" t="s">
        <v>76</v>
      </c>
      <c r="AA45" s="111">
        <v>0.9375</v>
      </c>
      <c r="AB45" s="89"/>
    </row>
    <row r="46" spans="4:30" x14ac:dyDescent="0.3">
      <c r="D46" s="115"/>
      <c r="E46" s="116" t="s">
        <v>1916</v>
      </c>
      <c r="F46" s="116" t="s">
        <v>1916</v>
      </c>
      <c r="G46" s="66" t="s">
        <v>1916</v>
      </c>
      <c r="H46" s="116" t="s">
        <v>1916</v>
      </c>
      <c r="I46" s="116" t="s">
        <v>1916</v>
      </c>
      <c r="J46" s="67"/>
      <c r="K46" s="67"/>
      <c r="L46" s="67"/>
      <c r="M46" s="66" t="s">
        <v>1916</v>
      </c>
      <c r="N46" s="118" t="s">
        <v>1916</v>
      </c>
      <c r="O46" s="68" t="s">
        <v>1916</v>
      </c>
    </row>
  </sheetData>
  <conditionalFormatting sqref="D2:F2 H2:L2 N2 D3:O46">
    <cfRule type="expression" dxfId="122" priority="4">
      <formula>ISNUMBER(FIND("POOL",$D2))*COUNTIF($N$2:$N$46,$N2)&gt;1</formula>
    </cfRule>
  </conditionalFormatting>
  <conditionalFormatting sqref="G2:G46">
    <cfRule type="expression" dxfId="121" priority="1">
      <formula>ISNUMBER(FIND("POOL",$D2))*COUNTIF($N$2:$N$46,$N2)&gt;1</formula>
    </cfRule>
  </conditionalFormatting>
  <conditionalFormatting sqref="M2:M46">
    <cfRule type="expression" dxfId="120" priority="2">
      <formula>ISNUMBER(FIND("POOL",$D2))*COUNTIF($N$2:$N$46,$N2)&gt;1</formula>
    </cfRule>
  </conditionalFormatting>
  <conditionalFormatting sqref="O2:O46">
    <cfRule type="expression" dxfId="119" priority="3">
      <formula>ISNUMBER(FIND("POOL",$D2))*COUNTIF($N$2:$N$46,$N2)&gt;1</formula>
    </cfRule>
  </conditionalFormatting>
  <pageMargins left="0.25" right="0.25" top="0.75" bottom="0.75" header="0.3" footer="0.3"/>
  <pageSetup paperSize="9" scale="5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9F246-EE55-4011-B0BD-285D8F73D499}">
  <dimension ref="A1:AB45"/>
  <sheetViews>
    <sheetView view="pageBreakPreview" zoomScale="55" zoomScaleNormal="100" zoomScaleSheetLayoutView="55" zoomScalePageLayoutView="40" workbookViewId="0"/>
  </sheetViews>
  <sheetFormatPr defaultColWidth="9.140625" defaultRowHeight="18.75" x14ac:dyDescent="0.3"/>
  <cols>
    <col min="1" max="1" width="23.7109375" style="28" customWidth="1"/>
    <col min="2" max="2" width="33.28515625" style="28" customWidth="1"/>
    <col min="3" max="3" width="3.42578125" style="28" customWidth="1"/>
    <col min="4" max="4" width="18.42578125" style="28" customWidth="1"/>
    <col min="5" max="5" width="21.5703125" style="28" customWidth="1"/>
    <col min="6" max="7" width="27.5703125" style="28" customWidth="1"/>
    <col min="8" max="8" width="12.5703125" style="28" bestFit="1" customWidth="1"/>
    <col min="9" max="9" width="16.5703125" style="28" customWidth="1"/>
    <col min="10" max="10" width="12.140625" style="28" bestFit="1" customWidth="1"/>
    <col min="11" max="11" width="17.140625" style="28" bestFit="1" customWidth="1"/>
    <col min="12" max="12" width="6.28515625" style="28" bestFit="1" customWidth="1"/>
    <col min="13" max="13" width="7.85546875" style="28" customWidth="1"/>
    <col min="14" max="14" width="31.140625" style="28" customWidth="1"/>
    <col min="15" max="15" width="22.140625" style="28" hidden="1" customWidth="1"/>
    <col min="16" max="16" width="2.7109375" style="28" customWidth="1"/>
    <col min="17" max="17" width="24" style="28" customWidth="1"/>
    <col min="18" max="18" width="12.28515625" style="28" bestFit="1" customWidth="1"/>
    <col min="19" max="19" width="14.28515625" style="28" bestFit="1" customWidth="1"/>
    <col min="20" max="20" width="12.28515625" style="28" bestFit="1" customWidth="1"/>
    <col min="21" max="21" width="7.140625" style="28" bestFit="1" customWidth="1"/>
    <col min="22" max="22" width="4" style="28" customWidth="1"/>
    <col min="23" max="23" width="3.42578125" style="28" customWidth="1"/>
    <col min="24" max="24" width="24" style="28" bestFit="1" customWidth="1"/>
    <col min="25" max="25" width="16" style="28" bestFit="1" customWidth="1"/>
    <col min="26" max="26" width="14.28515625" style="28" bestFit="1" customWidth="1"/>
    <col min="27" max="27" width="17.140625" style="28" bestFit="1" customWidth="1"/>
    <col min="28" max="28" width="10.5703125" style="28" bestFit="1" customWidth="1"/>
    <col min="29" max="29" width="3.140625" style="28" customWidth="1"/>
    <col min="30" max="30" width="3.7109375" style="28" customWidth="1"/>
    <col min="31" max="31" width="24" style="28" customWidth="1"/>
    <col min="32" max="32" width="12.28515625" style="28" bestFit="1" customWidth="1"/>
    <col min="33" max="33" width="14.28515625" style="28" bestFit="1" customWidth="1"/>
    <col min="34" max="34" width="12.28515625" style="28" bestFit="1" customWidth="1"/>
    <col min="35" max="35" width="7.140625" style="28" bestFit="1" customWidth="1"/>
    <col min="36" max="36" width="2.140625" style="28" customWidth="1"/>
    <col min="37" max="16384" width="9.140625" style="28"/>
  </cols>
  <sheetData>
    <row r="1" spans="1:22" ht="38.25" thickBot="1" x14ac:dyDescent="0.35">
      <c r="A1" s="113" t="s">
        <v>41</v>
      </c>
      <c r="B1" s="114" t="s">
        <v>1937</v>
      </c>
      <c r="D1" s="65" t="s">
        <v>2</v>
      </c>
      <c r="E1" s="65" t="s">
        <v>3</v>
      </c>
      <c r="F1" s="65" t="s">
        <v>4</v>
      </c>
      <c r="G1" s="65" t="s">
        <v>0</v>
      </c>
      <c r="H1" s="65" t="s">
        <v>1</v>
      </c>
      <c r="I1" s="65" t="s">
        <v>10</v>
      </c>
      <c r="J1" s="65" t="s">
        <v>42</v>
      </c>
      <c r="K1" s="65" t="s">
        <v>43</v>
      </c>
      <c r="L1" s="65" t="s">
        <v>6</v>
      </c>
      <c r="M1" s="65" t="s">
        <v>44</v>
      </c>
      <c r="N1" s="65" t="s">
        <v>45</v>
      </c>
      <c r="O1" s="65" t="s">
        <v>46</v>
      </c>
    </row>
    <row r="2" spans="1:22" ht="19.5" thickBot="1" x14ac:dyDescent="0.35">
      <c r="D2" s="115" t="s">
        <v>2059</v>
      </c>
      <c r="E2" s="116" t="s">
        <v>1974</v>
      </c>
      <c r="F2" s="116" t="s">
        <v>84</v>
      </c>
      <c r="G2" s="66" t="s">
        <v>15</v>
      </c>
      <c r="H2" s="116" t="s">
        <v>80</v>
      </c>
      <c r="I2" s="116">
        <v>7.76</v>
      </c>
      <c r="J2" s="67">
        <v>8.56</v>
      </c>
      <c r="K2" s="67">
        <v>2</v>
      </c>
      <c r="L2" s="67">
        <v>2</v>
      </c>
      <c r="M2" s="66">
        <v>6.5600000000000005</v>
      </c>
      <c r="N2" s="118" t="s">
        <v>2060</v>
      </c>
      <c r="O2" s="68" t="s">
        <v>2061</v>
      </c>
      <c r="Q2" s="69" t="s">
        <v>2143</v>
      </c>
      <c r="R2" s="70"/>
      <c r="S2" s="70"/>
      <c r="T2" s="70"/>
      <c r="U2" s="70"/>
      <c r="V2" s="71"/>
    </row>
    <row r="3" spans="1:22" ht="19.5" thickBot="1" x14ac:dyDescent="0.35">
      <c r="A3" s="113" t="s">
        <v>49</v>
      </c>
      <c r="B3" s="112" t="s">
        <v>50</v>
      </c>
      <c r="D3" s="115" t="s">
        <v>2068</v>
      </c>
      <c r="E3" s="116" t="s">
        <v>1986</v>
      </c>
      <c r="F3" s="116" t="s">
        <v>84</v>
      </c>
      <c r="G3" s="66" t="s">
        <v>16</v>
      </c>
      <c r="H3" s="116" t="s">
        <v>86</v>
      </c>
      <c r="I3" s="116">
        <v>29.8</v>
      </c>
      <c r="J3" s="67">
        <v>40.200000000000003</v>
      </c>
      <c r="K3" s="67">
        <v>2</v>
      </c>
      <c r="L3" s="67">
        <v>2</v>
      </c>
      <c r="M3" s="66">
        <v>38.200000000000003</v>
      </c>
      <c r="N3" s="118" t="s">
        <v>2069</v>
      </c>
      <c r="O3" s="68" t="s">
        <v>2070</v>
      </c>
      <c r="Q3" s="73" t="s">
        <v>51</v>
      </c>
      <c r="R3" s="119">
        <v>1.21</v>
      </c>
      <c r="V3" s="75"/>
    </row>
    <row r="4" spans="1:22" ht="19.5" thickBot="1" x14ac:dyDescent="0.35">
      <c r="A4" s="113" t="s">
        <v>52</v>
      </c>
      <c r="B4" s="112">
        <v>8</v>
      </c>
      <c r="D4" s="115" t="s">
        <v>2071</v>
      </c>
      <c r="E4" s="116" t="s">
        <v>1986</v>
      </c>
      <c r="F4" s="116" t="s">
        <v>84</v>
      </c>
      <c r="G4" s="66" t="s">
        <v>16</v>
      </c>
      <c r="H4" s="116" t="s">
        <v>94</v>
      </c>
      <c r="I4" s="116">
        <v>27.4</v>
      </c>
      <c r="J4" s="67">
        <v>32.799999999999997</v>
      </c>
      <c r="K4" s="67">
        <v>2</v>
      </c>
      <c r="L4" s="67">
        <v>2</v>
      </c>
      <c r="M4" s="66">
        <v>30.799999999999997</v>
      </c>
      <c r="N4" s="118" t="s">
        <v>2072</v>
      </c>
      <c r="O4" s="68" t="s">
        <v>2073</v>
      </c>
      <c r="Q4" s="76"/>
      <c r="R4" s="77"/>
      <c r="S4" s="77"/>
      <c r="T4" s="77"/>
      <c r="V4" s="78"/>
    </row>
    <row r="5" spans="1:22" ht="19.5" thickBot="1" x14ac:dyDescent="0.35">
      <c r="A5" s="113" t="s">
        <v>53</v>
      </c>
      <c r="B5" s="112">
        <v>151</v>
      </c>
      <c r="D5" s="115" t="s">
        <v>2074</v>
      </c>
      <c r="E5" s="116" t="s">
        <v>1994</v>
      </c>
      <c r="F5" s="116" t="s">
        <v>84</v>
      </c>
      <c r="G5" s="66" t="s">
        <v>16</v>
      </c>
      <c r="H5" s="116" t="s">
        <v>103</v>
      </c>
      <c r="I5" s="116">
        <v>28.8</v>
      </c>
      <c r="J5" s="67">
        <v>31.2</v>
      </c>
      <c r="K5" s="67">
        <v>2</v>
      </c>
      <c r="L5" s="67">
        <v>2</v>
      </c>
      <c r="M5" s="66">
        <v>29.2</v>
      </c>
      <c r="N5" s="118" t="s">
        <v>2075</v>
      </c>
      <c r="O5" s="68" t="s">
        <v>2076</v>
      </c>
      <c r="Q5" s="73" t="s">
        <v>54</v>
      </c>
      <c r="R5" s="119">
        <v>350</v>
      </c>
      <c r="T5" s="79" t="s">
        <v>55</v>
      </c>
      <c r="U5" s="77"/>
      <c r="V5" s="75"/>
    </row>
    <row r="6" spans="1:22" ht="19.5" thickBot="1" x14ac:dyDescent="0.35">
      <c r="D6" s="115" t="s">
        <v>2077</v>
      </c>
      <c r="E6" s="116" t="s">
        <v>1998</v>
      </c>
      <c r="F6" s="116" t="s">
        <v>84</v>
      </c>
      <c r="G6" s="66" t="s">
        <v>16</v>
      </c>
      <c r="H6" s="116" t="s">
        <v>109</v>
      </c>
      <c r="I6" s="116">
        <v>8.98</v>
      </c>
      <c r="J6" s="67">
        <v>9.44</v>
      </c>
      <c r="K6" s="67">
        <v>2</v>
      </c>
      <c r="L6" s="67">
        <v>2</v>
      </c>
      <c r="M6" s="66">
        <v>7.4399999999999995</v>
      </c>
      <c r="N6" s="118" t="s">
        <v>2078</v>
      </c>
      <c r="O6" s="68" t="s">
        <v>2079</v>
      </c>
      <c r="Q6" s="73" t="s">
        <v>56</v>
      </c>
      <c r="R6" s="80">
        <v>5318.6813186813188</v>
      </c>
      <c r="T6" s="80">
        <v>7.5206611570247937</v>
      </c>
      <c r="U6" s="82" t="s">
        <v>6</v>
      </c>
      <c r="V6" s="75"/>
    </row>
    <row r="7" spans="1:22" ht="19.5" thickBot="1" x14ac:dyDescent="0.35">
      <c r="A7" s="113" t="s">
        <v>58</v>
      </c>
      <c r="B7" s="112" t="s">
        <v>97</v>
      </c>
      <c r="D7" s="115" t="s">
        <v>2062</v>
      </c>
      <c r="E7" s="116" t="s">
        <v>1978</v>
      </c>
      <c r="F7" s="116" t="s">
        <v>84</v>
      </c>
      <c r="G7" s="66" t="s">
        <v>15</v>
      </c>
      <c r="H7" s="116" t="s">
        <v>86</v>
      </c>
      <c r="I7" s="116">
        <v>7.48</v>
      </c>
      <c r="J7" s="67">
        <v>7.02</v>
      </c>
      <c r="K7" s="67">
        <v>2</v>
      </c>
      <c r="L7" s="67">
        <v>2</v>
      </c>
      <c r="M7" s="66">
        <v>5.0199999999999996</v>
      </c>
      <c r="N7" s="118" t="s">
        <v>2063</v>
      </c>
      <c r="O7" s="68" t="s">
        <v>2064</v>
      </c>
      <c r="Q7" s="73" t="s">
        <v>57</v>
      </c>
      <c r="R7" s="83">
        <v>2000</v>
      </c>
      <c r="T7" s="80">
        <v>12.479338842975206</v>
      </c>
      <c r="U7" s="82" t="s">
        <v>44</v>
      </c>
      <c r="V7" s="75"/>
    </row>
    <row r="8" spans="1:22" ht="19.5" thickBot="1" x14ac:dyDescent="0.35">
      <c r="A8" s="113" t="s">
        <v>61</v>
      </c>
      <c r="B8" s="112" t="s">
        <v>2144</v>
      </c>
      <c r="D8" s="115" t="s">
        <v>2065</v>
      </c>
      <c r="E8" s="116" t="s">
        <v>1982</v>
      </c>
      <c r="F8" s="116" t="s">
        <v>84</v>
      </c>
      <c r="G8" s="66" t="s">
        <v>15</v>
      </c>
      <c r="H8" s="116" t="s">
        <v>94</v>
      </c>
      <c r="I8" s="116">
        <v>15.9</v>
      </c>
      <c r="J8" s="67">
        <v>12.3</v>
      </c>
      <c r="K8" s="67">
        <v>2</v>
      </c>
      <c r="L8" s="67">
        <v>2</v>
      </c>
      <c r="M8" s="66">
        <v>10.3</v>
      </c>
      <c r="N8" s="118" t="s">
        <v>2066</v>
      </c>
      <c r="O8" s="68" t="s">
        <v>2067</v>
      </c>
      <c r="Q8" s="73" t="s">
        <v>60</v>
      </c>
      <c r="R8" s="83">
        <v>20</v>
      </c>
      <c r="S8" s="77"/>
      <c r="T8" s="84"/>
      <c r="V8" s="78"/>
    </row>
    <row r="9" spans="1:22" ht="19.5" thickBot="1" x14ac:dyDescent="0.35">
      <c r="A9" s="113" t="s">
        <v>62</v>
      </c>
      <c r="B9" s="112">
        <v>20629793</v>
      </c>
      <c r="D9" s="115" t="s">
        <v>2080</v>
      </c>
      <c r="E9" s="116" t="s">
        <v>2002</v>
      </c>
      <c r="F9" s="116" t="s">
        <v>84</v>
      </c>
      <c r="G9" s="66" t="s">
        <v>16</v>
      </c>
      <c r="H9" s="116" t="s">
        <v>125</v>
      </c>
      <c r="I9" s="116">
        <v>15.8</v>
      </c>
      <c r="J9" s="67">
        <v>29.2</v>
      </c>
      <c r="K9" s="67">
        <v>2</v>
      </c>
      <c r="L9" s="67">
        <v>2</v>
      </c>
      <c r="M9" s="66">
        <v>27.2</v>
      </c>
      <c r="N9" s="118" t="s">
        <v>2081</v>
      </c>
      <c r="O9" s="68" t="s">
        <v>2082</v>
      </c>
      <c r="Q9" s="85"/>
      <c r="R9" s="86"/>
      <c r="S9" s="86"/>
      <c r="T9" s="86"/>
      <c r="U9" s="86"/>
      <c r="V9" s="87"/>
    </row>
    <row r="10" spans="1:22" ht="19.5" thickBot="1" x14ac:dyDescent="0.35">
      <c r="A10" s="113" t="s">
        <v>63</v>
      </c>
      <c r="B10" s="112">
        <v>20634132</v>
      </c>
      <c r="D10" s="115" t="s">
        <v>2083</v>
      </c>
      <c r="E10" s="116" t="s">
        <v>2033</v>
      </c>
      <c r="F10" s="116" t="s">
        <v>90</v>
      </c>
      <c r="G10" s="66" t="s">
        <v>17</v>
      </c>
      <c r="H10" s="116" t="s">
        <v>129</v>
      </c>
      <c r="I10" s="116">
        <v>23</v>
      </c>
      <c r="J10" s="67">
        <v>28.6</v>
      </c>
      <c r="K10" s="67">
        <v>2</v>
      </c>
      <c r="L10" s="67">
        <v>2</v>
      </c>
      <c r="M10" s="66">
        <v>26.6</v>
      </c>
      <c r="N10" s="118" t="s">
        <v>2084</v>
      </c>
      <c r="O10" s="68" t="s">
        <v>2085</v>
      </c>
    </row>
    <row r="11" spans="1:22" ht="19.5" thickBot="1" x14ac:dyDescent="0.35">
      <c r="D11" s="115" t="s">
        <v>2086</v>
      </c>
      <c r="E11" s="116" t="s">
        <v>2037</v>
      </c>
      <c r="F11" s="116" t="s">
        <v>90</v>
      </c>
      <c r="G11" s="66" t="s">
        <v>17</v>
      </c>
      <c r="H11" s="116" t="s">
        <v>132</v>
      </c>
      <c r="I11" s="116">
        <v>28.4</v>
      </c>
      <c r="J11" s="67">
        <v>36.4</v>
      </c>
      <c r="K11" s="67">
        <v>2</v>
      </c>
      <c r="L11" s="67">
        <v>2</v>
      </c>
      <c r="M11" s="66">
        <v>34.4</v>
      </c>
      <c r="N11" s="118" t="s">
        <v>2087</v>
      </c>
      <c r="O11" s="68" t="s">
        <v>2088</v>
      </c>
      <c r="Q11" s="69" t="s">
        <v>2143</v>
      </c>
      <c r="R11" s="70"/>
      <c r="S11" s="70"/>
      <c r="T11" s="70"/>
      <c r="U11" s="70"/>
      <c r="V11" s="71"/>
    </row>
    <row r="12" spans="1:22" ht="19.5" thickBot="1" x14ac:dyDescent="0.35">
      <c r="D12" s="115" t="s">
        <v>2089</v>
      </c>
      <c r="E12" s="116" t="s">
        <v>2037</v>
      </c>
      <c r="F12" s="116" t="s">
        <v>90</v>
      </c>
      <c r="G12" s="66" t="s">
        <v>17</v>
      </c>
      <c r="H12" s="116" t="s">
        <v>134</v>
      </c>
      <c r="I12" s="116">
        <v>33</v>
      </c>
      <c r="J12" s="67">
        <v>37.799999999999997</v>
      </c>
      <c r="K12" s="67">
        <v>2</v>
      </c>
      <c r="L12" s="67">
        <v>2</v>
      </c>
      <c r="M12" s="66">
        <v>35.799999999999997</v>
      </c>
      <c r="N12" s="118" t="s">
        <v>2090</v>
      </c>
      <c r="O12" s="68" t="s">
        <v>2091</v>
      </c>
      <c r="Q12" s="73" t="s">
        <v>51</v>
      </c>
      <c r="R12" s="119">
        <v>0.59599999999999997</v>
      </c>
      <c r="V12" s="75"/>
    </row>
    <row r="13" spans="1:22" ht="19.5" thickBot="1" x14ac:dyDescent="0.35">
      <c r="D13" s="115" t="s">
        <v>2092</v>
      </c>
      <c r="E13" s="116" t="s">
        <v>2044</v>
      </c>
      <c r="F13" s="116" t="s">
        <v>90</v>
      </c>
      <c r="G13" s="66" t="s">
        <v>17</v>
      </c>
      <c r="H13" s="116" t="s">
        <v>140</v>
      </c>
      <c r="I13" s="116">
        <v>4.5199999999999996</v>
      </c>
      <c r="J13" s="67">
        <v>6.88</v>
      </c>
      <c r="K13" s="67">
        <v>2</v>
      </c>
      <c r="L13" s="67">
        <v>4</v>
      </c>
      <c r="M13" s="66">
        <v>9.76</v>
      </c>
      <c r="N13" s="118" t="s">
        <v>2093</v>
      </c>
      <c r="O13" s="68" t="s">
        <v>2094</v>
      </c>
      <c r="Q13" s="76"/>
      <c r="R13" s="77"/>
      <c r="S13" s="77"/>
      <c r="T13" s="77"/>
      <c r="V13" s="78"/>
    </row>
    <row r="14" spans="1:22" ht="19.5" thickBot="1" x14ac:dyDescent="0.35">
      <c r="D14" s="115" t="s">
        <v>2095</v>
      </c>
      <c r="E14" s="116" t="s">
        <v>2048</v>
      </c>
      <c r="F14" s="116" t="s">
        <v>90</v>
      </c>
      <c r="G14" s="66" t="s">
        <v>17</v>
      </c>
      <c r="H14" s="116" t="s">
        <v>142</v>
      </c>
      <c r="I14" s="116">
        <v>7.64</v>
      </c>
      <c r="J14" s="67">
        <v>11</v>
      </c>
      <c r="K14" s="67">
        <v>2</v>
      </c>
      <c r="L14" s="67">
        <v>2</v>
      </c>
      <c r="M14" s="66">
        <v>9</v>
      </c>
      <c r="N14" s="118" t="s">
        <v>2096</v>
      </c>
      <c r="O14" s="68" t="s">
        <v>2097</v>
      </c>
      <c r="Q14" s="73" t="s">
        <v>54</v>
      </c>
      <c r="R14" s="119">
        <v>350</v>
      </c>
      <c r="T14" s="79" t="s">
        <v>55</v>
      </c>
      <c r="U14" s="77"/>
      <c r="V14" s="75"/>
    </row>
    <row r="15" spans="1:22" ht="19.5" thickBot="1" x14ac:dyDescent="0.35">
      <c r="D15" s="115" t="s">
        <v>2098</v>
      </c>
      <c r="E15" s="116" t="s">
        <v>2052</v>
      </c>
      <c r="F15" s="116" t="s">
        <v>90</v>
      </c>
      <c r="G15" s="66" t="s">
        <v>17</v>
      </c>
      <c r="H15" s="116" t="s">
        <v>144</v>
      </c>
      <c r="I15" s="116">
        <v>22</v>
      </c>
      <c r="J15" s="67">
        <v>27.6</v>
      </c>
      <c r="K15" s="67">
        <v>2</v>
      </c>
      <c r="L15" s="67">
        <v>2</v>
      </c>
      <c r="M15" s="66">
        <v>25.6</v>
      </c>
      <c r="N15" s="118" t="s">
        <v>2099</v>
      </c>
      <c r="O15" s="68" t="s">
        <v>2100</v>
      </c>
      <c r="Q15" s="73" t="s">
        <v>56</v>
      </c>
      <c r="R15" s="80">
        <v>2619.7802197802198</v>
      </c>
      <c r="T15" s="80">
        <v>15.268456375838927</v>
      </c>
      <c r="U15" s="82" t="s">
        <v>6</v>
      </c>
      <c r="V15" s="75"/>
    </row>
    <row r="16" spans="1:22" ht="19.5" thickBot="1" x14ac:dyDescent="0.35">
      <c r="D16" s="115" t="s">
        <v>2101</v>
      </c>
      <c r="E16" s="116" t="s">
        <v>2056</v>
      </c>
      <c r="F16" s="116" t="s">
        <v>90</v>
      </c>
      <c r="G16" s="66" t="s">
        <v>17</v>
      </c>
      <c r="H16" s="116" t="s">
        <v>148</v>
      </c>
      <c r="I16" s="116">
        <v>3.94</v>
      </c>
      <c r="J16" s="67">
        <v>10</v>
      </c>
      <c r="K16" s="67">
        <v>2</v>
      </c>
      <c r="L16" s="67">
        <v>4</v>
      </c>
      <c r="M16" s="66">
        <v>16</v>
      </c>
      <c r="N16" s="118" t="s">
        <v>2102</v>
      </c>
      <c r="O16" s="68" t="s">
        <v>2103</v>
      </c>
      <c r="Q16" s="73" t="s">
        <v>57</v>
      </c>
      <c r="R16" s="83">
        <v>2000</v>
      </c>
      <c r="T16" s="80">
        <v>4.7315436241610733</v>
      </c>
      <c r="U16" s="82" t="s">
        <v>44</v>
      </c>
      <c r="V16" s="75"/>
    </row>
    <row r="17" spans="4:22" ht="19.5" thickBot="1" x14ac:dyDescent="0.35">
      <c r="D17" s="115" t="s">
        <v>2104</v>
      </c>
      <c r="E17" s="116" t="s">
        <v>1986</v>
      </c>
      <c r="F17" s="116" t="s">
        <v>84</v>
      </c>
      <c r="G17" s="66" t="s">
        <v>20</v>
      </c>
      <c r="H17" s="116" t="s">
        <v>80</v>
      </c>
      <c r="I17" s="116">
        <v>14.3</v>
      </c>
      <c r="J17" s="67">
        <v>8.92</v>
      </c>
      <c r="K17" s="67">
        <v>2</v>
      </c>
      <c r="L17" s="67">
        <v>2</v>
      </c>
      <c r="M17" s="66">
        <v>6.92</v>
      </c>
      <c r="N17" s="118" t="s">
        <v>2105</v>
      </c>
      <c r="O17" s="68" t="s">
        <v>2106</v>
      </c>
      <c r="Q17" s="73" t="s">
        <v>60</v>
      </c>
      <c r="R17" s="83">
        <v>20</v>
      </c>
      <c r="S17" s="77"/>
      <c r="T17" s="84"/>
      <c r="V17" s="78"/>
    </row>
    <row r="18" spans="4:22" ht="19.5" thickBot="1" x14ac:dyDescent="0.35">
      <c r="D18" s="115" t="s">
        <v>2107</v>
      </c>
      <c r="E18" s="116" t="s">
        <v>2108</v>
      </c>
      <c r="F18" s="116" t="s">
        <v>84</v>
      </c>
      <c r="G18" s="66" t="s">
        <v>20</v>
      </c>
      <c r="H18" s="116" t="s">
        <v>86</v>
      </c>
      <c r="I18" s="116">
        <v>4.7</v>
      </c>
      <c r="J18" s="67">
        <v>3.36</v>
      </c>
      <c r="K18" s="67">
        <v>2</v>
      </c>
      <c r="L18" s="67">
        <v>4</v>
      </c>
      <c r="M18" s="66">
        <v>2.7199999999999998</v>
      </c>
      <c r="N18" s="118" t="s">
        <v>2109</v>
      </c>
      <c r="O18" s="68" t="s">
        <v>2110</v>
      </c>
      <c r="Q18" s="85"/>
      <c r="R18" s="86"/>
      <c r="S18" s="86"/>
      <c r="T18" s="86"/>
      <c r="U18" s="86"/>
      <c r="V18" s="87"/>
    </row>
    <row r="19" spans="4:22" ht="19.5" thickBot="1" x14ac:dyDescent="0.35">
      <c r="D19" s="115" t="s">
        <v>2111</v>
      </c>
      <c r="E19" s="116" t="s">
        <v>2037</v>
      </c>
      <c r="F19" s="116" t="s">
        <v>90</v>
      </c>
      <c r="G19" s="66" t="s">
        <v>21</v>
      </c>
      <c r="H19" s="116" t="s">
        <v>94</v>
      </c>
      <c r="I19" s="116">
        <v>39.6</v>
      </c>
      <c r="J19" s="67">
        <v>24.2</v>
      </c>
      <c r="K19" s="67">
        <v>2</v>
      </c>
      <c r="L19" s="67">
        <v>2</v>
      </c>
      <c r="M19" s="66">
        <v>22.2</v>
      </c>
      <c r="N19" s="118" t="s">
        <v>2112</v>
      </c>
      <c r="O19" s="68" t="s">
        <v>2113</v>
      </c>
    </row>
    <row r="20" spans="4:22" ht="19.5" thickBot="1" x14ac:dyDescent="0.35">
      <c r="D20" s="115" t="s">
        <v>2114</v>
      </c>
      <c r="E20" s="116" t="s">
        <v>2115</v>
      </c>
      <c r="F20" s="116" t="s">
        <v>90</v>
      </c>
      <c r="G20" s="66" t="s">
        <v>21</v>
      </c>
      <c r="H20" s="116" t="s">
        <v>103</v>
      </c>
      <c r="I20" s="116">
        <v>2.2000000000000002</v>
      </c>
      <c r="J20" s="67">
        <v>1.23</v>
      </c>
      <c r="K20" s="67">
        <v>2</v>
      </c>
      <c r="L20" s="67">
        <v>4</v>
      </c>
      <c r="M20" s="66">
        <v>-1.54</v>
      </c>
      <c r="N20" s="118" t="s">
        <v>2116</v>
      </c>
      <c r="O20" s="68" t="s">
        <v>2117</v>
      </c>
      <c r="Q20" s="69" t="s">
        <v>2143</v>
      </c>
      <c r="R20" s="70"/>
      <c r="S20" s="70"/>
      <c r="T20" s="70"/>
      <c r="U20" s="70"/>
      <c r="V20" s="71"/>
    </row>
    <row r="21" spans="4:22" ht="19.5" thickBot="1" x14ac:dyDescent="0.35">
      <c r="D21" s="115"/>
      <c r="E21" s="116" t="s">
        <v>1916</v>
      </c>
      <c r="F21" s="116" t="s">
        <v>1916</v>
      </c>
      <c r="G21" s="66" t="s">
        <v>1916</v>
      </c>
      <c r="H21" s="116" t="s">
        <v>1916</v>
      </c>
      <c r="I21" s="116" t="s">
        <v>1916</v>
      </c>
      <c r="J21" s="67"/>
      <c r="K21" s="67"/>
      <c r="L21" s="67"/>
      <c r="M21" s="66" t="s">
        <v>1916</v>
      </c>
      <c r="N21" s="118" t="s">
        <v>1916</v>
      </c>
      <c r="O21" s="68" t="s">
        <v>1916</v>
      </c>
      <c r="Q21" s="73" t="s">
        <v>51</v>
      </c>
      <c r="R21" s="119">
        <v>0.45279999999999998</v>
      </c>
      <c r="V21" s="75"/>
    </row>
    <row r="22" spans="4:22" ht="19.5" thickBot="1" x14ac:dyDescent="0.35">
      <c r="D22" s="115"/>
      <c r="E22" s="116" t="s">
        <v>1916</v>
      </c>
      <c r="F22" s="116" t="s">
        <v>1916</v>
      </c>
      <c r="G22" s="66" t="s">
        <v>1916</v>
      </c>
      <c r="H22" s="116" t="s">
        <v>1916</v>
      </c>
      <c r="I22" s="116" t="s">
        <v>1916</v>
      </c>
      <c r="J22" s="67"/>
      <c r="K22" s="67"/>
      <c r="L22" s="67"/>
      <c r="M22" s="66" t="s">
        <v>1916</v>
      </c>
      <c r="N22" s="118" t="s">
        <v>1916</v>
      </c>
      <c r="O22" s="68" t="s">
        <v>1916</v>
      </c>
      <c r="Q22" s="76"/>
      <c r="R22" s="77"/>
      <c r="S22" s="77"/>
      <c r="T22" s="77"/>
      <c r="V22" s="78"/>
    </row>
    <row r="23" spans="4:22" ht="19.5" thickBot="1" x14ac:dyDescent="0.35">
      <c r="D23" s="115"/>
      <c r="E23" s="116" t="s">
        <v>1916</v>
      </c>
      <c r="F23" s="116" t="s">
        <v>1916</v>
      </c>
      <c r="G23" s="66" t="s">
        <v>1916</v>
      </c>
      <c r="H23" s="116" t="s">
        <v>1916</v>
      </c>
      <c r="I23" s="116" t="s">
        <v>1916</v>
      </c>
      <c r="J23" s="67"/>
      <c r="K23" s="67"/>
      <c r="L23" s="67"/>
      <c r="M23" s="66" t="s">
        <v>1916</v>
      </c>
      <c r="N23" s="118" t="s">
        <v>1916</v>
      </c>
      <c r="O23" s="68" t="s">
        <v>1916</v>
      </c>
      <c r="Q23" s="73" t="s">
        <v>54</v>
      </c>
      <c r="R23" s="119">
        <v>350</v>
      </c>
      <c r="T23" s="79" t="s">
        <v>55</v>
      </c>
      <c r="U23" s="77"/>
      <c r="V23" s="75"/>
    </row>
    <row r="24" spans="4:22" ht="19.5" thickBot="1" x14ac:dyDescent="0.35">
      <c r="D24" s="115"/>
      <c r="E24" s="116" t="s">
        <v>1916</v>
      </c>
      <c r="F24" s="116" t="s">
        <v>1916</v>
      </c>
      <c r="G24" s="66" t="s">
        <v>1916</v>
      </c>
      <c r="H24" s="116" t="s">
        <v>1916</v>
      </c>
      <c r="I24" s="116" t="s">
        <v>1916</v>
      </c>
      <c r="J24" s="67"/>
      <c r="K24" s="67"/>
      <c r="L24" s="67"/>
      <c r="M24" s="66" t="s">
        <v>1916</v>
      </c>
      <c r="N24" s="118" t="s">
        <v>1916</v>
      </c>
      <c r="O24" s="68" t="s">
        <v>1916</v>
      </c>
      <c r="Q24" s="73" t="s">
        <v>56</v>
      </c>
      <c r="R24" s="80">
        <v>1990.3296703296705</v>
      </c>
      <c r="T24" s="80">
        <v>20.097173144876322</v>
      </c>
      <c r="U24" s="82" t="s">
        <v>6</v>
      </c>
      <c r="V24" s="75"/>
    </row>
    <row r="25" spans="4:22" ht="19.5" thickBot="1" x14ac:dyDescent="0.35">
      <c r="D25" s="115"/>
      <c r="E25" s="116" t="s">
        <v>1916</v>
      </c>
      <c r="F25" s="116" t="s">
        <v>1916</v>
      </c>
      <c r="G25" s="66" t="s">
        <v>1916</v>
      </c>
      <c r="H25" s="116" t="s">
        <v>1916</v>
      </c>
      <c r="I25" s="116" t="s">
        <v>1916</v>
      </c>
      <c r="J25" s="67"/>
      <c r="K25" s="67"/>
      <c r="L25" s="67"/>
      <c r="M25" s="66" t="s">
        <v>1916</v>
      </c>
      <c r="N25" s="118" t="s">
        <v>1916</v>
      </c>
      <c r="O25" s="68" t="s">
        <v>1916</v>
      </c>
      <c r="Q25" s="73" t="s">
        <v>57</v>
      </c>
      <c r="R25" s="83">
        <v>2000</v>
      </c>
      <c r="T25" s="80">
        <v>-9.7173144876322226E-2</v>
      </c>
      <c r="U25" s="82" t="s">
        <v>44</v>
      </c>
      <c r="V25" s="75"/>
    </row>
    <row r="26" spans="4:22" ht="19.5" thickBot="1" x14ac:dyDescent="0.35">
      <c r="D26" s="115"/>
      <c r="E26" s="116" t="s">
        <v>1916</v>
      </c>
      <c r="F26" s="116" t="s">
        <v>1916</v>
      </c>
      <c r="G26" s="66" t="s">
        <v>1916</v>
      </c>
      <c r="H26" s="116" t="s">
        <v>1916</v>
      </c>
      <c r="I26" s="116" t="s">
        <v>1916</v>
      </c>
      <c r="J26" s="67"/>
      <c r="K26" s="67"/>
      <c r="L26" s="67"/>
      <c r="M26" s="66" t="s">
        <v>1916</v>
      </c>
      <c r="N26" s="118" t="s">
        <v>1916</v>
      </c>
      <c r="O26" s="68" t="s">
        <v>1916</v>
      </c>
      <c r="Q26" s="73" t="s">
        <v>60</v>
      </c>
      <c r="R26" s="83">
        <v>20</v>
      </c>
      <c r="S26" s="77"/>
      <c r="T26" s="84"/>
      <c r="V26" s="78"/>
    </row>
    <row r="27" spans="4:22" ht="19.5" thickBot="1" x14ac:dyDescent="0.35">
      <c r="D27" s="115"/>
      <c r="E27" s="116" t="s">
        <v>1916</v>
      </c>
      <c r="F27" s="116" t="s">
        <v>1916</v>
      </c>
      <c r="G27" s="66" t="s">
        <v>1916</v>
      </c>
      <c r="H27" s="116" t="s">
        <v>1916</v>
      </c>
      <c r="I27" s="116" t="s">
        <v>1916</v>
      </c>
      <c r="J27" s="67"/>
      <c r="K27" s="67"/>
      <c r="L27" s="67"/>
      <c r="M27" s="66" t="s">
        <v>1916</v>
      </c>
      <c r="N27" s="118" t="s">
        <v>1916</v>
      </c>
      <c r="O27" s="68" t="s">
        <v>1916</v>
      </c>
      <c r="Q27" s="85"/>
      <c r="R27" s="86"/>
      <c r="S27" s="86"/>
      <c r="T27" s="86"/>
      <c r="U27" s="86"/>
      <c r="V27" s="87"/>
    </row>
    <row r="28" spans="4:22" x14ac:dyDescent="0.3">
      <c r="D28" s="115"/>
      <c r="E28" s="116" t="s">
        <v>1916</v>
      </c>
      <c r="F28" s="116" t="s">
        <v>1916</v>
      </c>
      <c r="G28" s="66" t="s">
        <v>1916</v>
      </c>
      <c r="H28" s="116" t="s">
        <v>1916</v>
      </c>
      <c r="I28" s="116" t="s">
        <v>1916</v>
      </c>
      <c r="J28" s="67"/>
      <c r="K28" s="67"/>
      <c r="L28" s="67"/>
      <c r="M28" s="66" t="s">
        <v>1916</v>
      </c>
      <c r="N28" s="118" t="s">
        <v>1916</v>
      </c>
      <c r="O28" s="68" t="s">
        <v>1916</v>
      </c>
    </row>
    <row r="29" spans="4:22" x14ac:dyDescent="0.3">
      <c r="D29" s="115"/>
      <c r="E29" s="116" t="s">
        <v>1916</v>
      </c>
      <c r="F29" s="116" t="s">
        <v>1916</v>
      </c>
      <c r="G29" s="66" t="s">
        <v>1916</v>
      </c>
      <c r="H29" s="116" t="s">
        <v>1916</v>
      </c>
      <c r="I29" s="116" t="s">
        <v>1916</v>
      </c>
      <c r="J29" s="67"/>
      <c r="K29" s="67"/>
      <c r="L29" s="67"/>
      <c r="M29" s="66" t="s">
        <v>1916</v>
      </c>
      <c r="N29" s="118" t="s">
        <v>1916</v>
      </c>
      <c r="O29" s="68" t="s">
        <v>1916</v>
      </c>
    </row>
    <row r="30" spans="4:22" x14ac:dyDescent="0.3">
      <c r="D30" s="115"/>
      <c r="E30" s="116" t="s">
        <v>1916</v>
      </c>
      <c r="F30" s="116" t="s">
        <v>1916</v>
      </c>
      <c r="G30" s="66" t="s">
        <v>1916</v>
      </c>
      <c r="H30" s="116" t="s">
        <v>1916</v>
      </c>
      <c r="I30" s="116" t="s">
        <v>1916</v>
      </c>
      <c r="J30" s="67"/>
      <c r="K30" s="67"/>
      <c r="L30" s="67"/>
      <c r="M30" s="66" t="s">
        <v>1916</v>
      </c>
      <c r="N30" s="118" t="s">
        <v>1916</v>
      </c>
      <c r="O30" s="68" t="s">
        <v>1916</v>
      </c>
    </row>
    <row r="31" spans="4:22" x14ac:dyDescent="0.3">
      <c r="D31" s="115"/>
      <c r="E31" s="116" t="s">
        <v>1916</v>
      </c>
      <c r="F31" s="116" t="s">
        <v>1916</v>
      </c>
      <c r="G31" s="66" t="s">
        <v>1916</v>
      </c>
      <c r="H31" s="116" t="s">
        <v>1916</v>
      </c>
      <c r="I31" s="116" t="s">
        <v>1916</v>
      </c>
      <c r="J31" s="67"/>
      <c r="K31" s="67"/>
      <c r="L31" s="67"/>
      <c r="M31" s="66" t="s">
        <v>1916</v>
      </c>
      <c r="N31" s="118" t="s">
        <v>1916</v>
      </c>
      <c r="O31" s="68" t="s">
        <v>1916</v>
      </c>
    </row>
    <row r="32" spans="4:22" x14ac:dyDescent="0.3">
      <c r="D32" s="115"/>
      <c r="E32" s="116" t="s">
        <v>1916</v>
      </c>
      <c r="F32" s="116" t="s">
        <v>1916</v>
      </c>
      <c r="G32" s="66" t="s">
        <v>1916</v>
      </c>
      <c r="H32" s="116" t="s">
        <v>1916</v>
      </c>
      <c r="I32" s="116" t="s">
        <v>1916</v>
      </c>
      <c r="J32" s="67"/>
      <c r="K32" s="67"/>
      <c r="L32" s="67"/>
      <c r="M32" s="66" t="s">
        <v>1916</v>
      </c>
      <c r="N32" s="118" t="s">
        <v>1916</v>
      </c>
      <c r="O32" s="68" t="s">
        <v>1916</v>
      </c>
    </row>
    <row r="33" spans="4:28" x14ac:dyDescent="0.3">
      <c r="D33" s="115"/>
      <c r="E33" s="116" t="s">
        <v>1916</v>
      </c>
      <c r="F33" s="116" t="s">
        <v>1916</v>
      </c>
      <c r="G33" s="66" t="s">
        <v>1916</v>
      </c>
      <c r="H33" s="116" t="s">
        <v>1916</v>
      </c>
      <c r="I33" s="116" t="s">
        <v>1916</v>
      </c>
      <c r="J33" s="67"/>
      <c r="K33" s="67"/>
      <c r="L33" s="67"/>
      <c r="M33" s="66" t="s">
        <v>1916</v>
      </c>
      <c r="N33" s="118" t="s">
        <v>1916</v>
      </c>
      <c r="O33" s="68" t="s">
        <v>1916</v>
      </c>
    </row>
    <row r="34" spans="4:28" ht="19.5" thickBot="1" x14ac:dyDescent="0.35">
      <c r="D34" s="115"/>
      <c r="E34" s="116" t="s">
        <v>1916</v>
      </c>
      <c r="F34" s="116" t="s">
        <v>1916</v>
      </c>
      <c r="G34" s="66" t="s">
        <v>1916</v>
      </c>
      <c r="H34" s="116" t="s">
        <v>1916</v>
      </c>
      <c r="I34" s="116" t="s">
        <v>1916</v>
      </c>
      <c r="J34" s="67"/>
      <c r="K34" s="67"/>
      <c r="L34" s="67"/>
      <c r="M34" s="66" t="s">
        <v>1916</v>
      </c>
      <c r="N34" s="118" t="s">
        <v>1916</v>
      </c>
      <c r="O34" s="68" t="s">
        <v>1916</v>
      </c>
    </row>
    <row r="35" spans="4:28" ht="19.5" thickBot="1" x14ac:dyDescent="0.35">
      <c r="D35" s="115"/>
      <c r="E35" s="116" t="s">
        <v>1916</v>
      </c>
      <c r="F35" s="116" t="s">
        <v>1916</v>
      </c>
      <c r="G35" s="66" t="s">
        <v>1916</v>
      </c>
      <c r="H35" s="116" t="s">
        <v>1916</v>
      </c>
      <c r="I35" s="116" t="s">
        <v>1916</v>
      </c>
      <c r="J35" s="67"/>
      <c r="K35" s="67"/>
      <c r="L35" s="67"/>
      <c r="M35" s="66" t="s">
        <v>1916</v>
      </c>
      <c r="N35" s="118" t="s">
        <v>1916</v>
      </c>
      <c r="O35" s="68" t="s">
        <v>1916</v>
      </c>
      <c r="Q35" s="69" t="s">
        <v>65</v>
      </c>
      <c r="R35" s="70"/>
      <c r="S35" s="70"/>
      <c r="T35" s="70"/>
      <c r="U35" s="70"/>
      <c r="V35" s="71"/>
      <c r="X35" s="91" t="s">
        <v>66</v>
      </c>
      <c r="Y35" s="92">
        <v>4.5</v>
      </c>
      <c r="Z35" s="91" t="s">
        <v>67</v>
      </c>
      <c r="AA35" s="93" t="s">
        <v>68</v>
      </c>
      <c r="AB35" s="94">
        <v>600</v>
      </c>
    </row>
    <row r="36" spans="4:28" ht="19.5" thickBot="1" x14ac:dyDescent="0.35">
      <c r="D36" s="115"/>
      <c r="E36" s="116" t="s">
        <v>1916</v>
      </c>
      <c r="F36" s="116" t="s">
        <v>1916</v>
      </c>
      <c r="G36" s="66" t="s">
        <v>1916</v>
      </c>
      <c r="H36" s="116" t="s">
        <v>1916</v>
      </c>
      <c r="I36" s="116" t="s">
        <v>1916</v>
      </c>
      <c r="J36" s="67"/>
      <c r="K36" s="67"/>
      <c r="L36" s="67"/>
      <c r="M36" s="66" t="s">
        <v>1916</v>
      </c>
      <c r="N36" s="118" t="s">
        <v>1916</v>
      </c>
      <c r="O36" s="68" t="s">
        <v>1916</v>
      </c>
      <c r="Q36" s="73" t="s">
        <v>56</v>
      </c>
      <c r="R36" s="119">
        <v>1000</v>
      </c>
      <c r="T36" s="79" t="s">
        <v>55</v>
      </c>
      <c r="U36" s="77"/>
      <c r="V36" s="75"/>
      <c r="X36" s="95" t="s">
        <v>69</v>
      </c>
      <c r="Y36" s="96" t="s">
        <v>70</v>
      </c>
      <c r="Z36" s="97" t="s">
        <v>71</v>
      </c>
      <c r="AA36" s="97" t="s">
        <v>72</v>
      </c>
      <c r="AB36" s="98" t="s">
        <v>73</v>
      </c>
    </row>
    <row r="37" spans="4:28" ht="19.5" thickBot="1" x14ac:dyDescent="0.35">
      <c r="D37" s="115"/>
      <c r="E37" s="116" t="s">
        <v>1916</v>
      </c>
      <c r="F37" s="116" t="s">
        <v>1916</v>
      </c>
      <c r="G37" s="66" t="s">
        <v>1916</v>
      </c>
      <c r="H37" s="116" t="s">
        <v>1916</v>
      </c>
      <c r="I37" s="116" t="s">
        <v>1916</v>
      </c>
      <c r="J37" s="67"/>
      <c r="K37" s="67"/>
      <c r="L37" s="67"/>
      <c r="M37" s="66" t="s">
        <v>1916</v>
      </c>
      <c r="N37" s="118" t="s">
        <v>1916</v>
      </c>
      <c r="O37" s="68" t="s">
        <v>1916</v>
      </c>
      <c r="Q37" s="73" t="s">
        <v>57</v>
      </c>
      <c r="R37" s="119">
        <v>8</v>
      </c>
      <c r="T37" s="80">
        <v>4.8</v>
      </c>
      <c r="U37" s="82" t="s">
        <v>6</v>
      </c>
      <c r="V37" s="75"/>
      <c r="X37" s="99" t="s">
        <v>84</v>
      </c>
      <c r="Y37" s="100">
        <v>0.105</v>
      </c>
      <c r="Z37" s="27">
        <v>10</v>
      </c>
      <c r="AA37" s="101">
        <v>0.23333333333333334</v>
      </c>
      <c r="AB37" s="102">
        <v>375</v>
      </c>
    </row>
    <row r="38" spans="4:28" ht="19.5" thickBot="1" x14ac:dyDescent="0.35">
      <c r="D38" s="115"/>
      <c r="E38" s="116" t="s">
        <v>1916</v>
      </c>
      <c r="F38" s="116" t="s">
        <v>1916</v>
      </c>
      <c r="G38" s="66" t="s">
        <v>1916</v>
      </c>
      <c r="H38" s="116" t="s">
        <v>1916</v>
      </c>
      <c r="I38" s="116" t="s">
        <v>1916</v>
      </c>
      <c r="J38" s="67"/>
      <c r="K38" s="67"/>
      <c r="L38" s="67"/>
      <c r="M38" s="66" t="s">
        <v>1916</v>
      </c>
      <c r="N38" s="118" t="s">
        <v>1916</v>
      </c>
      <c r="O38" s="68" t="s">
        <v>1916</v>
      </c>
      <c r="Q38" s="73" t="s">
        <v>60</v>
      </c>
      <c r="R38" s="80">
        <v>600</v>
      </c>
      <c r="S38" s="77"/>
      <c r="T38" s="80">
        <v>595.20000000000005</v>
      </c>
      <c r="U38" s="82" t="s">
        <v>44</v>
      </c>
      <c r="V38" s="78"/>
      <c r="X38" s="99" t="s">
        <v>90</v>
      </c>
      <c r="Y38" s="100">
        <v>4.4999999999999998E-2</v>
      </c>
      <c r="Z38" s="27">
        <v>9</v>
      </c>
      <c r="AA38" s="101">
        <v>0.09</v>
      </c>
      <c r="AB38" s="102">
        <v>144.64285714285714</v>
      </c>
    </row>
    <row r="39" spans="4:28" ht="19.5" thickBot="1" x14ac:dyDescent="0.35">
      <c r="D39" s="115"/>
      <c r="E39" s="116" t="s">
        <v>1916</v>
      </c>
      <c r="F39" s="116" t="s">
        <v>1916</v>
      </c>
      <c r="G39" s="66" t="s">
        <v>1916</v>
      </c>
      <c r="H39" s="116" t="s">
        <v>1916</v>
      </c>
      <c r="I39" s="116" t="s">
        <v>1916</v>
      </c>
      <c r="J39" s="67"/>
      <c r="K39" s="67"/>
      <c r="L39" s="67"/>
      <c r="M39" s="66" t="s">
        <v>1916</v>
      </c>
      <c r="N39" s="118" t="s">
        <v>1916</v>
      </c>
      <c r="O39" s="68" t="s">
        <v>1916</v>
      </c>
      <c r="Q39" s="85"/>
      <c r="R39" s="86"/>
      <c r="S39" s="86"/>
      <c r="T39" s="86"/>
      <c r="U39" s="86"/>
      <c r="V39" s="87"/>
      <c r="X39" s="99"/>
      <c r="Y39" s="100" t="s">
        <v>1916</v>
      </c>
      <c r="Z39" s="27" t="s">
        <v>1916</v>
      </c>
      <c r="AA39" s="101" t="s">
        <v>1916</v>
      </c>
      <c r="AB39" s="102" t="s">
        <v>1916</v>
      </c>
    </row>
    <row r="40" spans="4:28" ht="19.5" thickBot="1" x14ac:dyDescent="0.35">
      <c r="D40" s="115"/>
      <c r="E40" s="116" t="s">
        <v>1916</v>
      </c>
      <c r="F40" s="116" t="s">
        <v>1916</v>
      </c>
      <c r="G40" s="66" t="s">
        <v>1916</v>
      </c>
      <c r="H40" s="116" t="s">
        <v>1916</v>
      </c>
      <c r="I40" s="116" t="s">
        <v>1916</v>
      </c>
      <c r="J40" s="67"/>
      <c r="K40" s="67"/>
      <c r="L40" s="67"/>
      <c r="M40" s="66" t="s">
        <v>1916</v>
      </c>
      <c r="N40" s="118" t="s">
        <v>1916</v>
      </c>
      <c r="O40" s="68" t="s">
        <v>1916</v>
      </c>
      <c r="X40" s="99"/>
      <c r="Y40" s="100" t="s">
        <v>1916</v>
      </c>
      <c r="Z40" s="27" t="s">
        <v>1916</v>
      </c>
      <c r="AA40" s="101" t="s">
        <v>1916</v>
      </c>
      <c r="AB40" s="102" t="s">
        <v>1916</v>
      </c>
    </row>
    <row r="41" spans="4:28" ht="19.5" thickBot="1" x14ac:dyDescent="0.35">
      <c r="D41" s="115"/>
      <c r="E41" s="116" t="s">
        <v>1916</v>
      </c>
      <c r="F41" s="116" t="s">
        <v>1916</v>
      </c>
      <c r="G41" s="66" t="s">
        <v>1916</v>
      </c>
      <c r="H41" s="116" t="s">
        <v>1916</v>
      </c>
      <c r="I41" s="116" t="s">
        <v>1916</v>
      </c>
      <c r="J41" s="67"/>
      <c r="K41" s="67"/>
      <c r="L41" s="67"/>
      <c r="M41" s="66" t="s">
        <v>1916</v>
      </c>
      <c r="N41" s="118" t="s">
        <v>1916</v>
      </c>
      <c r="O41" s="68" t="s">
        <v>1916</v>
      </c>
      <c r="Q41" s="69" t="s">
        <v>74</v>
      </c>
      <c r="R41" s="70"/>
      <c r="S41" s="70"/>
      <c r="T41" s="70"/>
      <c r="U41" s="70"/>
      <c r="V41" s="71"/>
      <c r="X41" s="103"/>
      <c r="Y41" s="100" t="s">
        <v>1916</v>
      </c>
      <c r="Z41" s="27" t="s">
        <v>1916</v>
      </c>
      <c r="AA41" s="101" t="s">
        <v>1916</v>
      </c>
      <c r="AB41" s="102" t="s">
        <v>1916</v>
      </c>
    </row>
    <row r="42" spans="4:28" ht="19.5" thickBot="1" x14ac:dyDescent="0.35">
      <c r="D42" s="115"/>
      <c r="E42" s="116" t="s">
        <v>1916</v>
      </c>
      <c r="F42" s="116" t="s">
        <v>1916</v>
      </c>
      <c r="G42" s="66" t="s">
        <v>1916</v>
      </c>
      <c r="H42" s="116" t="s">
        <v>1916</v>
      </c>
      <c r="I42" s="116" t="s">
        <v>1916</v>
      </c>
      <c r="J42" s="67"/>
      <c r="K42" s="67"/>
      <c r="L42" s="67"/>
      <c r="M42" s="66" t="s">
        <v>1916</v>
      </c>
      <c r="N42" s="118" t="s">
        <v>1916</v>
      </c>
      <c r="O42" s="68" t="s">
        <v>1916</v>
      </c>
      <c r="Q42" s="73" t="s">
        <v>56</v>
      </c>
      <c r="R42" s="119">
        <v>40</v>
      </c>
      <c r="T42" s="79" t="s">
        <v>55</v>
      </c>
      <c r="U42" s="77"/>
      <c r="V42" s="75"/>
      <c r="X42" s="104"/>
      <c r="Y42" s="100" t="s">
        <v>1916</v>
      </c>
      <c r="Z42" s="27" t="s">
        <v>1916</v>
      </c>
      <c r="AA42" s="101" t="s">
        <v>1916</v>
      </c>
      <c r="AB42" s="102" t="s">
        <v>1916</v>
      </c>
    </row>
    <row r="43" spans="4:28" ht="19.5" thickBot="1" x14ac:dyDescent="0.35">
      <c r="D43" s="115"/>
      <c r="E43" s="116" t="s">
        <v>1916</v>
      </c>
      <c r="F43" s="116" t="s">
        <v>1916</v>
      </c>
      <c r="G43" s="66" t="s">
        <v>1916</v>
      </c>
      <c r="H43" s="116" t="s">
        <v>1916</v>
      </c>
      <c r="I43" s="116" t="s">
        <v>1916</v>
      </c>
      <c r="J43" s="67"/>
      <c r="K43" s="67"/>
      <c r="L43" s="67"/>
      <c r="M43" s="66" t="s">
        <v>1916</v>
      </c>
      <c r="N43" s="118" t="s">
        <v>1916</v>
      </c>
      <c r="O43" s="68" t="s">
        <v>1916</v>
      </c>
      <c r="Q43" s="73" t="s">
        <v>57</v>
      </c>
      <c r="R43" s="119">
        <v>8</v>
      </c>
      <c r="T43" s="80">
        <v>12</v>
      </c>
      <c r="U43" s="82" t="s">
        <v>6</v>
      </c>
      <c r="V43" s="75"/>
      <c r="X43" s="104"/>
      <c r="Y43" s="100" t="s">
        <v>1916</v>
      </c>
      <c r="Z43" s="27" t="s">
        <v>1916</v>
      </c>
      <c r="AA43" s="101" t="s">
        <v>1916</v>
      </c>
      <c r="AB43" s="102" t="s">
        <v>1916</v>
      </c>
    </row>
    <row r="44" spans="4:28" ht="19.5" thickBot="1" x14ac:dyDescent="0.35">
      <c r="D44" s="115"/>
      <c r="E44" s="116" t="s">
        <v>1916</v>
      </c>
      <c r="F44" s="116" t="s">
        <v>1916</v>
      </c>
      <c r="G44" s="66" t="s">
        <v>1916</v>
      </c>
      <c r="H44" s="116" t="s">
        <v>1916</v>
      </c>
      <c r="I44" s="116" t="s">
        <v>1916</v>
      </c>
      <c r="J44" s="67"/>
      <c r="K44" s="67"/>
      <c r="L44" s="67"/>
      <c r="M44" s="66" t="s">
        <v>1916</v>
      </c>
      <c r="N44" s="118" t="s">
        <v>1916</v>
      </c>
      <c r="O44" s="68" t="s">
        <v>1916</v>
      </c>
      <c r="Q44" s="73" t="s">
        <v>60</v>
      </c>
      <c r="R44" s="80">
        <v>60</v>
      </c>
      <c r="S44" s="77"/>
      <c r="T44" s="80">
        <v>48</v>
      </c>
      <c r="U44" s="82" t="s">
        <v>44</v>
      </c>
      <c r="V44" s="78"/>
      <c r="X44" s="105" t="s">
        <v>75</v>
      </c>
      <c r="Y44" s="106" t="s">
        <v>1916</v>
      </c>
      <c r="Z44" s="107" t="s">
        <v>1916</v>
      </c>
      <c r="AA44" s="108">
        <v>0.05</v>
      </c>
      <c r="AB44" s="109">
        <v>80.357142857142861</v>
      </c>
    </row>
    <row r="45" spans="4:28" ht="19.5" thickBot="1" x14ac:dyDescent="0.35">
      <c r="O45" s="68" t="e">
        <v>#REF!</v>
      </c>
      <c r="Q45" s="85"/>
      <c r="R45" s="86"/>
      <c r="S45" s="86"/>
      <c r="T45" s="86"/>
      <c r="U45" s="86"/>
      <c r="V45" s="87"/>
      <c r="Z45" s="110" t="s">
        <v>76</v>
      </c>
      <c r="AA45" s="111">
        <v>0.37333333333333335</v>
      </c>
      <c r="AB45" s="89"/>
    </row>
  </sheetData>
  <conditionalFormatting sqref="D2:F2 H2:L2 N2:O2 D3:O44 O45">
    <cfRule type="expression" dxfId="118" priority="3">
      <formula>ISNUMBER(FIND("POOL",$D2))*COUNTIF($N$2:$N$44,$N2)&gt;1</formula>
    </cfRule>
  </conditionalFormatting>
  <conditionalFormatting sqref="G2:G44">
    <cfRule type="expression" dxfId="117" priority="1">
      <formula>ISNUMBER(FIND("POOL",$D2))*COUNTIF($N$2:$N$46,$N2)&gt;1</formula>
    </cfRule>
  </conditionalFormatting>
  <conditionalFormatting sqref="M2:M44">
    <cfRule type="expression" dxfId="116" priority="2">
      <formula>ISNUMBER(FIND("POOL",$D2))*COUNTIF($N$2:$N$46,$N2)&gt;1</formula>
    </cfRule>
  </conditionalFormatting>
  <conditionalFormatting sqref="O45">
    <cfRule type="expression" dxfId="115" priority="4">
      <formula>ISNUMBER(FIND("POOL",#REF!))*COUNTIF($N$2:$N$44,#REF!)&gt;1</formula>
    </cfRule>
  </conditionalFormatting>
  <pageMargins left="0.25" right="0.25" top="0.75" bottom="0.75" header="0.3" footer="0.3"/>
  <pageSetup paperSize="9" scale="55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7340D-A4A7-4705-A4AE-93144F312B4B}">
  <dimension ref="A1:AJ46"/>
  <sheetViews>
    <sheetView view="pageBreakPreview" zoomScale="70" zoomScaleNormal="100" zoomScaleSheetLayoutView="70" zoomScalePageLayoutView="40" workbookViewId="0"/>
  </sheetViews>
  <sheetFormatPr defaultColWidth="9.140625" defaultRowHeight="18.75" x14ac:dyDescent="0.3"/>
  <cols>
    <col min="1" max="1" width="23.7109375" style="28" customWidth="1"/>
    <col min="2" max="2" width="33.28515625" style="28" customWidth="1"/>
    <col min="3" max="3" width="3.42578125" style="28" customWidth="1"/>
    <col min="4" max="4" width="18.42578125" style="28" customWidth="1"/>
    <col min="5" max="5" width="21.5703125" style="28" customWidth="1"/>
    <col min="6" max="7" width="27.5703125" style="28" customWidth="1"/>
    <col min="8" max="8" width="12.5703125" style="28" bestFit="1" customWidth="1"/>
    <col min="9" max="9" width="16.5703125" style="28" customWidth="1"/>
    <col min="10" max="10" width="12.140625" style="28" bestFit="1" customWidth="1"/>
    <col min="11" max="11" width="17.140625" style="28" bestFit="1" customWidth="1"/>
    <col min="12" max="12" width="6.28515625" style="28" bestFit="1" customWidth="1"/>
    <col min="13" max="13" width="7.7109375" style="28" bestFit="1" customWidth="1"/>
    <col min="14" max="14" width="31.140625" style="28" customWidth="1"/>
    <col min="15" max="15" width="22.140625" style="28" hidden="1" customWidth="1"/>
    <col min="16" max="16" width="2.7109375" style="28" customWidth="1"/>
    <col min="17" max="17" width="24" style="28" customWidth="1"/>
    <col min="18" max="18" width="12.28515625" style="28" bestFit="1" customWidth="1"/>
    <col min="19" max="19" width="14.28515625" style="28" bestFit="1" customWidth="1"/>
    <col min="20" max="20" width="12.28515625" style="28" bestFit="1" customWidth="1"/>
    <col min="21" max="21" width="7.140625" style="28" bestFit="1" customWidth="1"/>
    <col min="22" max="22" width="4" style="28" customWidth="1"/>
    <col min="23" max="23" width="3.42578125" style="28" customWidth="1"/>
    <col min="24" max="24" width="24" style="28" bestFit="1" customWidth="1"/>
    <col min="25" max="25" width="16" style="28" bestFit="1" customWidth="1"/>
    <col min="26" max="26" width="14.28515625" style="28" bestFit="1" customWidth="1"/>
    <col min="27" max="27" width="17.140625" style="28" bestFit="1" customWidth="1"/>
    <col min="28" max="28" width="10.5703125" style="28" bestFit="1" customWidth="1"/>
    <col min="29" max="29" width="3.140625" style="28" customWidth="1"/>
    <col min="30" max="30" width="3.7109375" style="28" customWidth="1"/>
    <col min="31" max="31" width="24" style="28" customWidth="1"/>
    <col min="32" max="32" width="12.28515625" style="28" bestFit="1" customWidth="1"/>
    <col min="33" max="33" width="14.28515625" style="28" bestFit="1" customWidth="1"/>
    <col min="34" max="34" width="12.28515625" style="28" bestFit="1" customWidth="1"/>
    <col min="35" max="35" width="7.140625" style="28" bestFit="1" customWidth="1"/>
    <col min="36" max="36" width="2.140625" style="28" customWidth="1"/>
    <col min="37" max="16384" width="9.140625" style="28"/>
  </cols>
  <sheetData>
    <row r="1" spans="1:36" ht="38.25" thickBot="1" x14ac:dyDescent="0.35">
      <c r="A1" s="113" t="s">
        <v>41</v>
      </c>
      <c r="B1" s="114" t="s">
        <v>1937</v>
      </c>
      <c r="D1" s="65" t="s">
        <v>2</v>
      </c>
      <c r="E1" s="65" t="s">
        <v>3</v>
      </c>
      <c r="F1" s="65" t="s">
        <v>4</v>
      </c>
      <c r="G1" s="65" t="s">
        <v>0</v>
      </c>
      <c r="H1" s="65" t="s">
        <v>1</v>
      </c>
      <c r="I1" s="65" t="s">
        <v>10</v>
      </c>
      <c r="J1" s="65" t="s">
        <v>42</v>
      </c>
      <c r="K1" s="65" t="s">
        <v>43</v>
      </c>
      <c r="L1" s="65" t="s">
        <v>6</v>
      </c>
      <c r="M1" s="65" t="s">
        <v>44</v>
      </c>
      <c r="N1" s="65" t="s">
        <v>45</v>
      </c>
      <c r="O1" s="65" t="s">
        <v>46</v>
      </c>
    </row>
    <row r="2" spans="1:36" ht="19.5" thickBot="1" x14ac:dyDescent="0.35">
      <c r="D2" s="115" t="s">
        <v>1942</v>
      </c>
      <c r="E2" s="116" t="s">
        <v>1943</v>
      </c>
      <c r="F2" s="116" t="s">
        <v>107</v>
      </c>
      <c r="G2" s="66" t="s">
        <v>22</v>
      </c>
      <c r="H2" s="116" t="s">
        <v>80</v>
      </c>
      <c r="I2" s="116">
        <v>9.76</v>
      </c>
      <c r="J2" s="67">
        <v>22.4</v>
      </c>
      <c r="K2" s="67">
        <v>3</v>
      </c>
      <c r="L2" s="67">
        <v>2</v>
      </c>
      <c r="M2" s="117">
        <v>12.933333333333332</v>
      </c>
      <c r="N2" s="118" t="s">
        <v>1944</v>
      </c>
      <c r="O2" s="68" t="s">
        <v>1945</v>
      </c>
      <c r="Q2" s="69" t="s">
        <v>47</v>
      </c>
      <c r="R2" s="70"/>
      <c r="S2" s="70"/>
      <c r="T2" s="70"/>
      <c r="U2" s="70"/>
      <c r="V2" s="71"/>
      <c r="X2" s="69" t="s">
        <v>48</v>
      </c>
      <c r="Y2" s="70"/>
      <c r="Z2" s="70"/>
      <c r="AA2" s="70"/>
      <c r="AB2" s="70"/>
      <c r="AC2" s="71"/>
      <c r="AJ2" s="71"/>
    </row>
    <row r="3" spans="1:36" ht="19.5" thickBot="1" x14ac:dyDescent="0.35">
      <c r="A3" s="113" t="s">
        <v>49</v>
      </c>
      <c r="B3" s="112" t="s">
        <v>50</v>
      </c>
      <c r="D3" s="115" t="s">
        <v>1946</v>
      </c>
      <c r="E3" s="116" t="s">
        <v>1947</v>
      </c>
      <c r="F3" s="116" t="s">
        <v>107</v>
      </c>
      <c r="G3" s="66" t="s">
        <v>22</v>
      </c>
      <c r="H3" s="116" t="s">
        <v>86</v>
      </c>
      <c r="I3" s="116">
        <v>11.1</v>
      </c>
      <c r="J3" s="67">
        <v>23.6</v>
      </c>
      <c r="K3" s="67">
        <v>3</v>
      </c>
      <c r="L3" s="67">
        <v>2</v>
      </c>
      <c r="M3" s="117">
        <v>13.733333333333334</v>
      </c>
      <c r="N3" s="118" t="s">
        <v>1948</v>
      </c>
      <c r="O3" s="68" t="s">
        <v>1949</v>
      </c>
      <c r="Q3" s="73" t="s">
        <v>51</v>
      </c>
      <c r="R3" s="119">
        <v>3</v>
      </c>
      <c r="V3" s="75"/>
      <c r="X3" s="73" t="s">
        <v>51</v>
      </c>
      <c r="Y3" s="119">
        <v>0.5</v>
      </c>
      <c r="AC3" s="75"/>
      <c r="AJ3" s="75"/>
    </row>
    <row r="4" spans="1:36" ht="19.5" thickBot="1" x14ac:dyDescent="0.35">
      <c r="A4" s="113" t="s">
        <v>52</v>
      </c>
      <c r="B4" s="112">
        <v>10</v>
      </c>
      <c r="D4" s="115" t="s">
        <v>1950</v>
      </c>
      <c r="E4" s="116" t="s">
        <v>1951</v>
      </c>
      <c r="F4" s="116" t="s">
        <v>107</v>
      </c>
      <c r="G4" s="66" t="s">
        <v>22</v>
      </c>
      <c r="H4" s="116" t="s">
        <v>94</v>
      </c>
      <c r="I4" s="116">
        <v>11.3</v>
      </c>
      <c r="J4" s="67">
        <v>18.399999999999999</v>
      </c>
      <c r="K4" s="67">
        <v>3</v>
      </c>
      <c r="L4" s="67">
        <v>3</v>
      </c>
      <c r="M4" s="117">
        <v>15.399999999999999</v>
      </c>
      <c r="N4" s="118" t="s">
        <v>1952</v>
      </c>
      <c r="O4" s="68" t="s">
        <v>1953</v>
      </c>
      <c r="Q4" s="76"/>
      <c r="R4" s="77"/>
      <c r="S4" s="77"/>
      <c r="T4" s="77"/>
      <c r="V4" s="78"/>
      <c r="X4" s="76"/>
      <c r="Y4" s="77"/>
      <c r="Z4" s="77"/>
      <c r="AA4" s="77"/>
      <c r="AC4" s="78"/>
      <c r="AJ4" s="78"/>
    </row>
    <row r="5" spans="1:36" ht="19.5" thickBot="1" x14ac:dyDescent="0.35">
      <c r="A5" s="113" t="s">
        <v>53</v>
      </c>
      <c r="B5" s="112">
        <v>149</v>
      </c>
      <c r="D5" s="115" t="s">
        <v>1954</v>
      </c>
      <c r="E5" s="116" t="s">
        <v>1955</v>
      </c>
      <c r="F5" s="116" t="s">
        <v>107</v>
      </c>
      <c r="G5" s="66" t="s">
        <v>22</v>
      </c>
      <c r="H5" s="116" t="s">
        <v>103</v>
      </c>
      <c r="I5" s="116">
        <v>10.7</v>
      </c>
      <c r="J5" s="67">
        <v>15</v>
      </c>
      <c r="K5" s="67">
        <v>3</v>
      </c>
      <c r="L5" s="67">
        <v>3</v>
      </c>
      <c r="M5" s="117">
        <v>12</v>
      </c>
      <c r="N5" s="118" t="s">
        <v>1939</v>
      </c>
      <c r="O5" s="68" t="s">
        <v>1956</v>
      </c>
      <c r="Q5" s="73" t="s">
        <v>54</v>
      </c>
      <c r="R5" s="119">
        <v>700</v>
      </c>
      <c r="T5" s="79" t="s">
        <v>55</v>
      </c>
      <c r="U5" s="77"/>
      <c r="V5" s="75"/>
      <c r="X5" s="73" t="s">
        <v>54</v>
      </c>
      <c r="Y5" s="119">
        <v>280</v>
      </c>
      <c r="AA5" s="79" t="s">
        <v>55</v>
      </c>
      <c r="AB5" s="77"/>
      <c r="AC5" s="75"/>
      <c r="AJ5" s="75"/>
    </row>
    <row r="6" spans="1:36" ht="19.5" thickBot="1" x14ac:dyDescent="0.35">
      <c r="D6" s="115" t="s">
        <v>1957</v>
      </c>
      <c r="E6" s="116" t="s">
        <v>1958</v>
      </c>
      <c r="F6" s="116" t="s">
        <v>107</v>
      </c>
      <c r="G6" s="66" t="s">
        <v>22</v>
      </c>
      <c r="H6" s="116" t="s">
        <v>109</v>
      </c>
      <c r="I6" s="116">
        <v>13.6</v>
      </c>
      <c r="J6" s="67">
        <v>13.3</v>
      </c>
      <c r="K6" s="67">
        <v>3</v>
      </c>
      <c r="L6" s="67">
        <v>3</v>
      </c>
      <c r="M6" s="117">
        <v>10.3</v>
      </c>
      <c r="N6" s="118" t="s">
        <v>1940</v>
      </c>
      <c r="O6" s="68" t="s">
        <v>1959</v>
      </c>
      <c r="Q6" s="73" t="s">
        <v>56</v>
      </c>
      <c r="R6" s="80">
        <v>6593.4065934065939</v>
      </c>
      <c r="T6" s="81">
        <v>3.033333333333333E-2</v>
      </c>
      <c r="U6" s="82" t="s">
        <v>6</v>
      </c>
      <c r="V6" s="75"/>
      <c r="X6" s="73" t="s">
        <v>56</v>
      </c>
      <c r="Y6" s="80">
        <v>2747.2527472527472</v>
      </c>
      <c r="AA6" s="81">
        <v>1.456</v>
      </c>
      <c r="AB6" s="82" t="s">
        <v>6</v>
      </c>
      <c r="AC6" s="75"/>
      <c r="AJ6" s="75"/>
    </row>
    <row r="7" spans="1:36" ht="19.5" thickBot="1" x14ac:dyDescent="0.35">
      <c r="D7" s="115" t="s">
        <v>1960</v>
      </c>
      <c r="E7" s="116" t="s">
        <v>1961</v>
      </c>
      <c r="F7" s="116" t="s">
        <v>107</v>
      </c>
      <c r="G7" s="66" t="s">
        <v>22</v>
      </c>
      <c r="H7" s="116" t="s">
        <v>114</v>
      </c>
      <c r="I7" s="116">
        <v>13.9</v>
      </c>
      <c r="J7" s="67">
        <v>13</v>
      </c>
      <c r="K7" s="67">
        <v>3</v>
      </c>
      <c r="L7" s="67">
        <v>3</v>
      </c>
      <c r="M7" s="117">
        <v>10</v>
      </c>
      <c r="N7" s="118" t="s">
        <v>1941</v>
      </c>
      <c r="O7" s="68" t="s">
        <v>1962</v>
      </c>
      <c r="Q7" s="73" t="s">
        <v>57</v>
      </c>
      <c r="R7" s="83">
        <v>10</v>
      </c>
      <c r="T7" s="80">
        <v>19.969666666666665</v>
      </c>
      <c r="U7" s="82" t="s">
        <v>44</v>
      </c>
      <c r="V7" s="75"/>
      <c r="X7" s="73" t="s">
        <v>57</v>
      </c>
      <c r="Y7" s="83">
        <v>200</v>
      </c>
      <c r="AA7" s="80">
        <v>18.544</v>
      </c>
      <c r="AB7" s="82" t="s">
        <v>44</v>
      </c>
      <c r="AC7" s="75"/>
      <c r="AJ7" s="75"/>
    </row>
    <row r="8" spans="1:36" ht="19.5" thickBot="1" x14ac:dyDescent="0.35">
      <c r="A8" s="113" t="s">
        <v>58</v>
      </c>
      <c r="B8" s="112" t="s">
        <v>89</v>
      </c>
      <c r="D8" s="115" t="s">
        <v>1963</v>
      </c>
      <c r="E8" s="116" t="s">
        <v>1964</v>
      </c>
      <c r="F8" s="116" t="s">
        <v>107</v>
      </c>
      <c r="G8" s="66" t="s">
        <v>19</v>
      </c>
      <c r="H8" s="116" t="s">
        <v>80</v>
      </c>
      <c r="I8" s="116">
        <v>29.8</v>
      </c>
      <c r="J8" s="67">
        <v>18.399999999999999</v>
      </c>
      <c r="K8" s="67">
        <v>3</v>
      </c>
      <c r="L8" s="67">
        <v>3</v>
      </c>
      <c r="M8" s="117">
        <v>15.399999999999999</v>
      </c>
      <c r="N8" s="118" t="s">
        <v>1965</v>
      </c>
      <c r="O8" s="68" t="s">
        <v>1966</v>
      </c>
      <c r="Q8" s="73" t="s">
        <v>60</v>
      </c>
      <c r="R8" s="83">
        <v>20</v>
      </c>
      <c r="S8" s="77"/>
      <c r="T8" s="84"/>
      <c r="V8" s="78"/>
      <c r="X8" s="73" t="s">
        <v>60</v>
      </c>
      <c r="Y8" s="83">
        <v>20</v>
      </c>
      <c r="Z8" s="77"/>
      <c r="AA8" s="84"/>
      <c r="AC8" s="78"/>
      <c r="AJ8" s="78"/>
    </row>
    <row r="9" spans="1:36" ht="19.5" thickBot="1" x14ac:dyDescent="0.35">
      <c r="A9" s="113" t="s">
        <v>61</v>
      </c>
      <c r="B9" s="112"/>
      <c r="D9" s="115" t="s">
        <v>1967</v>
      </c>
      <c r="E9" s="116" t="s">
        <v>1947</v>
      </c>
      <c r="F9" s="116" t="s">
        <v>107</v>
      </c>
      <c r="G9" s="66" t="s">
        <v>19</v>
      </c>
      <c r="H9" s="116" t="s">
        <v>86</v>
      </c>
      <c r="I9" s="116">
        <v>12.3</v>
      </c>
      <c r="J9" s="67">
        <v>15.2</v>
      </c>
      <c r="K9" s="67">
        <v>3</v>
      </c>
      <c r="L9" s="67">
        <v>2</v>
      </c>
      <c r="M9" s="117">
        <v>8.1333333333333329</v>
      </c>
      <c r="N9" s="118" t="s">
        <v>1968</v>
      </c>
      <c r="O9" s="68" t="s">
        <v>1969</v>
      </c>
      <c r="Q9" s="85"/>
      <c r="R9" s="86"/>
      <c r="S9" s="86"/>
      <c r="T9" s="86"/>
      <c r="U9" s="86"/>
      <c r="V9" s="87"/>
      <c r="X9" s="85"/>
      <c r="Y9" s="86"/>
      <c r="Z9" s="86"/>
      <c r="AA9" s="86"/>
      <c r="AB9" s="86"/>
      <c r="AC9" s="87"/>
      <c r="AJ9" s="87"/>
    </row>
    <row r="10" spans="1:36" ht="19.5" thickBot="1" x14ac:dyDescent="0.35">
      <c r="A10" s="113" t="s">
        <v>62</v>
      </c>
      <c r="B10" s="112"/>
      <c r="D10" s="115" t="s">
        <v>1970</v>
      </c>
      <c r="E10" s="116" t="s">
        <v>1943</v>
      </c>
      <c r="F10" s="116" t="s">
        <v>107</v>
      </c>
      <c r="G10" s="66" t="s">
        <v>19</v>
      </c>
      <c r="H10" s="116" t="s">
        <v>94</v>
      </c>
      <c r="I10" s="116">
        <v>7</v>
      </c>
      <c r="J10" s="67">
        <v>7</v>
      </c>
      <c r="K10" s="67">
        <v>3</v>
      </c>
      <c r="L10" s="67">
        <v>2</v>
      </c>
      <c r="M10" s="117">
        <v>2.666666666666667</v>
      </c>
      <c r="N10" s="118" t="s">
        <v>1971</v>
      </c>
      <c r="O10" s="68" t="s">
        <v>1972</v>
      </c>
    </row>
    <row r="11" spans="1:36" ht="19.5" thickBot="1" x14ac:dyDescent="0.35">
      <c r="A11" s="113" t="s">
        <v>63</v>
      </c>
      <c r="B11" s="112"/>
      <c r="D11" s="115" t="s">
        <v>1973</v>
      </c>
      <c r="E11" s="116" t="s">
        <v>1974</v>
      </c>
      <c r="F11" s="116" t="s">
        <v>112</v>
      </c>
      <c r="G11" s="66" t="s">
        <v>19</v>
      </c>
      <c r="H11" s="116" t="s">
        <v>103</v>
      </c>
      <c r="I11" s="116">
        <v>13.9</v>
      </c>
      <c r="J11" s="67">
        <v>6.81</v>
      </c>
      <c r="K11" s="67">
        <v>3</v>
      </c>
      <c r="L11" s="67">
        <v>3</v>
      </c>
      <c r="M11" s="117">
        <v>3.8100000000000005</v>
      </c>
      <c r="N11" s="118" t="s">
        <v>1975</v>
      </c>
      <c r="O11" s="68" t="s">
        <v>1976</v>
      </c>
      <c r="Q11" s="69" t="s">
        <v>47</v>
      </c>
      <c r="R11" s="70"/>
      <c r="S11" s="70"/>
      <c r="T11" s="70"/>
      <c r="U11" s="70"/>
      <c r="V11" s="71"/>
      <c r="X11" s="69" t="s">
        <v>64</v>
      </c>
      <c r="Y11" s="70"/>
      <c r="Z11" s="70"/>
      <c r="AA11" s="70"/>
      <c r="AB11" s="70"/>
      <c r="AC11" s="71"/>
      <c r="AJ11" s="71"/>
    </row>
    <row r="12" spans="1:36" ht="19.5" thickBot="1" x14ac:dyDescent="0.35">
      <c r="D12" s="115" t="s">
        <v>1977</v>
      </c>
      <c r="E12" s="116" t="s">
        <v>1978</v>
      </c>
      <c r="F12" s="116" t="s">
        <v>112</v>
      </c>
      <c r="G12" s="66" t="s">
        <v>19</v>
      </c>
      <c r="H12" s="116" t="s">
        <v>109</v>
      </c>
      <c r="I12" s="116">
        <v>23.8</v>
      </c>
      <c r="J12" s="67">
        <v>11.8</v>
      </c>
      <c r="K12" s="67">
        <v>3</v>
      </c>
      <c r="L12" s="67">
        <v>3</v>
      </c>
      <c r="M12" s="117">
        <v>8.8000000000000007</v>
      </c>
      <c r="N12" s="118" t="s">
        <v>1979</v>
      </c>
      <c r="O12" s="68" t="s">
        <v>1980</v>
      </c>
      <c r="Q12" s="73" t="s">
        <v>51</v>
      </c>
      <c r="R12" s="119">
        <v>0</v>
      </c>
      <c r="V12" s="75"/>
      <c r="X12" s="73" t="s">
        <v>51</v>
      </c>
      <c r="Y12" s="119">
        <v>0</v>
      </c>
      <c r="AC12" s="75"/>
      <c r="AJ12" s="75"/>
    </row>
    <row r="13" spans="1:36" ht="19.5" thickBot="1" x14ac:dyDescent="0.35">
      <c r="D13" s="115" t="s">
        <v>1981</v>
      </c>
      <c r="E13" s="116" t="s">
        <v>1982</v>
      </c>
      <c r="F13" s="116" t="s">
        <v>112</v>
      </c>
      <c r="G13" s="66" t="s">
        <v>19</v>
      </c>
      <c r="H13" s="116" t="s">
        <v>114</v>
      </c>
      <c r="I13" s="116">
        <v>15.1</v>
      </c>
      <c r="J13" s="67">
        <v>11.4</v>
      </c>
      <c r="K13" s="67">
        <v>3</v>
      </c>
      <c r="L13" s="67">
        <v>3</v>
      </c>
      <c r="M13" s="117">
        <v>8.4</v>
      </c>
      <c r="N13" s="118" t="s">
        <v>1983</v>
      </c>
      <c r="O13" s="68" t="s">
        <v>1984</v>
      </c>
      <c r="Q13" s="76"/>
      <c r="R13" s="77"/>
      <c r="S13" s="77"/>
      <c r="T13" s="77"/>
      <c r="V13" s="78"/>
      <c r="X13" s="76"/>
      <c r="Y13" s="77"/>
      <c r="Z13" s="77"/>
      <c r="AA13" s="77"/>
      <c r="AC13" s="78"/>
      <c r="AJ13" s="78"/>
    </row>
    <row r="14" spans="1:36" ht="19.5" thickBot="1" x14ac:dyDescent="0.35">
      <c r="D14" s="115" t="s">
        <v>1985</v>
      </c>
      <c r="E14" s="116" t="s">
        <v>1986</v>
      </c>
      <c r="F14" s="116" t="s">
        <v>112</v>
      </c>
      <c r="G14" s="66" t="s">
        <v>19</v>
      </c>
      <c r="H14" s="116" t="s">
        <v>120</v>
      </c>
      <c r="I14" s="116">
        <v>10.6</v>
      </c>
      <c r="J14" s="67">
        <v>9.66</v>
      </c>
      <c r="K14" s="67">
        <v>3</v>
      </c>
      <c r="L14" s="67">
        <v>3</v>
      </c>
      <c r="M14" s="117">
        <v>6.66</v>
      </c>
      <c r="N14" s="118" t="s">
        <v>1987</v>
      </c>
      <c r="O14" s="68" t="s">
        <v>1988</v>
      </c>
      <c r="Q14" s="73" t="s">
        <v>54</v>
      </c>
      <c r="R14" s="119">
        <v>0</v>
      </c>
      <c r="T14" s="79" t="s">
        <v>55</v>
      </c>
      <c r="U14" s="77"/>
      <c r="V14" s="75"/>
      <c r="X14" s="73" t="s">
        <v>54</v>
      </c>
      <c r="Y14" s="119">
        <v>0</v>
      </c>
      <c r="AA14" s="79" t="s">
        <v>55</v>
      </c>
      <c r="AB14" s="77"/>
      <c r="AC14" s="75"/>
      <c r="AJ14" s="75"/>
    </row>
    <row r="15" spans="1:36" ht="19.5" thickBot="1" x14ac:dyDescent="0.35">
      <c r="D15" s="115" t="s">
        <v>1989</v>
      </c>
      <c r="E15" s="116" t="s">
        <v>1986</v>
      </c>
      <c r="F15" s="116" t="s">
        <v>112</v>
      </c>
      <c r="G15" s="66" t="s">
        <v>19</v>
      </c>
      <c r="H15" s="116" t="s">
        <v>125</v>
      </c>
      <c r="I15" s="116">
        <v>11.6</v>
      </c>
      <c r="J15" s="67">
        <v>7.08</v>
      </c>
      <c r="K15" s="67">
        <v>3</v>
      </c>
      <c r="L15" s="67">
        <v>3</v>
      </c>
      <c r="M15" s="117">
        <v>4.08</v>
      </c>
      <c r="N15" s="118" t="s">
        <v>1990</v>
      </c>
      <c r="O15" s="68" t="s">
        <v>1991</v>
      </c>
      <c r="Q15" s="73" t="s">
        <v>56</v>
      </c>
      <c r="R15" s="80" t="s">
        <v>1992</v>
      </c>
      <c r="T15" s="80" t="s">
        <v>1992</v>
      </c>
      <c r="U15" s="82" t="s">
        <v>6</v>
      </c>
      <c r="V15" s="75"/>
      <c r="X15" s="73" t="s">
        <v>56</v>
      </c>
      <c r="Y15" s="80" t="s">
        <v>1992</v>
      </c>
      <c r="AA15" s="80" t="s">
        <v>1992</v>
      </c>
      <c r="AB15" s="82" t="s">
        <v>6</v>
      </c>
      <c r="AC15" s="75"/>
      <c r="AJ15" s="75"/>
    </row>
    <row r="16" spans="1:36" ht="19.5" thickBot="1" x14ac:dyDescent="0.35">
      <c r="D16" s="115" t="s">
        <v>1993</v>
      </c>
      <c r="E16" s="116" t="s">
        <v>1994</v>
      </c>
      <c r="F16" s="116" t="s">
        <v>112</v>
      </c>
      <c r="G16" s="66" t="s">
        <v>19</v>
      </c>
      <c r="H16" s="116" t="s">
        <v>129</v>
      </c>
      <c r="I16" s="116">
        <v>18.100000000000001</v>
      </c>
      <c r="J16" s="67">
        <v>11.5</v>
      </c>
      <c r="K16" s="67">
        <v>3</v>
      </c>
      <c r="L16" s="67">
        <v>3</v>
      </c>
      <c r="M16" s="117">
        <v>8.5</v>
      </c>
      <c r="N16" s="118" t="s">
        <v>1995</v>
      </c>
      <c r="O16" s="68" t="s">
        <v>1996</v>
      </c>
      <c r="Q16" s="73" t="s">
        <v>57</v>
      </c>
      <c r="R16" s="83">
        <v>2000</v>
      </c>
      <c r="T16" s="80">
        <v>20</v>
      </c>
      <c r="U16" s="82" t="s">
        <v>44</v>
      </c>
      <c r="V16" s="75"/>
      <c r="X16" s="73" t="s">
        <v>57</v>
      </c>
      <c r="Y16" s="83">
        <v>2000</v>
      </c>
      <c r="AA16" s="80">
        <v>20</v>
      </c>
      <c r="AB16" s="82" t="s">
        <v>44</v>
      </c>
      <c r="AC16" s="75"/>
      <c r="AJ16" s="75"/>
    </row>
    <row r="17" spans="4:36" ht="19.5" thickBot="1" x14ac:dyDescent="0.35">
      <c r="D17" s="115" t="s">
        <v>1997</v>
      </c>
      <c r="E17" s="116" t="s">
        <v>1998</v>
      </c>
      <c r="F17" s="116" t="s">
        <v>112</v>
      </c>
      <c r="G17" s="66" t="s">
        <v>19</v>
      </c>
      <c r="H17" s="116" t="s">
        <v>132</v>
      </c>
      <c r="I17" s="116">
        <v>14.8</v>
      </c>
      <c r="J17" s="67">
        <v>9.0299999999999994</v>
      </c>
      <c r="K17" s="67">
        <v>3</v>
      </c>
      <c r="L17" s="67">
        <v>3</v>
      </c>
      <c r="M17" s="117">
        <v>6.0299999999999994</v>
      </c>
      <c r="N17" s="118" t="s">
        <v>1999</v>
      </c>
      <c r="O17" s="68" t="s">
        <v>2000</v>
      </c>
      <c r="Q17" s="73" t="s">
        <v>60</v>
      </c>
      <c r="R17" s="83">
        <v>20</v>
      </c>
      <c r="S17" s="77"/>
      <c r="T17" s="84"/>
      <c r="V17" s="78"/>
      <c r="X17" s="73" t="s">
        <v>60</v>
      </c>
      <c r="Y17" s="83">
        <v>20</v>
      </c>
      <c r="Z17" s="77"/>
      <c r="AA17" s="84"/>
      <c r="AC17" s="78"/>
      <c r="AJ17" s="78"/>
    </row>
    <row r="18" spans="4:36" ht="19.5" thickBot="1" x14ac:dyDescent="0.35">
      <c r="D18" s="115" t="s">
        <v>2001</v>
      </c>
      <c r="E18" s="116" t="s">
        <v>2002</v>
      </c>
      <c r="F18" s="116" t="s">
        <v>112</v>
      </c>
      <c r="G18" s="66" t="s">
        <v>19</v>
      </c>
      <c r="H18" s="116" t="s">
        <v>134</v>
      </c>
      <c r="I18" s="116">
        <v>12.1</v>
      </c>
      <c r="J18" s="67">
        <v>7.17</v>
      </c>
      <c r="K18" s="67">
        <v>3</v>
      </c>
      <c r="L18" s="67">
        <v>3</v>
      </c>
      <c r="M18" s="117">
        <v>4.17</v>
      </c>
      <c r="N18" s="118" t="s">
        <v>2003</v>
      </c>
      <c r="O18" s="68" t="s">
        <v>2004</v>
      </c>
      <c r="Q18" s="85"/>
      <c r="R18" s="86"/>
      <c r="S18" s="86"/>
      <c r="T18" s="86"/>
      <c r="U18" s="86"/>
      <c r="V18" s="87"/>
      <c r="X18" s="85"/>
      <c r="Y18" s="86"/>
      <c r="Z18" s="86"/>
      <c r="AA18" s="86"/>
      <c r="AB18" s="86"/>
      <c r="AC18" s="87"/>
      <c r="AJ18" s="87"/>
    </row>
    <row r="19" spans="4:36" ht="19.5" thickBot="1" x14ac:dyDescent="0.35">
      <c r="D19" s="115" t="s">
        <v>2005</v>
      </c>
      <c r="E19" s="116" t="s">
        <v>2006</v>
      </c>
      <c r="F19" s="116" t="s">
        <v>112</v>
      </c>
      <c r="G19" s="66" t="s">
        <v>19</v>
      </c>
      <c r="H19" s="116" t="s">
        <v>137</v>
      </c>
      <c r="I19" s="116">
        <v>15.6</v>
      </c>
      <c r="J19" s="67">
        <v>11.2</v>
      </c>
      <c r="K19" s="67">
        <v>3</v>
      </c>
      <c r="L19" s="67">
        <v>3</v>
      </c>
      <c r="M19" s="117">
        <v>8.1999999999999993</v>
      </c>
      <c r="N19" s="118" t="s">
        <v>2007</v>
      </c>
      <c r="O19" s="68" t="s">
        <v>2008</v>
      </c>
    </row>
    <row r="20" spans="4:36" ht="19.5" thickBot="1" x14ac:dyDescent="0.35">
      <c r="D20" s="115"/>
      <c r="E20" s="116" t="s">
        <v>1916</v>
      </c>
      <c r="F20" s="116" t="s">
        <v>1916</v>
      </c>
      <c r="G20" s="66" t="s">
        <v>1916</v>
      </c>
      <c r="H20" s="116" t="s">
        <v>1916</v>
      </c>
      <c r="I20" s="116" t="s">
        <v>1916</v>
      </c>
      <c r="J20" s="67"/>
      <c r="K20" s="67"/>
      <c r="L20" s="67"/>
      <c r="M20" s="116" t="s">
        <v>1916</v>
      </c>
      <c r="N20" s="118" t="s">
        <v>1916</v>
      </c>
      <c r="O20" s="68" t="s">
        <v>1916</v>
      </c>
      <c r="Q20" s="69" t="s">
        <v>47</v>
      </c>
      <c r="R20" s="70"/>
      <c r="S20" s="70"/>
      <c r="T20" s="70"/>
      <c r="U20" s="70"/>
      <c r="V20" s="71"/>
      <c r="X20" s="69" t="s">
        <v>64</v>
      </c>
      <c r="Y20" s="70"/>
      <c r="Z20" s="70"/>
      <c r="AA20" s="70"/>
      <c r="AB20" s="70"/>
      <c r="AC20" s="71"/>
      <c r="AJ20" s="71"/>
    </row>
    <row r="21" spans="4:36" ht="19.5" thickBot="1" x14ac:dyDescent="0.35">
      <c r="D21" s="115"/>
      <c r="E21" s="116" t="s">
        <v>1916</v>
      </c>
      <c r="F21" s="116" t="s">
        <v>1916</v>
      </c>
      <c r="G21" s="66" t="s">
        <v>1916</v>
      </c>
      <c r="H21" s="116" t="s">
        <v>1916</v>
      </c>
      <c r="I21" s="116" t="s">
        <v>1916</v>
      </c>
      <c r="J21" s="67"/>
      <c r="K21" s="67"/>
      <c r="L21" s="67"/>
      <c r="M21" s="116" t="s">
        <v>1916</v>
      </c>
      <c r="N21" s="118" t="s">
        <v>1916</v>
      </c>
      <c r="O21" s="68" t="s">
        <v>1916</v>
      </c>
      <c r="Q21" s="73" t="s">
        <v>51</v>
      </c>
      <c r="R21" s="119">
        <v>0</v>
      </c>
      <c r="V21" s="75"/>
      <c r="X21" s="73" t="s">
        <v>51</v>
      </c>
      <c r="Y21" s="119">
        <v>0</v>
      </c>
      <c r="AC21" s="75"/>
      <c r="AJ21" s="75"/>
    </row>
    <row r="22" spans="4:36" ht="19.5" thickBot="1" x14ac:dyDescent="0.35">
      <c r="D22" s="115"/>
      <c r="E22" s="116" t="s">
        <v>1916</v>
      </c>
      <c r="F22" s="116" t="s">
        <v>1916</v>
      </c>
      <c r="G22" s="66" t="s">
        <v>1916</v>
      </c>
      <c r="H22" s="116" t="s">
        <v>1916</v>
      </c>
      <c r="I22" s="116" t="s">
        <v>1916</v>
      </c>
      <c r="J22" s="67"/>
      <c r="K22" s="67"/>
      <c r="L22" s="67"/>
      <c r="M22" s="116" t="s">
        <v>1916</v>
      </c>
      <c r="N22" s="118" t="s">
        <v>1916</v>
      </c>
      <c r="O22" s="68" t="s">
        <v>1916</v>
      </c>
      <c r="Q22" s="76"/>
      <c r="R22" s="77"/>
      <c r="S22" s="77"/>
      <c r="T22" s="77"/>
      <c r="V22" s="78"/>
      <c r="X22" s="76"/>
      <c r="Y22" s="77"/>
      <c r="Z22" s="77"/>
      <c r="AA22" s="77"/>
      <c r="AC22" s="78"/>
      <c r="AJ22" s="78"/>
    </row>
    <row r="23" spans="4:36" ht="19.5" thickBot="1" x14ac:dyDescent="0.35">
      <c r="D23" s="115"/>
      <c r="E23" s="116" t="s">
        <v>1916</v>
      </c>
      <c r="F23" s="116" t="s">
        <v>1916</v>
      </c>
      <c r="G23" s="66" t="s">
        <v>1916</v>
      </c>
      <c r="H23" s="116" t="s">
        <v>1916</v>
      </c>
      <c r="I23" s="116" t="s">
        <v>1916</v>
      </c>
      <c r="J23" s="67"/>
      <c r="K23" s="67"/>
      <c r="L23" s="67"/>
      <c r="M23" s="116" t="s">
        <v>1916</v>
      </c>
      <c r="N23" s="118" t="s">
        <v>1916</v>
      </c>
      <c r="O23" s="68" t="s">
        <v>1916</v>
      </c>
      <c r="Q23" s="73" t="s">
        <v>54</v>
      </c>
      <c r="R23" s="119">
        <v>0</v>
      </c>
      <c r="T23" s="79" t="s">
        <v>55</v>
      </c>
      <c r="U23" s="77"/>
      <c r="V23" s="75"/>
      <c r="X23" s="73" t="s">
        <v>54</v>
      </c>
      <c r="Y23" s="119">
        <v>0</v>
      </c>
      <c r="AA23" s="79" t="s">
        <v>55</v>
      </c>
      <c r="AB23" s="77"/>
      <c r="AC23" s="75"/>
      <c r="AJ23" s="75"/>
    </row>
    <row r="24" spans="4:36" ht="19.5" thickBot="1" x14ac:dyDescent="0.35">
      <c r="D24" s="115"/>
      <c r="E24" s="116" t="s">
        <v>1916</v>
      </c>
      <c r="F24" s="116" t="s">
        <v>1916</v>
      </c>
      <c r="G24" s="66" t="s">
        <v>1916</v>
      </c>
      <c r="H24" s="116" t="s">
        <v>1916</v>
      </c>
      <c r="I24" s="116" t="s">
        <v>1916</v>
      </c>
      <c r="J24" s="67"/>
      <c r="K24" s="67"/>
      <c r="L24" s="67"/>
      <c r="M24" s="116" t="s">
        <v>1916</v>
      </c>
      <c r="N24" s="118" t="s">
        <v>1916</v>
      </c>
      <c r="O24" s="68" t="s">
        <v>1916</v>
      </c>
      <c r="Q24" s="73" t="s">
        <v>56</v>
      </c>
      <c r="R24" s="80" t="s">
        <v>1992</v>
      </c>
      <c r="T24" s="80" t="s">
        <v>1992</v>
      </c>
      <c r="U24" s="82" t="s">
        <v>6</v>
      </c>
      <c r="V24" s="75"/>
      <c r="X24" s="73" t="s">
        <v>56</v>
      </c>
      <c r="Y24" s="80" t="s">
        <v>1992</v>
      </c>
      <c r="AA24" s="80" t="s">
        <v>1992</v>
      </c>
      <c r="AB24" s="82" t="s">
        <v>6</v>
      </c>
      <c r="AC24" s="75"/>
      <c r="AJ24" s="75"/>
    </row>
    <row r="25" spans="4:36" ht="19.5" thickBot="1" x14ac:dyDescent="0.35">
      <c r="D25" s="115"/>
      <c r="E25" s="116" t="s">
        <v>1916</v>
      </c>
      <c r="F25" s="116" t="s">
        <v>1916</v>
      </c>
      <c r="G25" s="66" t="s">
        <v>1916</v>
      </c>
      <c r="H25" s="116" t="s">
        <v>1916</v>
      </c>
      <c r="I25" s="116" t="s">
        <v>1916</v>
      </c>
      <c r="J25" s="67"/>
      <c r="K25" s="67"/>
      <c r="L25" s="67"/>
      <c r="M25" s="116" t="s">
        <v>1916</v>
      </c>
      <c r="N25" s="118" t="s">
        <v>1916</v>
      </c>
      <c r="O25" s="68" t="s">
        <v>1916</v>
      </c>
      <c r="Q25" s="73" t="s">
        <v>57</v>
      </c>
      <c r="R25" s="83">
        <v>2000</v>
      </c>
      <c r="T25" s="80">
        <v>20</v>
      </c>
      <c r="U25" s="82" t="s">
        <v>44</v>
      </c>
      <c r="V25" s="75"/>
      <c r="X25" s="73" t="s">
        <v>57</v>
      </c>
      <c r="Y25" s="83">
        <v>2000</v>
      </c>
      <c r="AA25" s="80">
        <v>20</v>
      </c>
      <c r="AB25" s="82" t="s">
        <v>44</v>
      </c>
      <c r="AC25" s="75"/>
      <c r="AJ25" s="75"/>
    </row>
    <row r="26" spans="4:36" ht="19.5" thickBot="1" x14ac:dyDescent="0.35">
      <c r="D26" s="115"/>
      <c r="E26" s="116" t="s">
        <v>1916</v>
      </c>
      <c r="F26" s="116" t="s">
        <v>1916</v>
      </c>
      <c r="G26" s="66" t="s">
        <v>1916</v>
      </c>
      <c r="H26" s="116" t="s">
        <v>1916</v>
      </c>
      <c r="I26" s="116" t="s">
        <v>1916</v>
      </c>
      <c r="J26" s="67"/>
      <c r="K26" s="67"/>
      <c r="L26" s="67"/>
      <c r="M26" s="116" t="s">
        <v>1916</v>
      </c>
      <c r="N26" s="118" t="s">
        <v>1916</v>
      </c>
      <c r="O26" s="68" t="s">
        <v>1916</v>
      </c>
      <c r="Q26" s="73" t="s">
        <v>60</v>
      </c>
      <c r="R26" s="83">
        <v>20</v>
      </c>
      <c r="S26" s="77"/>
      <c r="T26" s="84"/>
      <c r="V26" s="78"/>
      <c r="X26" s="73" t="s">
        <v>60</v>
      </c>
      <c r="Y26" s="83">
        <v>20</v>
      </c>
      <c r="Z26" s="77"/>
      <c r="AA26" s="84"/>
      <c r="AC26" s="78"/>
      <c r="AJ26" s="78"/>
    </row>
    <row r="27" spans="4:36" ht="19.5" thickBot="1" x14ac:dyDescent="0.35">
      <c r="D27" s="115"/>
      <c r="E27" s="116" t="s">
        <v>1916</v>
      </c>
      <c r="F27" s="116" t="s">
        <v>1916</v>
      </c>
      <c r="G27" s="66" t="s">
        <v>1916</v>
      </c>
      <c r="H27" s="116" t="s">
        <v>1916</v>
      </c>
      <c r="I27" s="116" t="s">
        <v>1916</v>
      </c>
      <c r="J27" s="67"/>
      <c r="K27" s="67"/>
      <c r="L27" s="67"/>
      <c r="M27" s="116" t="s">
        <v>1916</v>
      </c>
      <c r="N27" s="118" t="s">
        <v>1916</v>
      </c>
      <c r="O27" s="68" t="s">
        <v>1916</v>
      </c>
      <c r="Q27" s="85"/>
      <c r="R27" s="86"/>
      <c r="S27" s="86"/>
      <c r="T27" s="86"/>
      <c r="U27" s="86"/>
      <c r="V27" s="87"/>
      <c r="X27" s="85"/>
      <c r="Y27" s="86"/>
      <c r="Z27" s="86"/>
      <c r="AA27" s="86"/>
      <c r="AB27" s="86"/>
      <c r="AC27" s="87"/>
      <c r="AJ27" s="87"/>
    </row>
    <row r="28" spans="4:36" x14ac:dyDescent="0.3">
      <c r="D28" s="115"/>
      <c r="E28" s="116" t="s">
        <v>1916</v>
      </c>
      <c r="F28" s="116" t="s">
        <v>1916</v>
      </c>
      <c r="G28" s="66" t="s">
        <v>1916</v>
      </c>
      <c r="H28" s="116" t="s">
        <v>1916</v>
      </c>
      <c r="I28" s="116" t="s">
        <v>1916</v>
      </c>
      <c r="J28" s="67"/>
      <c r="K28" s="67"/>
      <c r="L28" s="67"/>
      <c r="M28" s="116" t="s">
        <v>1916</v>
      </c>
      <c r="N28" s="118" t="s">
        <v>1916</v>
      </c>
      <c r="O28" s="68" t="s">
        <v>1916</v>
      </c>
    </row>
    <row r="29" spans="4:36" x14ac:dyDescent="0.3">
      <c r="D29" s="115"/>
      <c r="E29" s="116" t="s">
        <v>1916</v>
      </c>
      <c r="F29" s="116" t="s">
        <v>1916</v>
      </c>
      <c r="G29" s="66" t="s">
        <v>1916</v>
      </c>
      <c r="H29" s="116" t="s">
        <v>1916</v>
      </c>
      <c r="I29" s="116" t="s">
        <v>1916</v>
      </c>
      <c r="J29" s="67"/>
      <c r="K29" s="67"/>
      <c r="L29" s="67"/>
      <c r="M29" s="116" t="s">
        <v>1916</v>
      </c>
      <c r="N29" s="118" t="s">
        <v>1916</v>
      </c>
      <c r="O29" s="68" t="s">
        <v>1916</v>
      </c>
    </row>
    <row r="30" spans="4:36" x14ac:dyDescent="0.3">
      <c r="D30" s="115"/>
      <c r="E30" s="116" t="s">
        <v>1916</v>
      </c>
      <c r="F30" s="116" t="s">
        <v>1916</v>
      </c>
      <c r="G30" s="66" t="s">
        <v>1916</v>
      </c>
      <c r="H30" s="116" t="s">
        <v>1916</v>
      </c>
      <c r="I30" s="116" t="s">
        <v>1916</v>
      </c>
      <c r="J30" s="67"/>
      <c r="K30" s="67"/>
      <c r="L30" s="67"/>
      <c r="M30" s="116" t="s">
        <v>1916</v>
      </c>
      <c r="N30" s="118" t="s">
        <v>1916</v>
      </c>
      <c r="O30" s="68" t="s">
        <v>1916</v>
      </c>
    </row>
    <row r="31" spans="4:36" x14ac:dyDescent="0.3">
      <c r="D31" s="115"/>
      <c r="E31" s="116" t="s">
        <v>1916</v>
      </c>
      <c r="F31" s="116" t="s">
        <v>1916</v>
      </c>
      <c r="G31" s="66" t="s">
        <v>1916</v>
      </c>
      <c r="H31" s="116" t="s">
        <v>1916</v>
      </c>
      <c r="I31" s="116" t="s">
        <v>1916</v>
      </c>
      <c r="J31" s="67"/>
      <c r="K31" s="67"/>
      <c r="L31" s="67"/>
      <c r="M31" s="116" t="s">
        <v>1916</v>
      </c>
      <c r="N31" s="118" t="s">
        <v>1916</v>
      </c>
      <c r="O31" s="68" t="s">
        <v>1916</v>
      </c>
    </row>
    <row r="32" spans="4:36" x14ac:dyDescent="0.3">
      <c r="D32" s="115"/>
      <c r="E32" s="116" t="s">
        <v>1916</v>
      </c>
      <c r="F32" s="116" t="s">
        <v>1916</v>
      </c>
      <c r="G32" s="66" t="s">
        <v>1916</v>
      </c>
      <c r="H32" s="116" t="s">
        <v>1916</v>
      </c>
      <c r="I32" s="116" t="s">
        <v>1916</v>
      </c>
      <c r="J32" s="67"/>
      <c r="K32" s="67"/>
      <c r="L32" s="67"/>
      <c r="M32" s="116" t="s">
        <v>1916</v>
      </c>
      <c r="N32" s="118" t="s">
        <v>1916</v>
      </c>
      <c r="O32" s="68" t="s">
        <v>1916</v>
      </c>
    </row>
    <row r="33" spans="4:28" x14ac:dyDescent="0.3">
      <c r="D33" s="115"/>
      <c r="E33" s="116" t="s">
        <v>1916</v>
      </c>
      <c r="F33" s="116" t="s">
        <v>1916</v>
      </c>
      <c r="G33" s="66" t="s">
        <v>1916</v>
      </c>
      <c r="H33" s="116" t="s">
        <v>1916</v>
      </c>
      <c r="I33" s="116" t="s">
        <v>1916</v>
      </c>
      <c r="J33" s="67"/>
      <c r="K33" s="67"/>
      <c r="L33" s="67"/>
      <c r="M33" s="116" t="s">
        <v>1916</v>
      </c>
      <c r="N33" s="118" t="s">
        <v>1916</v>
      </c>
      <c r="O33" s="68" t="s">
        <v>1916</v>
      </c>
    </row>
    <row r="34" spans="4:28" ht="19.5" thickBot="1" x14ac:dyDescent="0.35">
      <c r="D34" s="115"/>
      <c r="E34" s="116" t="s">
        <v>1916</v>
      </c>
      <c r="F34" s="116" t="s">
        <v>1916</v>
      </c>
      <c r="G34" s="66" t="s">
        <v>1916</v>
      </c>
      <c r="H34" s="116" t="s">
        <v>1916</v>
      </c>
      <c r="I34" s="116" t="s">
        <v>1916</v>
      </c>
      <c r="J34" s="67"/>
      <c r="K34" s="67"/>
      <c r="L34" s="67"/>
      <c r="M34" s="116" t="s">
        <v>1916</v>
      </c>
      <c r="N34" s="118" t="s">
        <v>1916</v>
      </c>
      <c r="O34" s="68" t="s">
        <v>1916</v>
      </c>
    </row>
    <row r="35" spans="4:28" ht="19.5" thickBot="1" x14ac:dyDescent="0.35">
      <c r="D35" s="115"/>
      <c r="E35" s="116" t="s">
        <v>1916</v>
      </c>
      <c r="F35" s="116" t="s">
        <v>1916</v>
      </c>
      <c r="G35" s="66" t="s">
        <v>1916</v>
      </c>
      <c r="H35" s="116" t="s">
        <v>1916</v>
      </c>
      <c r="I35" s="116" t="s">
        <v>1916</v>
      </c>
      <c r="J35" s="67"/>
      <c r="K35" s="67"/>
      <c r="L35" s="67"/>
      <c r="M35" s="116" t="s">
        <v>1916</v>
      </c>
      <c r="N35" s="118" t="s">
        <v>1916</v>
      </c>
      <c r="O35" s="68" t="s">
        <v>1916</v>
      </c>
      <c r="Q35" s="69" t="s">
        <v>65</v>
      </c>
      <c r="R35" s="70"/>
      <c r="S35" s="70"/>
      <c r="T35" s="70"/>
      <c r="U35" s="70"/>
      <c r="V35" s="71"/>
      <c r="X35" s="91" t="s">
        <v>66</v>
      </c>
      <c r="Y35" s="92">
        <v>1.2</v>
      </c>
      <c r="Z35" s="91" t="s">
        <v>67</v>
      </c>
      <c r="AA35" s="93" t="s">
        <v>68</v>
      </c>
      <c r="AB35" s="94">
        <v>600</v>
      </c>
    </row>
    <row r="36" spans="4:28" ht="19.5" thickBot="1" x14ac:dyDescent="0.35">
      <c r="D36" s="115"/>
      <c r="E36" s="116" t="s">
        <v>1916</v>
      </c>
      <c r="F36" s="116" t="s">
        <v>1916</v>
      </c>
      <c r="G36" s="66" t="s">
        <v>1916</v>
      </c>
      <c r="H36" s="116" t="s">
        <v>1916</v>
      </c>
      <c r="I36" s="116" t="s">
        <v>1916</v>
      </c>
      <c r="J36" s="67"/>
      <c r="K36" s="67"/>
      <c r="L36" s="67"/>
      <c r="M36" s="116" t="s">
        <v>1916</v>
      </c>
      <c r="N36" s="118" t="s">
        <v>1916</v>
      </c>
      <c r="O36" s="68" t="s">
        <v>1916</v>
      </c>
      <c r="Q36" s="73" t="s">
        <v>56</v>
      </c>
      <c r="R36" s="119">
        <v>1000</v>
      </c>
      <c r="T36" s="79" t="s">
        <v>55</v>
      </c>
      <c r="U36" s="77"/>
      <c r="V36" s="75"/>
      <c r="X36" s="95" t="s">
        <v>69</v>
      </c>
      <c r="Y36" s="96" t="s">
        <v>70</v>
      </c>
      <c r="Z36" s="97" t="s">
        <v>71</v>
      </c>
      <c r="AA36" s="97" t="s">
        <v>72</v>
      </c>
      <c r="AB36" s="98" t="s">
        <v>73</v>
      </c>
    </row>
    <row r="37" spans="4:28" ht="19.5" thickBot="1" x14ac:dyDescent="0.35">
      <c r="D37" s="115"/>
      <c r="E37" s="116" t="s">
        <v>1916</v>
      </c>
      <c r="F37" s="116" t="s">
        <v>1916</v>
      </c>
      <c r="G37" s="66" t="s">
        <v>1916</v>
      </c>
      <c r="H37" s="116" t="s">
        <v>1916</v>
      </c>
      <c r="I37" s="116" t="s">
        <v>1916</v>
      </c>
      <c r="J37" s="67"/>
      <c r="K37" s="67"/>
      <c r="L37" s="67"/>
      <c r="M37" s="116" t="s">
        <v>1916</v>
      </c>
      <c r="N37" s="118" t="s">
        <v>1916</v>
      </c>
      <c r="O37" s="68" t="s">
        <v>1916</v>
      </c>
      <c r="Q37" s="73" t="s">
        <v>57</v>
      </c>
      <c r="R37" s="119">
        <v>8</v>
      </c>
      <c r="T37" s="80">
        <v>4.8</v>
      </c>
      <c r="U37" s="82" t="s">
        <v>6</v>
      </c>
      <c r="V37" s="75"/>
      <c r="X37" s="99" t="s">
        <v>107</v>
      </c>
      <c r="Y37" s="100">
        <v>7.1999999999999995E-2</v>
      </c>
      <c r="Z37" s="27">
        <v>9</v>
      </c>
      <c r="AA37" s="101">
        <v>0.53999999999999992</v>
      </c>
      <c r="AB37" s="102">
        <v>265.69476082004553</v>
      </c>
    </row>
    <row r="38" spans="4:28" ht="19.5" thickBot="1" x14ac:dyDescent="0.35">
      <c r="D38" s="115"/>
      <c r="E38" s="116" t="s">
        <v>1916</v>
      </c>
      <c r="F38" s="116" t="s">
        <v>1916</v>
      </c>
      <c r="G38" s="66" t="s">
        <v>1916</v>
      </c>
      <c r="H38" s="116" t="s">
        <v>1916</v>
      </c>
      <c r="I38" s="116" t="s">
        <v>1916</v>
      </c>
      <c r="J38" s="67"/>
      <c r="K38" s="67"/>
      <c r="L38" s="67"/>
      <c r="M38" s="116" t="s">
        <v>1916</v>
      </c>
      <c r="N38" s="118" t="s">
        <v>1916</v>
      </c>
      <c r="O38" s="68" t="s">
        <v>1916</v>
      </c>
      <c r="Q38" s="73" t="s">
        <v>60</v>
      </c>
      <c r="R38" s="80">
        <v>600</v>
      </c>
      <c r="S38" s="77"/>
      <c r="T38" s="80">
        <v>595.20000000000005</v>
      </c>
      <c r="U38" s="82" t="s">
        <v>44</v>
      </c>
      <c r="V38" s="78"/>
      <c r="X38" s="99" t="s">
        <v>112</v>
      </c>
      <c r="Y38" s="100">
        <v>6.0999999999999999E-2</v>
      </c>
      <c r="Z38" s="27">
        <v>9</v>
      </c>
      <c r="AA38" s="101">
        <v>0.45749999999999996</v>
      </c>
      <c r="AB38" s="102">
        <v>225.10250569476079</v>
      </c>
    </row>
    <row r="39" spans="4:28" ht="19.5" thickBot="1" x14ac:dyDescent="0.35">
      <c r="D39" s="115"/>
      <c r="E39" s="116" t="s">
        <v>1916</v>
      </c>
      <c r="F39" s="116" t="s">
        <v>1916</v>
      </c>
      <c r="G39" s="66" t="s">
        <v>1916</v>
      </c>
      <c r="H39" s="116" t="s">
        <v>1916</v>
      </c>
      <c r="I39" s="116" t="s">
        <v>1916</v>
      </c>
      <c r="J39" s="67"/>
      <c r="K39" s="67"/>
      <c r="L39" s="67"/>
      <c r="M39" s="116" t="s">
        <v>1916</v>
      </c>
      <c r="N39" s="118" t="s">
        <v>1916</v>
      </c>
      <c r="O39" s="68" t="s">
        <v>1916</v>
      </c>
      <c r="Q39" s="85"/>
      <c r="R39" s="86"/>
      <c r="S39" s="86"/>
      <c r="T39" s="86"/>
      <c r="U39" s="86"/>
      <c r="V39" s="87"/>
      <c r="X39" s="99"/>
      <c r="Y39" s="100" t="s">
        <v>1916</v>
      </c>
      <c r="Z39" s="27" t="s">
        <v>1916</v>
      </c>
      <c r="AA39" s="101" t="s">
        <v>1916</v>
      </c>
      <c r="AB39" s="102" t="s">
        <v>1916</v>
      </c>
    </row>
    <row r="40" spans="4:28" ht="19.5" thickBot="1" x14ac:dyDescent="0.35">
      <c r="D40" s="115"/>
      <c r="E40" s="116" t="s">
        <v>1916</v>
      </c>
      <c r="F40" s="116" t="s">
        <v>1916</v>
      </c>
      <c r="G40" s="66" t="s">
        <v>1916</v>
      </c>
      <c r="H40" s="116" t="s">
        <v>1916</v>
      </c>
      <c r="I40" s="116" t="s">
        <v>1916</v>
      </c>
      <c r="J40" s="67"/>
      <c r="K40" s="67"/>
      <c r="L40" s="67"/>
      <c r="M40" s="116" t="s">
        <v>1916</v>
      </c>
      <c r="N40" s="118" t="s">
        <v>1916</v>
      </c>
      <c r="O40" s="68" t="s">
        <v>1916</v>
      </c>
      <c r="X40" s="99"/>
      <c r="Y40" s="100" t="s">
        <v>1916</v>
      </c>
      <c r="Z40" s="27" t="s">
        <v>1916</v>
      </c>
      <c r="AA40" s="101" t="s">
        <v>1916</v>
      </c>
      <c r="AB40" s="102" t="s">
        <v>1916</v>
      </c>
    </row>
    <row r="41" spans="4:28" ht="19.5" thickBot="1" x14ac:dyDescent="0.35">
      <c r="D41" s="115"/>
      <c r="E41" s="116" t="s">
        <v>1916</v>
      </c>
      <c r="F41" s="116" t="s">
        <v>1916</v>
      </c>
      <c r="G41" s="66" t="s">
        <v>1916</v>
      </c>
      <c r="H41" s="116" t="s">
        <v>1916</v>
      </c>
      <c r="I41" s="116" t="s">
        <v>1916</v>
      </c>
      <c r="J41" s="67"/>
      <c r="K41" s="67"/>
      <c r="L41" s="67"/>
      <c r="M41" s="116" t="s">
        <v>1916</v>
      </c>
      <c r="N41" s="118" t="s">
        <v>1916</v>
      </c>
      <c r="O41" s="68" t="s">
        <v>1916</v>
      </c>
      <c r="Q41" s="69" t="s">
        <v>74</v>
      </c>
      <c r="R41" s="70"/>
      <c r="S41" s="70"/>
      <c r="T41" s="70"/>
      <c r="U41" s="70"/>
      <c r="V41" s="71"/>
      <c r="X41" s="103"/>
      <c r="Y41" s="100" t="s">
        <v>1916</v>
      </c>
      <c r="Z41" s="27" t="s">
        <v>1916</v>
      </c>
      <c r="AA41" s="101" t="s">
        <v>1916</v>
      </c>
      <c r="AB41" s="102" t="s">
        <v>1916</v>
      </c>
    </row>
    <row r="42" spans="4:28" ht="19.5" thickBot="1" x14ac:dyDescent="0.35">
      <c r="D42" s="115"/>
      <c r="E42" s="116" t="s">
        <v>1916</v>
      </c>
      <c r="F42" s="116" t="s">
        <v>1916</v>
      </c>
      <c r="G42" s="66" t="s">
        <v>1916</v>
      </c>
      <c r="H42" s="116" t="s">
        <v>1916</v>
      </c>
      <c r="I42" s="116" t="s">
        <v>1916</v>
      </c>
      <c r="J42" s="67"/>
      <c r="K42" s="67"/>
      <c r="L42" s="67"/>
      <c r="M42" s="116" t="s">
        <v>1916</v>
      </c>
      <c r="N42" s="118" t="s">
        <v>1916</v>
      </c>
      <c r="O42" s="68" t="s">
        <v>1916</v>
      </c>
      <c r="Q42" s="73" t="s">
        <v>56</v>
      </c>
      <c r="R42" s="119">
        <v>40</v>
      </c>
      <c r="T42" s="79" t="s">
        <v>55</v>
      </c>
      <c r="U42" s="77"/>
      <c r="V42" s="75"/>
      <c r="X42" s="104"/>
      <c r="Y42" s="100" t="s">
        <v>1916</v>
      </c>
      <c r="Z42" s="27" t="s">
        <v>1916</v>
      </c>
      <c r="AA42" s="101" t="s">
        <v>1916</v>
      </c>
      <c r="AB42" s="102" t="s">
        <v>1916</v>
      </c>
    </row>
    <row r="43" spans="4:28" ht="19.5" thickBot="1" x14ac:dyDescent="0.35">
      <c r="D43" s="115"/>
      <c r="E43" s="116" t="s">
        <v>1916</v>
      </c>
      <c r="F43" s="116" t="s">
        <v>1916</v>
      </c>
      <c r="G43" s="66" t="s">
        <v>1916</v>
      </c>
      <c r="H43" s="116" t="s">
        <v>1916</v>
      </c>
      <c r="I43" s="116" t="s">
        <v>1916</v>
      </c>
      <c r="J43" s="67"/>
      <c r="K43" s="67"/>
      <c r="L43" s="67"/>
      <c r="M43" s="116" t="s">
        <v>1916</v>
      </c>
      <c r="N43" s="118" t="s">
        <v>1916</v>
      </c>
      <c r="O43" s="68" t="s">
        <v>1916</v>
      </c>
      <c r="Q43" s="73" t="s">
        <v>57</v>
      </c>
      <c r="R43" s="119">
        <v>8</v>
      </c>
      <c r="T43" s="80">
        <v>12</v>
      </c>
      <c r="U43" s="82" t="s">
        <v>6</v>
      </c>
      <c r="V43" s="75"/>
      <c r="X43" s="104"/>
      <c r="Y43" s="100" t="s">
        <v>1916</v>
      </c>
      <c r="Z43" s="27" t="s">
        <v>1916</v>
      </c>
      <c r="AA43" s="101" t="s">
        <v>1916</v>
      </c>
      <c r="AB43" s="102" t="s">
        <v>1916</v>
      </c>
    </row>
    <row r="44" spans="4:28" ht="19.5" thickBot="1" x14ac:dyDescent="0.35">
      <c r="D44" s="115"/>
      <c r="E44" s="116" t="s">
        <v>1916</v>
      </c>
      <c r="F44" s="116" t="s">
        <v>1916</v>
      </c>
      <c r="G44" s="66" t="s">
        <v>1916</v>
      </c>
      <c r="H44" s="116" t="s">
        <v>1916</v>
      </c>
      <c r="I44" s="116" t="s">
        <v>1916</v>
      </c>
      <c r="J44" s="67"/>
      <c r="K44" s="67"/>
      <c r="L44" s="67"/>
      <c r="M44" s="116" t="s">
        <v>1916</v>
      </c>
      <c r="N44" s="118" t="s">
        <v>1916</v>
      </c>
      <c r="O44" s="68" t="s">
        <v>1916</v>
      </c>
      <c r="Q44" s="73" t="s">
        <v>60</v>
      </c>
      <c r="R44" s="80">
        <v>60</v>
      </c>
      <c r="S44" s="77"/>
      <c r="T44" s="80">
        <v>48</v>
      </c>
      <c r="U44" s="82" t="s">
        <v>44</v>
      </c>
      <c r="V44" s="78"/>
      <c r="X44" s="105" t="s">
        <v>75</v>
      </c>
      <c r="Y44" s="106" t="s">
        <v>1916</v>
      </c>
      <c r="Z44" s="107" t="s">
        <v>1916</v>
      </c>
      <c r="AA44" s="108">
        <v>0.1</v>
      </c>
      <c r="AB44" s="109">
        <v>60</v>
      </c>
    </row>
    <row r="45" spans="4:28" ht="19.5" thickBot="1" x14ac:dyDescent="0.35">
      <c r="D45" s="115"/>
      <c r="E45" s="116" t="s">
        <v>1916</v>
      </c>
      <c r="F45" s="116" t="s">
        <v>1916</v>
      </c>
      <c r="G45" s="66" t="s">
        <v>1916</v>
      </c>
      <c r="H45" s="116" t="s">
        <v>1916</v>
      </c>
      <c r="I45" s="116" t="s">
        <v>1916</v>
      </c>
      <c r="J45" s="67"/>
      <c r="K45" s="67"/>
      <c r="L45" s="67"/>
      <c r="M45" s="116" t="s">
        <v>1916</v>
      </c>
      <c r="N45" s="118" t="s">
        <v>1916</v>
      </c>
      <c r="O45" s="68" t="s">
        <v>1916</v>
      </c>
      <c r="Q45" s="85"/>
      <c r="R45" s="86"/>
      <c r="S45" s="86"/>
      <c r="T45" s="86"/>
      <c r="U45" s="86"/>
      <c r="V45" s="87"/>
      <c r="Z45" s="110" t="s">
        <v>76</v>
      </c>
      <c r="AA45" s="111">
        <v>1.0974999999999999</v>
      </c>
      <c r="AB45" s="89"/>
    </row>
    <row r="46" spans="4:28" x14ac:dyDescent="0.3">
      <c r="D46" s="115"/>
      <c r="E46" s="116" t="s">
        <v>1916</v>
      </c>
      <c r="F46" s="116" t="s">
        <v>1916</v>
      </c>
      <c r="G46" s="66" t="s">
        <v>1916</v>
      </c>
      <c r="H46" s="116" t="s">
        <v>1916</v>
      </c>
      <c r="I46" s="116" t="s">
        <v>1916</v>
      </c>
      <c r="J46" s="67"/>
      <c r="K46" s="67"/>
      <c r="L46" s="67"/>
      <c r="M46" s="116" t="s">
        <v>1916</v>
      </c>
      <c r="N46" s="118" t="s">
        <v>1916</v>
      </c>
      <c r="O46" s="68" t="s">
        <v>1916</v>
      </c>
    </row>
  </sheetData>
  <conditionalFormatting sqref="D2:D19">
    <cfRule type="expression" dxfId="114" priority="6">
      <formula>ISNUMBER(FIND("POOL",$D2))*COUNTIF($N$2:$N$46,$N2)&gt;1</formula>
    </cfRule>
  </conditionalFormatting>
  <conditionalFormatting sqref="E2:F2 H2:I2 M2:N2 E3:I19 M3:O19 D20:O46">
    <cfRule type="expression" dxfId="113" priority="11">
      <formula>ISNUMBER(FIND("POOL",$D2))*COUNTIF($N$2:$N$46,$N2)&gt;1</formula>
    </cfRule>
  </conditionalFormatting>
  <conditionalFormatting sqref="G2:G46">
    <cfRule type="expression" dxfId="112" priority="9">
      <formula>ISNUMBER(FIND("POOL",$D2))*COUNTIF($N$2:$N$46,$N2)&gt;1</formula>
    </cfRule>
  </conditionalFormatting>
  <conditionalFormatting sqref="J2:L19">
    <cfRule type="expression" dxfId="111" priority="1">
      <formula>ISNUMBER(FIND("POOL",$D2))*COUNTIF($N$2:$N$46,$N2)&gt;1</formula>
    </cfRule>
  </conditionalFormatting>
  <conditionalFormatting sqref="O2:O46">
    <cfRule type="expression" dxfId="110" priority="10">
      <formula>ISNUMBER(FIND("POOL",$D2))*COUNTIF($N$2:$N$46,$N2)&gt;1</formula>
    </cfRule>
  </conditionalFormatting>
  <pageMargins left="0.25" right="0.25" top="0.75" bottom="0.75" header="0.3" footer="0.3"/>
  <pageSetup paperSize="9" scale="5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21C3A-48C0-41A6-8B33-76A2D8D69144}">
  <dimension ref="A1:AD46"/>
  <sheetViews>
    <sheetView zoomScale="70" zoomScaleNormal="70" zoomScaleSheetLayoutView="90" zoomScalePageLayoutView="40" workbookViewId="0">
      <selection activeCell="H21" sqref="A17:H21"/>
    </sheetView>
  </sheetViews>
  <sheetFormatPr defaultColWidth="9.140625" defaultRowHeight="18.75" x14ac:dyDescent="0.3"/>
  <cols>
    <col min="1" max="1" width="23.7109375" style="28" customWidth="1"/>
    <col min="2" max="2" width="33.28515625" style="28" customWidth="1"/>
    <col min="3" max="3" width="3.42578125" style="28" customWidth="1"/>
    <col min="4" max="4" width="18.42578125" style="28" customWidth="1"/>
    <col min="5" max="5" width="21.5703125" style="28" customWidth="1"/>
    <col min="6" max="7" width="27.5703125" style="28" customWidth="1"/>
    <col min="8" max="8" width="12.5703125" style="28" bestFit="1" customWidth="1"/>
    <col min="9" max="9" width="16.5703125" style="28" customWidth="1"/>
    <col min="10" max="10" width="12.140625" style="28" bestFit="1" customWidth="1"/>
    <col min="11" max="11" width="17.140625" style="28" bestFit="1" customWidth="1"/>
    <col min="12" max="12" width="6.28515625" style="28" bestFit="1" customWidth="1"/>
    <col min="13" max="13" width="7.7109375" style="90" bestFit="1" customWidth="1"/>
    <col min="14" max="14" width="31.140625" style="28" customWidth="1"/>
    <col min="15" max="15" width="22.140625" style="28" hidden="1" customWidth="1"/>
    <col min="16" max="16" width="2.7109375" style="28" customWidth="1"/>
    <col min="17" max="17" width="24" style="28" customWidth="1"/>
    <col min="18" max="18" width="15.28515625" style="28" customWidth="1"/>
    <col min="19" max="19" width="14.28515625" style="28" bestFit="1" customWidth="1"/>
    <col min="20" max="20" width="12.28515625" style="28" bestFit="1" customWidth="1"/>
    <col min="21" max="21" width="7.140625" style="28" bestFit="1" customWidth="1"/>
    <col min="22" max="22" width="4" style="28" customWidth="1"/>
    <col min="23" max="23" width="3.42578125" style="28" customWidth="1"/>
    <col min="24" max="24" width="24" style="28" bestFit="1" customWidth="1"/>
    <col min="25" max="25" width="16" style="28" bestFit="1" customWidth="1"/>
    <col min="26" max="26" width="14.28515625" style="28" bestFit="1" customWidth="1"/>
    <col min="27" max="27" width="17.140625" style="28" bestFit="1" customWidth="1"/>
    <col min="28" max="28" width="10.5703125" style="28" bestFit="1" customWidth="1"/>
    <col min="29" max="29" width="3.140625" style="28" customWidth="1"/>
    <col min="30" max="30" width="3.7109375" style="28" customWidth="1"/>
    <col min="31" max="16384" width="9.140625" style="28"/>
  </cols>
  <sheetData>
    <row r="1" spans="1:29" ht="38.25" thickBot="1" x14ac:dyDescent="0.35">
      <c r="A1" s="113" t="s">
        <v>41</v>
      </c>
      <c r="B1" s="114" t="s">
        <v>1937</v>
      </c>
      <c r="D1" s="65" t="s">
        <v>2</v>
      </c>
      <c r="E1" s="65" t="s">
        <v>3</v>
      </c>
      <c r="F1" s="65" t="s">
        <v>4</v>
      </c>
      <c r="G1" s="65" t="s">
        <v>0</v>
      </c>
      <c r="H1" s="65" t="s">
        <v>1</v>
      </c>
      <c r="I1" s="65" t="s">
        <v>10</v>
      </c>
      <c r="J1" s="65" t="s">
        <v>42</v>
      </c>
      <c r="K1" s="65" t="s">
        <v>43</v>
      </c>
      <c r="L1" s="65" t="s">
        <v>6</v>
      </c>
      <c r="M1" s="120" t="s">
        <v>44</v>
      </c>
      <c r="N1" s="65" t="s">
        <v>45</v>
      </c>
      <c r="O1" s="65" t="s">
        <v>46</v>
      </c>
    </row>
    <row r="2" spans="1:29" ht="19.5" thickBot="1" x14ac:dyDescent="0.35">
      <c r="D2" s="54" t="s">
        <v>2009</v>
      </c>
      <c r="E2" s="116" t="s">
        <v>1978</v>
      </c>
      <c r="F2" s="116" t="s">
        <v>84</v>
      </c>
      <c r="G2" s="66" t="s">
        <v>24</v>
      </c>
      <c r="H2" s="116" t="s">
        <v>86</v>
      </c>
      <c r="I2" s="116">
        <v>1.95</v>
      </c>
      <c r="J2" s="67"/>
      <c r="K2" s="67"/>
      <c r="L2" s="67">
        <v>5</v>
      </c>
      <c r="M2" s="121">
        <v>1.1966137888956672</v>
      </c>
      <c r="N2" s="118" t="s">
        <v>2010</v>
      </c>
      <c r="O2" s="68" t="s">
        <v>2011</v>
      </c>
      <c r="Q2" s="69" t="s">
        <v>2012</v>
      </c>
      <c r="R2" s="70"/>
      <c r="S2" s="70"/>
      <c r="T2" s="70"/>
      <c r="U2" s="70"/>
      <c r="V2" s="71"/>
      <c r="X2" s="69" t="s">
        <v>2013</v>
      </c>
      <c r="Y2" s="70"/>
      <c r="Z2" s="70"/>
      <c r="AA2" s="70"/>
      <c r="AB2" s="70"/>
      <c r="AC2" s="71"/>
    </row>
    <row r="3" spans="1:29" ht="19.5" thickBot="1" x14ac:dyDescent="0.35">
      <c r="A3" s="113" t="s">
        <v>49</v>
      </c>
      <c r="B3" s="112" t="s">
        <v>50</v>
      </c>
      <c r="D3" s="54" t="s">
        <v>2014</v>
      </c>
      <c r="E3" s="116" t="s">
        <v>1982</v>
      </c>
      <c r="F3" s="116" t="s">
        <v>84</v>
      </c>
      <c r="G3" s="66" t="s">
        <v>24</v>
      </c>
      <c r="H3" s="116" t="s">
        <v>94</v>
      </c>
      <c r="I3" s="116">
        <v>1.65</v>
      </c>
      <c r="J3" s="67"/>
      <c r="K3" s="67"/>
      <c r="L3" s="67">
        <v>5</v>
      </c>
      <c r="M3" s="121">
        <v>0.22575250836120464</v>
      </c>
      <c r="N3" s="118" t="s">
        <v>2015</v>
      </c>
      <c r="O3" s="68" t="s">
        <v>2016</v>
      </c>
      <c r="Q3" s="73" t="s">
        <v>51</v>
      </c>
      <c r="R3" s="119">
        <v>1.62</v>
      </c>
      <c r="V3" s="75"/>
      <c r="X3" s="73" t="s">
        <v>51</v>
      </c>
      <c r="Y3" s="119">
        <v>1.66</v>
      </c>
      <c r="AC3" s="75"/>
    </row>
    <row r="4" spans="1:29" ht="19.5" thickBot="1" x14ac:dyDescent="0.35">
      <c r="A4" s="113" t="s">
        <v>52</v>
      </c>
      <c r="B4" s="112">
        <v>8</v>
      </c>
      <c r="D4" s="54" t="s">
        <v>2017</v>
      </c>
      <c r="E4" s="116" t="s">
        <v>1986</v>
      </c>
      <c r="F4" s="116" t="s">
        <v>84</v>
      </c>
      <c r="G4" s="66" t="s">
        <v>24</v>
      </c>
      <c r="H4" s="116" t="s">
        <v>103</v>
      </c>
      <c r="I4" s="116">
        <v>8.75</v>
      </c>
      <c r="J4" s="67"/>
      <c r="K4" s="67"/>
      <c r="L4" s="67">
        <v>5</v>
      </c>
      <c r="M4" s="121">
        <v>21.90254820936639</v>
      </c>
      <c r="N4" s="118" t="s">
        <v>2018</v>
      </c>
      <c r="O4" s="68" t="s">
        <v>2019</v>
      </c>
      <c r="Q4" s="76"/>
      <c r="R4" s="77"/>
      <c r="S4" s="77"/>
      <c r="T4" s="77"/>
      <c r="V4" s="78"/>
      <c r="X4" s="76"/>
      <c r="Y4" s="77"/>
      <c r="Z4" s="77"/>
      <c r="AA4" s="77"/>
      <c r="AC4" s="78"/>
    </row>
    <row r="5" spans="1:29" ht="19.5" thickBot="1" x14ac:dyDescent="0.35">
      <c r="A5" s="113" t="s">
        <v>53</v>
      </c>
      <c r="B5" s="112">
        <v>151</v>
      </c>
      <c r="D5" s="54" t="s">
        <v>2020</v>
      </c>
      <c r="E5" s="116" t="s">
        <v>1986</v>
      </c>
      <c r="F5" s="116" t="s">
        <v>84</v>
      </c>
      <c r="G5" s="66" t="s">
        <v>24</v>
      </c>
      <c r="H5" s="116" t="s">
        <v>109</v>
      </c>
      <c r="I5" s="116">
        <v>10.1</v>
      </c>
      <c r="J5" s="67"/>
      <c r="K5" s="67"/>
      <c r="L5" s="67">
        <v>5</v>
      </c>
      <c r="M5" s="121">
        <v>26.256189344424637</v>
      </c>
      <c r="N5" s="118" t="s">
        <v>2021</v>
      </c>
      <c r="O5" s="68" t="s">
        <v>2022</v>
      </c>
      <c r="Q5" s="73" t="s">
        <v>54</v>
      </c>
      <c r="R5" s="119">
        <v>295.7</v>
      </c>
      <c r="T5" s="79" t="s">
        <v>55</v>
      </c>
      <c r="U5" s="77"/>
      <c r="V5" s="75"/>
      <c r="X5" s="73" t="s">
        <v>54</v>
      </c>
      <c r="Y5" s="119">
        <v>260.3</v>
      </c>
      <c r="AA5" s="79" t="s">
        <v>55</v>
      </c>
      <c r="AB5" s="77"/>
      <c r="AC5" s="75"/>
    </row>
    <row r="6" spans="1:29" ht="19.5" thickBot="1" x14ac:dyDescent="0.35">
      <c r="D6" s="54" t="s">
        <v>2023</v>
      </c>
      <c r="E6" s="116" t="s">
        <v>1994</v>
      </c>
      <c r="F6" s="116" t="s">
        <v>84</v>
      </c>
      <c r="G6" s="66" t="s">
        <v>24</v>
      </c>
      <c r="H6" s="116" t="s">
        <v>114</v>
      </c>
      <c r="I6" s="116">
        <v>11.2</v>
      </c>
      <c r="J6" s="67"/>
      <c r="K6" s="67"/>
      <c r="L6" s="67">
        <v>5</v>
      </c>
      <c r="M6" s="121">
        <v>29.5474286842365</v>
      </c>
      <c r="N6" s="118" t="s">
        <v>2024</v>
      </c>
      <c r="O6" s="68" t="s">
        <v>2025</v>
      </c>
      <c r="Q6" s="73" t="s">
        <v>56</v>
      </c>
      <c r="R6" s="80">
        <v>8428.5008194375805</v>
      </c>
      <c r="T6" s="80">
        <v>4.7458024691358016</v>
      </c>
      <c r="U6" s="82" t="s">
        <v>6</v>
      </c>
      <c r="V6" s="75"/>
      <c r="X6" s="73" t="s">
        <v>56</v>
      </c>
      <c r="Y6" s="80">
        <v>9811.164632524602</v>
      </c>
      <c r="AA6" s="80">
        <v>4.0769879518072285</v>
      </c>
      <c r="AB6" s="82" t="s">
        <v>6</v>
      </c>
      <c r="AC6" s="75"/>
    </row>
    <row r="7" spans="1:29" ht="19.5" thickBot="1" x14ac:dyDescent="0.35">
      <c r="D7" s="54" t="s">
        <v>2026</v>
      </c>
      <c r="E7" s="116" t="s">
        <v>1998</v>
      </c>
      <c r="F7" s="116" t="s">
        <v>84</v>
      </c>
      <c r="G7" s="66" t="s">
        <v>24</v>
      </c>
      <c r="H7" s="116" t="s">
        <v>120</v>
      </c>
      <c r="I7" s="116">
        <v>1.76</v>
      </c>
      <c r="J7" s="67"/>
      <c r="K7" s="67"/>
      <c r="L7" s="67">
        <v>5</v>
      </c>
      <c r="M7" s="121">
        <v>1.1728395061728394</v>
      </c>
      <c r="N7" s="118" t="s">
        <v>2027</v>
      </c>
      <c r="O7" s="68" t="s">
        <v>2028</v>
      </c>
      <c r="Q7" s="73" t="s">
        <v>57</v>
      </c>
      <c r="R7" s="83">
        <v>2000</v>
      </c>
      <c r="T7" s="80">
        <v>15.254197530864198</v>
      </c>
      <c r="U7" s="82" t="s">
        <v>44</v>
      </c>
      <c r="V7" s="75"/>
      <c r="X7" s="73" t="s">
        <v>57</v>
      </c>
      <c r="Y7" s="83">
        <v>2000</v>
      </c>
      <c r="AA7" s="80">
        <v>15.923012048192771</v>
      </c>
      <c r="AB7" s="82" t="s">
        <v>44</v>
      </c>
      <c r="AC7" s="75"/>
    </row>
    <row r="8" spans="1:29" ht="19.5" thickBot="1" x14ac:dyDescent="0.35">
      <c r="A8" s="113" t="s">
        <v>58</v>
      </c>
      <c r="B8" s="112" t="s">
        <v>89</v>
      </c>
      <c r="D8" s="54" t="s">
        <v>2029</v>
      </c>
      <c r="E8" s="116" t="s">
        <v>2002</v>
      </c>
      <c r="F8" s="116" t="s">
        <v>84</v>
      </c>
      <c r="G8" s="66" t="s">
        <v>24</v>
      </c>
      <c r="H8" s="116" t="s">
        <v>125</v>
      </c>
      <c r="I8" s="116">
        <v>2.36</v>
      </c>
      <c r="J8" s="67"/>
      <c r="K8" s="67"/>
      <c r="L8" s="67">
        <v>5</v>
      </c>
      <c r="M8" s="121">
        <v>2.9249946271222864</v>
      </c>
      <c r="N8" s="118" t="s">
        <v>2030</v>
      </c>
      <c r="O8" s="68" t="s">
        <v>2031</v>
      </c>
      <c r="Q8" s="73" t="s">
        <v>60</v>
      </c>
      <c r="R8" s="83">
        <v>20</v>
      </c>
      <c r="S8" s="77"/>
      <c r="T8" s="84"/>
      <c r="V8" s="78"/>
      <c r="X8" s="73" t="s">
        <v>60</v>
      </c>
      <c r="Y8" s="83">
        <v>20</v>
      </c>
      <c r="Z8" s="77"/>
      <c r="AA8" s="84"/>
      <c r="AC8" s="78"/>
    </row>
    <row r="9" spans="1:29" ht="19.5" thickBot="1" x14ac:dyDescent="0.35">
      <c r="A9" s="113" t="s">
        <v>61</v>
      </c>
      <c r="B9" s="112"/>
      <c r="D9" s="54" t="s">
        <v>2032</v>
      </c>
      <c r="E9" s="116" t="s">
        <v>2033</v>
      </c>
      <c r="F9" s="116" t="s">
        <v>90</v>
      </c>
      <c r="G9" s="66" t="s">
        <v>25</v>
      </c>
      <c r="H9" s="116" t="s">
        <v>80</v>
      </c>
      <c r="I9" s="116">
        <v>15.1</v>
      </c>
      <c r="J9" s="67"/>
      <c r="K9" s="67"/>
      <c r="L9" s="67">
        <v>5</v>
      </c>
      <c r="M9" s="121">
        <v>48.157035034358451</v>
      </c>
      <c r="N9" s="118" t="s">
        <v>2034</v>
      </c>
      <c r="O9" s="68" t="s">
        <v>2035</v>
      </c>
      <c r="Q9" s="85"/>
      <c r="R9" s="86"/>
      <c r="S9" s="86"/>
      <c r="T9" s="86"/>
      <c r="U9" s="86"/>
      <c r="V9" s="87"/>
      <c r="X9" s="85"/>
      <c r="Y9" s="86"/>
      <c r="Z9" s="86"/>
      <c r="AA9" s="86"/>
      <c r="AB9" s="86"/>
      <c r="AC9" s="87"/>
    </row>
    <row r="10" spans="1:29" ht="19.5" thickBot="1" x14ac:dyDescent="0.35">
      <c r="A10" s="113" t="s">
        <v>62</v>
      </c>
      <c r="B10" s="112"/>
      <c r="D10" s="54" t="s">
        <v>2036</v>
      </c>
      <c r="E10" s="116" t="s">
        <v>2037</v>
      </c>
      <c r="F10" s="116" t="s">
        <v>90</v>
      </c>
      <c r="G10" s="66" t="s">
        <v>25</v>
      </c>
      <c r="H10" s="116" t="s">
        <v>86</v>
      </c>
      <c r="I10" s="116">
        <v>14.1</v>
      </c>
      <c r="J10" s="67"/>
      <c r="K10" s="67"/>
      <c r="L10" s="67">
        <v>5</v>
      </c>
      <c r="M10" s="121">
        <v>35.708148558758317</v>
      </c>
      <c r="N10" s="118" t="s">
        <v>2038</v>
      </c>
      <c r="O10" s="68" t="s">
        <v>2039</v>
      </c>
    </row>
    <row r="11" spans="1:29" ht="19.5" thickBot="1" x14ac:dyDescent="0.35">
      <c r="A11" s="113" t="s">
        <v>63</v>
      </c>
      <c r="B11" s="112"/>
      <c r="D11" s="54" t="s">
        <v>2040</v>
      </c>
      <c r="E11" s="116" t="s">
        <v>2037</v>
      </c>
      <c r="F11" s="116" t="s">
        <v>90</v>
      </c>
      <c r="G11" s="66" t="s">
        <v>25</v>
      </c>
      <c r="H11" s="116" t="s">
        <v>94</v>
      </c>
      <c r="I11" s="116">
        <v>22.2</v>
      </c>
      <c r="J11" s="67"/>
      <c r="K11" s="67"/>
      <c r="L11" s="67">
        <v>5</v>
      </c>
      <c r="M11" s="121">
        <v>59.884960718294053</v>
      </c>
      <c r="N11" s="118" t="s">
        <v>2041</v>
      </c>
      <c r="O11" s="68" t="s">
        <v>2042</v>
      </c>
      <c r="Q11" s="69" t="s">
        <v>47</v>
      </c>
      <c r="R11" s="70"/>
      <c r="S11" s="70"/>
      <c r="T11" s="70"/>
      <c r="U11" s="70"/>
      <c r="V11" s="71"/>
      <c r="X11" s="69" t="s">
        <v>64</v>
      </c>
      <c r="Y11" s="70"/>
      <c r="Z11" s="70"/>
      <c r="AA11" s="70"/>
      <c r="AB11" s="70"/>
      <c r="AC11" s="71"/>
    </row>
    <row r="12" spans="1:29" ht="19.5" thickBot="1" x14ac:dyDescent="0.35">
      <c r="D12" s="54" t="s">
        <v>2043</v>
      </c>
      <c r="E12" s="116" t="s">
        <v>2044</v>
      </c>
      <c r="F12" s="116" t="s">
        <v>90</v>
      </c>
      <c r="G12" s="66" t="s">
        <v>25</v>
      </c>
      <c r="H12" s="116" t="s">
        <v>103</v>
      </c>
      <c r="I12" s="116">
        <v>3.39</v>
      </c>
      <c r="J12" s="67"/>
      <c r="K12" s="67"/>
      <c r="L12" s="67">
        <v>5</v>
      </c>
      <c r="M12" s="121">
        <v>10.659645232815967</v>
      </c>
      <c r="N12" s="118" t="s">
        <v>2045</v>
      </c>
      <c r="O12" s="68" t="s">
        <v>2046</v>
      </c>
      <c r="Q12" s="73" t="s">
        <v>51</v>
      </c>
      <c r="R12" s="119"/>
      <c r="V12" s="75"/>
      <c r="X12" s="73" t="s">
        <v>51</v>
      </c>
      <c r="Y12" s="119"/>
      <c r="AC12" s="75"/>
    </row>
    <row r="13" spans="1:29" ht="19.5" thickBot="1" x14ac:dyDescent="0.35">
      <c r="D13" s="54" t="s">
        <v>2047</v>
      </c>
      <c r="E13" s="116" t="s">
        <v>2048</v>
      </c>
      <c r="F13" s="116" t="s">
        <v>90</v>
      </c>
      <c r="G13" s="66" t="s">
        <v>25</v>
      </c>
      <c r="H13" s="116" t="s">
        <v>109</v>
      </c>
      <c r="I13" s="116">
        <v>4.05</v>
      </c>
      <c r="J13" s="67"/>
      <c r="K13" s="67"/>
      <c r="L13" s="67">
        <v>5</v>
      </c>
      <c r="M13" s="121">
        <v>12.512453300124534</v>
      </c>
      <c r="N13" s="118" t="s">
        <v>2049</v>
      </c>
      <c r="O13" s="68" t="s">
        <v>2050</v>
      </c>
      <c r="Q13" s="76"/>
      <c r="R13" s="77"/>
      <c r="S13" s="77"/>
      <c r="T13" s="77"/>
      <c r="V13" s="78"/>
      <c r="X13" s="76"/>
      <c r="Y13" s="77"/>
      <c r="Z13" s="77"/>
      <c r="AA13" s="77"/>
      <c r="AC13" s="78"/>
    </row>
    <row r="14" spans="1:29" ht="19.5" thickBot="1" x14ac:dyDescent="0.35">
      <c r="D14" s="54" t="s">
        <v>2051</v>
      </c>
      <c r="E14" s="116" t="s">
        <v>2052</v>
      </c>
      <c r="F14" s="116" t="s">
        <v>90</v>
      </c>
      <c r="G14" s="66" t="s">
        <v>25</v>
      </c>
      <c r="H14" s="116" t="s">
        <v>114</v>
      </c>
      <c r="I14" s="116">
        <v>9.15</v>
      </c>
      <c r="J14" s="67"/>
      <c r="K14" s="67"/>
      <c r="L14" s="67">
        <v>5</v>
      </c>
      <c r="M14" s="121">
        <v>29.798284045271998</v>
      </c>
      <c r="N14" s="118" t="s">
        <v>2053</v>
      </c>
      <c r="O14" s="68" t="s">
        <v>2054</v>
      </c>
      <c r="Q14" s="73" t="s">
        <v>54</v>
      </c>
      <c r="R14" s="119">
        <v>300</v>
      </c>
      <c r="T14" s="79" t="s">
        <v>55</v>
      </c>
      <c r="U14" s="77"/>
      <c r="V14" s="75"/>
      <c r="X14" s="73" t="s">
        <v>54</v>
      </c>
      <c r="Y14" s="119">
        <v>270</v>
      </c>
      <c r="AA14" s="79" t="s">
        <v>55</v>
      </c>
      <c r="AB14" s="77"/>
      <c r="AC14" s="75"/>
    </row>
    <row r="15" spans="1:29" ht="19.5" thickBot="1" x14ac:dyDescent="0.35">
      <c r="D15" s="122" t="s">
        <v>2055</v>
      </c>
      <c r="E15" s="116" t="s">
        <v>2056</v>
      </c>
      <c r="F15" s="116" t="s">
        <v>90</v>
      </c>
      <c r="G15" s="66" t="s">
        <v>25</v>
      </c>
      <c r="H15" s="116" t="s">
        <v>120</v>
      </c>
      <c r="I15" s="116">
        <v>8.59</v>
      </c>
      <c r="J15" s="67"/>
      <c r="K15" s="67"/>
      <c r="L15" s="67">
        <v>5</v>
      </c>
      <c r="M15" s="121">
        <v>30.677498670919725</v>
      </c>
      <c r="N15" s="118" t="s">
        <v>2057</v>
      </c>
      <c r="O15" s="68" t="s">
        <v>2058</v>
      </c>
      <c r="Q15" s="73" t="s">
        <v>56</v>
      </c>
      <c r="R15" s="80">
        <v>0</v>
      </c>
      <c r="T15" s="80" t="s">
        <v>1992</v>
      </c>
      <c r="U15" s="82" t="s">
        <v>6</v>
      </c>
      <c r="V15" s="75"/>
      <c r="X15" s="73" t="s">
        <v>56</v>
      </c>
      <c r="Y15" s="80">
        <v>0</v>
      </c>
      <c r="AA15" s="80" t="s">
        <v>1992</v>
      </c>
      <c r="AB15" s="82" t="s">
        <v>6</v>
      </c>
      <c r="AC15" s="75"/>
    </row>
    <row r="16" spans="1:29" ht="19.5" thickBot="1" x14ac:dyDescent="0.35">
      <c r="D16" s="54"/>
      <c r="E16" s="116" t="s">
        <v>1916</v>
      </c>
      <c r="F16" s="116" t="s">
        <v>1916</v>
      </c>
      <c r="G16" s="66" t="s">
        <v>1916</v>
      </c>
      <c r="H16" s="116" t="s">
        <v>1916</v>
      </c>
      <c r="I16" s="116" t="s">
        <v>1916</v>
      </c>
      <c r="J16" s="67"/>
      <c r="K16" s="67"/>
      <c r="L16" s="67"/>
      <c r="M16" s="121" t="s">
        <v>1916</v>
      </c>
      <c r="N16" s="118" t="s">
        <v>1916</v>
      </c>
      <c r="O16" s="68" t="s">
        <v>1916</v>
      </c>
      <c r="Q16" s="73" t="s">
        <v>57</v>
      </c>
      <c r="R16" s="83">
        <v>8</v>
      </c>
      <c r="T16" s="80">
        <v>600</v>
      </c>
      <c r="U16" s="82" t="s">
        <v>44</v>
      </c>
      <c r="V16" s="75"/>
      <c r="X16" s="73" t="s">
        <v>57</v>
      </c>
      <c r="Y16" s="83">
        <v>8</v>
      </c>
      <c r="AA16" s="80">
        <v>600</v>
      </c>
      <c r="AB16" s="82" t="s">
        <v>44</v>
      </c>
      <c r="AC16" s="75"/>
    </row>
    <row r="17" spans="4:29" ht="19.5" thickBot="1" x14ac:dyDescent="0.35">
      <c r="D17" s="54"/>
      <c r="E17" s="116" t="s">
        <v>1916</v>
      </c>
      <c r="F17" s="116" t="s">
        <v>1916</v>
      </c>
      <c r="G17" s="66" t="s">
        <v>1916</v>
      </c>
      <c r="H17" s="116" t="s">
        <v>1916</v>
      </c>
      <c r="I17" s="116" t="s">
        <v>1916</v>
      </c>
      <c r="J17" s="67"/>
      <c r="K17" s="67"/>
      <c r="L17" s="67"/>
      <c r="M17" s="121" t="s">
        <v>1916</v>
      </c>
      <c r="N17" s="118" t="s">
        <v>1916</v>
      </c>
      <c r="O17" s="68" t="s">
        <v>1916</v>
      </c>
      <c r="Q17" s="73" t="s">
        <v>60</v>
      </c>
      <c r="R17" s="83">
        <v>600</v>
      </c>
      <c r="S17" s="77"/>
      <c r="T17" s="84"/>
      <c r="V17" s="78"/>
      <c r="X17" s="73" t="s">
        <v>60</v>
      </c>
      <c r="Y17" s="83">
        <v>600</v>
      </c>
      <c r="Z17" s="77"/>
      <c r="AA17" s="84"/>
      <c r="AC17" s="78"/>
    </row>
    <row r="18" spans="4:29" ht="19.5" thickBot="1" x14ac:dyDescent="0.35">
      <c r="D18" s="54"/>
      <c r="E18" s="116" t="s">
        <v>1916</v>
      </c>
      <c r="F18" s="116" t="s">
        <v>1916</v>
      </c>
      <c r="G18" s="66" t="s">
        <v>1916</v>
      </c>
      <c r="H18" s="116" t="s">
        <v>1916</v>
      </c>
      <c r="I18" s="116" t="s">
        <v>1916</v>
      </c>
      <c r="J18" s="67"/>
      <c r="K18" s="67"/>
      <c r="L18" s="67"/>
      <c r="M18" s="121" t="s">
        <v>1916</v>
      </c>
      <c r="N18" s="118" t="s">
        <v>1916</v>
      </c>
      <c r="O18" s="68" t="s">
        <v>1916</v>
      </c>
      <c r="Q18" s="85"/>
      <c r="R18" s="86"/>
      <c r="S18" s="86"/>
      <c r="T18" s="86"/>
      <c r="U18" s="86"/>
      <c r="V18" s="87"/>
      <c r="X18" s="85"/>
      <c r="Y18" s="86"/>
      <c r="Z18" s="86"/>
      <c r="AA18" s="86"/>
      <c r="AB18" s="86"/>
      <c r="AC18" s="87"/>
    </row>
    <row r="19" spans="4:29" x14ac:dyDescent="0.3">
      <c r="D19" s="54"/>
      <c r="E19" s="116" t="s">
        <v>1916</v>
      </c>
      <c r="F19" s="116" t="s">
        <v>1916</v>
      </c>
      <c r="G19" s="66" t="s">
        <v>1916</v>
      </c>
      <c r="H19" s="116" t="s">
        <v>1916</v>
      </c>
      <c r="I19" s="116" t="s">
        <v>1916</v>
      </c>
      <c r="J19" s="67"/>
      <c r="K19" s="67"/>
      <c r="L19" s="67"/>
      <c r="M19" s="121" t="s">
        <v>1916</v>
      </c>
      <c r="N19" s="118" t="s">
        <v>1916</v>
      </c>
      <c r="O19" s="68" t="s">
        <v>1916</v>
      </c>
    </row>
    <row r="20" spans="4:29" x14ac:dyDescent="0.3">
      <c r="D20" s="54"/>
      <c r="E20" s="116" t="s">
        <v>1916</v>
      </c>
      <c r="F20" s="116" t="s">
        <v>1916</v>
      </c>
      <c r="G20" s="66" t="s">
        <v>1916</v>
      </c>
      <c r="H20" s="116" t="s">
        <v>1916</v>
      </c>
      <c r="I20" s="116" t="s">
        <v>1916</v>
      </c>
      <c r="J20" s="67"/>
      <c r="K20" s="67"/>
      <c r="L20" s="67"/>
      <c r="M20" s="121" t="s">
        <v>1916</v>
      </c>
      <c r="N20" s="118" t="s">
        <v>1916</v>
      </c>
      <c r="O20" s="68" t="s">
        <v>1916</v>
      </c>
    </row>
    <row r="21" spans="4:29" x14ac:dyDescent="0.3">
      <c r="D21" s="115"/>
      <c r="E21" s="116" t="s">
        <v>1916</v>
      </c>
      <c r="F21" s="116" t="s">
        <v>1916</v>
      </c>
      <c r="G21" s="66" t="s">
        <v>1916</v>
      </c>
      <c r="H21" s="116" t="s">
        <v>1916</v>
      </c>
      <c r="I21" s="116" t="s">
        <v>1916</v>
      </c>
      <c r="J21" s="67"/>
      <c r="K21" s="67"/>
      <c r="L21" s="67"/>
      <c r="M21" s="121" t="s">
        <v>1916</v>
      </c>
      <c r="N21" s="118" t="s">
        <v>1916</v>
      </c>
      <c r="O21" s="68" t="s">
        <v>1916</v>
      </c>
    </row>
    <row r="22" spans="4:29" x14ac:dyDescent="0.3">
      <c r="D22" s="115"/>
      <c r="E22" s="116" t="s">
        <v>1916</v>
      </c>
      <c r="F22" s="116" t="s">
        <v>1916</v>
      </c>
      <c r="G22" s="66" t="s">
        <v>1916</v>
      </c>
      <c r="H22" s="116" t="s">
        <v>1916</v>
      </c>
      <c r="I22" s="116" t="s">
        <v>1916</v>
      </c>
      <c r="J22" s="67"/>
      <c r="K22" s="67"/>
      <c r="L22" s="67"/>
      <c r="M22" s="121" t="s">
        <v>1916</v>
      </c>
      <c r="N22" s="118" t="s">
        <v>1916</v>
      </c>
      <c r="O22" s="68" t="s">
        <v>1916</v>
      </c>
    </row>
    <row r="23" spans="4:29" x14ac:dyDescent="0.3">
      <c r="D23" s="115"/>
      <c r="E23" s="116" t="s">
        <v>1916</v>
      </c>
      <c r="F23" s="116" t="s">
        <v>1916</v>
      </c>
      <c r="G23" s="66" t="s">
        <v>1916</v>
      </c>
      <c r="H23" s="116" t="s">
        <v>1916</v>
      </c>
      <c r="I23" s="116" t="s">
        <v>1916</v>
      </c>
      <c r="J23" s="67"/>
      <c r="K23" s="67"/>
      <c r="L23" s="67"/>
      <c r="M23" s="121" t="s">
        <v>1916</v>
      </c>
      <c r="N23" s="118" t="s">
        <v>1916</v>
      </c>
      <c r="O23" s="68" t="s">
        <v>1916</v>
      </c>
    </row>
    <row r="24" spans="4:29" x14ac:dyDescent="0.3">
      <c r="D24" s="115"/>
      <c r="E24" s="116" t="s">
        <v>1916</v>
      </c>
      <c r="F24" s="116" t="s">
        <v>1916</v>
      </c>
      <c r="G24" s="66" t="s">
        <v>1916</v>
      </c>
      <c r="H24" s="116" t="s">
        <v>1916</v>
      </c>
      <c r="I24" s="116" t="s">
        <v>1916</v>
      </c>
      <c r="J24" s="67"/>
      <c r="K24" s="67"/>
      <c r="L24" s="67"/>
      <c r="M24" s="121" t="s">
        <v>1916</v>
      </c>
      <c r="N24" s="118" t="s">
        <v>1916</v>
      </c>
      <c r="O24" s="68" t="s">
        <v>1916</v>
      </c>
    </row>
    <row r="25" spans="4:29" x14ac:dyDescent="0.3">
      <c r="D25" s="115"/>
      <c r="E25" s="116" t="s">
        <v>1916</v>
      </c>
      <c r="F25" s="116" t="s">
        <v>1916</v>
      </c>
      <c r="G25" s="66" t="s">
        <v>1916</v>
      </c>
      <c r="H25" s="116" t="s">
        <v>1916</v>
      </c>
      <c r="I25" s="116" t="s">
        <v>1916</v>
      </c>
      <c r="J25" s="67"/>
      <c r="K25" s="67"/>
      <c r="L25" s="67"/>
      <c r="M25" s="121" t="s">
        <v>1916</v>
      </c>
      <c r="N25" s="118" t="s">
        <v>1916</v>
      </c>
      <c r="O25" s="68" t="s">
        <v>1916</v>
      </c>
    </row>
    <row r="26" spans="4:29" x14ac:dyDescent="0.3">
      <c r="D26" s="115"/>
      <c r="E26" s="116" t="s">
        <v>1916</v>
      </c>
      <c r="F26" s="116" t="s">
        <v>1916</v>
      </c>
      <c r="G26" s="66" t="s">
        <v>1916</v>
      </c>
      <c r="H26" s="116" t="s">
        <v>1916</v>
      </c>
      <c r="I26" s="116" t="s">
        <v>1916</v>
      </c>
      <c r="J26" s="67"/>
      <c r="K26" s="67"/>
      <c r="L26" s="67"/>
      <c r="M26" s="121" t="s">
        <v>1916</v>
      </c>
      <c r="N26" s="118" t="s">
        <v>1916</v>
      </c>
      <c r="O26" s="68" t="s">
        <v>1916</v>
      </c>
    </row>
    <row r="27" spans="4:29" x14ac:dyDescent="0.3">
      <c r="D27" s="115"/>
      <c r="E27" s="116" t="s">
        <v>1916</v>
      </c>
      <c r="F27" s="116" t="s">
        <v>1916</v>
      </c>
      <c r="G27" s="66" t="s">
        <v>1916</v>
      </c>
      <c r="H27" s="116" t="s">
        <v>1916</v>
      </c>
      <c r="I27" s="116" t="s">
        <v>1916</v>
      </c>
      <c r="J27" s="67"/>
      <c r="K27" s="67"/>
      <c r="L27" s="67"/>
      <c r="M27" s="121" t="s">
        <v>1916</v>
      </c>
      <c r="N27" s="118" t="s">
        <v>1916</v>
      </c>
      <c r="O27" s="68" t="s">
        <v>1916</v>
      </c>
    </row>
    <row r="28" spans="4:29" x14ac:dyDescent="0.3">
      <c r="D28" s="115"/>
      <c r="E28" s="116" t="s">
        <v>1916</v>
      </c>
      <c r="F28" s="116" t="s">
        <v>1916</v>
      </c>
      <c r="G28" s="66" t="s">
        <v>1916</v>
      </c>
      <c r="H28" s="116" t="s">
        <v>1916</v>
      </c>
      <c r="I28" s="116" t="s">
        <v>1916</v>
      </c>
      <c r="J28" s="67"/>
      <c r="K28" s="67"/>
      <c r="L28" s="67"/>
      <c r="M28" s="121" t="s">
        <v>1916</v>
      </c>
      <c r="N28" s="118" t="s">
        <v>1916</v>
      </c>
      <c r="O28" s="68" t="s">
        <v>1916</v>
      </c>
    </row>
    <row r="29" spans="4:29" x14ac:dyDescent="0.3">
      <c r="D29" s="115"/>
      <c r="E29" s="116" t="s">
        <v>1916</v>
      </c>
      <c r="F29" s="116" t="s">
        <v>1916</v>
      </c>
      <c r="G29" s="66" t="s">
        <v>1916</v>
      </c>
      <c r="H29" s="116" t="s">
        <v>1916</v>
      </c>
      <c r="I29" s="116" t="s">
        <v>1916</v>
      </c>
      <c r="J29" s="67"/>
      <c r="K29" s="67"/>
      <c r="L29" s="67"/>
      <c r="M29" s="121" t="s">
        <v>1916</v>
      </c>
      <c r="N29" s="118" t="s">
        <v>1916</v>
      </c>
      <c r="O29" s="68" t="s">
        <v>1916</v>
      </c>
    </row>
    <row r="30" spans="4:29" x14ac:dyDescent="0.3">
      <c r="D30" s="115"/>
      <c r="E30" s="116" t="s">
        <v>1916</v>
      </c>
      <c r="F30" s="116" t="s">
        <v>1916</v>
      </c>
      <c r="G30" s="66" t="s">
        <v>1916</v>
      </c>
      <c r="H30" s="116" t="s">
        <v>1916</v>
      </c>
      <c r="I30" s="116" t="s">
        <v>1916</v>
      </c>
      <c r="J30" s="67"/>
      <c r="K30" s="67"/>
      <c r="L30" s="67"/>
      <c r="M30" s="121" t="s">
        <v>1916</v>
      </c>
      <c r="N30" s="118" t="s">
        <v>1916</v>
      </c>
      <c r="O30" s="68" t="s">
        <v>1916</v>
      </c>
    </row>
    <row r="31" spans="4:29" x14ac:dyDescent="0.3">
      <c r="D31" s="115"/>
      <c r="E31" s="116" t="s">
        <v>1916</v>
      </c>
      <c r="F31" s="116" t="s">
        <v>1916</v>
      </c>
      <c r="G31" s="66" t="s">
        <v>1916</v>
      </c>
      <c r="H31" s="116" t="s">
        <v>1916</v>
      </c>
      <c r="I31" s="116" t="s">
        <v>1916</v>
      </c>
      <c r="J31" s="67"/>
      <c r="K31" s="67"/>
      <c r="L31" s="67"/>
      <c r="M31" s="121" t="s">
        <v>1916</v>
      </c>
      <c r="N31" s="118" t="s">
        <v>1916</v>
      </c>
      <c r="O31" s="68" t="s">
        <v>1916</v>
      </c>
    </row>
    <row r="32" spans="4:29" x14ac:dyDescent="0.3">
      <c r="D32" s="115"/>
      <c r="E32" s="116" t="s">
        <v>1916</v>
      </c>
      <c r="F32" s="116" t="s">
        <v>1916</v>
      </c>
      <c r="G32" s="66" t="s">
        <v>1916</v>
      </c>
      <c r="H32" s="116" t="s">
        <v>1916</v>
      </c>
      <c r="I32" s="116" t="s">
        <v>1916</v>
      </c>
      <c r="J32" s="67"/>
      <c r="K32" s="67"/>
      <c r="L32" s="67"/>
      <c r="M32" s="121" t="s">
        <v>1916</v>
      </c>
      <c r="N32" s="118" t="s">
        <v>1916</v>
      </c>
      <c r="O32" s="68" t="s">
        <v>1916</v>
      </c>
    </row>
    <row r="33" spans="4:30" x14ac:dyDescent="0.3">
      <c r="D33" s="115"/>
      <c r="E33" s="116" t="s">
        <v>1916</v>
      </c>
      <c r="F33" s="116" t="s">
        <v>1916</v>
      </c>
      <c r="G33" s="66" t="s">
        <v>1916</v>
      </c>
      <c r="H33" s="116" t="s">
        <v>1916</v>
      </c>
      <c r="I33" s="116" t="s">
        <v>1916</v>
      </c>
      <c r="J33" s="67"/>
      <c r="K33" s="67"/>
      <c r="L33" s="67"/>
      <c r="M33" s="121" t="s">
        <v>1916</v>
      </c>
      <c r="N33" s="118" t="s">
        <v>1916</v>
      </c>
      <c r="O33" s="68" t="s">
        <v>1916</v>
      </c>
    </row>
    <row r="34" spans="4:30" ht="19.5" thickBot="1" x14ac:dyDescent="0.35">
      <c r="D34" s="115"/>
      <c r="E34" s="116" t="s">
        <v>1916</v>
      </c>
      <c r="F34" s="116" t="s">
        <v>1916</v>
      </c>
      <c r="G34" s="66" t="s">
        <v>1916</v>
      </c>
      <c r="H34" s="116" t="s">
        <v>1916</v>
      </c>
      <c r="I34" s="116" t="s">
        <v>1916</v>
      </c>
      <c r="J34" s="67"/>
      <c r="K34" s="67"/>
      <c r="L34" s="67"/>
      <c r="M34" s="121" t="s">
        <v>1916</v>
      </c>
      <c r="N34" s="118" t="s">
        <v>1916</v>
      </c>
      <c r="O34" s="68" t="s">
        <v>1916</v>
      </c>
    </row>
    <row r="35" spans="4:30" ht="19.5" thickBot="1" x14ac:dyDescent="0.35">
      <c r="D35" s="115"/>
      <c r="E35" s="116" t="s">
        <v>1916</v>
      </c>
      <c r="F35" s="116" t="s">
        <v>1916</v>
      </c>
      <c r="G35" s="66" t="s">
        <v>1916</v>
      </c>
      <c r="H35" s="116" t="s">
        <v>1916</v>
      </c>
      <c r="I35" s="116" t="s">
        <v>1916</v>
      </c>
      <c r="J35" s="67"/>
      <c r="K35" s="67"/>
      <c r="L35" s="67"/>
      <c r="M35" s="121" t="s">
        <v>1916</v>
      </c>
      <c r="N35" s="118" t="s">
        <v>1916</v>
      </c>
      <c r="O35" s="68" t="s">
        <v>1916</v>
      </c>
      <c r="Q35" s="69" t="s">
        <v>65</v>
      </c>
      <c r="R35" s="70"/>
      <c r="S35" s="70"/>
      <c r="T35" s="70"/>
      <c r="U35" s="70"/>
      <c r="V35" s="71"/>
      <c r="X35" s="91" t="s">
        <v>66</v>
      </c>
      <c r="Y35" s="92">
        <v>1.2</v>
      </c>
      <c r="Z35" s="91" t="s">
        <v>67</v>
      </c>
      <c r="AA35" s="93" t="s">
        <v>68</v>
      </c>
      <c r="AB35" s="94">
        <v>600</v>
      </c>
    </row>
    <row r="36" spans="4:30" ht="19.5" thickBot="1" x14ac:dyDescent="0.35">
      <c r="D36" s="115"/>
      <c r="E36" s="116" t="s">
        <v>1916</v>
      </c>
      <c r="F36" s="116" t="s">
        <v>1916</v>
      </c>
      <c r="G36" s="66" t="s">
        <v>1916</v>
      </c>
      <c r="H36" s="116" t="s">
        <v>1916</v>
      </c>
      <c r="I36" s="116" t="s">
        <v>1916</v>
      </c>
      <c r="J36" s="67"/>
      <c r="K36" s="67"/>
      <c r="L36" s="67"/>
      <c r="M36" s="121" t="s">
        <v>1916</v>
      </c>
      <c r="N36" s="118" t="s">
        <v>1916</v>
      </c>
      <c r="O36" s="68" t="s">
        <v>1916</v>
      </c>
      <c r="Q36" s="73" t="s">
        <v>56</v>
      </c>
      <c r="R36" s="119">
        <v>1000</v>
      </c>
      <c r="T36" s="79" t="s">
        <v>55</v>
      </c>
      <c r="U36" s="77"/>
      <c r="V36" s="75"/>
      <c r="X36" s="95" t="s">
        <v>69</v>
      </c>
      <c r="Y36" s="96" t="s">
        <v>70</v>
      </c>
      <c r="Z36" s="97" t="s">
        <v>71</v>
      </c>
      <c r="AA36" s="97" t="s">
        <v>72</v>
      </c>
      <c r="AB36" s="98" t="s">
        <v>73</v>
      </c>
    </row>
    <row r="37" spans="4:30" ht="19.5" thickBot="1" x14ac:dyDescent="0.35">
      <c r="D37" s="115"/>
      <c r="E37" s="116" t="s">
        <v>1916</v>
      </c>
      <c r="F37" s="116" t="s">
        <v>1916</v>
      </c>
      <c r="G37" s="66" t="s">
        <v>1916</v>
      </c>
      <c r="H37" s="116" t="s">
        <v>1916</v>
      </c>
      <c r="I37" s="116" t="s">
        <v>1916</v>
      </c>
      <c r="J37" s="67"/>
      <c r="K37" s="67"/>
      <c r="L37" s="67"/>
      <c r="M37" s="121" t="s">
        <v>1916</v>
      </c>
      <c r="N37" s="118" t="s">
        <v>1916</v>
      </c>
      <c r="O37" s="68" t="s">
        <v>1916</v>
      </c>
      <c r="Q37" s="73" t="s">
        <v>57</v>
      </c>
      <c r="R37" s="119">
        <v>8</v>
      </c>
      <c r="T37" s="80">
        <v>4.8</v>
      </c>
      <c r="U37" s="82" t="s">
        <v>6</v>
      </c>
      <c r="V37" s="75"/>
      <c r="X37" s="99" t="s">
        <v>84</v>
      </c>
      <c r="Y37" s="100">
        <v>0.105</v>
      </c>
      <c r="Z37" s="27">
        <v>7</v>
      </c>
      <c r="AA37" s="101">
        <v>0.61250000000000004</v>
      </c>
      <c r="AB37" s="102">
        <v>378.00000000000006</v>
      </c>
    </row>
    <row r="38" spans="4:30" ht="19.5" thickBot="1" x14ac:dyDescent="0.35">
      <c r="D38" s="115"/>
      <c r="E38" s="116" t="s">
        <v>1916</v>
      </c>
      <c r="F38" s="116" t="s">
        <v>1916</v>
      </c>
      <c r="G38" s="66" t="s">
        <v>1916</v>
      </c>
      <c r="H38" s="116" t="s">
        <v>1916</v>
      </c>
      <c r="I38" s="116" t="s">
        <v>1916</v>
      </c>
      <c r="J38" s="67"/>
      <c r="K38" s="67"/>
      <c r="L38" s="67"/>
      <c r="M38" s="121" t="s">
        <v>1916</v>
      </c>
      <c r="N38" s="118" t="s">
        <v>1916</v>
      </c>
      <c r="O38" s="68" t="s">
        <v>1916</v>
      </c>
      <c r="Q38" s="73" t="s">
        <v>60</v>
      </c>
      <c r="R38" s="80">
        <v>600</v>
      </c>
      <c r="S38" s="77"/>
      <c r="T38" s="80">
        <v>595.20000000000005</v>
      </c>
      <c r="U38" s="82" t="s">
        <v>44</v>
      </c>
      <c r="V38" s="78"/>
      <c r="X38" s="99" t="s">
        <v>90</v>
      </c>
      <c r="Y38" s="100">
        <v>4.4999999999999998E-2</v>
      </c>
      <c r="Z38" s="27">
        <v>7</v>
      </c>
      <c r="AA38" s="101">
        <v>0.26250000000000001</v>
      </c>
      <c r="AB38" s="102">
        <v>162</v>
      </c>
    </row>
    <row r="39" spans="4:30" ht="19.5" thickBot="1" x14ac:dyDescent="0.35">
      <c r="D39" s="115"/>
      <c r="E39" s="116" t="s">
        <v>1916</v>
      </c>
      <c r="F39" s="116" t="s">
        <v>1916</v>
      </c>
      <c r="G39" s="66" t="s">
        <v>1916</v>
      </c>
      <c r="H39" s="116" t="s">
        <v>1916</v>
      </c>
      <c r="I39" s="116" t="s">
        <v>1916</v>
      </c>
      <c r="J39" s="67"/>
      <c r="K39" s="67"/>
      <c r="L39" s="67"/>
      <c r="M39" s="121" t="s">
        <v>1916</v>
      </c>
      <c r="N39" s="118" t="s">
        <v>1916</v>
      </c>
      <c r="O39" s="68" t="s">
        <v>1916</v>
      </c>
      <c r="Q39" s="85"/>
      <c r="R39" s="86"/>
      <c r="S39" s="86"/>
      <c r="T39" s="86"/>
      <c r="U39" s="86"/>
      <c r="V39" s="87"/>
      <c r="X39" s="99"/>
      <c r="Y39" s="100" t="s">
        <v>1916</v>
      </c>
      <c r="Z39" s="27" t="s">
        <v>1916</v>
      </c>
      <c r="AA39" s="101" t="s">
        <v>1916</v>
      </c>
      <c r="AB39" s="102" t="s">
        <v>1916</v>
      </c>
    </row>
    <row r="40" spans="4:30" ht="19.5" thickBot="1" x14ac:dyDescent="0.35">
      <c r="D40" s="115"/>
      <c r="E40" s="116" t="s">
        <v>1916</v>
      </c>
      <c r="F40" s="116" t="s">
        <v>1916</v>
      </c>
      <c r="G40" s="66" t="s">
        <v>1916</v>
      </c>
      <c r="H40" s="116" t="s">
        <v>1916</v>
      </c>
      <c r="I40" s="116" t="s">
        <v>1916</v>
      </c>
      <c r="J40" s="67"/>
      <c r="K40" s="67"/>
      <c r="L40" s="67"/>
      <c r="M40" s="121" t="s">
        <v>1916</v>
      </c>
      <c r="N40" s="118" t="s">
        <v>1916</v>
      </c>
      <c r="O40" s="68" t="s">
        <v>1916</v>
      </c>
      <c r="X40" s="99"/>
      <c r="Y40" s="100" t="s">
        <v>1916</v>
      </c>
      <c r="Z40" s="27" t="s">
        <v>1916</v>
      </c>
      <c r="AA40" s="101" t="s">
        <v>1916</v>
      </c>
      <c r="AB40" s="102" t="s">
        <v>1916</v>
      </c>
    </row>
    <row r="41" spans="4:30" ht="19.5" thickBot="1" x14ac:dyDescent="0.35">
      <c r="D41" s="115"/>
      <c r="E41" s="116" t="s">
        <v>1916</v>
      </c>
      <c r="F41" s="116" t="s">
        <v>1916</v>
      </c>
      <c r="G41" s="66" t="s">
        <v>1916</v>
      </c>
      <c r="H41" s="116" t="s">
        <v>1916</v>
      </c>
      <c r="I41" s="116" t="s">
        <v>1916</v>
      </c>
      <c r="J41" s="67"/>
      <c r="K41" s="67"/>
      <c r="L41" s="67"/>
      <c r="M41" s="121" t="s">
        <v>1916</v>
      </c>
      <c r="N41" s="118" t="s">
        <v>1916</v>
      </c>
      <c r="O41" s="68" t="s">
        <v>1916</v>
      </c>
      <c r="Q41" s="69" t="s">
        <v>74</v>
      </c>
      <c r="R41" s="70"/>
      <c r="S41" s="70"/>
      <c r="T41" s="70"/>
      <c r="U41" s="70"/>
      <c r="V41" s="71"/>
      <c r="X41" s="103"/>
      <c r="Y41" s="100" t="s">
        <v>1916</v>
      </c>
      <c r="Z41" s="27" t="s">
        <v>1916</v>
      </c>
      <c r="AA41" s="101" t="s">
        <v>1916</v>
      </c>
      <c r="AB41" s="102" t="s">
        <v>1916</v>
      </c>
    </row>
    <row r="42" spans="4:30" ht="19.5" thickBot="1" x14ac:dyDescent="0.35">
      <c r="D42" s="115"/>
      <c r="E42" s="116" t="s">
        <v>1916</v>
      </c>
      <c r="F42" s="116" t="s">
        <v>1916</v>
      </c>
      <c r="G42" s="66" t="s">
        <v>1916</v>
      </c>
      <c r="H42" s="116" t="s">
        <v>1916</v>
      </c>
      <c r="I42" s="116" t="s">
        <v>1916</v>
      </c>
      <c r="J42" s="67"/>
      <c r="K42" s="67"/>
      <c r="L42" s="67"/>
      <c r="M42" s="121" t="s">
        <v>1916</v>
      </c>
      <c r="N42" s="118" t="s">
        <v>1916</v>
      </c>
      <c r="O42" s="68" t="s">
        <v>1916</v>
      </c>
      <c r="Q42" s="73" t="s">
        <v>56</v>
      </c>
      <c r="R42" s="119">
        <v>40</v>
      </c>
      <c r="T42" s="79" t="s">
        <v>55</v>
      </c>
      <c r="U42" s="77"/>
      <c r="V42" s="75"/>
      <c r="X42" s="104"/>
      <c r="Y42" s="100" t="s">
        <v>1916</v>
      </c>
      <c r="Z42" s="27" t="s">
        <v>1916</v>
      </c>
      <c r="AA42" s="101" t="s">
        <v>1916</v>
      </c>
      <c r="AB42" s="102" t="s">
        <v>1916</v>
      </c>
    </row>
    <row r="43" spans="4:30" ht="19.5" thickBot="1" x14ac:dyDescent="0.35">
      <c r="D43" s="115"/>
      <c r="E43" s="116" t="s">
        <v>1916</v>
      </c>
      <c r="F43" s="116" t="s">
        <v>1916</v>
      </c>
      <c r="G43" s="66" t="s">
        <v>1916</v>
      </c>
      <c r="H43" s="116" t="s">
        <v>1916</v>
      </c>
      <c r="I43" s="116" t="s">
        <v>1916</v>
      </c>
      <c r="J43" s="67"/>
      <c r="K43" s="67"/>
      <c r="L43" s="67"/>
      <c r="M43" s="121" t="s">
        <v>1916</v>
      </c>
      <c r="N43" s="118" t="s">
        <v>1916</v>
      </c>
      <c r="O43" s="68" t="s">
        <v>1916</v>
      </c>
      <c r="Q43" s="73" t="s">
        <v>57</v>
      </c>
      <c r="R43" s="119">
        <v>8</v>
      </c>
      <c r="T43" s="80">
        <v>12</v>
      </c>
      <c r="U43" s="82" t="s">
        <v>6</v>
      </c>
      <c r="V43" s="75"/>
      <c r="X43" s="104"/>
      <c r="Y43" s="100" t="s">
        <v>1916</v>
      </c>
      <c r="Z43" s="27" t="s">
        <v>1916</v>
      </c>
      <c r="AA43" s="101" t="s">
        <v>1916</v>
      </c>
      <c r="AB43" s="102" t="s">
        <v>1916</v>
      </c>
    </row>
    <row r="44" spans="4:30" ht="19.5" thickBot="1" x14ac:dyDescent="0.35">
      <c r="D44" s="115"/>
      <c r="E44" s="116" t="s">
        <v>1916</v>
      </c>
      <c r="F44" s="116" t="s">
        <v>1916</v>
      </c>
      <c r="G44" s="66" t="s">
        <v>1916</v>
      </c>
      <c r="H44" s="116" t="s">
        <v>1916</v>
      </c>
      <c r="I44" s="116" t="s">
        <v>1916</v>
      </c>
      <c r="J44" s="67"/>
      <c r="K44" s="67"/>
      <c r="L44" s="67"/>
      <c r="M44" s="121" t="s">
        <v>1916</v>
      </c>
      <c r="N44" s="118" t="s">
        <v>1916</v>
      </c>
      <c r="O44" s="68" t="s">
        <v>1916</v>
      </c>
      <c r="Q44" s="73" t="s">
        <v>60</v>
      </c>
      <c r="R44" s="80">
        <v>60</v>
      </c>
      <c r="S44" s="77"/>
      <c r="T44" s="80">
        <v>48</v>
      </c>
      <c r="U44" s="82" t="s">
        <v>44</v>
      </c>
      <c r="V44" s="78"/>
      <c r="X44" s="105" t="s">
        <v>75</v>
      </c>
      <c r="Y44" s="106" t="s">
        <v>1916</v>
      </c>
      <c r="Z44" s="107" t="s">
        <v>1916</v>
      </c>
      <c r="AA44" s="108">
        <v>0.1</v>
      </c>
      <c r="AB44" s="109">
        <v>60</v>
      </c>
      <c r="AD44" s="123"/>
    </row>
    <row r="45" spans="4:30" ht="19.5" thickBot="1" x14ac:dyDescent="0.35">
      <c r="D45" s="115"/>
      <c r="E45" s="116" t="s">
        <v>1916</v>
      </c>
      <c r="F45" s="116" t="s">
        <v>1916</v>
      </c>
      <c r="G45" s="66" t="s">
        <v>1916</v>
      </c>
      <c r="H45" s="116" t="s">
        <v>1916</v>
      </c>
      <c r="I45" s="116" t="s">
        <v>1916</v>
      </c>
      <c r="J45" s="67"/>
      <c r="K45" s="67"/>
      <c r="L45" s="67"/>
      <c r="M45" s="121" t="s">
        <v>1916</v>
      </c>
      <c r="N45" s="118" t="s">
        <v>1916</v>
      </c>
      <c r="O45" s="68" t="s">
        <v>1916</v>
      </c>
      <c r="Q45" s="85"/>
      <c r="R45" s="86"/>
      <c r="S45" s="86"/>
      <c r="T45" s="86"/>
      <c r="U45" s="86"/>
      <c r="V45" s="87"/>
      <c r="Z45" s="110" t="s">
        <v>76</v>
      </c>
      <c r="AA45" s="111">
        <v>0.875</v>
      </c>
    </row>
    <row r="46" spans="4:30" x14ac:dyDescent="0.3">
      <c r="D46" s="115"/>
      <c r="E46" s="116" t="s">
        <v>1916</v>
      </c>
      <c r="F46" s="116" t="s">
        <v>1916</v>
      </c>
      <c r="G46" s="66" t="s">
        <v>1916</v>
      </c>
      <c r="H46" s="116" t="s">
        <v>1916</v>
      </c>
      <c r="I46" s="116" t="s">
        <v>1916</v>
      </c>
      <c r="J46" s="67"/>
      <c r="K46" s="67"/>
      <c r="L46" s="67"/>
      <c r="M46" s="121" t="s">
        <v>1916</v>
      </c>
      <c r="N46" s="118" t="s">
        <v>1916</v>
      </c>
      <c r="O46" s="68" t="s">
        <v>1916</v>
      </c>
    </row>
  </sheetData>
  <conditionalFormatting sqref="D2:D15">
    <cfRule type="duplicateValues" dxfId="109" priority="1"/>
    <cfRule type="duplicateValues" dxfId="108" priority="2"/>
  </conditionalFormatting>
  <conditionalFormatting sqref="D16">
    <cfRule type="duplicateValues" dxfId="107" priority="6"/>
    <cfRule type="duplicateValues" dxfId="106" priority="7"/>
  </conditionalFormatting>
  <conditionalFormatting sqref="D17:D20">
    <cfRule type="duplicateValues" dxfId="105" priority="4"/>
    <cfRule type="duplicateValues" dxfId="104" priority="5"/>
  </conditionalFormatting>
  <conditionalFormatting sqref="D21:O46">
    <cfRule type="expression" dxfId="103" priority="3">
      <formula>ISNUMBER(FIND("POOL",$D21))*COUNTIF($N$2:$N$46,$N21)&gt;1</formula>
    </cfRule>
  </conditionalFormatting>
  <conditionalFormatting sqref="E2:F2 H2:N2 E3:O20">
    <cfRule type="expression" dxfId="102" priority="10">
      <formula>ISNUMBER(FIND("POOL",$D2))*COUNTIF($N$2:$N$46,$N2)&gt;1</formula>
    </cfRule>
  </conditionalFormatting>
  <conditionalFormatting sqref="G2:G46">
    <cfRule type="expression" dxfId="101" priority="8">
      <formula>ISNUMBER(FIND("POOL",$D2))*COUNTIF($N$2:$N$46,$N2)&gt;1</formula>
    </cfRule>
  </conditionalFormatting>
  <conditionalFormatting sqref="O2:O46">
    <cfRule type="expression" dxfId="100" priority="9">
      <formula>ISNUMBER(FIND("POOL",$D2))*COUNTIF($N$2:$N$46,$N2)&gt;1</formula>
    </cfRule>
  </conditionalFormatting>
  <pageMargins left="0.25" right="0.25" top="0.75" bottom="0.75" header="0.3" footer="0.3"/>
  <pageSetup paperSize="9" scale="5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CB9B1-4743-4110-AAE6-1489071D60B4}">
  <dimension ref="A2:M72"/>
  <sheetViews>
    <sheetView zoomScale="70" zoomScaleNormal="70" zoomScaleSheetLayoutView="100" zoomScalePageLayoutView="40" workbookViewId="0">
      <selection activeCell="M8" sqref="M8:M11"/>
    </sheetView>
  </sheetViews>
  <sheetFormatPr defaultColWidth="9.140625" defaultRowHeight="15" x14ac:dyDescent="0.25"/>
  <cols>
    <col min="1" max="1" width="18.28515625" style="5" customWidth="1"/>
    <col min="2" max="4" width="15" style="5" customWidth="1"/>
    <col min="5" max="5" width="16.140625" style="5" customWidth="1"/>
    <col min="6" max="6" width="17.7109375" style="5" customWidth="1"/>
    <col min="7" max="7" width="15" style="5" customWidth="1"/>
    <col min="8" max="9" width="15" style="8" customWidth="1"/>
    <col min="10" max="12" width="15" style="5" customWidth="1"/>
    <col min="13" max="13" width="15" style="8" customWidth="1"/>
    <col min="14" max="16384" width="9.140625" style="5"/>
  </cols>
  <sheetData>
    <row r="2" spans="1:13" ht="17.25" x14ac:dyDescent="0.3">
      <c r="C2" s="18" t="s">
        <v>1892</v>
      </c>
      <c r="D2" s="15" t="s">
        <v>159</v>
      </c>
      <c r="F2" s="18" t="s">
        <v>1893</v>
      </c>
      <c r="G2" s="43">
        <v>44833</v>
      </c>
      <c r="H2" s="8" t="s">
        <v>1894</v>
      </c>
      <c r="J2" s="18" t="s">
        <v>1895</v>
      </c>
      <c r="K2" s="61" t="s">
        <v>1915</v>
      </c>
      <c r="L2" s="60"/>
    </row>
    <row r="3" spans="1:13" ht="9.75" customHeight="1" x14ac:dyDescent="0.3">
      <c r="C3" s="13"/>
      <c r="D3" s="16"/>
    </row>
    <row r="4" spans="1:13" ht="18.75" x14ac:dyDescent="0.3">
      <c r="C4" s="18" t="s">
        <v>1896</v>
      </c>
      <c r="D4" s="17">
        <v>4</v>
      </c>
      <c r="E4" s="140" t="s">
        <v>1916</v>
      </c>
      <c r="F4" s="141"/>
      <c r="G4" s="141"/>
      <c r="H4" s="141"/>
      <c r="J4" s="18" t="s">
        <v>1897</v>
      </c>
      <c r="K4" s="142"/>
      <c r="L4" s="143"/>
    </row>
    <row r="5" spans="1:13" ht="17.25" x14ac:dyDescent="0.3">
      <c r="C5" s="18" t="s">
        <v>1898</v>
      </c>
      <c r="D5" s="17">
        <v>10044</v>
      </c>
      <c r="J5" s="18"/>
      <c r="K5" s="144"/>
      <c r="L5" s="145"/>
    </row>
    <row r="6" spans="1:13" ht="12" customHeight="1" x14ac:dyDescent="0.25">
      <c r="B6" s="6"/>
      <c r="C6" s="6"/>
    </row>
    <row r="7" spans="1:13" s="40" customFormat="1" ht="37.5" x14ac:dyDescent="0.25">
      <c r="B7" s="146" t="s">
        <v>1</v>
      </c>
      <c r="C7" s="146"/>
      <c r="D7" s="41" t="s">
        <v>2</v>
      </c>
      <c r="E7" s="41" t="s">
        <v>1917</v>
      </c>
      <c r="F7" s="41" t="s">
        <v>4</v>
      </c>
      <c r="G7" s="41" t="s">
        <v>1918</v>
      </c>
      <c r="H7" s="41" t="s">
        <v>1919</v>
      </c>
      <c r="I7" s="41" t="s">
        <v>1920</v>
      </c>
      <c r="J7" s="41" t="s">
        <v>8</v>
      </c>
      <c r="K7" s="146" t="s">
        <v>1921</v>
      </c>
      <c r="L7" s="146"/>
      <c r="M7" s="41" t="s">
        <v>1922</v>
      </c>
    </row>
    <row r="8" spans="1:13" ht="19.5" x14ac:dyDescent="0.3">
      <c r="A8" s="6"/>
      <c r="B8" s="33">
        <v>1</v>
      </c>
      <c r="C8" s="33" t="s">
        <v>80</v>
      </c>
      <c r="D8" s="28" t="s">
        <v>2151</v>
      </c>
      <c r="E8" s="29" t="s">
        <v>2152</v>
      </c>
      <c r="F8" s="45" t="s">
        <v>93</v>
      </c>
      <c r="G8" s="30">
        <v>14.3</v>
      </c>
      <c r="H8" s="31">
        <v>3</v>
      </c>
      <c r="I8" s="48">
        <v>7.5105000000000004</v>
      </c>
      <c r="J8" s="30" t="s">
        <v>79</v>
      </c>
      <c r="K8" s="30">
        <v>25</v>
      </c>
      <c r="L8" s="33" t="s">
        <v>167</v>
      </c>
      <c r="M8" s="62">
        <v>0.26</v>
      </c>
    </row>
    <row r="9" spans="1:13" ht="19.5" x14ac:dyDescent="0.3">
      <c r="A9" s="6"/>
      <c r="B9" s="33">
        <v>2</v>
      </c>
      <c r="C9" s="33" t="s">
        <v>86</v>
      </c>
      <c r="D9" s="28" t="s">
        <v>2153</v>
      </c>
      <c r="E9" s="29" t="s">
        <v>2154</v>
      </c>
      <c r="F9" s="45" t="s">
        <v>93</v>
      </c>
      <c r="G9" s="30">
        <v>13.3</v>
      </c>
      <c r="H9" s="31">
        <v>4</v>
      </c>
      <c r="I9" s="48">
        <v>9.0340000000000007</v>
      </c>
      <c r="J9" s="30" t="s">
        <v>79</v>
      </c>
      <c r="K9" s="30">
        <v>26</v>
      </c>
      <c r="L9" s="33" t="s">
        <v>168</v>
      </c>
      <c r="M9" s="62">
        <v>1.2</v>
      </c>
    </row>
    <row r="10" spans="1:13" ht="19.5" x14ac:dyDescent="0.3">
      <c r="A10" s="6"/>
      <c r="B10" s="33">
        <v>3</v>
      </c>
      <c r="C10" s="33" t="s">
        <v>94</v>
      </c>
      <c r="D10" s="28" t="s">
        <v>2155</v>
      </c>
      <c r="E10" s="29" t="s">
        <v>2156</v>
      </c>
      <c r="F10" s="45" t="s">
        <v>93</v>
      </c>
      <c r="G10" s="30">
        <v>13.9</v>
      </c>
      <c r="H10" s="31">
        <v>4</v>
      </c>
      <c r="I10" s="48">
        <v>9.6219999999999999</v>
      </c>
      <c r="J10" s="30" t="s">
        <v>79</v>
      </c>
      <c r="K10" s="30">
        <v>27</v>
      </c>
      <c r="L10" s="33" t="s">
        <v>169</v>
      </c>
      <c r="M10" s="62">
        <v>1.1200000000000001</v>
      </c>
    </row>
    <row r="11" spans="1:13" ht="19.5" x14ac:dyDescent="0.3">
      <c r="A11" s="6"/>
      <c r="B11" s="33">
        <v>4</v>
      </c>
      <c r="C11" s="33" t="s">
        <v>103</v>
      </c>
      <c r="D11" s="28" t="s">
        <v>2157</v>
      </c>
      <c r="E11" s="29" t="s">
        <v>2158</v>
      </c>
      <c r="F11" s="45" t="s">
        <v>93</v>
      </c>
      <c r="G11" s="30">
        <v>24.6</v>
      </c>
      <c r="H11" s="31">
        <v>2</v>
      </c>
      <c r="I11" s="48">
        <v>10.054</v>
      </c>
      <c r="J11" s="30" t="s">
        <v>79</v>
      </c>
      <c r="K11" s="30">
        <v>28</v>
      </c>
      <c r="L11" s="33" t="s">
        <v>173</v>
      </c>
      <c r="M11" s="62">
        <v>1.5</v>
      </c>
    </row>
    <row r="12" spans="1:13" ht="19.5" x14ac:dyDescent="0.3">
      <c r="A12" s="6"/>
      <c r="B12" s="33" t="s">
        <v>1916</v>
      </c>
      <c r="C12" s="33" t="s">
        <v>1916</v>
      </c>
      <c r="D12" s="28" t="s">
        <v>1916</v>
      </c>
      <c r="E12" s="29"/>
      <c r="F12" s="45"/>
      <c r="G12" s="30"/>
      <c r="H12" s="31"/>
      <c r="I12" s="32" t="s">
        <v>1916</v>
      </c>
      <c r="J12" s="30"/>
      <c r="K12" s="30"/>
      <c r="L12" s="33" t="s">
        <v>1916</v>
      </c>
      <c r="M12" s="30"/>
    </row>
    <row r="13" spans="1:13" ht="19.5" x14ac:dyDescent="0.3">
      <c r="A13" s="6"/>
      <c r="B13" s="33" t="s">
        <v>1916</v>
      </c>
      <c r="C13" s="33" t="s">
        <v>1916</v>
      </c>
      <c r="D13" s="28" t="s">
        <v>1916</v>
      </c>
      <c r="E13" s="29"/>
      <c r="F13" s="45"/>
      <c r="G13" s="30"/>
      <c r="H13" s="31"/>
      <c r="I13" s="32" t="s">
        <v>1916</v>
      </c>
      <c r="J13" s="30"/>
      <c r="K13" s="30"/>
      <c r="L13" s="33" t="s">
        <v>1916</v>
      </c>
      <c r="M13" s="30"/>
    </row>
    <row r="14" spans="1:13" ht="19.5" x14ac:dyDescent="0.3">
      <c r="A14" s="6"/>
      <c r="B14" s="33" t="s">
        <v>1916</v>
      </c>
      <c r="C14" s="33" t="s">
        <v>1916</v>
      </c>
      <c r="D14" s="28" t="s">
        <v>1916</v>
      </c>
      <c r="E14" s="29"/>
      <c r="F14" s="45"/>
      <c r="G14" s="30"/>
      <c r="H14" s="31"/>
      <c r="I14" s="32" t="s">
        <v>1916</v>
      </c>
      <c r="J14" s="30"/>
      <c r="K14" s="30"/>
      <c r="L14" s="33" t="s">
        <v>1916</v>
      </c>
      <c r="M14" s="30"/>
    </row>
    <row r="15" spans="1:13" ht="19.5" x14ac:dyDescent="0.3">
      <c r="A15" s="6"/>
      <c r="B15" s="33" t="s">
        <v>1916</v>
      </c>
      <c r="C15" s="33" t="s">
        <v>1916</v>
      </c>
      <c r="D15" s="28" t="s">
        <v>1916</v>
      </c>
      <c r="E15" s="29"/>
      <c r="F15" s="45"/>
      <c r="G15" s="30"/>
      <c r="H15" s="31"/>
      <c r="I15" s="32" t="s">
        <v>1916</v>
      </c>
      <c r="J15" s="30"/>
      <c r="K15" s="30"/>
      <c r="L15" s="33" t="s">
        <v>1916</v>
      </c>
      <c r="M15" s="30"/>
    </row>
    <row r="16" spans="1:13" ht="19.5" x14ac:dyDescent="0.3">
      <c r="A16" s="6"/>
      <c r="B16" s="33" t="s">
        <v>1916</v>
      </c>
      <c r="C16" s="33" t="s">
        <v>1916</v>
      </c>
      <c r="D16" s="28" t="s">
        <v>1916</v>
      </c>
      <c r="E16" s="29"/>
      <c r="F16" s="45"/>
      <c r="G16" s="30"/>
      <c r="H16" s="31"/>
      <c r="I16" s="32" t="s">
        <v>1916</v>
      </c>
      <c r="J16" s="30"/>
      <c r="K16" s="30"/>
      <c r="L16" s="33" t="s">
        <v>1916</v>
      </c>
      <c r="M16" s="30"/>
    </row>
    <row r="17" spans="1:13" ht="19.5" x14ac:dyDescent="0.3">
      <c r="A17" s="6"/>
      <c r="B17" s="33" t="s">
        <v>1916</v>
      </c>
      <c r="C17" s="33" t="s">
        <v>1916</v>
      </c>
      <c r="D17" s="28" t="s">
        <v>1916</v>
      </c>
      <c r="E17" s="29"/>
      <c r="F17" s="45"/>
      <c r="G17" s="30"/>
      <c r="H17" s="31"/>
      <c r="I17" s="32" t="s">
        <v>1916</v>
      </c>
      <c r="J17" s="30"/>
      <c r="K17" s="30"/>
      <c r="L17" s="33" t="s">
        <v>1916</v>
      </c>
      <c r="M17" s="30"/>
    </row>
    <row r="18" spans="1:13" ht="19.5" x14ac:dyDescent="0.3">
      <c r="A18" s="6"/>
      <c r="B18" s="33" t="s">
        <v>1916</v>
      </c>
      <c r="C18" s="33" t="s">
        <v>1916</v>
      </c>
      <c r="D18" s="28" t="s">
        <v>1916</v>
      </c>
      <c r="E18" s="29"/>
      <c r="F18" s="45"/>
      <c r="G18" s="30"/>
      <c r="H18" s="31"/>
      <c r="I18" s="32" t="s">
        <v>1916</v>
      </c>
      <c r="J18" s="30"/>
      <c r="K18" s="30"/>
      <c r="L18" s="33" t="s">
        <v>1916</v>
      </c>
      <c r="M18" s="30"/>
    </row>
    <row r="19" spans="1:13" ht="19.5" x14ac:dyDescent="0.3">
      <c r="A19" s="6"/>
      <c r="B19" s="33" t="s">
        <v>1916</v>
      </c>
      <c r="C19" s="33" t="s">
        <v>1916</v>
      </c>
      <c r="D19" s="28" t="s">
        <v>1916</v>
      </c>
      <c r="E19" s="29"/>
      <c r="F19" s="45"/>
      <c r="G19" s="30"/>
      <c r="H19" s="31"/>
      <c r="I19" s="32" t="s">
        <v>1916</v>
      </c>
      <c r="J19" s="30"/>
      <c r="K19" s="30"/>
      <c r="L19" s="33" t="s">
        <v>1916</v>
      </c>
      <c r="M19" s="30"/>
    </row>
    <row r="20" spans="1:13" ht="19.5" x14ac:dyDescent="0.3">
      <c r="A20" s="6"/>
      <c r="B20" s="33" t="s">
        <v>1916</v>
      </c>
      <c r="C20" s="33" t="s">
        <v>1916</v>
      </c>
      <c r="D20" s="28" t="s">
        <v>1916</v>
      </c>
      <c r="E20" s="29"/>
      <c r="F20" s="45"/>
      <c r="G20" s="30"/>
      <c r="H20" s="31"/>
      <c r="I20" s="32" t="s">
        <v>1916</v>
      </c>
      <c r="J20" s="30"/>
      <c r="K20" s="30"/>
      <c r="L20" s="33" t="s">
        <v>1916</v>
      </c>
      <c r="M20" s="30"/>
    </row>
    <row r="21" spans="1:13" ht="19.5" x14ac:dyDescent="0.3">
      <c r="A21" s="6"/>
      <c r="B21" s="33" t="s">
        <v>1916</v>
      </c>
      <c r="C21" s="33" t="s">
        <v>1916</v>
      </c>
      <c r="D21" s="28" t="s">
        <v>1916</v>
      </c>
      <c r="E21" s="29"/>
      <c r="F21" s="45"/>
      <c r="G21" s="30"/>
      <c r="H21" s="31"/>
      <c r="I21" s="32" t="s">
        <v>1916</v>
      </c>
      <c r="J21" s="30"/>
      <c r="K21" s="30"/>
      <c r="L21" s="33" t="s">
        <v>1916</v>
      </c>
      <c r="M21" s="30"/>
    </row>
    <row r="22" spans="1:13" ht="19.5" x14ac:dyDescent="0.3">
      <c r="A22" s="6"/>
      <c r="B22" s="33" t="s">
        <v>1916</v>
      </c>
      <c r="C22" s="33" t="s">
        <v>1916</v>
      </c>
      <c r="D22" s="28" t="s">
        <v>1916</v>
      </c>
      <c r="E22" s="29"/>
      <c r="F22" s="45"/>
      <c r="G22" s="30"/>
      <c r="H22" s="31"/>
      <c r="I22" s="32" t="s">
        <v>1916</v>
      </c>
      <c r="J22" s="30"/>
      <c r="K22" s="30"/>
      <c r="L22" s="33" t="s">
        <v>1916</v>
      </c>
      <c r="M22" s="30"/>
    </row>
    <row r="23" spans="1:13" ht="19.5" x14ac:dyDescent="0.3">
      <c r="A23" s="6"/>
      <c r="B23" s="33" t="s">
        <v>1916</v>
      </c>
      <c r="C23" s="33" t="s">
        <v>1916</v>
      </c>
      <c r="D23" s="28" t="s">
        <v>1916</v>
      </c>
      <c r="E23" s="29"/>
      <c r="F23" s="45"/>
      <c r="G23" s="30"/>
      <c r="H23" s="31"/>
      <c r="I23" s="32" t="s">
        <v>1916</v>
      </c>
      <c r="J23" s="30"/>
      <c r="K23" s="30"/>
      <c r="L23" s="33" t="s">
        <v>1916</v>
      </c>
      <c r="M23" s="30"/>
    </row>
    <row r="24" spans="1:13" ht="19.5" x14ac:dyDescent="0.3">
      <c r="A24" s="6"/>
      <c r="B24" s="33" t="s">
        <v>1916</v>
      </c>
      <c r="C24" s="33" t="s">
        <v>1916</v>
      </c>
      <c r="D24" s="28" t="s">
        <v>1916</v>
      </c>
      <c r="E24" s="29"/>
      <c r="F24" s="45"/>
      <c r="G24" s="30"/>
      <c r="H24" s="31"/>
      <c r="I24" s="32" t="s">
        <v>1916</v>
      </c>
      <c r="J24" s="30"/>
      <c r="K24" s="30"/>
      <c r="L24" s="33" t="s">
        <v>1916</v>
      </c>
      <c r="M24" s="30"/>
    </row>
    <row r="25" spans="1:13" ht="19.5" x14ac:dyDescent="0.3">
      <c r="A25" s="6"/>
      <c r="B25" s="33" t="s">
        <v>1916</v>
      </c>
      <c r="C25" s="33" t="s">
        <v>1916</v>
      </c>
      <c r="D25" s="28" t="s">
        <v>1916</v>
      </c>
      <c r="E25" s="29"/>
      <c r="F25" s="45"/>
      <c r="G25" s="30"/>
      <c r="H25" s="31"/>
      <c r="I25" s="32" t="s">
        <v>1916</v>
      </c>
      <c r="J25" s="30"/>
      <c r="K25" s="30"/>
      <c r="L25" s="33" t="s">
        <v>1916</v>
      </c>
      <c r="M25" s="30"/>
    </row>
    <row r="26" spans="1:13" ht="19.5" x14ac:dyDescent="0.3">
      <c r="A26" s="6"/>
      <c r="B26" s="33" t="s">
        <v>1916</v>
      </c>
      <c r="C26" s="33" t="s">
        <v>1916</v>
      </c>
      <c r="D26" s="28" t="s">
        <v>1916</v>
      </c>
      <c r="E26" s="29"/>
      <c r="F26" s="45"/>
      <c r="G26" s="30"/>
      <c r="H26" s="31"/>
      <c r="I26" s="32" t="s">
        <v>1916</v>
      </c>
      <c r="J26" s="30"/>
      <c r="K26" s="30"/>
      <c r="L26" s="33" t="s">
        <v>1916</v>
      </c>
      <c r="M26" s="30"/>
    </row>
    <row r="27" spans="1:13" ht="19.5" x14ac:dyDescent="0.3">
      <c r="A27" s="6"/>
      <c r="B27" s="33" t="s">
        <v>1916</v>
      </c>
      <c r="C27" s="33" t="s">
        <v>1916</v>
      </c>
      <c r="D27" s="28" t="s">
        <v>1916</v>
      </c>
      <c r="E27" s="29"/>
      <c r="F27" s="45"/>
      <c r="G27" s="30"/>
      <c r="H27" s="31"/>
      <c r="I27" s="32" t="s">
        <v>1916</v>
      </c>
      <c r="J27" s="30"/>
      <c r="K27" s="30"/>
      <c r="L27" s="33" t="s">
        <v>1916</v>
      </c>
      <c r="M27" s="30"/>
    </row>
    <row r="28" spans="1:13" ht="19.5" x14ac:dyDescent="0.3">
      <c r="A28" s="6"/>
      <c r="B28" s="33" t="s">
        <v>1916</v>
      </c>
      <c r="C28" s="33" t="s">
        <v>1916</v>
      </c>
      <c r="D28" s="28" t="s">
        <v>1916</v>
      </c>
      <c r="E28" s="29"/>
      <c r="F28" s="45"/>
      <c r="G28" s="30"/>
      <c r="H28" s="31"/>
      <c r="I28" s="32" t="s">
        <v>1916</v>
      </c>
      <c r="J28" s="30"/>
      <c r="K28" s="30"/>
      <c r="L28" s="33" t="s">
        <v>1916</v>
      </c>
      <c r="M28" s="30"/>
    </row>
    <row r="29" spans="1:13" ht="19.5" x14ac:dyDescent="0.3">
      <c r="A29" s="6"/>
      <c r="B29" s="33" t="s">
        <v>1916</v>
      </c>
      <c r="C29" s="33" t="s">
        <v>1916</v>
      </c>
      <c r="D29" s="28" t="s">
        <v>1916</v>
      </c>
      <c r="E29" s="29"/>
      <c r="F29" s="45"/>
      <c r="G29" s="30"/>
      <c r="H29" s="31"/>
      <c r="I29" s="32" t="s">
        <v>1916</v>
      </c>
      <c r="J29" s="30"/>
      <c r="K29" s="30"/>
      <c r="L29" s="33" t="s">
        <v>1916</v>
      </c>
      <c r="M29" s="30"/>
    </row>
    <row r="30" spans="1:13" ht="19.5" x14ac:dyDescent="0.3">
      <c r="A30" s="6"/>
      <c r="B30" s="33" t="s">
        <v>1916</v>
      </c>
      <c r="C30" s="33" t="s">
        <v>1916</v>
      </c>
      <c r="D30" s="28" t="s">
        <v>1916</v>
      </c>
      <c r="E30" s="29"/>
      <c r="F30" s="45"/>
      <c r="G30" s="30"/>
      <c r="H30" s="31"/>
      <c r="I30" s="32" t="s">
        <v>1916</v>
      </c>
      <c r="J30" s="30"/>
      <c r="K30" s="30"/>
      <c r="L30" s="33" t="s">
        <v>1916</v>
      </c>
      <c r="M30" s="30"/>
    </row>
    <row r="31" spans="1:13" ht="19.5" x14ac:dyDescent="0.3">
      <c r="A31" s="6"/>
      <c r="B31" s="33" t="s">
        <v>1916</v>
      </c>
      <c r="C31" s="33" t="s">
        <v>1916</v>
      </c>
      <c r="D31" s="28" t="s">
        <v>1916</v>
      </c>
      <c r="E31" s="29"/>
      <c r="F31" s="45"/>
      <c r="G31" s="30"/>
      <c r="H31" s="31"/>
      <c r="I31" s="32" t="s">
        <v>1916</v>
      </c>
      <c r="J31" s="30"/>
      <c r="K31" s="30"/>
      <c r="L31" s="33" t="s">
        <v>1916</v>
      </c>
      <c r="M31" s="30"/>
    </row>
    <row r="32" spans="1:13" x14ac:dyDescent="0.25">
      <c r="A32" s="11"/>
    </row>
    <row r="33" spans="1:12" ht="18.75" x14ac:dyDescent="0.3">
      <c r="A33" s="11"/>
      <c r="B33" s="34" t="s">
        <v>1923</v>
      </c>
      <c r="C33" s="35">
        <v>4.5</v>
      </c>
      <c r="D33" s="28"/>
      <c r="E33" s="28"/>
      <c r="F33" s="28"/>
      <c r="G33" s="28"/>
      <c r="H33" s="27"/>
      <c r="I33" s="27"/>
      <c r="J33" s="28"/>
      <c r="K33" s="28"/>
      <c r="L33" s="28"/>
    </row>
    <row r="34" spans="1:12" ht="18.75" x14ac:dyDescent="0.3">
      <c r="A34" s="11"/>
      <c r="B34" s="28"/>
      <c r="C34" s="28"/>
      <c r="D34" s="28"/>
      <c r="E34" s="28"/>
      <c r="F34" s="28"/>
      <c r="G34" s="28"/>
      <c r="H34" s="27"/>
      <c r="I34" s="27"/>
      <c r="J34" s="28"/>
      <c r="K34" s="28"/>
      <c r="L34" s="28"/>
    </row>
    <row r="35" spans="1:12" ht="18.75" x14ac:dyDescent="0.3">
      <c r="B35" s="34" t="s">
        <v>1916</v>
      </c>
      <c r="C35" s="36" t="s">
        <v>1916</v>
      </c>
      <c r="D35" s="35" t="s">
        <v>1916</v>
      </c>
      <c r="E35" s="28"/>
      <c r="F35" s="34" t="s">
        <v>1916</v>
      </c>
      <c r="G35" s="36" t="s">
        <v>1916</v>
      </c>
      <c r="H35" s="35" t="s">
        <v>1916</v>
      </c>
      <c r="I35" s="27"/>
      <c r="J35" s="34" t="s">
        <v>1924</v>
      </c>
      <c r="K35" s="36" t="s">
        <v>1925</v>
      </c>
      <c r="L35" s="35" t="s">
        <v>1926</v>
      </c>
    </row>
    <row r="36" spans="1:12" ht="18.75" x14ac:dyDescent="0.3">
      <c r="B36" s="37" t="s">
        <v>1916</v>
      </c>
      <c r="C36" s="36" t="s">
        <v>1916</v>
      </c>
      <c r="D36" s="35" t="s">
        <v>1916</v>
      </c>
      <c r="E36" s="28"/>
      <c r="F36" s="37" t="s">
        <v>1916</v>
      </c>
      <c r="G36" s="36" t="s">
        <v>1916</v>
      </c>
      <c r="H36" s="35" t="s">
        <v>1916</v>
      </c>
      <c r="I36" s="27"/>
      <c r="J36" s="37" t="s">
        <v>245</v>
      </c>
      <c r="K36" s="36">
        <v>0.7</v>
      </c>
      <c r="L36" s="35">
        <v>3.15</v>
      </c>
    </row>
    <row r="37" spans="1:12" ht="18.75" x14ac:dyDescent="0.3">
      <c r="B37" s="37" t="s">
        <v>1916</v>
      </c>
      <c r="C37" s="36" t="s">
        <v>1916</v>
      </c>
      <c r="D37" s="35" t="s">
        <v>1916</v>
      </c>
      <c r="E37" s="28"/>
      <c r="F37" s="37" t="s">
        <v>1916</v>
      </c>
      <c r="G37" s="36" t="s">
        <v>1916</v>
      </c>
      <c r="H37" s="35" t="s">
        <v>1916</v>
      </c>
      <c r="I37" s="35"/>
      <c r="J37" s="37" t="s">
        <v>251</v>
      </c>
      <c r="K37" s="36">
        <v>1.4</v>
      </c>
      <c r="L37" s="35">
        <v>6.3</v>
      </c>
    </row>
    <row r="38" spans="1:12" ht="18.75" x14ac:dyDescent="0.3">
      <c r="B38" s="37" t="s">
        <v>1916</v>
      </c>
      <c r="C38" s="36" t="s">
        <v>1916</v>
      </c>
      <c r="D38" s="35" t="s">
        <v>1916</v>
      </c>
      <c r="E38" s="28"/>
      <c r="F38" s="37" t="s">
        <v>1916</v>
      </c>
      <c r="G38" s="36" t="s">
        <v>1916</v>
      </c>
      <c r="H38" s="35" t="s">
        <v>1916</v>
      </c>
      <c r="I38" s="35"/>
      <c r="J38" s="37"/>
      <c r="K38" s="36"/>
      <c r="L38" s="35"/>
    </row>
    <row r="39" spans="1:12" ht="18.75" x14ac:dyDescent="0.25">
      <c r="B39" s="37"/>
      <c r="C39" s="36"/>
      <c r="D39" s="35"/>
      <c r="E39" s="37"/>
      <c r="F39" s="37"/>
      <c r="G39" s="36"/>
      <c r="H39" s="35"/>
      <c r="I39" s="35"/>
      <c r="J39" s="37"/>
      <c r="K39" s="36"/>
      <c r="L39" s="35"/>
    </row>
    <row r="40" spans="1:12" ht="18.75" x14ac:dyDescent="0.3">
      <c r="B40" s="34" t="s">
        <v>1916</v>
      </c>
      <c r="C40" s="36" t="s">
        <v>1916</v>
      </c>
      <c r="D40" s="35" t="s">
        <v>1916</v>
      </c>
      <c r="E40" s="28"/>
      <c r="F40" s="34" t="s">
        <v>1927</v>
      </c>
      <c r="G40" s="36" t="s">
        <v>1925</v>
      </c>
      <c r="H40" s="35" t="s">
        <v>1926</v>
      </c>
      <c r="I40" s="27"/>
      <c r="J40" s="34" t="s">
        <v>1928</v>
      </c>
      <c r="K40" s="36" t="s">
        <v>1925</v>
      </c>
      <c r="L40" s="35" t="s">
        <v>1925</v>
      </c>
    </row>
    <row r="41" spans="1:12" ht="18.75" x14ac:dyDescent="0.3">
      <c r="B41" s="37" t="s">
        <v>1916</v>
      </c>
      <c r="C41" s="36" t="s">
        <v>1916</v>
      </c>
      <c r="D41" s="35" t="s">
        <v>1916</v>
      </c>
      <c r="E41" s="37"/>
      <c r="F41" s="37" t="s">
        <v>255</v>
      </c>
      <c r="G41" s="36">
        <v>5</v>
      </c>
      <c r="H41" s="35">
        <v>22.5</v>
      </c>
      <c r="I41" s="27"/>
      <c r="J41" s="37" t="s">
        <v>260</v>
      </c>
      <c r="K41" s="36">
        <v>1</v>
      </c>
      <c r="L41" s="35">
        <v>1</v>
      </c>
    </row>
    <row r="42" spans="1:12" ht="18.75" x14ac:dyDescent="0.3">
      <c r="B42" s="37" t="s">
        <v>1916</v>
      </c>
      <c r="C42" s="36" t="s">
        <v>1916</v>
      </c>
      <c r="D42" s="35" t="s">
        <v>1916</v>
      </c>
      <c r="E42" s="37"/>
      <c r="F42" s="37" t="s">
        <v>257</v>
      </c>
      <c r="G42" s="36">
        <v>0.75</v>
      </c>
      <c r="H42" s="35">
        <v>3.375</v>
      </c>
      <c r="I42" s="27"/>
      <c r="J42" s="37" t="s">
        <v>1916</v>
      </c>
      <c r="K42" s="36" t="s">
        <v>1916</v>
      </c>
      <c r="L42" s="35" t="s">
        <v>1916</v>
      </c>
    </row>
    <row r="43" spans="1:12" ht="18.75" x14ac:dyDescent="0.3">
      <c r="B43" s="37" t="s">
        <v>1916</v>
      </c>
      <c r="C43" s="36" t="s">
        <v>1916</v>
      </c>
      <c r="D43" s="35" t="s">
        <v>1916</v>
      </c>
      <c r="E43" s="37"/>
      <c r="F43" s="37" t="s">
        <v>199</v>
      </c>
      <c r="G43" s="36">
        <v>1.25</v>
      </c>
      <c r="H43" s="35">
        <v>5.625</v>
      </c>
      <c r="I43" s="27"/>
      <c r="J43" s="37"/>
      <c r="K43" s="36"/>
      <c r="L43" s="35"/>
    </row>
    <row r="44" spans="1:12" ht="18.75" x14ac:dyDescent="0.3">
      <c r="B44" s="37"/>
      <c r="C44" s="36"/>
      <c r="D44" s="35"/>
      <c r="E44" s="37"/>
      <c r="F44" s="37"/>
      <c r="G44" s="36"/>
      <c r="H44" s="35"/>
      <c r="I44" s="27"/>
      <c r="J44" s="37"/>
      <c r="K44" s="36"/>
      <c r="L44" s="35"/>
    </row>
    <row r="45" spans="1:12" ht="18.75" x14ac:dyDescent="0.3">
      <c r="B45" s="34" t="s">
        <v>1929</v>
      </c>
      <c r="C45" s="36" t="s">
        <v>1925</v>
      </c>
      <c r="D45" s="35" t="s">
        <v>1926</v>
      </c>
      <c r="E45" s="37"/>
      <c r="F45" s="34" t="s">
        <v>1916</v>
      </c>
      <c r="G45" s="36" t="s">
        <v>1916</v>
      </c>
      <c r="H45" s="35" t="s">
        <v>1916</v>
      </c>
      <c r="I45" s="27"/>
      <c r="J45" s="34" t="s">
        <v>1930</v>
      </c>
      <c r="K45" s="36" t="s">
        <v>1925</v>
      </c>
      <c r="L45" s="35" t="s">
        <v>1925</v>
      </c>
    </row>
    <row r="46" spans="1:12" ht="18.75" x14ac:dyDescent="0.3">
      <c r="B46" s="37" t="s">
        <v>262</v>
      </c>
      <c r="C46" s="36">
        <v>5</v>
      </c>
      <c r="D46" s="35">
        <v>22.5</v>
      </c>
      <c r="E46" s="37"/>
      <c r="F46" s="37" t="s">
        <v>1916</v>
      </c>
      <c r="G46" s="36" t="s">
        <v>1916</v>
      </c>
      <c r="H46" s="35" t="s">
        <v>1916</v>
      </c>
      <c r="I46" s="27"/>
      <c r="J46" s="37" t="s">
        <v>272</v>
      </c>
      <c r="K46" s="36">
        <v>10</v>
      </c>
      <c r="L46" s="35">
        <v>10</v>
      </c>
    </row>
    <row r="47" spans="1:12" ht="18.75" x14ac:dyDescent="0.3">
      <c r="B47" s="37" t="s">
        <v>264</v>
      </c>
      <c r="C47" s="36">
        <v>3.15</v>
      </c>
      <c r="D47" s="35">
        <v>14.174999999999999</v>
      </c>
      <c r="E47" s="37"/>
      <c r="F47" s="37" t="s">
        <v>1916</v>
      </c>
      <c r="G47" s="36" t="s">
        <v>1916</v>
      </c>
      <c r="H47" s="35" t="s">
        <v>1916</v>
      </c>
      <c r="I47" s="27"/>
      <c r="J47" s="37" t="s">
        <v>274</v>
      </c>
      <c r="K47" s="36">
        <v>2.5</v>
      </c>
      <c r="L47" s="35">
        <v>2.5</v>
      </c>
    </row>
    <row r="48" spans="1:12" ht="18.75" x14ac:dyDescent="0.25">
      <c r="B48" s="37" t="s">
        <v>266</v>
      </c>
      <c r="C48" s="36">
        <v>1</v>
      </c>
      <c r="D48" s="35">
        <v>4.5</v>
      </c>
      <c r="E48" s="37"/>
      <c r="F48" s="37" t="s">
        <v>1916</v>
      </c>
      <c r="G48" s="36" t="s">
        <v>1916</v>
      </c>
      <c r="H48" s="35" t="s">
        <v>1916</v>
      </c>
      <c r="J48" s="21"/>
      <c r="K48" s="22"/>
      <c r="L48" s="23"/>
    </row>
    <row r="49" spans="2:13" ht="18.75" x14ac:dyDescent="0.25">
      <c r="B49" s="37" t="s">
        <v>268</v>
      </c>
      <c r="C49" s="36">
        <v>0.97499999999999998</v>
      </c>
      <c r="D49" s="35">
        <v>4.3875000000000002</v>
      </c>
      <c r="E49" s="37"/>
      <c r="F49" s="37" t="s">
        <v>1916</v>
      </c>
      <c r="G49" s="36" t="s">
        <v>1916</v>
      </c>
      <c r="H49" s="35" t="s">
        <v>1916</v>
      </c>
      <c r="J49" s="21"/>
      <c r="K49" s="22"/>
      <c r="L49" s="23"/>
    </row>
    <row r="50" spans="2:13" ht="18.75" x14ac:dyDescent="0.25">
      <c r="B50" s="37" t="s">
        <v>270</v>
      </c>
      <c r="C50" s="36">
        <v>1.2</v>
      </c>
      <c r="D50" s="35">
        <v>5.3999999999999995</v>
      </c>
      <c r="E50" s="37"/>
      <c r="F50" s="37" t="s">
        <v>1916</v>
      </c>
      <c r="G50" s="36" t="s">
        <v>1916</v>
      </c>
      <c r="H50" s="35" t="s">
        <v>1916</v>
      </c>
      <c r="J50" s="21"/>
      <c r="K50" s="22"/>
      <c r="L50" s="23"/>
    </row>
    <row r="51" spans="2:13" ht="18.75" x14ac:dyDescent="0.25">
      <c r="B51" s="37"/>
      <c r="C51" s="36"/>
      <c r="D51" s="35"/>
      <c r="E51" s="37"/>
      <c r="F51" s="37"/>
      <c r="G51" s="36"/>
      <c r="H51" s="35"/>
      <c r="J51" s="21"/>
      <c r="K51" s="22"/>
      <c r="L51" s="23"/>
    </row>
    <row r="52" spans="2:13" ht="18.75" x14ac:dyDescent="0.3">
      <c r="B52" s="34" t="s">
        <v>1931</v>
      </c>
      <c r="C52" s="36" t="s">
        <v>1925</v>
      </c>
      <c r="D52" s="35" t="s">
        <v>1926</v>
      </c>
      <c r="E52" s="28"/>
      <c r="F52" s="34" t="s">
        <v>1932</v>
      </c>
      <c r="G52" s="34" t="s">
        <v>1933</v>
      </c>
      <c r="H52" s="28"/>
      <c r="J52" s="8"/>
      <c r="K52" s="12" t="s">
        <v>1899</v>
      </c>
      <c r="L52" s="12" t="s">
        <v>1900</v>
      </c>
      <c r="M52" s="12" t="s">
        <v>1901</v>
      </c>
    </row>
    <row r="53" spans="2:13" ht="31.5" customHeight="1" x14ac:dyDescent="0.3">
      <c r="B53" s="37" t="s">
        <v>276</v>
      </c>
      <c r="C53" s="36">
        <v>10</v>
      </c>
      <c r="D53" s="35">
        <v>45</v>
      </c>
      <c r="E53" s="28"/>
      <c r="F53" s="37" t="s">
        <v>93</v>
      </c>
      <c r="G53" s="37">
        <v>28</v>
      </c>
      <c r="H53" s="27"/>
      <c r="I53" s="5"/>
      <c r="J53" s="7" t="s">
        <v>79</v>
      </c>
      <c r="K53" s="14" t="s">
        <v>2159</v>
      </c>
      <c r="L53" s="14" t="s">
        <v>1934</v>
      </c>
      <c r="M53" s="14" t="s">
        <v>1934</v>
      </c>
    </row>
    <row r="54" spans="2:13" ht="31.5" customHeight="1" x14ac:dyDescent="0.3">
      <c r="B54" s="37" t="s">
        <v>278</v>
      </c>
      <c r="C54" s="36">
        <v>2.5</v>
      </c>
      <c r="D54" s="35">
        <v>11.25</v>
      </c>
      <c r="E54" s="28"/>
      <c r="F54" s="37"/>
      <c r="G54" s="37"/>
      <c r="H54" s="27"/>
      <c r="J54" s="7" t="s">
        <v>152</v>
      </c>
      <c r="K54" s="14" t="s">
        <v>2160</v>
      </c>
      <c r="L54" s="14" t="s">
        <v>1934</v>
      </c>
      <c r="M54" s="14" t="s">
        <v>1934</v>
      </c>
    </row>
    <row r="55" spans="2:13" ht="29.25" customHeight="1" x14ac:dyDescent="0.3">
      <c r="B55" s="37" t="s">
        <v>270</v>
      </c>
      <c r="C55" s="36">
        <v>2.4</v>
      </c>
      <c r="D55" s="35">
        <v>10.799999999999999</v>
      </c>
      <c r="E55" s="28"/>
      <c r="F55" s="37"/>
      <c r="G55" s="37"/>
      <c r="H55" s="27"/>
      <c r="J55" s="7" t="s">
        <v>156</v>
      </c>
      <c r="K55" s="14" t="s">
        <v>2161</v>
      </c>
      <c r="L55" s="14" t="s">
        <v>1934</v>
      </c>
      <c r="M55" s="14" t="s">
        <v>1934</v>
      </c>
    </row>
    <row r="56" spans="2:13" ht="31.5" customHeight="1" x14ac:dyDescent="0.3">
      <c r="B56" s="37" t="s">
        <v>191</v>
      </c>
      <c r="C56" s="36">
        <v>22.6</v>
      </c>
      <c r="D56" s="35">
        <v>101.7</v>
      </c>
      <c r="E56" s="28"/>
      <c r="F56" s="37"/>
      <c r="G56" s="28"/>
      <c r="H56" s="27"/>
      <c r="J56" s="7" t="s">
        <v>160</v>
      </c>
      <c r="K56" s="14" t="s">
        <v>2162</v>
      </c>
      <c r="L56" s="14" t="s">
        <v>1934</v>
      </c>
      <c r="M56" s="14" t="s">
        <v>1934</v>
      </c>
    </row>
    <row r="57" spans="2:13" ht="31.5" customHeight="1" x14ac:dyDescent="0.3">
      <c r="B57" s="37"/>
      <c r="C57" s="36"/>
      <c r="D57" s="35"/>
      <c r="E57" s="28"/>
      <c r="F57" s="37"/>
      <c r="G57" s="28"/>
      <c r="H57" s="27"/>
      <c r="J57" s="7" t="s">
        <v>1902</v>
      </c>
      <c r="K57" s="14" t="s">
        <v>1934</v>
      </c>
      <c r="L57" s="14" t="s">
        <v>1934</v>
      </c>
      <c r="M57" s="14" t="s">
        <v>1934</v>
      </c>
    </row>
    <row r="58" spans="2:13" ht="31.5" customHeight="1" x14ac:dyDescent="0.3">
      <c r="B58" s="34" t="s">
        <v>1935</v>
      </c>
      <c r="C58" s="36" t="s">
        <v>1925</v>
      </c>
      <c r="D58" s="35" t="s">
        <v>1925</v>
      </c>
      <c r="E58" s="28"/>
      <c r="F58" s="38"/>
      <c r="G58" s="28"/>
      <c r="H58" s="27"/>
      <c r="J58" s="7" t="s">
        <v>1903</v>
      </c>
      <c r="K58" s="14" t="s">
        <v>1934</v>
      </c>
      <c r="L58" s="14" t="s">
        <v>1934</v>
      </c>
      <c r="M58" s="14" t="s">
        <v>1934</v>
      </c>
    </row>
    <row r="59" spans="2:13" ht="31.5" customHeight="1" x14ac:dyDescent="0.3">
      <c r="B59" s="37" t="s">
        <v>292</v>
      </c>
      <c r="C59" s="36">
        <v>40</v>
      </c>
      <c r="D59" s="35">
        <v>40</v>
      </c>
      <c r="E59" s="28"/>
      <c r="F59" s="38"/>
      <c r="G59" s="28"/>
      <c r="H59" s="27"/>
      <c r="J59" s="7" t="s">
        <v>1904</v>
      </c>
      <c r="K59" s="14" t="s">
        <v>1934</v>
      </c>
      <c r="L59" s="14" t="s">
        <v>1934</v>
      </c>
      <c r="M59" s="14" t="s">
        <v>1934</v>
      </c>
    </row>
    <row r="60" spans="2:13" ht="31.5" customHeight="1" x14ac:dyDescent="0.3">
      <c r="B60" s="37" t="s">
        <v>191</v>
      </c>
      <c r="C60" s="36">
        <v>50</v>
      </c>
      <c r="D60" s="35">
        <v>50</v>
      </c>
      <c r="E60" s="28"/>
      <c r="F60" s="38"/>
      <c r="G60" s="28"/>
      <c r="H60" s="27"/>
      <c r="J60" s="7" t="s">
        <v>1905</v>
      </c>
      <c r="K60" s="14" t="s">
        <v>1934</v>
      </c>
      <c r="L60" s="14" t="s">
        <v>1934</v>
      </c>
      <c r="M60" s="14" t="s">
        <v>1934</v>
      </c>
    </row>
    <row r="61" spans="2:13" ht="18.75" x14ac:dyDescent="0.25">
      <c r="B61" s="37" t="s">
        <v>301</v>
      </c>
      <c r="C61" s="36">
        <v>40</v>
      </c>
      <c r="D61" s="35">
        <v>40</v>
      </c>
      <c r="E61" s="37"/>
      <c r="F61" s="37"/>
      <c r="G61" s="36"/>
      <c r="H61" s="35"/>
      <c r="J61" s="21"/>
      <c r="K61" s="22"/>
      <c r="L61" s="23"/>
    </row>
    <row r="62" spans="2:13" ht="18.75" x14ac:dyDescent="0.25">
      <c r="B62" s="37" t="s">
        <v>1936</v>
      </c>
      <c r="C62" s="36">
        <v>200</v>
      </c>
      <c r="D62" s="35">
        <v>200</v>
      </c>
      <c r="E62" s="37"/>
      <c r="F62" s="37"/>
      <c r="G62" s="36"/>
      <c r="H62" s="35"/>
      <c r="J62" s="21"/>
      <c r="K62" s="22"/>
      <c r="L62" s="23"/>
    </row>
    <row r="63" spans="2:13" ht="22.5" customHeight="1" x14ac:dyDescent="0.25">
      <c r="B63" s="37"/>
      <c r="C63" s="36"/>
      <c r="D63" s="35"/>
      <c r="E63" s="37"/>
      <c r="F63" s="37"/>
      <c r="G63" s="36"/>
      <c r="H63" s="35"/>
      <c r="J63" s="21"/>
      <c r="K63" s="22"/>
      <c r="L63" s="23"/>
    </row>
    <row r="64" spans="2:13" x14ac:dyDescent="0.25">
      <c r="B64" s="12" t="s">
        <v>1899</v>
      </c>
      <c r="C64" s="12" t="s">
        <v>1900</v>
      </c>
      <c r="D64" s="12" t="s">
        <v>1901</v>
      </c>
      <c r="E64" s="12" t="s">
        <v>1906</v>
      </c>
      <c r="F64" s="12" t="s">
        <v>1907</v>
      </c>
      <c r="G64" s="12" t="s">
        <v>1908</v>
      </c>
      <c r="H64" s="12" t="s">
        <v>1909</v>
      </c>
      <c r="I64" s="12" t="s">
        <v>1910</v>
      </c>
      <c r="J64" s="12" t="s">
        <v>1911</v>
      </c>
      <c r="K64" s="12" t="s">
        <v>1912</v>
      </c>
      <c r="L64" s="12" t="s">
        <v>1913</v>
      </c>
      <c r="M64" s="12" t="s">
        <v>1914</v>
      </c>
    </row>
    <row r="65" spans="1:13" ht="18.75" customHeight="1" x14ac:dyDescent="0.25">
      <c r="A65" s="7" t="s">
        <v>79</v>
      </c>
      <c r="B65" s="39" t="s">
        <v>1934</v>
      </c>
      <c r="C65" s="39" t="s">
        <v>1934</v>
      </c>
      <c r="D65" s="39" t="s">
        <v>1934</v>
      </c>
      <c r="E65" s="39" t="s">
        <v>2151</v>
      </c>
      <c r="F65" s="39" t="s">
        <v>1934</v>
      </c>
      <c r="G65" s="39" t="s">
        <v>1934</v>
      </c>
      <c r="H65" s="39" t="s">
        <v>1934</v>
      </c>
      <c r="I65" s="39" t="s">
        <v>1934</v>
      </c>
      <c r="J65" s="39" t="s">
        <v>1934</v>
      </c>
      <c r="K65" s="39" t="s">
        <v>1934</v>
      </c>
      <c r="L65" s="39" t="s">
        <v>1934</v>
      </c>
      <c r="M65" s="39" t="s">
        <v>1934</v>
      </c>
    </row>
    <row r="66" spans="1:13" ht="18.75" customHeight="1" x14ac:dyDescent="0.25">
      <c r="A66" s="7" t="s">
        <v>152</v>
      </c>
      <c r="B66" s="39" t="s">
        <v>1934</v>
      </c>
      <c r="C66" s="39" t="s">
        <v>1934</v>
      </c>
      <c r="D66" s="39" t="s">
        <v>1934</v>
      </c>
      <c r="E66" s="39" t="s">
        <v>2153</v>
      </c>
      <c r="F66" s="39" t="s">
        <v>1934</v>
      </c>
      <c r="G66" s="39" t="s">
        <v>1934</v>
      </c>
      <c r="H66" s="39" t="s">
        <v>1934</v>
      </c>
      <c r="I66" s="39" t="s">
        <v>1934</v>
      </c>
      <c r="J66" s="39" t="s">
        <v>1934</v>
      </c>
      <c r="K66" s="39" t="s">
        <v>1934</v>
      </c>
      <c r="L66" s="39" t="s">
        <v>1934</v>
      </c>
      <c r="M66" s="39" t="s">
        <v>1934</v>
      </c>
    </row>
    <row r="67" spans="1:13" ht="18.75" customHeight="1" x14ac:dyDescent="0.25">
      <c r="A67" s="7" t="s">
        <v>156</v>
      </c>
      <c r="B67" s="39" t="s">
        <v>1934</v>
      </c>
      <c r="C67" s="39" t="s">
        <v>1934</v>
      </c>
      <c r="D67" s="39" t="s">
        <v>1934</v>
      </c>
      <c r="E67" s="39" t="s">
        <v>2155</v>
      </c>
      <c r="F67" s="39" t="s">
        <v>1934</v>
      </c>
      <c r="G67" s="39" t="s">
        <v>1934</v>
      </c>
      <c r="H67" s="39" t="s">
        <v>1934</v>
      </c>
      <c r="I67" s="39" t="s">
        <v>1934</v>
      </c>
      <c r="J67" s="39" t="s">
        <v>1934</v>
      </c>
      <c r="K67" s="39" t="s">
        <v>1934</v>
      </c>
      <c r="L67" s="39" t="s">
        <v>1934</v>
      </c>
      <c r="M67" s="39" t="s">
        <v>1934</v>
      </c>
    </row>
    <row r="68" spans="1:13" ht="18.75" customHeight="1" x14ac:dyDescent="0.25">
      <c r="A68" s="7" t="s">
        <v>160</v>
      </c>
      <c r="B68" s="39" t="s">
        <v>1934</v>
      </c>
      <c r="C68" s="39" t="s">
        <v>1934</v>
      </c>
      <c r="D68" s="39" t="s">
        <v>1934</v>
      </c>
      <c r="E68" s="39" t="s">
        <v>2157</v>
      </c>
      <c r="F68" s="39" t="s">
        <v>1934</v>
      </c>
      <c r="G68" s="39" t="s">
        <v>1934</v>
      </c>
      <c r="H68" s="39" t="s">
        <v>1934</v>
      </c>
      <c r="I68" s="39" t="s">
        <v>1934</v>
      </c>
      <c r="J68" s="39" t="s">
        <v>1934</v>
      </c>
      <c r="K68" s="39" t="s">
        <v>1934</v>
      </c>
      <c r="L68" s="39" t="s">
        <v>1934</v>
      </c>
      <c r="M68" s="39" t="s">
        <v>1934</v>
      </c>
    </row>
    <row r="69" spans="1:13" ht="18.75" customHeight="1" x14ac:dyDescent="0.25">
      <c r="A69" s="7" t="s">
        <v>1902</v>
      </c>
      <c r="B69" s="39" t="s">
        <v>1934</v>
      </c>
      <c r="C69" s="39" t="s">
        <v>1934</v>
      </c>
      <c r="D69" s="39" t="s">
        <v>1934</v>
      </c>
      <c r="E69" s="39" t="s">
        <v>1934</v>
      </c>
      <c r="F69" s="39" t="s">
        <v>1934</v>
      </c>
      <c r="G69" s="39" t="s">
        <v>1934</v>
      </c>
      <c r="H69" s="39" t="s">
        <v>1934</v>
      </c>
      <c r="I69" s="39" t="s">
        <v>1934</v>
      </c>
      <c r="J69" s="39" t="s">
        <v>1934</v>
      </c>
      <c r="K69" s="39" t="s">
        <v>1934</v>
      </c>
      <c r="L69" s="39" t="s">
        <v>1934</v>
      </c>
      <c r="M69" s="39" t="s">
        <v>1934</v>
      </c>
    </row>
    <row r="70" spans="1:13" ht="18.75" customHeight="1" x14ac:dyDescent="0.25">
      <c r="A70" s="7" t="s">
        <v>1903</v>
      </c>
      <c r="B70" s="39" t="s">
        <v>1934</v>
      </c>
      <c r="C70" s="39" t="s">
        <v>1934</v>
      </c>
      <c r="D70" s="39" t="s">
        <v>1934</v>
      </c>
      <c r="E70" s="39" t="s">
        <v>1934</v>
      </c>
      <c r="F70" s="39" t="s">
        <v>1934</v>
      </c>
      <c r="G70" s="39" t="s">
        <v>1934</v>
      </c>
      <c r="H70" s="39" t="s">
        <v>1934</v>
      </c>
      <c r="I70" s="39" t="s">
        <v>1934</v>
      </c>
      <c r="J70" s="39" t="s">
        <v>1934</v>
      </c>
      <c r="K70" s="39" t="s">
        <v>1934</v>
      </c>
      <c r="L70" s="39" t="s">
        <v>1934</v>
      </c>
      <c r="M70" s="39" t="s">
        <v>1934</v>
      </c>
    </row>
    <row r="71" spans="1:13" ht="18.75" customHeight="1" x14ac:dyDescent="0.25">
      <c r="A71" s="7" t="s">
        <v>1904</v>
      </c>
      <c r="B71" s="39" t="s">
        <v>1934</v>
      </c>
      <c r="C71" s="39" t="s">
        <v>1934</v>
      </c>
      <c r="D71" s="39" t="s">
        <v>1934</v>
      </c>
      <c r="E71" s="39" t="s">
        <v>1934</v>
      </c>
      <c r="F71" s="39" t="s">
        <v>1934</v>
      </c>
      <c r="G71" s="39" t="s">
        <v>1934</v>
      </c>
      <c r="H71" s="39" t="s">
        <v>1934</v>
      </c>
      <c r="I71" s="39" t="s">
        <v>1934</v>
      </c>
      <c r="J71" s="39" t="s">
        <v>1934</v>
      </c>
      <c r="K71" s="39" t="s">
        <v>1934</v>
      </c>
      <c r="L71" s="39" t="s">
        <v>1934</v>
      </c>
      <c r="M71" s="39" t="s">
        <v>1934</v>
      </c>
    </row>
    <row r="72" spans="1:13" ht="18.75" customHeight="1" x14ac:dyDescent="0.25">
      <c r="A72" s="7" t="s">
        <v>1905</v>
      </c>
      <c r="B72" s="39" t="s">
        <v>1934</v>
      </c>
      <c r="C72" s="39" t="s">
        <v>1934</v>
      </c>
      <c r="D72" s="39" t="s">
        <v>1934</v>
      </c>
      <c r="E72" s="39" t="s">
        <v>1934</v>
      </c>
      <c r="F72" s="39" t="s">
        <v>1934</v>
      </c>
      <c r="G72" s="39" t="s">
        <v>1934</v>
      </c>
      <c r="H72" s="39" t="s">
        <v>1934</v>
      </c>
      <c r="I72" s="39" t="s">
        <v>1934</v>
      </c>
      <c r="J72" s="39" t="s">
        <v>1934</v>
      </c>
      <c r="K72" s="39" t="s">
        <v>1934</v>
      </c>
      <c r="L72" s="39" t="s">
        <v>1934</v>
      </c>
      <c r="M72" s="39" t="s">
        <v>1934</v>
      </c>
    </row>
  </sheetData>
  <mergeCells count="4">
    <mergeCell ref="E4:H4"/>
    <mergeCell ref="K4:L5"/>
    <mergeCell ref="B7:C7"/>
    <mergeCell ref="K7:L7"/>
  </mergeCells>
  <conditionalFormatting sqref="B8:B31">
    <cfRule type="duplicateValues" dxfId="99" priority="12"/>
  </conditionalFormatting>
  <conditionalFormatting sqref="B8:C31">
    <cfRule type="containsBlanks" dxfId="98" priority="3">
      <formula>LEN(TRIM(B8))=0</formula>
    </cfRule>
  </conditionalFormatting>
  <conditionalFormatting sqref="C8:C31">
    <cfRule type="duplicateValues" dxfId="97" priority="4"/>
  </conditionalFormatting>
  <conditionalFormatting sqref="E4">
    <cfRule type="notContainsBlanks" dxfId="96" priority="8">
      <formula>LEN(TRIM(E4))&gt;0</formula>
    </cfRule>
  </conditionalFormatting>
  <conditionalFormatting sqref="E8:H31">
    <cfRule type="expression" dxfId="95" priority="2">
      <formula>ISNUMBER(FIND("POOL",$D8))</formula>
    </cfRule>
  </conditionalFormatting>
  <conditionalFormatting sqref="J8:J31">
    <cfRule type="expression" dxfId="94" priority="7">
      <formula>ISNUMBER(FIND("POOL",$D8))</formula>
    </cfRule>
  </conditionalFormatting>
  <conditionalFormatting sqref="K8:K31">
    <cfRule type="duplicateValues" dxfId="93" priority="9"/>
    <cfRule type="expression" dxfId="92" priority="10">
      <formula>ISNUMBER(FIND("POOL",$D8))</formula>
    </cfRule>
  </conditionalFormatting>
  <conditionalFormatting sqref="L8:L31">
    <cfRule type="containsBlanks" dxfId="91" priority="5">
      <formula>LEN(TRIM(L8))=0</formula>
    </cfRule>
    <cfRule type="duplicateValues" dxfId="90" priority="6"/>
  </conditionalFormatting>
  <conditionalFormatting sqref="M8:M31">
    <cfRule type="expression" dxfId="89" priority="1">
      <formula>ISNUMBER(FIND("POOL",$D8))</formula>
    </cfRule>
  </conditionalFormatting>
  <dataValidations count="1">
    <dataValidation type="whole" allowBlank="1" showInputMessage="1" showErrorMessage="1" sqref="D4" xr:uid="{CBC0D653-69D4-40F3-89EC-CA3724558632}">
      <formula1>0</formula1>
      <formula2>24</formula2>
    </dataValidation>
  </dataValidations>
  <pageMargins left="0.25" right="0.25" top="0.75" bottom="0.75" header="0.3" footer="0.3"/>
  <pageSetup paperSize="9" scale="4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9172A39B-B82C-4A98-9281-DE3985E39BCF}">
          <x14:formula1>
            <xm:f>Database!$A$16:$A$19</xm:f>
          </x14:formula1>
          <xm:sqref>D2</xm:sqref>
        </x14:dataValidation>
        <x14:dataValidation type="list" allowBlank="1" showInputMessage="1" showErrorMessage="1" xr:uid="{78A541AF-2A0B-4140-8368-2F4A3F4EE1E2}">
          <x14:formula1>
            <xm:f>Database!$B$16:$B$19</xm:f>
          </x14:formula1>
          <xm:sqref>J8:J31</xm:sqref>
        </x14:dataValidation>
        <x14:dataValidation type="list" allowBlank="1" showInputMessage="1" showErrorMessage="1" xr:uid="{594548E9-8443-4026-BF0F-940A18C0B136}">
          <x14:formula1>
            <xm:f>Database!$A$5:$A$11</xm:f>
          </x14:formula1>
          <xm:sqref>F8:F31</xm:sqref>
        </x14:dataValidation>
        <x14:dataValidation type="list" allowBlank="1" showInputMessage="1" showErrorMessage="1" xr:uid="{D9711D03-4C26-487E-9F12-66F3AA3F4E5A}">
          <x14:formula1>
            <xm:f>Database!$A$16:$A$18</xm:f>
          </x14:formula1>
          <xm:sqref>F13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223E5-87F4-4AC4-9EE1-1E6AF9FD61C5}">
  <dimension ref="A2:M72"/>
  <sheetViews>
    <sheetView view="pageBreakPreview" zoomScale="115" zoomScaleNormal="70" zoomScaleSheetLayoutView="115" zoomScalePageLayoutView="55" workbookViewId="0">
      <selection activeCell="H27" sqref="H27"/>
    </sheetView>
  </sheetViews>
  <sheetFormatPr defaultColWidth="9.140625" defaultRowHeight="15" x14ac:dyDescent="0.25"/>
  <cols>
    <col min="1" max="1" width="18.28515625" style="5" customWidth="1"/>
    <col min="2" max="4" width="15" style="5" customWidth="1"/>
    <col min="5" max="5" width="16.140625" style="5" customWidth="1"/>
    <col min="6" max="6" width="17.7109375" style="5" customWidth="1"/>
    <col min="7" max="7" width="15" style="5" customWidth="1"/>
    <col min="8" max="9" width="15" style="8" customWidth="1"/>
    <col min="10" max="12" width="15" style="5" customWidth="1"/>
    <col min="13" max="13" width="15" style="8" customWidth="1"/>
    <col min="14" max="16384" width="9.140625" style="5"/>
  </cols>
  <sheetData>
    <row r="2" spans="1:13" ht="17.25" x14ac:dyDescent="0.3">
      <c r="C2" s="18" t="s">
        <v>1892</v>
      </c>
      <c r="D2" s="15" t="s">
        <v>147</v>
      </c>
      <c r="F2" s="18" t="s">
        <v>1893</v>
      </c>
      <c r="G2" s="43">
        <v>44775</v>
      </c>
      <c r="H2" s="8" t="s">
        <v>1894</v>
      </c>
      <c r="J2" s="18" t="s">
        <v>1895</v>
      </c>
      <c r="K2" s="61" t="s">
        <v>2163</v>
      </c>
      <c r="L2" s="60"/>
    </row>
    <row r="3" spans="1:13" ht="9.75" customHeight="1" x14ac:dyDescent="0.3">
      <c r="C3" s="13"/>
      <c r="D3" s="16"/>
    </row>
    <row r="4" spans="1:13" ht="18.75" x14ac:dyDescent="0.3">
      <c r="C4" s="18" t="s">
        <v>1896</v>
      </c>
      <c r="D4" s="17">
        <v>3</v>
      </c>
      <c r="E4" s="140" t="s">
        <v>1916</v>
      </c>
      <c r="F4" s="141"/>
      <c r="G4" s="141"/>
      <c r="H4" s="141"/>
      <c r="J4" s="18" t="s">
        <v>1897</v>
      </c>
      <c r="K4" s="142"/>
      <c r="L4" s="143"/>
    </row>
    <row r="5" spans="1:13" ht="17.25" x14ac:dyDescent="0.3">
      <c r="C5" s="18" t="s">
        <v>1898</v>
      </c>
      <c r="D5" s="17">
        <v>10001</v>
      </c>
      <c r="J5" s="18"/>
      <c r="K5" s="144"/>
      <c r="L5" s="145"/>
    </row>
    <row r="6" spans="1:13" ht="12" customHeight="1" x14ac:dyDescent="0.25">
      <c r="B6" s="6"/>
      <c r="C6" s="6"/>
    </row>
    <row r="7" spans="1:13" s="40" customFormat="1" ht="37.5" x14ac:dyDescent="0.25">
      <c r="B7" s="146" t="s">
        <v>1</v>
      </c>
      <c r="C7" s="146"/>
      <c r="D7" s="41" t="s">
        <v>2</v>
      </c>
      <c r="E7" s="41" t="s">
        <v>1917</v>
      </c>
      <c r="F7" s="41" t="s">
        <v>4</v>
      </c>
      <c r="G7" s="41" t="s">
        <v>1918</v>
      </c>
      <c r="H7" s="41" t="s">
        <v>1919</v>
      </c>
      <c r="I7" s="41" t="s">
        <v>1920</v>
      </c>
      <c r="J7" s="41" t="s">
        <v>8</v>
      </c>
      <c r="K7" s="146" t="s">
        <v>1921</v>
      </c>
      <c r="L7" s="146"/>
      <c r="M7" s="41" t="s">
        <v>1922</v>
      </c>
    </row>
    <row r="8" spans="1:13" ht="19.5" x14ac:dyDescent="0.3">
      <c r="A8" s="6"/>
      <c r="B8" s="33">
        <v>1</v>
      </c>
      <c r="C8" s="33" t="s">
        <v>80</v>
      </c>
      <c r="D8" s="28" t="s">
        <v>2059</v>
      </c>
      <c r="E8" s="29" t="s">
        <v>1974</v>
      </c>
      <c r="F8" s="45" t="s">
        <v>84</v>
      </c>
      <c r="G8" s="30">
        <v>2.65</v>
      </c>
      <c r="H8" s="31">
        <v>4</v>
      </c>
      <c r="I8" s="32">
        <v>8.7199999999999989</v>
      </c>
      <c r="J8" s="30" t="s">
        <v>79</v>
      </c>
      <c r="K8" s="30">
        <v>1</v>
      </c>
      <c r="L8" s="33" t="s">
        <v>80</v>
      </c>
      <c r="M8" s="30">
        <v>7.76</v>
      </c>
    </row>
    <row r="9" spans="1:13" ht="19.5" x14ac:dyDescent="0.3">
      <c r="A9" s="6"/>
      <c r="B9" s="33">
        <v>2</v>
      </c>
      <c r="C9" s="33" t="s">
        <v>86</v>
      </c>
      <c r="D9" s="28" t="s">
        <v>2062</v>
      </c>
      <c r="E9" s="29" t="s">
        <v>1978</v>
      </c>
      <c r="F9" s="45" t="s">
        <v>84</v>
      </c>
      <c r="G9" s="30">
        <v>42</v>
      </c>
      <c r="H9" s="31">
        <v>1</v>
      </c>
      <c r="I9" s="32">
        <v>49.4</v>
      </c>
      <c r="J9" s="30" t="s">
        <v>79</v>
      </c>
      <c r="K9" s="30">
        <v>2</v>
      </c>
      <c r="L9" s="33" t="s">
        <v>86</v>
      </c>
      <c r="M9" s="30">
        <v>7.48</v>
      </c>
    </row>
    <row r="10" spans="1:13" ht="19.5" x14ac:dyDescent="0.3">
      <c r="A10" s="6"/>
      <c r="B10" s="33">
        <v>3</v>
      </c>
      <c r="C10" s="33" t="s">
        <v>94</v>
      </c>
      <c r="D10" s="28" t="s">
        <v>2065</v>
      </c>
      <c r="E10" s="29" t="s">
        <v>1982</v>
      </c>
      <c r="F10" s="45" t="s">
        <v>84</v>
      </c>
      <c r="G10" s="30">
        <v>28.6</v>
      </c>
      <c r="H10" s="31">
        <v>1</v>
      </c>
      <c r="I10" s="32">
        <v>33.32</v>
      </c>
      <c r="J10" s="30" t="s">
        <v>79</v>
      </c>
      <c r="K10" s="30">
        <v>3</v>
      </c>
      <c r="L10" s="33" t="s">
        <v>94</v>
      </c>
      <c r="M10" s="30">
        <v>15.9</v>
      </c>
    </row>
    <row r="11" spans="1:13" ht="19.5" x14ac:dyDescent="0.3">
      <c r="A11" s="6"/>
      <c r="B11" s="33" t="s">
        <v>1916</v>
      </c>
      <c r="C11" s="33" t="s">
        <v>1916</v>
      </c>
      <c r="D11" s="28" t="s">
        <v>1916</v>
      </c>
      <c r="E11" s="29"/>
      <c r="F11" s="45"/>
      <c r="G11" s="30"/>
      <c r="H11" s="31"/>
      <c r="I11" s="32" t="s">
        <v>1916</v>
      </c>
      <c r="J11" s="30"/>
      <c r="K11" s="30"/>
      <c r="L11" s="33" t="s">
        <v>1916</v>
      </c>
      <c r="M11" s="30"/>
    </row>
    <row r="12" spans="1:13" ht="19.5" x14ac:dyDescent="0.3">
      <c r="A12" s="6"/>
      <c r="B12" s="33" t="s">
        <v>1916</v>
      </c>
      <c r="C12" s="33" t="s">
        <v>1916</v>
      </c>
      <c r="D12" s="28" t="s">
        <v>1916</v>
      </c>
      <c r="E12" s="29"/>
      <c r="F12" s="45"/>
      <c r="G12" s="30"/>
      <c r="H12" s="31"/>
      <c r="I12" s="32" t="s">
        <v>1916</v>
      </c>
      <c r="J12" s="30"/>
      <c r="K12" s="30"/>
      <c r="L12" s="33" t="s">
        <v>1916</v>
      </c>
      <c r="M12" s="30"/>
    </row>
    <row r="13" spans="1:13" ht="19.5" x14ac:dyDescent="0.3">
      <c r="A13" s="6"/>
      <c r="B13" s="33" t="s">
        <v>1916</v>
      </c>
      <c r="C13" s="33" t="s">
        <v>1916</v>
      </c>
      <c r="D13" s="28" t="s">
        <v>1916</v>
      </c>
      <c r="E13" s="29"/>
      <c r="F13" s="45"/>
      <c r="G13" s="30"/>
      <c r="H13" s="31"/>
      <c r="I13" s="32" t="s">
        <v>1916</v>
      </c>
      <c r="J13" s="30"/>
      <c r="K13" s="30"/>
      <c r="L13" s="33" t="s">
        <v>1916</v>
      </c>
      <c r="M13" s="30"/>
    </row>
    <row r="14" spans="1:13" ht="19.5" x14ac:dyDescent="0.3">
      <c r="A14" s="6"/>
      <c r="B14" s="33" t="s">
        <v>1916</v>
      </c>
      <c r="C14" s="33" t="s">
        <v>1916</v>
      </c>
      <c r="D14" s="28" t="s">
        <v>1916</v>
      </c>
      <c r="E14" s="29"/>
      <c r="F14" s="45"/>
      <c r="G14" s="30"/>
      <c r="H14" s="31"/>
      <c r="I14" s="32" t="s">
        <v>1916</v>
      </c>
      <c r="J14" s="30"/>
      <c r="K14" s="30"/>
      <c r="L14" s="33" t="s">
        <v>1916</v>
      </c>
      <c r="M14" s="30"/>
    </row>
    <row r="15" spans="1:13" ht="19.5" x14ac:dyDescent="0.3">
      <c r="A15" s="6"/>
      <c r="B15" s="33" t="s">
        <v>1916</v>
      </c>
      <c r="C15" s="33" t="s">
        <v>1916</v>
      </c>
      <c r="D15" s="28" t="s">
        <v>1916</v>
      </c>
      <c r="E15" s="29"/>
      <c r="F15" s="45"/>
      <c r="G15" s="30"/>
      <c r="H15" s="31"/>
      <c r="I15" s="32" t="s">
        <v>1916</v>
      </c>
      <c r="J15" s="30"/>
      <c r="K15" s="30"/>
      <c r="L15" s="33" t="s">
        <v>1916</v>
      </c>
      <c r="M15" s="30"/>
    </row>
    <row r="16" spans="1:13" ht="19.5" x14ac:dyDescent="0.3">
      <c r="A16" s="6"/>
      <c r="B16" s="33" t="s">
        <v>1916</v>
      </c>
      <c r="C16" s="33" t="s">
        <v>1916</v>
      </c>
      <c r="D16" s="28" t="s">
        <v>1916</v>
      </c>
      <c r="E16" s="29"/>
      <c r="F16" s="45"/>
      <c r="G16" s="30"/>
      <c r="H16" s="31"/>
      <c r="I16" s="32" t="s">
        <v>1916</v>
      </c>
      <c r="J16" s="30"/>
      <c r="K16" s="30"/>
      <c r="L16" s="33" t="s">
        <v>1916</v>
      </c>
      <c r="M16" s="30"/>
    </row>
    <row r="17" spans="1:13" ht="19.5" x14ac:dyDescent="0.3">
      <c r="A17" s="6"/>
      <c r="B17" s="33" t="s">
        <v>1916</v>
      </c>
      <c r="C17" s="33" t="s">
        <v>1916</v>
      </c>
      <c r="D17" s="28" t="s">
        <v>1916</v>
      </c>
      <c r="E17" s="29"/>
      <c r="F17" s="45"/>
      <c r="G17" s="30"/>
      <c r="H17" s="31"/>
      <c r="I17" s="32" t="s">
        <v>1916</v>
      </c>
      <c r="J17" s="30"/>
      <c r="K17" s="30"/>
      <c r="L17" s="33" t="s">
        <v>1916</v>
      </c>
      <c r="M17" s="30"/>
    </row>
    <row r="18" spans="1:13" ht="19.5" x14ac:dyDescent="0.3">
      <c r="A18" s="6"/>
      <c r="B18" s="33" t="s">
        <v>1916</v>
      </c>
      <c r="C18" s="33" t="s">
        <v>1916</v>
      </c>
      <c r="D18" s="28" t="s">
        <v>1916</v>
      </c>
      <c r="E18" s="29"/>
      <c r="F18" s="45"/>
      <c r="G18" s="30"/>
      <c r="H18" s="31"/>
      <c r="I18" s="32" t="s">
        <v>1916</v>
      </c>
      <c r="J18" s="30"/>
      <c r="K18" s="30"/>
      <c r="L18" s="33" t="s">
        <v>1916</v>
      </c>
      <c r="M18" s="30"/>
    </row>
    <row r="19" spans="1:13" ht="19.5" x14ac:dyDescent="0.3">
      <c r="A19" s="6"/>
      <c r="B19" s="33" t="s">
        <v>1916</v>
      </c>
      <c r="C19" s="33" t="s">
        <v>1916</v>
      </c>
      <c r="D19" s="28" t="s">
        <v>1916</v>
      </c>
      <c r="E19" s="29"/>
      <c r="F19" s="45"/>
      <c r="G19" s="30"/>
      <c r="H19" s="31"/>
      <c r="I19" s="32" t="s">
        <v>1916</v>
      </c>
      <c r="J19" s="30"/>
      <c r="K19" s="30"/>
      <c r="L19" s="33" t="s">
        <v>1916</v>
      </c>
      <c r="M19" s="30"/>
    </row>
    <row r="20" spans="1:13" ht="19.5" x14ac:dyDescent="0.3">
      <c r="A20" s="6"/>
      <c r="B20" s="33" t="s">
        <v>1916</v>
      </c>
      <c r="C20" s="33" t="s">
        <v>1916</v>
      </c>
      <c r="D20" s="28" t="s">
        <v>1916</v>
      </c>
      <c r="E20" s="29"/>
      <c r="F20" s="45"/>
      <c r="G20" s="30"/>
      <c r="H20" s="31"/>
      <c r="I20" s="32" t="s">
        <v>1916</v>
      </c>
      <c r="J20" s="30"/>
      <c r="K20" s="30"/>
      <c r="L20" s="33" t="s">
        <v>1916</v>
      </c>
      <c r="M20" s="30"/>
    </row>
    <row r="21" spans="1:13" ht="19.5" x14ac:dyDescent="0.3">
      <c r="A21" s="6"/>
      <c r="B21" s="33" t="s">
        <v>1916</v>
      </c>
      <c r="C21" s="33" t="s">
        <v>1916</v>
      </c>
      <c r="D21" s="28" t="s">
        <v>1916</v>
      </c>
      <c r="E21" s="29"/>
      <c r="F21" s="45"/>
      <c r="G21" s="30"/>
      <c r="H21" s="31"/>
      <c r="I21" s="32" t="s">
        <v>1916</v>
      </c>
      <c r="J21" s="30"/>
      <c r="K21" s="30"/>
      <c r="L21" s="33" t="s">
        <v>1916</v>
      </c>
      <c r="M21" s="30"/>
    </row>
    <row r="22" spans="1:13" ht="19.5" x14ac:dyDescent="0.3">
      <c r="A22" s="6"/>
      <c r="B22" s="33" t="s">
        <v>1916</v>
      </c>
      <c r="C22" s="33" t="s">
        <v>1916</v>
      </c>
      <c r="D22" s="28" t="s">
        <v>1916</v>
      </c>
      <c r="E22" s="29"/>
      <c r="F22" s="45"/>
      <c r="G22" s="30"/>
      <c r="H22" s="31"/>
      <c r="I22" s="32" t="s">
        <v>1916</v>
      </c>
      <c r="J22" s="30"/>
      <c r="K22" s="30"/>
      <c r="L22" s="33" t="s">
        <v>1916</v>
      </c>
      <c r="M22" s="30"/>
    </row>
    <row r="23" spans="1:13" ht="19.5" x14ac:dyDescent="0.3">
      <c r="A23" s="6"/>
      <c r="B23" s="33" t="s">
        <v>1916</v>
      </c>
      <c r="C23" s="33" t="s">
        <v>1916</v>
      </c>
      <c r="D23" s="28" t="s">
        <v>1916</v>
      </c>
      <c r="E23" s="29"/>
      <c r="F23" s="45"/>
      <c r="G23" s="30"/>
      <c r="H23" s="31"/>
      <c r="I23" s="32" t="s">
        <v>1916</v>
      </c>
      <c r="J23" s="30"/>
      <c r="K23" s="30"/>
      <c r="L23" s="33" t="s">
        <v>1916</v>
      </c>
      <c r="M23" s="30"/>
    </row>
    <row r="24" spans="1:13" ht="19.5" x14ac:dyDescent="0.3">
      <c r="A24" s="6"/>
      <c r="B24" s="33" t="s">
        <v>1916</v>
      </c>
      <c r="C24" s="33" t="s">
        <v>1916</v>
      </c>
      <c r="D24" s="28" t="s">
        <v>1916</v>
      </c>
      <c r="E24" s="29"/>
      <c r="F24" s="45"/>
      <c r="G24" s="30"/>
      <c r="H24" s="31"/>
      <c r="I24" s="32" t="s">
        <v>1916</v>
      </c>
      <c r="J24" s="30"/>
      <c r="K24" s="30"/>
      <c r="L24" s="33" t="s">
        <v>1916</v>
      </c>
      <c r="M24" s="30"/>
    </row>
    <row r="25" spans="1:13" ht="19.5" x14ac:dyDescent="0.3">
      <c r="A25" s="6"/>
      <c r="B25" s="33" t="s">
        <v>1916</v>
      </c>
      <c r="C25" s="33" t="s">
        <v>1916</v>
      </c>
      <c r="D25" s="28" t="s">
        <v>1916</v>
      </c>
      <c r="E25" s="29"/>
      <c r="F25" s="45"/>
      <c r="G25" s="30"/>
      <c r="H25" s="31"/>
      <c r="I25" s="32" t="s">
        <v>1916</v>
      </c>
      <c r="J25" s="30"/>
      <c r="K25" s="30"/>
      <c r="L25" s="33" t="s">
        <v>1916</v>
      </c>
      <c r="M25" s="30"/>
    </row>
    <row r="26" spans="1:13" ht="19.5" x14ac:dyDescent="0.3">
      <c r="A26" s="6"/>
      <c r="B26" s="33" t="s">
        <v>1916</v>
      </c>
      <c r="C26" s="33" t="s">
        <v>1916</v>
      </c>
      <c r="D26" s="28" t="s">
        <v>1916</v>
      </c>
      <c r="E26" s="29"/>
      <c r="F26" s="45"/>
      <c r="G26" s="30"/>
      <c r="H26" s="31"/>
      <c r="I26" s="32" t="s">
        <v>1916</v>
      </c>
      <c r="J26" s="30"/>
      <c r="K26" s="30"/>
      <c r="L26" s="33" t="s">
        <v>1916</v>
      </c>
      <c r="M26" s="30"/>
    </row>
    <row r="27" spans="1:13" ht="19.5" x14ac:dyDescent="0.3">
      <c r="A27" s="6"/>
      <c r="B27" s="33" t="s">
        <v>1916</v>
      </c>
      <c r="C27" s="33" t="s">
        <v>1916</v>
      </c>
      <c r="D27" s="28" t="s">
        <v>1916</v>
      </c>
      <c r="E27" s="29"/>
      <c r="F27" s="45"/>
      <c r="G27" s="30"/>
      <c r="H27" s="31"/>
      <c r="I27" s="32" t="s">
        <v>1916</v>
      </c>
      <c r="J27" s="30"/>
      <c r="K27" s="30"/>
      <c r="L27" s="33" t="s">
        <v>1916</v>
      </c>
      <c r="M27" s="30"/>
    </row>
    <row r="28" spans="1:13" ht="19.5" x14ac:dyDescent="0.3">
      <c r="A28" s="6"/>
      <c r="B28" s="33" t="s">
        <v>1916</v>
      </c>
      <c r="C28" s="33" t="s">
        <v>1916</v>
      </c>
      <c r="D28" s="28" t="s">
        <v>1916</v>
      </c>
      <c r="E28" s="29"/>
      <c r="F28" s="45"/>
      <c r="G28" s="30"/>
      <c r="H28" s="31"/>
      <c r="I28" s="32" t="s">
        <v>1916</v>
      </c>
      <c r="J28" s="30"/>
      <c r="K28" s="30"/>
      <c r="L28" s="33" t="s">
        <v>1916</v>
      </c>
      <c r="M28" s="30"/>
    </row>
    <row r="29" spans="1:13" ht="19.5" x14ac:dyDescent="0.3">
      <c r="A29" s="6"/>
      <c r="B29" s="33" t="s">
        <v>1916</v>
      </c>
      <c r="C29" s="33" t="s">
        <v>1916</v>
      </c>
      <c r="D29" s="28" t="s">
        <v>1916</v>
      </c>
      <c r="E29" s="29"/>
      <c r="F29" s="45"/>
      <c r="G29" s="30"/>
      <c r="H29" s="31"/>
      <c r="I29" s="32" t="s">
        <v>1916</v>
      </c>
      <c r="J29" s="30"/>
      <c r="K29" s="30"/>
      <c r="L29" s="33" t="s">
        <v>1916</v>
      </c>
      <c r="M29" s="30"/>
    </row>
    <row r="30" spans="1:13" ht="19.5" x14ac:dyDescent="0.3">
      <c r="A30" s="6"/>
      <c r="B30" s="33" t="s">
        <v>1916</v>
      </c>
      <c r="C30" s="33" t="s">
        <v>1916</v>
      </c>
      <c r="D30" s="28" t="s">
        <v>1916</v>
      </c>
      <c r="E30" s="29"/>
      <c r="F30" s="45"/>
      <c r="G30" s="30"/>
      <c r="H30" s="31"/>
      <c r="I30" s="32" t="s">
        <v>1916</v>
      </c>
      <c r="J30" s="30"/>
      <c r="K30" s="30"/>
      <c r="L30" s="33" t="s">
        <v>1916</v>
      </c>
      <c r="M30" s="30"/>
    </row>
    <row r="31" spans="1:13" ht="19.5" x14ac:dyDescent="0.3">
      <c r="A31" s="6"/>
      <c r="B31" s="33" t="s">
        <v>1916</v>
      </c>
      <c r="C31" s="33" t="s">
        <v>1916</v>
      </c>
      <c r="D31" s="28" t="s">
        <v>1916</v>
      </c>
      <c r="E31" s="29"/>
      <c r="F31" s="45"/>
      <c r="G31" s="30"/>
      <c r="H31" s="31"/>
      <c r="I31" s="32" t="s">
        <v>1916</v>
      </c>
      <c r="J31" s="30"/>
      <c r="K31" s="30"/>
      <c r="L31" s="33" t="s">
        <v>1916</v>
      </c>
      <c r="M31" s="30"/>
    </row>
    <row r="32" spans="1:13" x14ac:dyDescent="0.25">
      <c r="A32" s="11"/>
    </row>
    <row r="33" spans="1:12" ht="18.75" x14ac:dyDescent="0.3">
      <c r="A33" s="11"/>
      <c r="B33" s="34" t="s">
        <v>1923</v>
      </c>
      <c r="C33" s="35">
        <v>3.5</v>
      </c>
      <c r="D33" s="28"/>
      <c r="E33" s="28"/>
      <c r="F33" s="28"/>
      <c r="G33" s="28"/>
      <c r="H33" s="27"/>
      <c r="I33" s="27"/>
      <c r="J33" s="28"/>
      <c r="K33" s="28"/>
      <c r="L33" s="28"/>
    </row>
    <row r="34" spans="1:12" ht="18.75" x14ac:dyDescent="0.3">
      <c r="A34" s="11"/>
      <c r="B34" s="28"/>
      <c r="C34" s="28"/>
      <c r="D34" s="28"/>
      <c r="E34" s="28"/>
      <c r="F34" s="28"/>
      <c r="G34" s="28"/>
      <c r="H34" s="27"/>
      <c r="I34" s="27"/>
      <c r="J34" s="28"/>
      <c r="K34" s="28"/>
      <c r="L34" s="28"/>
    </row>
    <row r="35" spans="1:12" ht="18.75" x14ac:dyDescent="0.3">
      <c r="B35" s="34" t="s">
        <v>1916</v>
      </c>
      <c r="C35" s="36" t="s">
        <v>1916</v>
      </c>
      <c r="D35" s="35" t="s">
        <v>1916</v>
      </c>
      <c r="E35" s="28"/>
      <c r="F35" s="34" t="s">
        <v>2164</v>
      </c>
      <c r="G35" s="36" t="s">
        <v>1925</v>
      </c>
      <c r="H35" s="35" t="s">
        <v>1926</v>
      </c>
      <c r="I35" s="27"/>
      <c r="J35" s="34" t="s">
        <v>2165</v>
      </c>
      <c r="K35" s="36" t="s">
        <v>1925</v>
      </c>
      <c r="L35" s="35" t="s">
        <v>1925</v>
      </c>
    </row>
    <row r="36" spans="1:12" ht="18.75" x14ac:dyDescent="0.3">
      <c r="B36" s="37" t="s">
        <v>1916</v>
      </c>
      <c r="C36" s="36" t="s">
        <v>1916</v>
      </c>
      <c r="D36" s="35" t="s">
        <v>1916</v>
      </c>
      <c r="E36" s="28"/>
      <c r="F36" s="37" t="s">
        <v>187</v>
      </c>
      <c r="G36" s="36">
        <v>4</v>
      </c>
      <c r="H36" s="35">
        <v>14</v>
      </c>
      <c r="I36" s="27"/>
      <c r="J36" s="37" t="s">
        <v>193</v>
      </c>
      <c r="K36" s="36">
        <v>2</v>
      </c>
      <c r="L36" s="35">
        <v>2</v>
      </c>
    </row>
    <row r="37" spans="1:12" ht="18.75" x14ac:dyDescent="0.3">
      <c r="B37" s="37" t="s">
        <v>1916</v>
      </c>
      <c r="C37" s="36" t="s">
        <v>1916</v>
      </c>
      <c r="D37" s="35" t="s">
        <v>1916</v>
      </c>
      <c r="E37" s="28"/>
      <c r="F37" s="37" t="s">
        <v>224</v>
      </c>
      <c r="G37" s="36">
        <v>4</v>
      </c>
      <c r="H37" s="35">
        <v>14</v>
      </c>
      <c r="I37" s="35"/>
      <c r="J37" s="37" t="s">
        <v>1916</v>
      </c>
      <c r="K37" s="36" t="s">
        <v>1916</v>
      </c>
      <c r="L37" s="35" t="s">
        <v>1916</v>
      </c>
    </row>
    <row r="38" spans="1:12" ht="18.75" x14ac:dyDescent="0.3">
      <c r="B38" s="37" t="s">
        <v>1916</v>
      </c>
      <c r="C38" s="36" t="s">
        <v>1916</v>
      </c>
      <c r="D38" s="35" t="s">
        <v>1916</v>
      </c>
      <c r="E38" s="28"/>
      <c r="F38" s="37" t="s">
        <v>1916</v>
      </c>
      <c r="G38" s="36" t="s">
        <v>1916</v>
      </c>
      <c r="H38" s="35" t="s">
        <v>1916</v>
      </c>
      <c r="I38" s="35"/>
      <c r="J38" s="37"/>
      <c r="K38" s="36"/>
      <c r="L38" s="35"/>
    </row>
    <row r="39" spans="1:12" ht="18.75" x14ac:dyDescent="0.25">
      <c r="B39" s="37"/>
      <c r="C39" s="36"/>
      <c r="D39" s="35"/>
      <c r="E39" s="37"/>
      <c r="F39" s="37"/>
      <c r="G39" s="36"/>
      <c r="H39" s="35"/>
      <c r="I39" s="35"/>
      <c r="J39" s="37"/>
      <c r="K39" s="36"/>
      <c r="L39" s="35"/>
    </row>
    <row r="40" spans="1:12" ht="18.75" x14ac:dyDescent="0.3">
      <c r="B40" s="34" t="s">
        <v>2166</v>
      </c>
      <c r="C40" s="36" t="s">
        <v>1925</v>
      </c>
      <c r="D40" s="35" t="s">
        <v>1925</v>
      </c>
      <c r="E40" s="28"/>
      <c r="F40" s="34" t="s">
        <v>2167</v>
      </c>
      <c r="G40" s="36" t="s">
        <v>1925</v>
      </c>
      <c r="H40" s="35" t="s">
        <v>2168</v>
      </c>
      <c r="I40" s="27"/>
      <c r="J40" s="34" t="s">
        <v>2169</v>
      </c>
      <c r="K40" s="36" t="s">
        <v>1925</v>
      </c>
      <c r="L40" s="35" t="s">
        <v>1926</v>
      </c>
    </row>
    <row r="41" spans="1:12" ht="18.75" x14ac:dyDescent="0.3">
      <c r="B41" s="37" t="s">
        <v>195</v>
      </c>
      <c r="C41" s="36">
        <v>4</v>
      </c>
      <c r="D41" s="35">
        <v>4</v>
      </c>
      <c r="E41" s="37"/>
      <c r="F41" s="37" t="s">
        <v>231</v>
      </c>
      <c r="G41" s="36">
        <v>45</v>
      </c>
      <c r="H41" s="35">
        <v>45</v>
      </c>
      <c r="I41" s="27"/>
      <c r="J41" s="37" t="s">
        <v>205</v>
      </c>
      <c r="K41" s="36">
        <v>45</v>
      </c>
      <c r="L41" s="35">
        <v>157.5</v>
      </c>
    </row>
    <row r="42" spans="1:12" ht="18.75" x14ac:dyDescent="0.3">
      <c r="B42" s="37" t="s">
        <v>197</v>
      </c>
      <c r="C42" s="36">
        <v>2</v>
      </c>
      <c r="D42" s="35">
        <v>2</v>
      </c>
      <c r="E42" s="37"/>
      <c r="F42" s="37" t="s">
        <v>203</v>
      </c>
      <c r="G42" s="36">
        <v>150</v>
      </c>
      <c r="H42" s="35">
        <v>1050</v>
      </c>
      <c r="I42" s="27"/>
      <c r="J42" s="37" t="s">
        <v>207</v>
      </c>
      <c r="K42" s="36">
        <v>5</v>
      </c>
      <c r="L42" s="35">
        <v>17.5</v>
      </c>
    </row>
    <row r="43" spans="1:12" ht="18.75" x14ac:dyDescent="0.3">
      <c r="B43" s="37" t="s">
        <v>199</v>
      </c>
      <c r="C43" s="36">
        <v>2</v>
      </c>
      <c r="D43" s="35">
        <v>2</v>
      </c>
      <c r="E43" s="37"/>
      <c r="F43" s="37" t="s">
        <v>1916</v>
      </c>
      <c r="G43" s="36" t="s">
        <v>1916</v>
      </c>
      <c r="H43" s="35" t="s">
        <v>1916</v>
      </c>
      <c r="I43" s="27"/>
      <c r="J43" s="37"/>
      <c r="K43" s="36"/>
      <c r="L43" s="35"/>
    </row>
    <row r="44" spans="1:12" ht="18.75" x14ac:dyDescent="0.3">
      <c r="B44" s="37"/>
      <c r="C44" s="36"/>
      <c r="D44" s="35"/>
      <c r="E44" s="37"/>
      <c r="F44" s="37"/>
      <c r="G44" s="36"/>
      <c r="H44" s="35"/>
      <c r="I44" s="27"/>
      <c r="J44" s="37"/>
      <c r="K44" s="36"/>
      <c r="L44" s="35"/>
    </row>
    <row r="45" spans="1:12" ht="18.75" x14ac:dyDescent="0.3">
      <c r="B45" s="34" t="s">
        <v>2170</v>
      </c>
      <c r="C45" s="36" t="s">
        <v>1925</v>
      </c>
      <c r="D45" s="35" t="s">
        <v>2168</v>
      </c>
      <c r="E45" s="37"/>
      <c r="F45" s="34" t="s">
        <v>1916</v>
      </c>
      <c r="G45" s="36" t="s">
        <v>1916</v>
      </c>
      <c r="H45" s="35" t="s">
        <v>1916</v>
      </c>
      <c r="I45" s="27"/>
      <c r="J45" s="34" t="s">
        <v>1916</v>
      </c>
      <c r="K45" s="36" t="s">
        <v>1916</v>
      </c>
      <c r="L45" s="35" t="s">
        <v>1916</v>
      </c>
    </row>
    <row r="46" spans="1:12" ht="18.75" x14ac:dyDescent="0.3">
      <c r="B46" s="37" t="s">
        <v>209</v>
      </c>
      <c r="C46" s="36">
        <v>50</v>
      </c>
      <c r="D46" s="35">
        <v>50</v>
      </c>
      <c r="E46" s="37"/>
      <c r="F46" s="37" t="s">
        <v>1916</v>
      </c>
      <c r="G46" s="36" t="s">
        <v>1916</v>
      </c>
      <c r="H46" s="35" t="s">
        <v>1916</v>
      </c>
      <c r="I46" s="27"/>
      <c r="J46" s="37" t="s">
        <v>1916</v>
      </c>
      <c r="K46" s="36" t="s">
        <v>1916</v>
      </c>
      <c r="L46" s="35" t="s">
        <v>1916</v>
      </c>
    </row>
    <row r="47" spans="1:12" ht="18.75" x14ac:dyDescent="0.3">
      <c r="B47" s="37" t="s">
        <v>211</v>
      </c>
      <c r="C47" s="36">
        <v>140</v>
      </c>
      <c r="D47" s="35">
        <v>140</v>
      </c>
      <c r="E47" s="37"/>
      <c r="F47" s="37" t="s">
        <v>1916</v>
      </c>
      <c r="G47" s="36" t="s">
        <v>1916</v>
      </c>
      <c r="H47" s="35" t="s">
        <v>1916</v>
      </c>
      <c r="I47" s="27"/>
      <c r="J47" s="37" t="s">
        <v>1916</v>
      </c>
      <c r="K47" s="36" t="s">
        <v>1916</v>
      </c>
      <c r="L47" s="35" t="s">
        <v>1916</v>
      </c>
    </row>
    <row r="48" spans="1:12" ht="18.75" x14ac:dyDescent="0.25">
      <c r="B48" s="37" t="s">
        <v>203</v>
      </c>
      <c r="C48" s="36">
        <v>150</v>
      </c>
      <c r="D48" s="35">
        <v>1050</v>
      </c>
      <c r="E48" s="37"/>
      <c r="F48" s="37" t="s">
        <v>1916</v>
      </c>
      <c r="G48" s="36" t="s">
        <v>1916</v>
      </c>
      <c r="H48" s="35" t="s">
        <v>1916</v>
      </c>
      <c r="J48" s="21"/>
      <c r="K48" s="22"/>
      <c r="L48" s="23"/>
    </row>
    <row r="49" spans="2:13" ht="18.75" x14ac:dyDescent="0.25">
      <c r="B49" s="37" t="s">
        <v>214</v>
      </c>
      <c r="C49" s="36">
        <v>30</v>
      </c>
      <c r="D49" s="35">
        <v>30</v>
      </c>
      <c r="E49" s="37"/>
      <c r="F49" s="37" t="s">
        <v>1916</v>
      </c>
      <c r="G49" s="36" t="s">
        <v>1916</v>
      </c>
      <c r="H49" s="35" t="s">
        <v>1916</v>
      </c>
      <c r="J49" s="21"/>
      <c r="K49" s="22"/>
      <c r="L49" s="23"/>
    </row>
    <row r="50" spans="2:13" ht="18.75" x14ac:dyDescent="0.25">
      <c r="B50" s="37" t="s">
        <v>1916</v>
      </c>
      <c r="C50" s="36" t="s">
        <v>1916</v>
      </c>
      <c r="D50" s="35" t="s">
        <v>1916</v>
      </c>
      <c r="E50" s="37"/>
      <c r="F50" s="37" t="s">
        <v>1916</v>
      </c>
      <c r="G50" s="36" t="s">
        <v>1916</v>
      </c>
      <c r="H50" s="35" t="s">
        <v>1916</v>
      </c>
      <c r="J50" s="21"/>
      <c r="K50" s="22"/>
      <c r="L50" s="23"/>
    </row>
    <row r="51" spans="2:13" ht="18.75" x14ac:dyDescent="0.25">
      <c r="B51" s="37"/>
      <c r="C51" s="36"/>
      <c r="D51" s="35"/>
      <c r="E51" s="37"/>
      <c r="F51" s="37"/>
      <c r="G51" s="36"/>
      <c r="H51" s="35"/>
      <c r="J51" s="21"/>
      <c r="K51" s="22"/>
      <c r="L51" s="23"/>
    </row>
    <row r="52" spans="2:13" ht="18.75" x14ac:dyDescent="0.3">
      <c r="B52" s="34" t="s">
        <v>1916</v>
      </c>
      <c r="C52" s="36" t="s">
        <v>1916</v>
      </c>
      <c r="D52" s="35" t="s">
        <v>1916</v>
      </c>
      <c r="E52" s="28"/>
      <c r="F52" s="34" t="s">
        <v>1916</v>
      </c>
      <c r="G52" s="34" t="s">
        <v>1916</v>
      </c>
      <c r="H52" s="28"/>
      <c r="J52" s="8"/>
      <c r="K52" s="12" t="s">
        <v>1899</v>
      </c>
      <c r="L52" s="12" t="s">
        <v>1900</v>
      </c>
      <c r="M52" s="12" t="s">
        <v>1901</v>
      </c>
    </row>
    <row r="53" spans="2:13" ht="31.5" customHeight="1" x14ac:dyDescent="0.3">
      <c r="B53" s="37" t="s">
        <v>1916</v>
      </c>
      <c r="C53" s="36" t="s">
        <v>1916</v>
      </c>
      <c r="D53" s="35" t="s">
        <v>1916</v>
      </c>
      <c r="E53" s="28"/>
      <c r="F53" s="37" t="s">
        <v>1916</v>
      </c>
      <c r="G53" s="37" t="s">
        <v>1916</v>
      </c>
      <c r="H53" s="27"/>
      <c r="I53" s="5"/>
      <c r="J53" s="7" t="s">
        <v>79</v>
      </c>
      <c r="K53" s="14" t="s">
        <v>2171</v>
      </c>
      <c r="L53" s="14" t="s">
        <v>1934</v>
      </c>
      <c r="M53" s="14" t="s">
        <v>1934</v>
      </c>
    </row>
    <row r="54" spans="2:13" ht="31.5" customHeight="1" x14ac:dyDescent="0.3">
      <c r="B54" s="37" t="s">
        <v>1916</v>
      </c>
      <c r="C54" s="36" t="s">
        <v>1916</v>
      </c>
      <c r="D54" s="35" t="s">
        <v>1916</v>
      </c>
      <c r="E54" s="28"/>
      <c r="F54" s="37"/>
      <c r="G54" s="37"/>
      <c r="H54" s="27"/>
      <c r="J54" s="7" t="s">
        <v>152</v>
      </c>
      <c r="K54" s="14" t="s">
        <v>2172</v>
      </c>
      <c r="L54" s="14" t="s">
        <v>1934</v>
      </c>
      <c r="M54" s="14" t="s">
        <v>1934</v>
      </c>
    </row>
    <row r="55" spans="2:13" ht="29.25" customHeight="1" x14ac:dyDescent="0.3">
      <c r="B55" s="37" t="s">
        <v>1916</v>
      </c>
      <c r="C55" s="36" t="s">
        <v>1916</v>
      </c>
      <c r="D55" s="35" t="s">
        <v>1916</v>
      </c>
      <c r="E55" s="28"/>
      <c r="F55" s="37"/>
      <c r="G55" s="37"/>
      <c r="H55" s="27"/>
      <c r="J55" s="7" t="s">
        <v>156</v>
      </c>
      <c r="K55" s="14" t="s">
        <v>2173</v>
      </c>
      <c r="L55" s="14" t="s">
        <v>1934</v>
      </c>
      <c r="M55" s="14" t="s">
        <v>1934</v>
      </c>
    </row>
    <row r="56" spans="2:13" ht="31.5" customHeight="1" x14ac:dyDescent="0.3">
      <c r="B56" s="37" t="s">
        <v>1916</v>
      </c>
      <c r="C56" s="36" t="s">
        <v>1916</v>
      </c>
      <c r="D56" s="35" t="s">
        <v>1916</v>
      </c>
      <c r="E56" s="28"/>
      <c r="F56" s="37"/>
      <c r="G56" s="28"/>
      <c r="H56" s="27"/>
      <c r="J56" s="7" t="s">
        <v>160</v>
      </c>
      <c r="K56" s="14" t="s">
        <v>1934</v>
      </c>
      <c r="L56" s="14" t="s">
        <v>1934</v>
      </c>
      <c r="M56" s="14" t="s">
        <v>1934</v>
      </c>
    </row>
    <row r="57" spans="2:13" ht="31.5" customHeight="1" x14ac:dyDescent="0.3">
      <c r="B57" s="37"/>
      <c r="C57" s="36"/>
      <c r="D57" s="35"/>
      <c r="E57" s="28"/>
      <c r="F57" s="37"/>
      <c r="G57" s="28"/>
      <c r="H57" s="27"/>
      <c r="J57" s="7" t="s">
        <v>1902</v>
      </c>
      <c r="K57" s="14" t="s">
        <v>1934</v>
      </c>
      <c r="L57" s="14" t="s">
        <v>1934</v>
      </c>
      <c r="M57" s="14" t="s">
        <v>1934</v>
      </c>
    </row>
    <row r="58" spans="2:13" ht="31.5" customHeight="1" x14ac:dyDescent="0.3">
      <c r="B58" s="34" t="s">
        <v>1916</v>
      </c>
      <c r="C58" s="36" t="s">
        <v>1916</v>
      </c>
      <c r="D58" s="35" t="s">
        <v>1916</v>
      </c>
      <c r="E58" s="28"/>
      <c r="F58" s="38"/>
      <c r="G58" s="28"/>
      <c r="H58" s="27"/>
      <c r="J58" s="7" t="s">
        <v>1903</v>
      </c>
      <c r="K58" s="14" t="s">
        <v>1934</v>
      </c>
      <c r="L58" s="14" t="s">
        <v>1934</v>
      </c>
      <c r="M58" s="14" t="s">
        <v>1934</v>
      </c>
    </row>
    <row r="59" spans="2:13" ht="31.5" customHeight="1" x14ac:dyDescent="0.3">
      <c r="B59" s="37" t="s">
        <v>1916</v>
      </c>
      <c r="C59" s="36" t="s">
        <v>1916</v>
      </c>
      <c r="D59" s="35" t="s">
        <v>1916</v>
      </c>
      <c r="E59" s="28"/>
      <c r="F59" s="38"/>
      <c r="G59" s="28"/>
      <c r="H59" s="27"/>
      <c r="J59" s="7" t="s">
        <v>1904</v>
      </c>
      <c r="K59" s="14" t="s">
        <v>1934</v>
      </c>
      <c r="L59" s="14" t="s">
        <v>1934</v>
      </c>
      <c r="M59" s="14" t="s">
        <v>1934</v>
      </c>
    </row>
    <row r="60" spans="2:13" ht="31.5" customHeight="1" x14ac:dyDescent="0.3">
      <c r="B60" s="37" t="s">
        <v>1916</v>
      </c>
      <c r="C60" s="36" t="s">
        <v>1916</v>
      </c>
      <c r="D60" s="35" t="s">
        <v>1916</v>
      </c>
      <c r="E60" s="28"/>
      <c r="F60" s="38"/>
      <c r="G60" s="28"/>
      <c r="H60" s="27"/>
      <c r="J60" s="7" t="s">
        <v>1905</v>
      </c>
      <c r="K60" s="14" t="s">
        <v>1934</v>
      </c>
      <c r="L60" s="14" t="s">
        <v>1934</v>
      </c>
      <c r="M60" s="14" t="s">
        <v>1934</v>
      </c>
    </row>
    <row r="61" spans="2:13" ht="18.75" x14ac:dyDescent="0.25">
      <c r="B61" s="37" t="s">
        <v>1916</v>
      </c>
      <c r="C61" s="36" t="s">
        <v>1916</v>
      </c>
      <c r="D61" s="35" t="s">
        <v>1916</v>
      </c>
      <c r="E61" s="37"/>
      <c r="F61" s="37"/>
      <c r="G61" s="36"/>
      <c r="H61" s="35"/>
      <c r="J61" s="21"/>
      <c r="K61" s="22"/>
      <c r="L61" s="23"/>
    </row>
    <row r="62" spans="2:13" ht="18.75" x14ac:dyDescent="0.25">
      <c r="B62" s="37" t="s">
        <v>1916</v>
      </c>
      <c r="C62" s="36" t="s">
        <v>1916</v>
      </c>
      <c r="D62" s="35" t="s">
        <v>1916</v>
      </c>
      <c r="E62" s="37"/>
      <c r="F62" s="37"/>
      <c r="G62" s="36"/>
      <c r="H62" s="35"/>
      <c r="J62" s="21"/>
      <c r="K62" s="22"/>
      <c r="L62" s="23"/>
    </row>
    <row r="63" spans="2:13" ht="22.5" customHeight="1" x14ac:dyDescent="0.25">
      <c r="B63" s="37"/>
      <c r="C63" s="36"/>
      <c r="D63" s="35"/>
      <c r="E63" s="37"/>
      <c r="F63" s="37"/>
      <c r="G63" s="36"/>
      <c r="H63" s="35"/>
      <c r="J63" s="21"/>
      <c r="K63" s="22"/>
      <c r="L63" s="23"/>
    </row>
    <row r="64" spans="2:13" x14ac:dyDescent="0.25">
      <c r="B64" s="12" t="s">
        <v>1899</v>
      </c>
      <c r="C64" s="12" t="s">
        <v>1900</v>
      </c>
      <c r="D64" s="12" t="s">
        <v>1901</v>
      </c>
      <c r="E64" s="12" t="s">
        <v>1906</v>
      </c>
      <c r="F64" s="12" t="s">
        <v>1907</v>
      </c>
      <c r="G64" s="12" t="s">
        <v>1908</v>
      </c>
      <c r="H64" s="12" t="s">
        <v>1909</v>
      </c>
      <c r="I64" s="12" t="s">
        <v>1910</v>
      </c>
      <c r="J64" s="12" t="s">
        <v>1911</v>
      </c>
      <c r="K64" s="12" t="s">
        <v>1912</v>
      </c>
      <c r="L64" s="12" t="s">
        <v>1913</v>
      </c>
      <c r="M64" s="12" t="s">
        <v>1914</v>
      </c>
    </row>
    <row r="65" spans="1:13" ht="18.75" customHeight="1" x14ac:dyDescent="0.25">
      <c r="A65" s="7" t="s">
        <v>79</v>
      </c>
      <c r="B65" s="39" t="s">
        <v>2059</v>
      </c>
      <c r="C65" s="39" t="s">
        <v>1934</v>
      </c>
      <c r="D65" s="39" t="s">
        <v>1934</v>
      </c>
      <c r="E65" s="39" t="s">
        <v>1934</v>
      </c>
      <c r="F65" s="39" t="s">
        <v>1934</v>
      </c>
      <c r="G65" s="39" t="s">
        <v>1934</v>
      </c>
      <c r="H65" s="39" t="s">
        <v>1934</v>
      </c>
      <c r="I65" s="39" t="s">
        <v>1934</v>
      </c>
      <c r="J65" s="39" t="s">
        <v>1934</v>
      </c>
      <c r="K65" s="39" t="s">
        <v>1934</v>
      </c>
      <c r="L65" s="39" t="s">
        <v>1934</v>
      </c>
      <c r="M65" s="39" t="s">
        <v>1934</v>
      </c>
    </row>
    <row r="66" spans="1:13" ht="18.75" customHeight="1" x14ac:dyDescent="0.25">
      <c r="A66" s="7" t="s">
        <v>152</v>
      </c>
      <c r="B66" s="39" t="s">
        <v>2062</v>
      </c>
      <c r="C66" s="39" t="s">
        <v>1934</v>
      </c>
      <c r="D66" s="39" t="s">
        <v>1934</v>
      </c>
      <c r="E66" s="39" t="s">
        <v>1934</v>
      </c>
      <c r="F66" s="39" t="s">
        <v>1934</v>
      </c>
      <c r="G66" s="39" t="s">
        <v>1934</v>
      </c>
      <c r="H66" s="39" t="s">
        <v>1934</v>
      </c>
      <c r="I66" s="39" t="s">
        <v>1934</v>
      </c>
      <c r="J66" s="39" t="s">
        <v>1934</v>
      </c>
      <c r="K66" s="39" t="s">
        <v>1934</v>
      </c>
      <c r="L66" s="39" t="s">
        <v>1934</v>
      </c>
      <c r="M66" s="39" t="s">
        <v>1934</v>
      </c>
    </row>
    <row r="67" spans="1:13" ht="18.75" customHeight="1" x14ac:dyDescent="0.25">
      <c r="A67" s="7" t="s">
        <v>156</v>
      </c>
      <c r="B67" s="39" t="s">
        <v>2065</v>
      </c>
      <c r="C67" s="39" t="s">
        <v>1934</v>
      </c>
      <c r="D67" s="39" t="s">
        <v>1934</v>
      </c>
      <c r="E67" s="39" t="s">
        <v>1934</v>
      </c>
      <c r="F67" s="39" t="s">
        <v>1934</v>
      </c>
      <c r="G67" s="39" t="s">
        <v>1934</v>
      </c>
      <c r="H67" s="39" t="s">
        <v>1934</v>
      </c>
      <c r="I67" s="39" t="s">
        <v>1934</v>
      </c>
      <c r="J67" s="39" t="s">
        <v>1934</v>
      </c>
      <c r="K67" s="39" t="s">
        <v>1934</v>
      </c>
      <c r="L67" s="39" t="s">
        <v>1934</v>
      </c>
      <c r="M67" s="39" t="s">
        <v>1934</v>
      </c>
    </row>
    <row r="68" spans="1:13" ht="18.75" customHeight="1" x14ac:dyDescent="0.25">
      <c r="A68" s="7" t="s">
        <v>160</v>
      </c>
      <c r="B68" s="39" t="s">
        <v>1934</v>
      </c>
      <c r="C68" s="39" t="s">
        <v>1934</v>
      </c>
      <c r="D68" s="39" t="s">
        <v>1934</v>
      </c>
      <c r="E68" s="39" t="s">
        <v>1934</v>
      </c>
      <c r="F68" s="39" t="s">
        <v>1934</v>
      </c>
      <c r="G68" s="39" t="s">
        <v>1934</v>
      </c>
      <c r="H68" s="39" t="s">
        <v>1934</v>
      </c>
      <c r="I68" s="39" t="s">
        <v>1934</v>
      </c>
      <c r="J68" s="39" t="s">
        <v>1934</v>
      </c>
      <c r="K68" s="39" t="s">
        <v>1934</v>
      </c>
      <c r="L68" s="39" t="s">
        <v>1934</v>
      </c>
      <c r="M68" s="39" t="s">
        <v>1934</v>
      </c>
    </row>
    <row r="69" spans="1:13" ht="18.75" customHeight="1" x14ac:dyDescent="0.25">
      <c r="A69" s="7" t="s">
        <v>1902</v>
      </c>
      <c r="B69" s="39" t="s">
        <v>1934</v>
      </c>
      <c r="C69" s="39" t="s">
        <v>1934</v>
      </c>
      <c r="D69" s="39" t="s">
        <v>1934</v>
      </c>
      <c r="E69" s="39" t="s">
        <v>1934</v>
      </c>
      <c r="F69" s="39" t="s">
        <v>1934</v>
      </c>
      <c r="G69" s="39" t="s">
        <v>1934</v>
      </c>
      <c r="H69" s="39" t="s">
        <v>1934</v>
      </c>
      <c r="I69" s="39" t="s">
        <v>1934</v>
      </c>
      <c r="J69" s="39" t="s">
        <v>1934</v>
      </c>
      <c r="K69" s="39" t="s">
        <v>1934</v>
      </c>
      <c r="L69" s="39" t="s">
        <v>1934</v>
      </c>
      <c r="M69" s="39" t="s">
        <v>1934</v>
      </c>
    </row>
    <row r="70" spans="1:13" ht="18.75" customHeight="1" x14ac:dyDescent="0.25">
      <c r="A70" s="7" t="s">
        <v>1903</v>
      </c>
      <c r="B70" s="39" t="s">
        <v>1934</v>
      </c>
      <c r="C70" s="39" t="s">
        <v>1934</v>
      </c>
      <c r="D70" s="39" t="s">
        <v>1934</v>
      </c>
      <c r="E70" s="39" t="s">
        <v>1934</v>
      </c>
      <c r="F70" s="39" t="s">
        <v>1934</v>
      </c>
      <c r="G70" s="39" t="s">
        <v>1934</v>
      </c>
      <c r="H70" s="39" t="s">
        <v>1934</v>
      </c>
      <c r="I70" s="39" t="s">
        <v>1934</v>
      </c>
      <c r="J70" s="39" t="s">
        <v>1934</v>
      </c>
      <c r="K70" s="39" t="s">
        <v>1934</v>
      </c>
      <c r="L70" s="39" t="s">
        <v>1934</v>
      </c>
      <c r="M70" s="39" t="s">
        <v>1934</v>
      </c>
    </row>
    <row r="71" spans="1:13" ht="18.75" customHeight="1" x14ac:dyDescent="0.25">
      <c r="A71" s="7" t="s">
        <v>1904</v>
      </c>
      <c r="B71" s="39" t="s">
        <v>1934</v>
      </c>
      <c r="C71" s="39" t="s">
        <v>1934</v>
      </c>
      <c r="D71" s="39" t="s">
        <v>1934</v>
      </c>
      <c r="E71" s="39" t="s">
        <v>1934</v>
      </c>
      <c r="F71" s="39" t="s">
        <v>1934</v>
      </c>
      <c r="G71" s="39" t="s">
        <v>1934</v>
      </c>
      <c r="H71" s="39" t="s">
        <v>1934</v>
      </c>
      <c r="I71" s="39" t="s">
        <v>1934</v>
      </c>
      <c r="J71" s="39" t="s">
        <v>1934</v>
      </c>
      <c r="K71" s="39" t="s">
        <v>1934</v>
      </c>
      <c r="L71" s="39" t="s">
        <v>1934</v>
      </c>
      <c r="M71" s="39" t="s">
        <v>1934</v>
      </c>
    </row>
    <row r="72" spans="1:13" ht="18.75" customHeight="1" x14ac:dyDescent="0.25">
      <c r="A72" s="7" t="s">
        <v>1905</v>
      </c>
      <c r="B72" s="39" t="s">
        <v>1934</v>
      </c>
      <c r="C72" s="39" t="s">
        <v>1934</v>
      </c>
      <c r="D72" s="39" t="s">
        <v>1934</v>
      </c>
      <c r="E72" s="39" t="s">
        <v>1934</v>
      </c>
      <c r="F72" s="39" t="s">
        <v>1934</v>
      </c>
      <c r="G72" s="39" t="s">
        <v>1934</v>
      </c>
      <c r="H72" s="39" t="s">
        <v>1934</v>
      </c>
      <c r="I72" s="39" t="s">
        <v>1934</v>
      </c>
      <c r="J72" s="39" t="s">
        <v>1934</v>
      </c>
      <c r="K72" s="39" t="s">
        <v>1934</v>
      </c>
      <c r="L72" s="39" t="s">
        <v>1934</v>
      </c>
      <c r="M72" s="39" t="s">
        <v>1934</v>
      </c>
    </row>
  </sheetData>
  <mergeCells count="4">
    <mergeCell ref="E4:H4"/>
    <mergeCell ref="K4:L5"/>
    <mergeCell ref="B7:C7"/>
    <mergeCell ref="K7:L7"/>
  </mergeCells>
  <conditionalFormatting sqref="B8:B31">
    <cfRule type="duplicateValues" dxfId="88" priority="13"/>
  </conditionalFormatting>
  <conditionalFormatting sqref="B8:C31">
    <cfRule type="containsBlanks" dxfId="87" priority="4">
      <formula>LEN(TRIM(B8))=0</formula>
    </cfRule>
  </conditionalFormatting>
  <conditionalFormatting sqref="C8:C31">
    <cfRule type="duplicateValues" dxfId="86" priority="5"/>
  </conditionalFormatting>
  <conditionalFormatting sqref="E4">
    <cfRule type="notContainsBlanks" dxfId="85" priority="9">
      <formula>LEN(TRIM(E4))&gt;0</formula>
    </cfRule>
  </conditionalFormatting>
  <conditionalFormatting sqref="E8:H31">
    <cfRule type="expression" dxfId="84" priority="3">
      <formula>ISNUMBER(FIND("POOL",$D8))</formula>
    </cfRule>
  </conditionalFormatting>
  <conditionalFormatting sqref="J8:J31">
    <cfRule type="expression" dxfId="83" priority="8">
      <formula>ISNUMBER(FIND("POOL",$D8))</formula>
    </cfRule>
  </conditionalFormatting>
  <conditionalFormatting sqref="K8:K31">
    <cfRule type="duplicateValues" dxfId="82" priority="10"/>
    <cfRule type="expression" dxfId="81" priority="11">
      <formula>ISNUMBER(FIND("POOL",$D8))</formula>
    </cfRule>
  </conditionalFormatting>
  <conditionalFormatting sqref="L8:L31">
    <cfRule type="containsBlanks" dxfId="80" priority="6">
      <formula>LEN(TRIM(L8))=0</formula>
    </cfRule>
    <cfRule type="duplicateValues" dxfId="79" priority="7"/>
  </conditionalFormatting>
  <conditionalFormatting sqref="M8:M31">
    <cfRule type="expression" dxfId="78" priority="1">
      <formula>ISNUMBER(FIND("POOL",$D8))</formula>
    </cfRule>
  </conditionalFormatting>
  <dataValidations disablePrompts="1" count="1">
    <dataValidation type="whole" allowBlank="1" showInputMessage="1" showErrorMessage="1" sqref="D4" xr:uid="{10FA0E6D-9DAD-42D2-B06C-219A08C28F9F}">
      <formula1>0</formula1>
      <formula2>24</formula2>
    </dataValidation>
  </dataValidations>
  <pageMargins left="0.25" right="0.25" top="0.75" bottom="0.75" header="0.3" footer="0.3"/>
  <pageSetup paperSize="9" scale="4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xr:uid="{15B582A9-8330-4D9D-BEB5-26B1164317C6}">
          <x14:formula1>
            <xm:f>Database!$B$16:$B$19</xm:f>
          </x14:formula1>
          <xm:sqref>J8:J31</xm:sqref>
        </x14:dataValidation>
        <x14:dataValidation type="list" allowBlank="1" showInputMessage="1" showErrorMessage="1" xr:uid="{8D85C039-A3F3-42E3-8B65-E85EF0BCF87D}">
          <x14:formula1>
            <xm:f>Database!$A$5:$A$11</xm:f>
          </x14:formula1>
          <xm:sqref>F8:F31</xm:sqref>
        </x14:dataValidation>
        <x14:dataValidation type="list" allowBlank="1" showInputMessage="1" showErrorMessage="1" xr:uid="{9385F0E5-DF7F-48FC-BE2C-EDF4515A6F8E}">
          <x14:formula1>
            <xm:f>Database!$A$16:$A$18</xm:f>
          </x14:formula1>
          <xm:sqref>D2 F9:F13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B6942-9DA6-4C74-B63E-D4FC0C85785D}">
  <dimension ref="A2:M72"/>
  <sheetViews>
    <sheetView view="pageBreakPreview" zoomScale="115" zoomScaleNormal="70" zoomScaleSheetLayoutView="115" zoomScalePageLayoutView="55" workbookViewId="0">
      <selection activeCell="H27" sqref="H27"/>
    </sheetView>
  </sheetViews>
  <sheetFormatPr defaultColWidth="9.140625" defaultRowHeight="15" x14ac:dyDescent="0.25"/>
  <cols>
    <col min="1" max="1" width="18.28515625" style="5" customWidth="1"/>
    <col min="2" max="4" width="15" style="5" customWidth="1"/>
    <col min="5" max="5" width="16.140625" style="5" customWidth="1"/>
    <col min="6" max="6" width="17.7109375" style="5" customWidth="1"/>
    <col min="7" max="7" width="15" style="5" customWidth="1"/>
    <col min="8" max="9" width="15" style="8" customWidth="1"/>
    <col min="10" max="12" width="15" style="5" customWidth="1"/>
    <col min="13" max="13" width="15" style="8" customWidth="1"/>
    <col min="14" max="16384" width="9.140625" style="5"/>
  </cols>
  <sheetData>
    <row r="2" spans="1:13" ht="17.25" x14ac:dyDescent="0.3">
      <c r="C2" s="18" t="s">
        <v>1892</v>
      </c>
      <c r="D2" s="15" t="s">
        <v>151</v>
      </c>
      <c r="F2" s="18" t="s">
        <v>1893</v>
      </c>
      <c r="G2" s="43">
        <v>44783</v>
      </c>
      <c r="H2" s="8" t="s">
        <v>1894</v>
      </c>
      <c r="J2" s="18" t="s">
        <v>1895</v>
      </c>
      <c r="K2" s="61" t="s">
        <v>2163</v>
      </c>
      <c r="L2" s="60"/>
    </row>
    <row r="3" spans="1:13" ht="9.75" customHeight="1" x14ac:dyDescent="0.3">
      <c r="C3" s="13"/>
      <c r="D3" s="16"/>
    </row>
    <row r="4" spans="1:13" ht="18.75" x14ac:dyDescent="0.3">
      <c r="C4" s="18" t="s">
        <v>1896</v>
      </c>
      <c r="D4" s="17">
        <v>7</v>
      </c>
      <c r="E4" s="140" t="s">
        <v>1916</v>
      </c>
      <c r="F4" s="141"/>
      <c r="G4" s="141"/>
      <c r="H4" s="141"/>
      <c r="J4" s="18" t="s">
        <v>1897</v>
      </c>
      <c r="K4" s="142"/>
      <c r="L4" s="143"/>
    </row>
    <row r="5" spans="1:13" ht="17.25" x14ac:dyDescent="0.3">
      <c r="C5" s="18" t="s">
        <v>1898</v>
      </c>
      <c r="D5" s="17">
        <v>10009</v>
      </c>
      <c r="J5" s="18"/>
      <c r="K5" s="144"/>
      <c r="L5" s="145"/>
    </row>
    <row r="6" spans="1:13" ht="12" customHeight="1" x14ac:dyDescent="0.25">
      <c r="B6" s="6"/>
      <c r="C6" s="6"/>
    </row>
    <row r="7" spans="1:13" s="40" customFormat="1" ht="37.5" x14ac:dyDescent="0.25">
      <c r="B7" s="146" t="s">
        <v>1</v>
      </c>
      <c r="C7" s="146"/>
      <c r="D7" s="41" t="s">
        <v>2</v>
      </c>
      <c r="E7" s="41" t="s">
        <v>1917</v>
      </c>
      <c r="F7" s="41" t="s">
        <v>4</v>
      </c>
      <c r="G7" s="41" t="s">
        <v>1918</v>
      </c>
      <c r="H7" s="41" t="s">
        <v>1919</v>
      </c>
      <c r="I7" s="41" t="s">
        <v>1920</v>
      </c>
      <c r="J7" s="41" t="s">
        <v>8</v>
      </c>
      <c r="K7" s="146" t="s">
        <v>1921</v>
      </c>
      <c r="L7" s="146"/>
      <c r="M7" s="41" t="s">
        <v>1922</v>
      </c>
    </row>
    <row r="8" spans="1:13" ht="19.5" x14ac:dyDescent="0.3">
      <c r="A8" s="6"/>
      <c r="B8" s="33">
        <v>9</v>
      </c>
      <c r="C8" s="33" t="s">
        <v>129</v>
      </c>
      <c r="D8" s="28" t="s">
        <v>2083</v>
      </c>
      <c r="E8" s="29" t="s">
        <v>2033</v>
      </c>
      <c r="F8" s="45" t="s">
        <v>90</v>
      </c>
      <c r="G8" s="30">
        <v>10.1</v>
      </c>
      <c r="H8" s="46">
        <v>1.7821782178217822</v>
      </c>
      <c r="I8" s="49">
        <v>6.6178217821782166</v>
      </c>
      <c r="J8" s="30" t="s">
        <v>79</v>
      </c>
      <c r="K8" s="30">
        <v>9</v>
      </c>
      <c r="L8" s="33" t="s">
        <v>129</v>
      </c>
      <c r="M8" s="30">
        <v>23</v>
      </c>
    </row>
    <row r="9" spans="1:13" ht="19.5" x14ac:dyDescent="0.3">
      <c r="A9" s="6"/>
      <c r="B9" s="33">
        <v>10</v>
      </c>
      <c r="C9" s="33" t="s">
        <v>132</v>
      </c>
      <c r="D9" s="28" t="s">
        <v>2086</v>
      </c>
      <c r="E9" s="29" t="s">
        <v>2037</v>
      </c>
      <c r="F9" s="45" t="s">
        <v>90</v>
      </c>
      <c r="G9" s="30">
        <v>47.4</v>
      </c>
      <c r="H9" s="46">
        <v>0.99683544303797467</v>
      </c>
      <c r="I9" s="49">
        <v>21.053164556962027</v>
      </c>
      <c r="J9" s="30" t="s">
        <v>79</v>
      </c>
      <c r="K9" s="30">
        <v>10</v>
      </c>
      <c r="L9" s="33" t="s">
        <v>132</v>
      </c>
      <c r="M9" s="30">
        <v>28.4</v>
      </c>
    </row>
    <row r="10" spans="1:13" ht="19.5" x14ac:dyDescent="0.3">
      <c r="A10" s="6"/>
      <c r="B10" s="33">
        <v>11</v>
      </c>
      <c r="C10" s="33" t="s">
        <v>134</v>
      </c>
      <c r="D10" s="28" t="s">
        <v>2089</v>
      </c>
      <c r="E10" s="29" t="s">
        <v>2037</v>
      </c>
      <c r="F10" s="45" t="s">
        <v>90</v>
      </c>
      <c r="G10" s="30">
        <v>47.4</v>
      </c>
      <c r="H10" s="46" t="s">
        <v>1934</v>
      </c>
      <c r="I10" s="49" t="s">
        <v>1934</v>
      </c>
      <c r="J10" s="30" t="s">
        <v>79</v>
      </c>
      <c r="K10" s="30">
        <v>11</v>
      </c>
      <c r="L10" s="33" t="s">
        <v>134</v>
      </c>
      <c r="M10" s="30">
        <v>33</v>
      </c>
    </row>
    <row r="11" spans="1:13" ht="19.5" x14ac:dyDescent="0.3">
      <c r="A11" s="6"/>
      <c r="B11" s="33">
        <v>13</v>
      </c>
      <c r="C11" s="33" t="s">
        <v>140</v>
      </c>
      <c r="D11" s="28" t="s">
        <v>2092</v>
      </c>
      <c r="E11" s="29" t="s">
        <v>2044</v>
      </c>
      <c r="F11" s="45" t="s">
        <v>90</v>
      </c>
      <c r="G11" s="30">
        <v>36</v>
      </c>
      <c r="H11" s="46">
        <v>1</v>
      </c>
      <c r="I11" s="49">
        <v>15.8</v>
      </c>
      <c r="J11" s="30" t="s">
        <v>79</v>
      </c>
      <c r="K11" s="30">
        <v>12</v>
      </c>
      <c r="L11" s="33" t="s">
        <v>137</v>
      </c>
      <c r="M11" s="30">
        <v>4.5199999999999996</v>
      </c>
    </row>
    <row r="12" spans="1:13" ht="19.5" x14ac:dyDescent="0.3">
      <c r="A12" s="6"/>
      <c r="B12" s="33">
        <v>14</v>
      </c>
      <c r="C12" s="33" t="s">
        <v>142</v>
      </c>
      <c r="D12" s="28" t="s">
        <v>2095</v>
      </c>
      <c r="E12" s="29" t="s">
        <v>2048</v>
      </c>
      <c r="F12" s="45" t="s">
        <v>90</v>
      </c>
      <c r="G12" s="30">
        <v>41</v>
      </c>
      <c r="H12" s="46">
        <v>1.024390243902439</v>
      </c>
      <c r="I12" s="49">
        <v>18.575609756097563</v>
      </c>
      <c r="J12" s="30" t="s">
        <v>79</v>
      </c>
      <c r="K12" s="30">
        <v>13</v>
      </c>
      <c r="L12" s="33" t="s">
        <v>140</v>
      </c>
      <c r="M12" s="30">
        <v>7.64</v>
      </c>
    </row>
    <row r="13" spans="1:13" ht="19.5" x14ac:dyDescent="0.3">
      <c r="A13" s="6"/>
      <c r="B13" s="33">
        <v>15</v>
      </c>
      <c r="C13" s="33" t="s">
        <v>144</v>
      </c>
      <c r="D13" s="28" t="s">
        <v>2098</v>
      </c>
      <c r="E13" s="29" t="s">
        <v>2052</v>
      </c>
      <c r="F13" s="45" t="s">
        <v>90</v>
      </c>
      <c r="G13" s="30">
        <v>200</v>
      </c>
      <c r="H13" s="46">
        <v>1.05</v>
      </c>
      <c r="I13" s="49">
        <v>96.950000000000017</v>
      </c>
      <c r="J13" s="30" t="s">
        <v>79</v>
      </c>
      <c r="K13" s="30">
        <v>14</v>
      </c>
      <c r="L13" s="33" t="s">
        <v>142</v>
      </c>
      <c r="M13" s="30">
        <v>22</v>
      </c>
    </row>
    <row r="14" spans="1:13" ht="19.5" x14ac:dyDescent="0.3">
      <c r="A14" s="6"/>
      <c r="B14" s="33">
        <v>16</v>
      </c>
      <c r="C14" s="33" t="s">
        <v>148</v>
      </c>
      <c r="D14" s="28" t="s">
        <v>2101</v>
      </c>
      <c r="E14" s="29" t="s">
        <v>2056</v>
      </c>
      <c r="F14" s="45" t="s">
        <v>90</v>
      </c>
      <c r="G14" s="30">
        <v>35.6</v>
      </c>
      <c r="H14" s="46">
        <v>1.0533707865168538</v>
      </c>
      <c r="I14" s="49">
        <v>16.446629213483142</v>
      </c>
      <c r="J14" s="30" t="s">
        <v>79</v>
      </c>
      <c r="K14" s="30">
        <v>15</v>
      </c>
      <c r="L14" s="33" t="s">
        <v>144</v>
      </c>
      <c r="M14" s="30">
        <v>3.94</v>
      </c>
    </row>
    <row r="15" spans="1:13" ht="19.5" x14ac:dyDescent="0.3">
      <c r="A15" s="6"/>
      <c r="B15" s="33" t="s">
        <v>1916</v>
      </c>
      <c r="C15" s="33" t="s">
        <v>1916</v>
      </c>
      <c r="D15" s="28" t="s">
        <v>1916</v>
      </c>
      <c r="E15" s="29"/>
      <c r="F15" s="45"/>
      <c r="G15" s="30"/>
      <c r="H15" s="31"/>
      <c r="I15" s="32" t="s">
        <v>1916</v>
      </c>
      <c r="J15" s="30"/>
      <c r="K15" s="30"/>
      <c r="L15" s="33" t="s">
        <v>1916</v>
      </c>
      <c r="M15" s="30"/>
    </row>
    <row r="16" spans="1:13" ht="19.5" x14ac:dyDescent="0.3">
      <c r="A16" s="6"/>
      <c r="B16" s="33" t="s">
        <v>1916</v>
      </c>
      <c r="C16" s="33" t="s">
        <v>1916</v>
      </c>
      <c r="D16" s="28" t="s">
        <v>1916</v>
      </c>
      <c r="E16" s="29"/>
      <c r="F16" s="45"/>
      <c r="G16" s="30"/>
      <c r="H16" s="31"/>
      <c r="I16" s="32" t="s">
        <v>1916</v>
      </c>
      <c r="J16" s="30"/>
      <c r="K16" s="30"/>
      <c r="L16" s="33" t="s">
        <v>1916</v>
      </c>
      <c r="M16" s="30"/>
    </row>
    <row r="17" spans="1:13" ht="19.5" x14ac:dyDescent="0.3">
      <c r="A17" s="6"/>
      <c r="B17" s="33" t="s">
        <v>1916</v>
      </c>
      <c r="C17" s="33" t="s">
        <v>1916</v>
      </c>
      <c r="D17" s="28" t="s">
        <v>1916</v>
      </c>
      <c r="E17" s="29"/>
      <c r="F17" s="45"/>
      <c r="G17" s="30"/>
      <c r="H17" s="31"/>
      <c r="I17" s="32" t="s">
        <v>1916</v>
      </c>
      <c r="J17" s="30"/>
      <c r="K17" s="30"/>
      <c r="L17" s="33" t="s">
        <v>1916</v>
      </c>
      <c r="M17" s="30"/>
    </row>
    <row r="18" spans="1:13" ht="19.5" x14ac:dyDescent="0.3">
      <c r="A18" s="6"/>
      <c r="B18" s="33" t="s">
        <v>1916</v>
      </c>
      <c r="C18" s="33" t="s">
        <v>1916</v>
      </c>
      <c r="D18" s="28" t="s">
        <v>1916</v>
      </c>
      <c r="E18" s="29"/>
      <c r="F18" s="45"/>
      <c r="G18" s="30"/>
      <c r="H18" s="31"/>
      <c r="I18" s="32" t="s">
        <v>1916</v>
      </c>
      <c r="J18" s="30"/>
      <c r="K18" s="30"/>
      <c r="L18" s="33" t="s">
        <v>1916</v>
      </c>
      <c r="M18" s="30"/>
    </row>
    <row r="19" spans="1:13" ht="19.5" x14ac:dyDescent="0.3">
      <c r="A19" s="6"/>
      <c r="B19" s="33" t="s">
        <v>1916</v>
      </c>
      <c r="C19" s="33" t="s">
        <v>1916</v>
      </c>
      <c r="D19" s="28" t="s">
        <v>1916</v>
      </c>
      <c r="E19" s="29"/>
      <c r="F19" s="45"/>
      <c r="G19" s="30"/>
      <c r="H19" s="31"/>
      <c r="I19" s="32" t="s">
        <v>1916</v>
      </c>
      <c r="J19" s="30"/>
      <c r="K19" s="30"/>
      <c r="L19" s="33" t="s">
        <v>1916</v>
      </c>
      <c r="M19" s="30"/>
    </row>
    <row r="20" spans="1:13" ht="19.5" x14ac:dyDescent="0.3">
      <c r="A20" s="6"/>
      <c r="B20" s="33" t="s">
        <v>1916</v>
      </c>
      <c r="C20" s="33" t="s">
        <v>1916</v>
      </c>
      <c r="D20" s="28" t="s">
        <v>1916</v>
      </c>
      <c r="E20" s="29"/>
      <c r="F20" s="45"/>
      <c r="G20" s="30"/>
      <c r="H20" s="31"/>
      <c r="I20" s="32" t="s">
        <v>1916</v>
      </c>
      <c r="J20" s="30"/>
      <c r="K20" s="30"/>
      <c r="L20" s="33" t="s">
        <v>1916</v>
      </c>
      <c r="M20" s="30"/>
    </row>
    <row r="21" spans="1:13" ht="19.5" x14ac:dyDescent="0.3">
      <c r="A21" s="6"/>
      <c r="B21" s="33" t="s">
        <v>1916</v>
      </c>
      <c r="C21" s="33" t="s">
        <v>1916</v>
      </c>
      <c r="D21" s="28" t="s">
        <v>1916</v>
      </c>
      <c r="E21" s="29"/>
      <c r="F21" s="45"/>
      <c r="G21" s="30"/>
      <c r="H21" s="31"/>
      <c r="I21" s="32" t="s">
        <v>1916</v>
      </c>
      <c r="J21" s="30"/>
      <c r="K21" s="30"/>
      <c r="L21" s="33" t="s">
        <v>1916</v>
      </c>
      <c r="M21" s="30"/>
    </row>
    <row r="22" spans="1:13" ht="19.5" x14ac:dyDescent="0.3">
      <c r="A22" s="6"/>
      <c r="B22" s="33" t="s">
        <v>1916</v>
      </c>
      <c r="C22" s="33" t="s">
        <v>1916</v>
      </c>
      <c r="D22" s="28" t="s">
        <v>1916</v>
      </c>
      <c r="E22" s="29"/>
      <c r="F22" s="45"/>
      <c r="G22" s="30"/>
      <c r="H22" s="31"/>
      <c r="I22" s="32" t="s">
        <v>1916</v>
      </c>
      <c r="J22" s="30"/>
      <c r="K22" s="30"/>
      <c r="L22" s="33" t="s">
        <v>1916</v>
      </c>
      <c r="M22" s="30"/>
    </row>
    <row r="23" spans="1:13" ht="19.5" x14ac:dyDescent="0.3">
      <c r="A23" s="6"/>
      <c r="B23" s="33" t="s">
        <v>1916</v>
      </c>
      <c r="C23" s="33" t="s">
        <v>1916</v>
      </c>
      <c r="D23" s="28" t="s">
        <v>1916</v>
      </c>
      <c r="E23" s="29"/>
      <c r="F23" s="45"/>
      <c r="G23" s="30"/>
      <c r="H23" s="31"/>
      <c r="I23" s="32" t="s">
        <v>1916</v>
      </c>
      <c r="J23" s="30"/>
      <c r="K23" s="30"/>
      <c r="L23" s="33" t="s">
        <v>1916</v>
      </c>
      <c r="M23" s="30"/>
    </row>
    <row r="24" spans="1:13" ht="19.5" x14ac:dyDescent="0.3">
      <c r="A24" s="6"/>
      <c r="B24" s="33" t="s">
        <v>1916</v>
      </c>
      <c r="C24" s="33" t="s">
        <v>1916</v>
      </c>
      <c r="D24" s="28" t="s">
        <v>1916</v>
      </c>
      <c r="E24" s="29"/>
      <c r="F24" s="45"/>
      <c r="G24" s="30"/>
      <c r="H24" s="31"/>
      <c r="I24" s="32" t="s">
        <v>1916</v>
      </c>
      <c r="J24" s="30"/>
      <c r="K24" s="30"/>
      <c r="L24" s="33" t="s">
        <v>1916</v>
      </c>
      <c r="M24" s="30"/>
    </row>
    <row r="25" spans="1:13" ht="19.5" x14ac:dyDescent="0.3">
      <c r="A25" s="6"/>
      <c r="B25" s="33" t="s">
        <v>1916</v>
      </c>
      <c r="C25" s="33" t="s">
        <v>1916</v>
      </c>
      <c r="D25" s="28" t="s">
        <v>1916</v>
      </c>
      <c r="E25" s="29"/>
      <c r="F25" s="45"/>
      <c r="G25" s="30"/>
      <c r="H25" s="31"/>
      <c r="I25" s="32" t="s">
        <v>1916</v>
      </c>
      <c r="J25" s="30"/>
      <c r="K25" s="30"/>
      <c r="L25" s="33" t="s">
        <v>1916</v>
      </c>
      <c r="M25" s="30"/>
    </row>
    <row r="26" spans="1:13" ht="19.5" x14ac:dyDescent="0.3">
      <c r="A26" s="6"/>
      <c r="B26" s="33" t="s">
        <v>1916</v>
      </c>
      <c r="C26" s="33" t="s">
        <v>1916</v>
      </c>
      <c r="D26" s="28" t="s">
        <v>1916</v>
      </c>
      <c r="E26" s="29"/>
      <c r="F26" s="45"/>
      <c r="G26" s="30"/>
      <c r="H26" s="31"/>
      <c r="I26" s="32" t="s">
        <v>1916</v>
      </c>
      <c r="J26" s="30"/>
      <c r="K26" s="30"/>
      <c r="L26" s="33" t="s">
        <v>1916</v>
      </c>
      <c r="M26" s="30"/>
    </row>
    <row r="27" spans="1:13" ht="19.5" x14ac:dyDescent="0.3">
      <c r="A27" s="6"/>
      <c r="B27" s="33" t="s">
        <v>1916</v>
      </c>
      <c r="C27" s="33" t="s">
        <v>1916</v>
      </c>
      <c r="D27" s="28" t="s">
        <v>1916</v>
      </c>
      <c r="E27" s="29"/>
      <c r="F27" s="45"/>
      <c r="G27" s="30"/>
      <c r="H27" s="31"/>
      <c r="I27" s="32" t="s">
        <v>1916</v>
      </c>
      <c r="J27" s="30"/>
      <c r="K27" s="30"/>
      <c r="L27" s="33" t="s">
        <v>1916</v>
      </c>
      <c r="M27" s="30"/>
    </row>
    <row r="28" spans="1:13" ht="19.5" x14ac:dyDescent="0.3">
      <c r="A28" s="6"/>
      <c r="B28" s="33" t="s">
        <v>1916</v>
      </c>
      <c r="C28" s="33" t="s">
        <v>1916</v>
      </c>
      <c r="D28" s="28" t="s">
        <v>1916</v>
      </c>
      <c r="E28" s="29"/>
      <c r="F28" s="45"/>
      <c r="G28" s="30"/>
      <c r="H28" s="31"/>
      <c r="I28" s="32" t="s">
        <v>1916</v>
      </c>
      <c r="J28" s="30"/>
      <c r="K28" s="30"/>
      <c r="L28" s="33" t="s">
        <v>1916</v>
      </c>
      <c r="M28" s="30"/>
    </row>
    <row r="29" spans="1:13" ht="19.5" x14ac:dyDescent="0.3">
      <c r="A29" s="6"/>
      <c r="B29" s="33" t="s">
        <v>1916</v>
      </c>
      <c r="C29" s="33" t="s">
        <v>1916</v>
      </c>
      <c r="D29" s="28" t="s">
        <v>1916</v>
      </c>
      <c r="E29" s="29"/>
      <c r="F29" s="45"/>
      <c r="G29" s="30"/>
      <c r="H29" s="31"/>
      <c r="I29" s="32" t="s">
        <v>1916</v>
      </c>
      <c r="J29" s="30"/>
      <c r="K29" s="30"/>
      <c r="L29" s="33" t="s">
        <v>1916</v>
      </c>
      <c r="M29" s="30"/>
    </row>
    <row r="30" spans="1:13" ht="19.5" x14ac:dyDescent="0.3">
      <c r="A30" s="6"/>
      <c r="B30" s="33" t="s">
        <v>1916</v>
      </c>
      <c r="C30" s="33" t="s">
        <v>1916</v>
      </c>
      <c r="D30" s="28" t="s">
        <v>1916</v>
      </c>
      <c r="E30" s="29"/>
      <c r="F30" s="45"/>
      <c r="G30" s="30"/>
      <c r="H30" s="31"/>
      <c r="I30" s="32" t="s">
        <v>1916</v>
      </c>
      <c r="J30" s="30"/>
      <c r="K30" s="30"/>
      <c r="L30" s="33" t="s">
        <v>1916</v>
      </c>
      <c r="M30" s="30"/>
    </row>
    <row r="31" spans="1:13" ht="19.5" x14ac:dyDescent="0.3">
      <c r="A31" s="6"/>
      <c r="B31" s="33" t="s">
        <v>1916</v>
      </c>
      <c r="C31" s="33" t="s">
        <v>1916</v>
      </c>
      <c r="D31" s="28" t="s">
        <v>1916</v>
      </c>
      <c r="E31" s="29"/>
      <c r="F31" s="45"/>
      <c r="G31" s="30"/>
      <c r="H31" s="31"/>
      <c r="I31" s="32" t="s">
        <v>1916</v>
      </c>
      <c r="J31" s="30"/>
      <c r="K31" s="30"/>
      <c r="L31" s="33" t="s">
        <v>1916</v>
      </c>
      <c r="M31" s="30"/>
    </row>
    <row r="32" spans="1:13" x14ac:dyDescent="0.25">
      <c r="A32" s="11"/>
    </row>
    <row r="33" spans="1:12" ht="18.75" x14ac:dyDescent="0.3">
      <c r="A33" s="11"/>
      <c r="B33" s="34" t="s">
        <v>1923</v>
      </c>
      <c r="C33" s="35">
        <v>8</v>
      </c>
      <c r="D33" s="28"/>
      <c r="E33" s="28"/>
      <c r="F33" s="28"/>
      <c r="G33" s="28"/>
      <c r="H33" s="27"/>
      <c r="I33" s="27"/>
      <c r="J33" s="28"/>
      <c r="K33" s="28"/>
      <c r="L33" s="28"/>
    </row>
    <row r="34" spans="1:12" ht="18.75" x14ac:dyDescent="0.3">
      <c r="A34" s="11"/>
      <c r="B34" s="28"/>
      <c r="C34" s="28"/>
      <c r="D34" s="28"/>
      <c r="E34" s="28"/>
      <c r="F34" s="28"/>
      <c r="G34" s="28"/>
      <c r="H34" s="27"/>
      <c r="I34" s="27"/>
      <c r="J34" s="28"/>
      <c r="K34" s="28"/>
      <c r="L34" s="28"/>
    </row>
    <row r="35" spans="1:12" ht="18.75" x14ac:dyDescent="0.3">
      <c r="B35" s="34" t="s">
        <v>2174</v>
      </c>
      <c r="C35" s="36" t="s">
        <v>1925</v>
      </c>
      <c r="D35" s="35" t="s">
        <v>1926</v>
      </c>
      <c r="E35" s="28"/>
      <c r="F35" s="34" t="s">
        <v>2164</v>
      </c>
      <c r="G35" s="36" t="s">
        <v>1925</v>
      </c>
      <c r="H35" s="35" t="s">
        <v>1926</v>
      </c>
      <c r="I35" s="27"/>
      <c r="J35" s="34" t="s">
        <v>2165</v>
      </c>
      <c r="K35" s="36" t="s">
        <v>1925</v>
      </c>
      <c r="L35" s="35" t="s">
        <v>1925</v>
      </c>
    </row>
    <row r="36" spans="1:12" ht="18.75" x14ac:dyDescent="0.3">
      <c r="B36" s="37" t="s">
        <v>183</v>
      </c>
      <c r="C36" s="36">
        <v>2</v>
      </c>
      <c r="D36" s="35">
        <v>16</v>
      </c>
      <c r="E36" s="28"/>
      <c r="F36" s="37" t="s">
        <v>187</v>
      </c>
      <c r="G36" s="36">
        <v>4</v>
      </c>
      <c r="H36" s="35">
        <v>32</v>
      </c>
      <c r="I36" s="27"/>
      <c r="J36" s="37" t="s">
        <v>193</v>
      </c>
      <c r="K36" s="36">
        <v>2</v>
      </c>
      <c r="L36" s="35">
        <v>2</v>
      </c>
    </row>
    <row r="37" spans="1:12" ht="18.75" x14ac:dyDescent="0.3">
      <c r="B37" s="37" t="s">
        <v>185</v>
      </c>
      <c r="C37" s="36">
        <v>1</v>
      </c>
      <c r="D37" s="35">
        <v>8</v>
      </c>
      <c r="E37" s="28"/>
      <c r="F37" s="37" t="s">
        <v>189</v>
      </c>
      <c r="G37" s="36">
        <v>4</v>
      </c>
      <c r="H37" s="35">
        <v>32</v>
      </c>
      <c r="I37" s="35"/>
      <c r="J37" s="37" t="s">
        <v>1916</v>
      </c>
      <c r="K37" s="36" t="s">
        <v>1916</v>
      </c>
      <c r="L37" s="35" t="s">
        <v>1916</v>
      </c>
    </row>
    <row r="38" spans="1:12" ht="18.75" x14ac:dyDescent="0.3">
      <c r="B38" s="37" t="s">
        <v>1916</v>
      </c>
      <c r="C38" s="36" t="s">
        <v>1916</v>
      </c>
      <c r="D38" s="35" t="s">
        <v>1916</v>
      </c>
      <c r="E38" s="28"/>
      <c r="F38" s="37" t="s">
        <v>191</v>
      </c>
      <c r="G38" s="36">
        <v>2</v>
      </c>
      <c r="H38" s="35">
        <v>16</v>
      </c>
      <c r="I38" s="35"/>
      <c r="J38" s="37"/>
      <c r="K38" s="36"/>
      <c r="L38" s="35"/>
    </row>
    <row r="39" spans="1:12" ht="18.75" x14ac:dyDescent="0.25">
      <c r="B39" s="37"/>
      <c r="C39" s="36"/>
      <c r="D39" s="35"/>
      <c r="E39" s="37"/>
      <c r="F39" s="37"/>
      <c r="G39" s="36"/>
      <c r="H39" s="35"/>
      <c r="I39" s="35"/>
      <c r="J39" s="37"/>
      <c r="K39" s="36"/>
      <c r="L39" s="35"/>
    </row>
    <row r="40" spans="1:12" ht="18.75" x14ac:dyDescent="0.3">
      <c r="B40" s="34" t="s">
        <v>2166</v>
      </c>
      <c r="C40" s="36" t="s">
        <v>1925</v>
      </c>
      <c r="D40" s="35" t="s">
        <v>1925</v>
      </c>
      <c r="E40" s="28"/>
      <c r="F40" s="34" t="s">
        <v>2167</v>
      </c>
      <c r="G40" s="36" t="s">
        <v>1925</v>
      </c>
      <c r="H40" s="35" t="s">
        <v>2168</v>
      </c>
      <c r="I40" s="27"/>
      <c r="J40" s="34" t="s">
        <v>2169</v>
      </c>
      <c r="K40" s="36" t="s">
        <v>1925</v>
      </c>
      <c r="L40" s="35" t="s">
        <v>1926</v>
      </c>
    </row>
    <row r="41" spans="1:12" ht="18.75" x14ac:dyDescent="0.3">
      <c r="B41" s="37" t="s">
        <v>195</v>
      </c>
      <c r="C41" s="36">
        <v>4</v>
      </c>
      <c r="D41" s="35">
        <v>4</v>
      </c>
      <c r="E41" s="37"/>
      <c r="F41" s="37" t="s">
        <v>201</v>
      </c>
      <c r="G41" s="36">
        <v>45</v>
      </c>
      <c r="H41" s="35">
        <v>45</v>
      </c>
      <c r="I41" s="27"/>
      <c r="J41" s="37" t="s">
        <v>205</v>
      </c>
      <c r="K41" s="36">
        <v>45</v>
      </c>
      <c r="L41" s="35">
        <v>360</v>
      </c>
    </row>
    <row r="42" spans="1:12" ht="18.75" x14ac:dyDescent="0.3">
      <c r="B42" s="37" t="s">
        <v>197</v>
      </c>
      <c r="C42" s="36">
        <v>2</v>
      </c>
      <c r="D42" s="35">
        <v>2</v>
      </c>
      <c r="E42" s="37"/>
      <c r="F42" s="37" t="s">
        <v>203</v>
      </c>
      <c r="G42" s="36">
        <v>150</v>
      </c>
      <c r="H42" s="35">
        <v>2400</v>
      </c>
      <c r="I42" s="27"/>
      <c r="J42" s="37" t="s">
        <v>207</v>
      </c>
      <c r="K42" s="36">
        <v>5</v>
      </c>
      <c r="L42" s="35">
        <v>40</v>
      </c>
    </row>
    <row r="43" spans="1:12" ht="18.75" x14ac:dyDescent="0.3">
      <c r="B43" s="37" t="s">
        <v>199</v>
      </c>
      <c r="C43" s="36">
        <v>2</v>
      </c>
      <c r="D43" s="35">
        <v>2</v>
      </c>
      <c r="E43" s="37"/>
      <c r="F43" s="37" t="s">
        <v>1916</v>
      </c>
      <c r="G43" s="36" t="s">
        <v>1916</v>
      </c>
      <c r="H43" s="35" t="s">
        <v>1916</v>
      </c>
      <c r="I43" s="27"/>
      <c r="J43" s="37"/>
      <c r="K43" s="36"/>
      <c r="L43" s="35"/>
    </row>
    <row r="44" spans="1:12" ht="18.75" x14ac:dyDescent="0.3">
      <c r="B44" s="37"/>
      <c r="C44" s="36"/>
      <c r="D44" s="35"/>
      <c r="E44" s="37"/>
      <c r="F44" s="37"/>
      <c r="G44" s="36"/>
      <c r="H44" s="35"/>
      <c r="I44" s="27"/>
      <c r="J44" s="37"/>
      <c r="K44" s="36"/>
      <c r="L44" s="35"/>
    </row>
    <row r="45" spans="1:12" ht="18.75" x14ac:dyDescent="0.3">
      <c r="B45" s="34" t="s">
        <v>2170</v>
      </c>
      <c r="C45" s="36" t="s">
        <v>1925</v>
      </c>
      <c r="D45" s="35" t="s">
        <v>2168</v>
      </c>
      <c r="E45" s="37"/>
      <c r="F45" s="34" t="s">
        <v>1916</v>
      </c>
      <c r="G45" s="36" t="s">
        <v>1916</v>
      </c>
      <c r="H45" s="35" t="s">
        <v>1916</v>
      </c>
      <c r="I45" s="27"/>
      <c r="J45" s="34" t="s">
        <v>1916</v>
      </c>
      <c r="K45" s="36" t="s">
        <v>1916</v>
      </c>
      <c r="L45" s="35" t="s">
        <v>1916</v>
      </c>
    </row>
    <row r="46" spans="1:12" ht="18.75" x14ac:dyDescent="0.3">
      <c r="B46" s="37" t="s">
        <v>209</v>
      </c>
      <c r="C46" s="36">
        <v>50</v>
      </c>
      <c r="D46" s="35">
        <v>50</v>
      </c>
      <c r="E46" s="37"/>
      <c r="F46" s="37" t="s">
        <v>1916</v>
      </c>
      <c r="G46" s="36" t="s">
        <v>1916</v>
      </c>
      <c r="H46" s="35" t="s">
        <v>1916</v>
      </c>
      <c r="I46" s="27"/>
      <c r="J46" s="37" t="s">
        <v>1916</v>
      </c>
      <c r="K46" s="36" t="s">
        <v>1916</v>
      </c>
      <c r="L46" s="35" t="s">
        <v>1916</v>
      </c>
    </row>
    <row r="47" spans="1:12" ht="18.75" x14ac:dyDescent="0.3">
      <c r="B47" s="37" t="s">
        <v>211</v>
      </c>
      <c r="C47" s="36">
        <v>140</v>
      </c>
      <c r="D47" s="35">
        <v>140</v>
      </c>
      <c r="E47" s="37"/>
      <c r="F47" s="37" t="s">
        <v>1916</v>
      </c>
      <c r="G47" s="36" t="s">
        <v>1916</v>
      </c>
      <c r="H47" s="35" t="s">
        <v>1916</v>
      </c>
      <c r="I47" s="27"/>
      <c r="J47" s="37" t="s">
        <v>1916</v>
      </c>
      <c r="K47" s="36" t="s">
        <v>1916</v>
      </c>
      <c r="L47" s="35" t="s">
        <v>1916</v>
      </c>
    </row>
    <row r="48" spans="1:12" ht="18.75" x14ac:dyDescent="0.25">
      <c r="B48" s="37" t="s">
        <v>203</v>
      </c>
      <c r="C48" s="36">
        <v>150</v>
      </c>
      <c r="D48" s="35">
        <v>2400</v>
      </c>
      <c r="E48" s="37"/>
      <c r="F48" s="37" t="s">
        <v>1916</v>
      </c>
      <c r="G48" s="36" t="s">
        <v>1916</v>
      </c>
      <c r="H48" s="35" t="s">
        <v>1916</v>
      </c>
      <c r="J48" s="21"/>
      <c r="K48" s="22"/>
      <c r="L48" s="23"/>
    </row>
    <row r="49" spans="2:13" ht="18.75" x14ac:dyDescent="0.25">
      <c r="B49" s="37" t="s">
        <v>214</v>
      </c>
      <c r="C49" s="36">
        <v>30</v>
      </c>
      <c r="D49" s="35">
        <v>30</v>
      </c>
      <c r="E49" s="37"/>
      <c r="F49" s="37" t="s">
        <v>1916</v>
      </c>
      <c r="G49" s="36" t="s">
        <v>1916</v>
      </c>
      <c r="H49" s="35" t="s">
        <v>1916</v>
      </c>
      <c r="J49" s="21"/>
      <c r="K49" s="22"/>
      <c r="L49" s="23"/>
    </row>
    <row r="50" spans="2:13" ht="18.75" x14ac:dyDescent="0.25">
      <c r="B50" s="37" t="s">
        <v>1916</v>
      </c>
      <c r="C50" s="36" t="s">
        <v>1916</v>
      </c>
      <c r="D50" s="35" t="s">
        <v>1916</v>
      </c>
      <c r="E50" s="37"/>
      <c r="F50" s="37" t="s">
        <v>1916</v>
      </c>
      <c r="G50" s="36" t="s">
        <v>1916</v>
      </c>
      <c r="H50" s="35" t="s">
        <v>1916</v>
      </c>
      <c r="J50" s="21"/>
      <c r="K50" s="22"/>
      <c r="L50" s="23"/>
    </row>
    <row r="51" spans="2:13" ht="18.75" x14ac:dyDescent="0.25">
      <c r="B51" s="37"/>
      <c r="C51" s="36"/>
      <c r="D51" s="35"/>
      <c r="E51" s="37"/>
      <c r="F51" s="37"/>
      <c r="G51" s="36"/>
      <c r="H51" s="35"/>
      <c r="J51" s="21"/>
      <c r="K51" s="22"/>
      <c r="L51" s="23"/>
    </row>
    <row r="52" spans="2:13" ht="18.75" x14ac:dyDescent="0.3">
      <c r="B52" s="34" t="s">
        <v>1916</v>
      </c>
      <c r="C52" s="36" t="s">
        <v>1916</v>
      </c>
      <c r="D52" s="35" t="s">
        <v>1916</v>
      </c>
      <c r="E52" s="28"/>
      <c r="F52" s="34" t="s">
        <v>1916</v>
      </c>
      <c r="G52" s="34" t="s">
        <v>1916</v>
      </c>
      <c r="H52" s="28"/>
      <c r="J52" s="8"/>
      <c r="K52" s="12" t="s">
        <v>1899</v>
      </c>
      <c r="L52" s="12" t="s">
        <v>1900</v>
      </c>
      <c r="M52" s="12" t="s">
        <v>1901</v>
      </c>
    </row>
    <row r="53" spans="2:13" ht="31.5" customHeight="1" x14ac:dyDescent="0.3">
      <c r="B53" s="37" t="s">
        <v>1916</v>
      </c>
      <c r="C53" s="36" t="s">
        <v>1916</v>
      </c>
      <c r="D53" s="35" t="s">
        <v>1916</v>
      </c>
      <c r="E53" s="28"/>
      <c r="F53" s="37" t="s">
        <v>1916</v>
      </c>
      <c r="G53" s="37" t="s">
        <v>1916</v>
      </c>
      <c r="H53" s="27"/>
      <c r="I53" s="5"/>
      <c r="J53" s="7" t="s">
        <v>79</v>
      </c>
      <c r="K53" s="14" t="s">
        <v>1934</v>
      </c>
      <c r="L53" s="14" t="s">
        <v>2175</v>
      </c>
      <c r="M53" s="14" t="s">
        <v>1934</v>
      </c>
    </row>
    <row r="54" spans="2:13" ht="31.5" customHeight="1" x14ac:dyDescent="0.3">
      <c r="B54" s="37" t="s">
        <v>1916</v>
      </c>
      <c r="C54" s="36" t="s">
        <v>1916</v>
      </c>
      <c r="D54" s="35" t="s">
        <v>1916</v>
      </c>
      <c r="E54" s="28"/>
      <c r="F54" s="37"/>
      <c r="G54" s="37"/>
      <c r="H54" s="27"/>
      <c r="J54" s="7" t="s">
        <v>152</v>
      </c>
      <c r="K54" s="14" t="s">
        <v>1934</v>
      </c>
      <c r="L54" s="14" t="s">
        <v>2176</v>
      </c>
      <c r="M54" s="14" t="s">
        <v>1934</v>
      </c>
    </row>
    <row r="55" spans="2:13" ht="29.25" customHeight="1" x14ac:dyDescent="0.3">
      <c r="B55" s="37" t="s">
        <v>1916</v>
      </c>
      <c r="C55" s="36" t="s">
        <v>1916</v>
      </c>
      <c r="D55" s="35" t="s">
        <v>1916</v>
      </c>
      <c r="E55" s="28"/>
      <c r="F55" s="37"/>
      <c r="G55" s="37"/>
      <c r="H55" s="27"/>
      <c r="J55" s="7" t="s">
        <v>156</v>
      </c>
      <c r="K55" s="14" t="s">
        <v>1934</v>
      </c>
      <c r="L55" s="14" t="s">
        <v>2177</v>
      </c>
      <c r="M55" s="14" t="s">
        <v>1934</v>
      </c>
    </row>
    <row r="56" spans="2:13" ht="31.5" customHeight="1" x14ac:dyDescent="0.3">
      <c r="B56" s="37" t="s">
        <v>1916</v>
      </c>
      <c r="C56" s="36" t="s">
        <v>1916</v>
      </c>
      <c r="D56" s="35" t="s">
        <v>1916</v>
      </c>
      <c r="E56" s="28"/>
      <c r="F56" s="37"/>
      <c r="G56" s="28"/>
      <c r="H56" s="27"/>
      <c r="J56" s="7" t="s">
        <v>160</v>
      </c>
      <c r="K56" s="14" t="s">
        <v>1934</v>
      </c>
      <c r="L56" s="14" t="s">
        <v>1934</v>
      </c>
      <c r="M56" s="14" t="s">
        <v>1934</v>
      </c>
    </row>
    <row r="57" spans="2:13" ht="31.5" customHeight="1" x14ac:dyDescent="0.3">
      <c r="B57" s="37"/>
      <c r="C57" s="36"/>
      <c r="D57" s="35"/>
      <c r="E57" s="28"/>
      <c r="F57" s="37"/>
      <c r="G57" s="28"/>
      <c r="H57" s="27"/>
      <c r="J57" s="7" t="s">
        <v>1902</v>
      </c>
      <c r="K57" s="14" t="s">
        <v>1934</v>
      </c>
      <c r="L57" s="14" t="s">
        <v>2178</v>
      </c>
      <c r="M57" s="14" t="s">
        <v>1934</v>
      </c>
    </row>
    <row r="58" spans="2:13" ht="31.5" customHeight="1" x14ac:dyDescent="0.3">
      <c r="B58" s="34" t="s">
        <v>1916</v>
      </c>
      <c r="C58" s="36" t="s">
        <v>1916</v>
      </c>
      <c r="D58" s="35" t="s">
        <v>1916</v>
      </c>
      <c r="E58" s="28"/>
      <c r="F58" s="38"/>
      <c r="G58" s="28"/>
      <c r="H58" s="27"/>
      <c r="J58" s="7" t="s">
        <v>1903</v>
      </c>
      <c r="K58" s="14" t="s">
        <v>1934</v>
      </c>
      <c r="L58" s="14" t="s">
        <v>2179</v>
      </c>
      <c r="M58" s="14" t="s">
        <v>1934</v>
      </c>
    </row>
    <row r="59" spans="2:13" ht="31.5" customHeight="1" x14ac:dyDescent="0.3">
      <c r="B59" s="37" t="s">
        <v>1916</v>
      </c>
      <c r="C59" s="36" t="s">
        <v>1916</v>
      </c>
      <c r="D59" s="35" t="s">
        <v>1916</v>
      </c>
      <c r="E59" s="28"/>
      <c r="F59" s="38"/>
      <c r="G59" s="28"/>
      <c r="H59" s="27"/>
      <c r="J59" s="7" t="s">
        <v>1904</v>
      </c>
      <c r="K59" s="14" t="s">
        <v>1934</v>
      </c>
      <c r="L59" s="14" t="s">
        <v>2180</v>
      </c>
      <c r="M59" s="14" t="s">
        <v>1934</v>
      </c>
    </row>
    <row r="60" spans="2:13" ht="31.5" customHeight="1" x14ac:dyDescent="0.3">
      <c r="B60" s="37" t="s">
        <v>1916</v>
      </c>
      <c r="C60" s="36" t="s">
        <v>1916</v>
      </c>
      <c r="D60" s="35" t="s">
        <v>1916</v>
      </c>
      <c r="E60" s="28"/>
      <c r="F60" s="38"/>
      <c r="G60" s="28"/>
      <c r="H60" s="27"/>
      <c r="J60" s="7" t="s">
        <v>1905</v>
      </c>
      <c r="K60" s="14" t="s">
        <v>1934</v>
      </c>
      <c r="L60" s="14" t="s">
        <v>2181</v>
      </c>
      <c r="M60" s="14" t="s">
        <v>1934</v>
      </c>
    </row>
    <row r="61" spans="2:13" ht="18.75" x14ac:dyDescent="0.25">
      <c r="B61" s="37" t="s">
        <v>1916</v>
      </c>
      <c r="C61" s="36" t="s">
        <v>1916</v>
      </c>
      <c r="D61" s="35" t="s">
        <v>1916</v>
      </c>
      <c r="E61" s="37"/>
      <c r="F61" s="37"/>
      <c r="G61" s="36"/>
      <c r="H61" s="35"/>
      <c r="J61" s="21"/>
      <c r="K61" s="22"/>
      <c r="L61" s="23"/>
    </row>
    <row r="62" spans="2:13" ht="18.75" x14ac:dyDescent="0.25">
      <c r="B62" s="37" t="s">
        <v>1916</v>
      </c>
      <c r="C62" s="36" t="s">
        <v>1916</v>
      </c>
      <c r="D62" s="35" t="s">
        <v>1916</v>
      </c>
      <c r="E62" s="37"/>
      <c r="F62" s="37"/>
      <c r="G62" s="36"/>
      <c r="H62" s="35"/>
      <c r="J62" s="21"/>
      <c r="K62" s="22"/>
      <c r="L62" s="23"/>
    </row>
    <row r="63" spans="2:13" ht="22.5" customHeight="1" x14ac:dyDescent="0.25">
      <c r="B63" s="37"/>
      <c r="C63" s="36"/>
      <c r="D63" s="35"/>
      <c r="E63" s="37"/>
      <c r="F63" s="37"/>
      <c r="G63" s="36"/>
      <c r="H63" s="35"/>
      <c r="J63" s="21"/>
      <c r="K63" s="22"/>
      <c r="L63" s="23"/>
    </row>
    <row r="64" spans="2:13" x14ac:dyDescent="0.25">
      <c r="B64" s="12" t="s">
        <v>1899</v>
      </c>
      <c r="C64" s="12" t="s">
        <v>1900</v>
      </c>
      <c r="D64" s="12" t="s">
        <v>1901</v>
      </c>
      <c r="E64" s="12" t="s">
        <v>1906</v>
      </c>
      <c r="F64" s="12" t="s">
        <v>1907</v>
      </c>
      <c r="G64" s="12" t="s">
        <v>1908</v>
      </c>
      <c r="H64" s="12" t="s">
        <v>1909</v>
      </c>
      <c r="I64" s="12" t="s">
        <v>1910</v>
      </c>
      <c r="J64" s="12" t="s">
        <v>1911</v>
      </c>
      <c r="K64" s="12" t="s">
        <v>1912</v>
      </c>
      <c r="L64" s="12" t="s">
        <v>1913</v>
      </c>
      <c r="M64" s="12" t="s">
        <v>1914</v>
      </c>
    </row>
    <row r="65" spans="1:13" ht="18.75" customHeight="1" x14ac:dyDescent="0.25">
      <c r="A65" s="7" t="s">
        <v>79</v>
      </c>
      <c r="B65" s="39" t="s">
        <v>1934</v>
      </c>
      <c r="C65" s="39" t="s">
        <v>2083</v>
      </c>
      <c r="D65" s="39" t="s">
        <v>1934</v>
      </c>
      <c r="E65" s="39" t="s">
        <v>1934</v>
      </c>
      <c r="F65" s="39" t="s">
        <v>1934</v>
      </c>
      <c r="G65" s="39" t="s">
        <v>1934</v>
      </c>
      <c r="H65" s="39" t="s">
        <v>1934</v>
      </c>
      <c r="I65" s="39" t="s">
        <v>1934</v>
      </c>
      <c r="J65" s="39" t="s">
        <v>1934</v>
      </c>
      <c r="K65" s="39" t="s">
        <v>1934</v>
      </c>
      <c r="L65" s="39" t="s">
        <v>1934</v>
      </c>
      <c r="M65" s="39" t="s">
        <v>1934</v>
      </c>
    </row>
    <row r="66" spans="1:13" ht="18.75" customHeight="1" x14ac:dyDescent="0.25">
      <c r="A66" s="7" t="s">
        <v>152</v>
      </c>
      <c r="B66" s="39" t="s">
        <v>1934</v>
      </c>
      <c r="C66" s="39" t="s">
        <v>2086</v>
      </c>
      <c r="D66" s="39" t="s">
        <v>1934</v>
      </c>
      <c r="E66" s="39" t="s">
        <v>1934</v>
      </c>
      <c r="F66" s="39" t="s">
        <v>1934</v>
      </c>
      <c r="G66" s="39" t="s">
        <v>1934</v>
      </c>
      <c r="H66" s="39" t="s">
        <v>1934</v>
      </c>
      <c r="I66" s="39" t="s">
        <v>1934</v>
      </c>
      <c r="J66" s="39" t="s">
        <v>1934</v>
      </c>
      <c r="K66" s="39" t="s">
        <v>1934</v>
      </c>
      <c r="L66" s="39" t="s">
        <v>1934</v>
      </c>
      <c r="M66" s="39" t="s">
        <v>1934</v>
      </c>
    </row>
    <row r="67" spans="1:13" ht="18.75" customHeight="1" x14ac:dyDescent="0.25">
      <c r="A67" s="7" t="s">
        <v>156</v>
      </c>
      <c r="B67" s="39" t="s">
        <v>1934</v>
      </c>
      <c r="C67" s="39" t="s">
        <v>2089</v>
      </c>
      <c r="D67" s="39" t="s">
        <v>1934</v>
      </c>
      <c r="E67" s="39" t="s">
        <v>1934</v>
      </c>
      <c r="F67" s="39" t="s">
        <v>1934</v>
      </c>
      <c r="G67" s="39" t="s">
        <v>1934</v>
      </c>
      <c r="H67" s="39" t="s">
        <v>1934</v>
      </c>
      <c r="I67" s="39" t="s">
        <v>1934</v>
      </c>
      <c r="J67" s="39" t="s">
        <v>1934</v>
      </c>
      <c r="K67" s="39" t="s">
        <v>1934</v>
      </c>
      <c r="L67" s="39" t="s">
        <v>1934</v>
      </c>
      <c r="M67" s="39" t="s">
        <v>1934</v>
      </c>
    </row>
    <row r="68" spans="1:13" ht="18.75" customHeight="1" x14ac:dyDescent="0.25">
      <c r="A68" s="7" t="s">
        <v>160</v>
      </c>
      <c r="B68" s="39" t="s">
        <v>1934</v>
      </c>
      <c r="C68" s="39" t="s">
        <v>2092</v>
      </c>
      <c r="D68" s="39" t="s">
        <v>1934</v>
      </c>
      <c r="E68" s="39" t="s">
        <v>1934</v>
      </c>
      <c r="F68" s="39" t="s">
        <v>1934</v>
      </c>
      <c r="G68" s="39" t="s">
        <v>1934</v>
      </c>
      <c r="H68" s="39" t="s">
        <v>1934</v>
      </c>
      <c r="I68" s="39" t="s">
        <v>1934</v>
      </c>
      <c r="J68" s="39" t="s">
        <v>1934</v>
      </c>
      <c r="K68" s="39" t="s">
        <v>1934</v>
      </c>
      <c r="L68" s="39" t="s">
        <v>1934</v>
      </c>
      <c r="M68" s="39" t="s">
        <v>1934</v>
      </c>
    </row>
    <row r="69" spans="1:13" ht="18.75" customHeight="1" x14ac:dyDescent="0.25">
      <c r="A69" s="7" t="s">
        <v>1902</v>
      </c>
      <c r="B69" s="39" t="s">
        <v>1934</v>
      </c>
      <c r="C69" s="39" t="s">
        <v>2095</v>
      </c>
      <c r="D69" s="39" t="s">
        <v>1934</v>
      </c>
      <c r="E69" s="39" t="s">
        <v>1934</v>
      </c>
      <c r="F69" s="39" t="s">
        <v>1934</v>
      </c>
      <c r="G69" s="39" t="s">
        <v>1934</v>
      </c>
      <c r="H69" s="39" t="s">
        <v>1934</v>
      </c>
      <c r="I69" s="39" t="s">
        <v>1934</v>
      </c>
      <c r="J69" s="39" t="s">
        <v>1934</v>
      </c>
      <c r="K69" s="39" t="s">
        <v>1934</v>
      </c>
      <c r="L69" s="39" t="s">
        <v>1934</v>
      </c>
      <c r="M69" s="39" t="s">
        <v>1934</v>
      </c>
    </row>
    <row r="70" spans="1:13" ht="18.75" customHeight="1" x14ac:dyDescent="0.25">
      <c r="A70" s="7" t="s">
        <v>1903</v>
      </c>
      <c r="B70" s="39" t="s">
        <v>1934</v>
      </c>
      <c r="C70" s="39" t="s">
        <v>2098</v>
      </c>
      <c r="D70" s="39" t="s">
        <v>1934</v>
      </c>
      <c r="E70" s="39" t="s">
        <v>1934</v>
      </c>
      <c r="F70" s="39" t="s">
        <v>1934</v>
      </c>
      <c r="G70" s="39" t="s">
        <v>1934</v>
      </c>
      <c r="H70" s="39" t="s">
        <v>1934</v>
      </c>
      <c r="I70" s="39" t="s">
        <v>1934</v>
      </c>
      <c r="J70" s="39" t="s">
        <v>1934</v>
      </c>
      <c r="K70" s="39" t="s">
        <v>1934</v>
      </c>
      <c r="L70" s="39" t="s">
        <v>1934</v>
      </c>
      <c r="M70" s="39" t="s">
        <v>1934</v>
      </c>
    </row>
    <row r="71" spans="1:13" ht="18.75" customHeight="1" x14ac:dyDescent="0.25">
      <c r="A71" s="7" t="s">
        <v>1904</v>
      </c>
      <c r="B71" s="39" t="s">
        <v>1934</v>
      </c>
      <c r="C71" s="39" t="s">
        <v>2101</v>
      </c>
      <c r="D71" s="39" t="s">
        <v>1934</v>
      </c>
      <c r="E71" s="39" t="s">
        <v>1934</v>
      </c>
      <c r="F71" s="39" t="s">
        <v>1934</v>
      </c>
      <c r="G71" s="39" t="s">
        <v>1934</v>
      </c>
      <c r="H71" s="39" t="s">
        <v>1934</v>
      </c>
      <c r="I71" s="39" t="s">
        <v>1934</v>
      </c>
      <c r="J71" s="39" t="s">
        <v>1934</v>
      </c>
      <c r="K71" s="39" t="s">
        <v>1934</v>
      </c>
      <c r="L71" s="39" t="s">
        <v>1934</v>
      </c>
      <c r="M71" s="39" t="s">
        <v>1934</v>
      </c>
    </row>
    <row r="72" spans="1:13" ht="18.75" customHeight="1" x14ac:dyDescent="0.25">
      <c r="A72" s="7" t="s">
        <v>1905</v>
      </c>
      <c r="B72" s="39" t="s">
        <v>1934</v>
      </c>
      <c r="C72" s="39" t="s">
        <v>1934</v>
      </c>
      <c r="D72" s="39" t="s">
        <v>1934</v>
      </c>
      <c r="E72" s="39" t="s">
        <v>1934</v>
      </c>
      <c r="F72" s="39" t="s">
        <v>1934</v>
      </c>
      <c r="G72" s="39" t="s">
        <v>1934</v>
      </c>
      <c r="H72" s="39" t="s">
        <v>1934</v>
      </c>
      <c r="I72" s="39" t="s">
        <v>1934</v>
      </c>
      <c r="J72" s="39" t="s">
        <v>1934</v>
      </c>
      <c r="K72" s="39" t="s">
        <v>1934</v>
      </c>
      <c r="L72" s="39" t="s">
        <v>1934</v>
      </c>
      <c r="M72" s="39" t="s">
        <v>1934</v>
      </c>
    </row>
  </sheetData>
  <mergeCells count="4">
    <mergeCell ref="E4:H4"/>
    <mergeCell ref="K4:L5"/>
    <mergeCell ref="B7:C7"/>
    <mergeCell ref="K7:L7"/>
  </mergeCells>
  <conditionalFormatting sqref="B8:B31">
    <cfRule type="duplicateValues" dxfId="77" priority="13"/>
  </conditionalFormatting>
  <conditionalFormatting sqref="B8:C31">
    <cfRule type="containsBlanks" dxfId="76" priority="4">
      <formula>LEN(TRIM(B8))=0</formula>
    </cfRule>
  </conditionalFormatting>
  <conditionalFormatting sqref="C8:C31">
    <cfRule type="duplicateValues" dxfId="75" priority="5"/>
  </conditionalFormatting>
  <conditionalFormatting sqref="E4">
    <cfRule type="notContainsBlanks" dxfId="74" priority="9">
      <formula>LEN(TRIM(E4))&gt;0</formula>
    </cfRule>
  </conditionalFormatting>
  <conditionalFormatting sqref="E8:H31">
    <cfRule type="expression" dxfId="73" priority="3">
      <formula>ISNUMBER(FIND("POOL",$D8))</formula>
    </cfRule>
  </conditionalFormatting>
  <conditionalFormatting sqref="J8:J31">
    <cfRule type="expression" dxfId="72" priority="8">
      <formula>ISNUMBER(FIND("POOL",$D8))</formula>
    </cfRule>
  </conditionalFormatting>
  <conditionalFormatting sqref="K8:K31">
    <cfRule type="duplicateValues" dxfId="71" priority="10"/>
    <cfRule type="expression" dxfId="70" priority="11">
      <formula>ISNUMBER(FIND("POOL",$D8))</formula>
    </cfRule>
  </conditionalFormatting>
  <conditionalFormatting sqref="L8:L31">
    <cfRule type="containsBlanks" dxfId="69" priority="6">
      <formula>LEN(TRIM(L8))=0</formula>
    </cfRule>
    <cfRule type="duplicateValues" dxfId="68" priority="7"/>
  </conditionalFormatting>
  <conditionalFormatting sqref="M8:M31">
    <cfRule type="expression" dxfId="67" priority="1">
      <formula>ISNUMBER(FIND("POOL",$D8))</formula>
    </cfRule>
  </conditionalFormatting>
  <dataValidations count="1">
    <dataValidation type="whole" allowBlank="1" showInputMessage="1" showErrorMessage="1" sqref="D4" xr:uid="{F69A8727-6F66-470B-BFE5-ADBAD1C191FC}">
      <formula1>0</formula1>
      <formula2>24</formula2>
    </dataValidation>
  </dataValidations>
  <pageMargins left="0.25" right="0.25" top="0.75" bottom="0.75" header="0.3" footer="0.3"/>
  <pageSetup paperSize="9" scale="4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4E85781-8192-45AC-933E-E10981444D89}">
          <x14:formula1>
            <xm:f>Database!$B$16:$B$19</xm:f>
          </x14:formula1>
          <xm:sqref>J8:J31</xm:sqref>
        </x14:dataValidation>
        <x14:dataValidation type="list" allowBlank="1" showInputMessage="1" showErrorMessage="1" xr:uid="{BCF86226-0A83-4FB1-AB0D-62F6BFF8EDAD}">
          <x14:formula1>
            <xm:f>Database!$A$5:$A$11</xm:f>
          </x14:formula1>
          <xm:sqref>F8:F31</xm:sqref>
        </x14:dataValidation>
        <x14:dataValidation type="list" allowBlank="1" showInputMessage="1" showErrorMessage="1" xr:uid="{494CEA8C-374A-41F4-987A-81579BFC3ACE}">
          <x14:formula1>
            <xm:f>Database!$A$16:$A$18</xm:f>
          </x14:formula1>
          <xm:sqref>D2 F9:F13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D3979-FCFF-42EB-B35F-C73134DF4D06}">
  <dimension ref="A2:M72"/>
  <sheetViews>
    <sheetView view="pageBreakPreview" topLeftCell="A2" zoomScale="85" zoomScaleNormal="70" zoomScaleSheetLayoutView="85" zoomScalePageLayoutView="55" workbookViewId="0">
      <selection activeCell="H27" sqref="H27"/>
    </sheetView>
  </sheetViews>
  <sheetFormatPr defaultColWidth="9.140625" defaultRowHeight="15" x14ac:dyDescent="0.25"/>
  <cols>
    <col min="1" max="1" width="18.28515625" style="5" customWidth="1"/>
    <col min="2" max="4" width="15" style="5" customWidth="1"/>
    <col min="5" max="5" width="16.140625" style="5" customWidth="1"/>
    <col min="6" max="6" width="17.7109375" style="5" customWidth="1"/>
    <col min="7" max="7" width="15" style="5" customWidth="1"/>
    <col min="8" max="9" width="15" style="8" customWidth="1"/>
    <col min="10" max="12" width="15" style="5" customWidth="1"/>
    <col min="13" max="13" width="15" style="8" customWidth="1"/>
    <col min="14" max="16384" width="9.140625" style="5"/>
  </cols>
  <sheetData>
    <row r="2" spans="1:13" ht="17.25" x14ac:dyDescent="0.3">
      <c r="C2" s="18" t="s">
        <v>1892</v>
      </c>
      <c r="D2" s="15" t="s">
        <v>147</v>
      </c>
      <c r="F2" s="18" t="s">
        <v>1893</v>
      </c>
      <c r="G2" s="43">
        <v>44783</v>
      </c>
      <c r="H2" s="8" t="s">
        <v>1894</v>
      </c>
      <c r="J2" s="18" t="s">
        <v>1895</v>
      </c>
      <c r="K2" s="61" t="s">
        <v>2163</v>
      </c>
      <c r="L2" s="60"/>
    </row>
    <row r="3" spans="1:13" ht="9.75" customHeight="1" x14ac:dyDescent="0.3">
      <c r="C3" s="13"/>
      <c r="D3" s="16"/>
    </row>
    <row r="4" spans="1:13" ht="18.75" x14ac:dyDescent="0.3">
      <c r="C4" s="18" t="s">
        <v>1896</v>
      </c>
      <c r="D4" s="17">
        <v>5</v>
      </c>
      <c r="E4" s="140" t="s">
        <v>1916</v>
      </c>
      <c r="F4" s="141"/>
      <c r="G4" s="141"/>
      <c r="H4" s="141"/>
      <c r="J4" s="18" t="s">
        <v>1897</v>
      </c>
      <c r="K4" s="142"/>
      <c r="L4" s="143"/>
    </row>
    <row r="5" spans="1:13" ht="17.25" x14ac:dyDescent="0.3">
      <c r="C5" s="18" t="s">
        <v>1898</v>
      </c>
      <c r="D5" s="17">
        <v>10004</v>
      </c>
      <c r="J5" s="18"/>
      <c r="K5" s="144"/>
      <c r="L5" s="145"/>
    </row>
    <row r="6" spans="1:13" ht="12" customHeight="1" x14ac:dyDescent="0.25">
      <c r="B6" s="6"/>
      <c r="C6" s="6"/>
    </row>
    <row r="7" spans="1:13" s="40" customFormat="1" ht="37.5" x14ac:dyDescent="0.25">
      <c r="B7" s="146" t="s">
        <v>1</v>
      </c>
      <c r="C7" s="146"/>
      <c r="D7" s="41" t="s">
        <v>2</v>
      </c>
      <c r="E7" s="41" t="s">
        <v>1917</v>
      </c>
      <c r="F7" s="41" t="s">
        <v>4</v>
      </c>
      <c r="G7" s="41" t="s">
        <v>1918</v>
      </c>
      <c r="H7" s="41" t="s">
        <v>1919</v>
      </c>
      <c r="I7" s="41" t="s">
        <v>1920</v>
      </c>
      <c r="J7" s="41" t="s">
        <v>8</v>
      </c>
      <c r="K7" s="146" t="s">
        <v>1921</v>
      </c>
      <c r="L7" s="146"/>
      <c r="M7" s="41" t="s">
        <v>1922</v>
      </c>
    </row>
    <row r="8" spans="1:13" ht="19.5" x14ac:dyDescent="0.3">
      <c r="A8" s="6"/>
      <c r="B8" s="33">
        <v>2</v>
      </c>
      <c r="C8" s="33" t="s">
        <v>86</v>
      </c>
      <c r="D8" s="28" t="s">
        <v>2068</v>
      </c>
      <c r="E8" s="29" t="s">
        <v>1986</v>
      </c>
      <c r="F8" s="45" t="s">
        <v>84</v>
      </c>
      <c r="G8" s="30">
        <v>9.44</v>
      </c>
      <c r="H8" s="47">
        <v>2.1186440677966103</v>
      </c>
      <c r="I8" s="32">
        <v>21.881355932203391</v>
      </c>
      <c r="J8" s="30" t="s">
        <v>79</v>
      </c>
      <c r="K8" s="30">
        <v>4</v>
      </c>
      <c r="L8" s="33" t="s">
        <v>103</v>
      </c>
      <c r="M8" s="30">
        <v>29.8</v>
      </c>
    </row>
    <row r="9" spans="1:13" ht="19.5" x14ac:dyDescent="0.3">
      <c r="A9" s="6"/>
      <c r="B9" s="33">
        <v>3</v>
      </c>
      <c r="C9" s="33" t="s">
        <v>94</v>
      </c>
      <c r="D9" s="28" t="s">
        <v>2071</v>
      </c>
      <c r="E9" s="29" t="s">
        <v>1986</v>
      </c>
      <c r="F9" s="45" t="s">
        <v>84</v>
      </c>
      <c r="G9" s="30">
        <v>9.44</v>
      </c>
      <c r="H9" s="47" t="s">
        <v>1934</v>
      </c>
      <c r="I9" s="32" t="s">
        <v>1934</v>
      </c>
      <c r="J9" s="30" t="s">
        <v>79</v>
      </c>
      <c r="K9" s="30">
        <v>5</v>
      </c>
      <c r="L9" s="33" t="s">
        <v>109</v>
      </c>
      <c r="M9" s="30">
        <v>27.4</v>
      </c>
    </row>
    <row r="10" spans="1:13" ht="19.5" x14ac:dyDescent="0.3">
      <c r="A10" s="6"/>
      <c r="B10" s="33">
        <v>4</v>
      </c>
      <c r="C10" s="33" t="s">
        <v>103</v>
      </c>
      <c r="D10" s="28" t="s">
        <v>2074</v>
      </c>
      <c r="E10" s="29" t="s">
        <v>1994</v>
      </c>
      <c r="F10" s="45" t="s">
        <v>84</v>
      </c>
      <c r="G10" s="30">
        <v>36.4</v>
      </c>
      <c r="H10" s="47">
        <v>1.098901098901099</v>
      </c>
      <c r="I10" s="32">
        <v>46.901098901098905</v>
      </c>
      <c r="J10" s="30" t="s">
        <v>79</v>
      </c>
      <c r="K10" s="30">
        <v>6</v>
      </c>
      <c r="L10" s="33" t="s">
        <v>114</v>
      </c>
      <c r="M10" s="30">
        <v>28.8</v>
      </c>
    </row>
    <row r="11" spans="1:13" ht="19.5" x14ac:dyDescent="0.3">
      <c r="A11" s="6"/>
      <c r="B11" s="33">
        <v>5</v>
      </c>
      <c r="C11" s="33" t="s">
        <v>109</v>
      </c>
      <c r="D11" s="28" t="s">
        <v>2077</v>
      </c>
      <c r="E11" s="29" t="s">
        <v>1998</v>
      </c>
      <c r="F11" s="45" t="s">
        <v>84</v>
      </c>
      <c r="G11" s="30">
        <v>58.8</v>
      </c>
      <c r="H11" s="47">
        <v>0.85034013605442171</v>
      </c>
      <c r="I11" s="32">
        <v>59.149659863945566</v>
      </c>
      <c r="J11" s="30" t="s">
        <v>79</v>
      </c>
      <c r="K11" s="30">
        <v>7</v>
      </c>
      <c r="L11" s="33" t="s">
        <v>120</v>
      </c>
      <c r="M11" s="30">
        <v>8.98</v>
      </c>
    </row>
    <row r="12" spans="1:13" ht="19.5" x14ac:dyDescent="0.3">
      <c r="A12" s="6"/>
      <c r="B12" s="33">
        <v>8</v>
      </c>
      <c r="C12" s="33" t="s">
        <v>125</v>
      </c>
      <c r="D12" s="28" t="s">
        <v>2080</v>
      </c>
      <c r="E12" s="29" t="s">
        <v>2002</v>
      </c>
      <c r="F12" s="45" t="s">
        <v>84</v>
      </c>
      <c r="G12" s="30">
        <v>55.4</v>
      </c>
      <c r="H12" s="47">
        <v>1.0830324909747293</v>
      </c>
      <c r="I12" s="32">
        <v>70.91696750902527</v>
      </c>
      <c r="J12" s="30" t="s">
        <v>79</v>
      </c>
      <c r="K12" s="30">
        <v>8</v>
      </c>
      <c r="L12" s="33" t="s">
        <v>125</v>
      </c>
      <c r="M12" s="30">
        <v>15.8</v>
      </c>
    </row>
    <row r="13" spans="1:13" ht="19.5" x14ac:dyDescent="0.3">
      <c r="A13" s="6"/>
      <c r="B13" s="33" t="s">
        <v>1916</v>
      </c>
      <c r="C13" s="33" t="s">
        <v>1916</v>
      </c>
      <c r="D13" s="28" t="s">
        <v>1916</v>
      </c>
      <c r="E13" s="29"/>
      <c r="F13" s="45"/>
      <c r="G13" s="30"/>
      <c r="H13" s="31"/>
      <c r="I13" s="32" t="s">
        <v>1916</v>
      </c>
      <c r="J13" s="30"/>
      <c r="K13" s="30"/>
      <c r="L13" s="33" t="s">
        <v>1916</v>
      </c>
      <c r="M13" s="30"/>
    </row>
    <row r="14" spans="1:13" ht="19.5" x14ac:dyDescent="0.3">
      <c r="A14" s="6"/>
      <c r="B14" s="33" t="s">
        <v>1916</v>
      </c>
      <c r="C14" s="33" t="s">
        <v>1916</v>
      </c>
      <c r="D14" s="28" t="s">
        <v>1916</v>
      </c>
      <c r="E14" s="29"/>
      <c r="F14" s="45"/>
      <c r="G14" s="30"/>
      <c r="H14" s="31"/>
      <c r="I14" s="32" t="s">
        <v>1916</v>
      </c>
      <c r="J14" s="30"/>
      <c r="K14" s="30"/>
      <c r="L14" s="33" t="s">
        <v>1916</v>
      </c>
      <c r="M14" s="30"/>
    </row>
    <row r="15" spans="1:13" ht="19.5" x14ac:dyDescent="0.3">
      <c r="A15" s="6"/>
      <c r="B15" s="33" t="s">
        <v>1916</v>
      </c>
      <c r="C15" s="33" t="s">
        <v>1916</v>
      </c>
      <c r="D15" s="28" t="s">
        <v>1916</v>
      </c>
      <c r="E15" s="29"/>
      <c r="F15" s="45"/>
      <c r="G15" s="30"/>
      <c r="H15" s="31"/>
      <c r="I15" s="32" t="s">
        <v>1916</v>
      </c>
      <c r="J15" s="30"/>
      <c r="K15" s="30"/>
      <c r="L15" s="33" t="s">
        <v>1916</v>
      </c>
      <c r="M15" s="30"/>
    </row>
    <row r="16" spans="1:13" ht="19.5" x14ac:dyDescent="0.3">
      <c r="A16" s="6"/>
      <c r="B16" s="33" t="s">
        <v>1916</v>
      </c>
      <c r="C16" s="33" t="s">
        <v>1916</v>
      </c>
      <c r="D16" s="28" t="s">
        <v>1916</v>
      </c>
      <c r="E16" s="29"/>
      <c r="F16" s="45"/>
      <c r="G16" s="30"/>
      <c r="H16" s="31"/>
      <c r="I16" s="32" t="s">
        <v>1916</v>
      </c>
      <c r="J16" s="30"/>
      <c r="K16" s="30"/>
      <c r="L16" s="33" t="s">
        <v>1916</v>
      </c>
      <c r="M16" s="30"/>
    </row>
    <row r="17" spans="1:13" ht="19.5" x14ac:dyDescent="0.3">
      <c r="A17" s="6"/>
      <c r="B17" s="33" t="s">
        <v>1916</v>
      </c>
      <c r="C17" s="33" t="s">
        <v>1916</v>
      </c>
      <c r="D17" s="28" t="s">
        <v>1916</v>
      </c>
      <c r="E17" s="29"/>
      <c r="F17" s="45"/>
      <c r="G17" s="30"/>
      <c r="H17" s="31"/>
      <c r="I17" s="32" t="s">
        <v>1916</v>
      </c>
      <c r="J17" s="30"/>
      <c r="K17" s="30"/>
      <c r="L17" s="33" t="s">
        <v>1916</v>
      </c>
      <c r="M17" s="30"/>
    </row>
    <row r="18" spans="1:13" ht="19.5" x14ac:dyDescent="0.3">
      <c r="A18" s="6"/>
      <c r="B18" s="33" t="s">
        <v>1916</v>
      </c>
      <c r="C18" s="33" t="s">
        <v>1916</v>
      </c>
      <c r="D18" s="28" t="s">
        <v>1916</v>
      </c>
      <c r="E18" s="29"/>
      <c r="F18" s="45"/>
      <c r="G18" s="30"/>
      <c r="H18" s="31"/>
      <c r="I18" s="32" t="s">
        <v>1916</v>
      </c>
      <c r="J18" s="30"/>
      <c r="K18" s="30"/>
      <c r="L18" s="33" t="s">
        <v>1916</v>
      </c>
      <c r="M18" s="30"/>
    </row>
    <row r="19" spans="1:13" ht="19.5" x14ac:dyDescent="0.3">
      <c r="A19" s="6"/>
      <c r="B19" s="33" t="s">
        <v>1916</v>
      </c>
      <c r="C19" s="33" t="s">
        <v>1916</v>
      </c>
      <c r="D19" s="28" t="s">
        <v>1916</v>
      </c>
      <c r="E19" s="29"/>
      <c r="F19" s="45"/>
      <c r="G19" s="30"/>
      <c r="H19" s="31"/>
      <c r="I19" s="32" t="s">
        <v>1916</v>
      </c>
      <c r="J19" s="30"/>
      <c r="K19" s="30"/>
      <c r="L19" s="33" t="s">
        <v>1916</v>
      </c>
      <c r="M19" s="30"/>
    </row>
    <row r="20" spans="1:13" ht="19.5" x14ac:dyDescent="0.3">
      <c r="A20" s="6"/>
      <c r="B20" s="33" t="s">
        <v>1916</v>
      </c>
      <c r="C20" s="33" t="s">
        <v>1916</v>
      </c>
      <c r="D20" s="28" t="s">
        <v>1916</v>
      </c>
      <c r="E20" s="29"/>
      <c r="F20" s="45"/>
      <c r="G20" s="30"/>
      <c r="H20" s="31"/>
      <c r="I20" s="32" t="s">
        <v>1916</v>
      </c>
      <c r="J20" s="30"/>
      <c r="K20" s="30"/>
      <c r="L20" s="33" t="s">
        <v>1916</v>
      </c>
      <c r="M20" s="30"/>
    </row>
    <row r="21" spans="1:13" ht="19.5" x14ac:dyDescent="0.3">
      <c r="A21" s="6"/>
      <c r="B21" s="33" t="s">
        <v>1916</v>
      </c>
      <c r="C21" s="33" t="s">
        <v>1916</v>
      </c>
      <c r="D21" s="28" t="s">
        <v>1916</v>
      </c>
      <c r="E21" s="29"/>
      <c r="F21" s="45"/>
      <c r="G21" s="30"/>
      <c r="H21" s="31"/>
      <c r="I21" s="32" t="s">
        <v>1916</v>
      </c>
      <c r="J21" s="30"/>
      <c r="K21" s="30"/>
      <c r="L21" s="33" t="s">
        <v>1916</v>
      </c>
      <c r="M21" s="30"/>
    </row>
    <row r="22" spans="1:13" ht="19.5" x14ac:dyDescent="0.3">
      <c r="A22" s="6"/>
      <c r="B22" s="33" t="s">
        <v>1916</v>
      </c>
      <c r="C22" s="33" t="s">
        <v>1916</v>
      </c>
      <c r="D22" s="28" t="s">
        <v>1916</v>
      </c>
      <c r="E22" s="29"/>
      <c r="F22" s="45"/>
      <c r="G22" s="30"/>
      <c r="H22" s="31"/>
      <c r="I22" s="32" t="s">
        <v>1916</v>
      </c>
      <c r="J22" s="30"/>
      <c r="K22" s="30"/>
      <c r="L22" s="33" t="s">
        <v>1916</v>
      </c>
      <c r="M22" s="30"/>
    </row>
    <row r="23" spans="1:13" ht="19.5" x14ac:dyDescent="0.3">
      <c r="A23" s="6"/>
      <c r="B23" s="33" t="s">
        <v>1916</v>
      </c>
      <c r="C23" s="33" t="s">
        <v>1916</v>
      </c>
      <c r="D23" s="28" t="s">
        <v>1916</v>
      </c>
      <c r="E23" s="29"/>
      <c r="F23" s="45"/>
      <c r="G23" s="30"/>
      <c r="H23" s="31"/>
      <c r="I23" s="32" t="s">
        <v>1916</v>
      </c>
      <c r="J23" s="30"/>
      <c r="K23" s="30"/>
      <c r="L23" s="33" t="s">
        <v>1916</v>
      </c>
      <c r="M23" s="30"/>
    </row>
    <row r="24" spans="1:13" ht="19.5" x14ac:dyDescent="0.3">
      <c r="A24" s="6"/>
      <c r="B24" s="33" t="s">
        <v>1916</v>
      </c>
      <c r="C24" s="33" t="s">
        <v>1916</v>
      </c>
      <c r="D24" s="28" t="s">
        <v>1916</v>
      </c>
      <c r="E24" s="29"/>
      <c r="F24" s="45"/>
      <c r="G24" s="30"/>
      <c r="H24" s="31"/>
      <c r="I24" s="32" t="s">
        <v>1916</v>
      </c>
      <c r="J24" s="30"/>
      <c r="K24" s="30"/>
      <c r="L24" s="33" t="s">
        <v>1916</v>
      </c>
      <c r="M24" s="30"/>
    </row>
    <row r="25" spans="1:13" ht="19.5" x14ac:dyDescent="0.3">
      <c r="A25" s="6"/>
      <c r="B25" s="33" t="s">
        <v>1916</v>
      </c>
      <c r="C25" s="33" t="s">
        <v>1916</v>
      </c>
      <c r="D25" s="28" t="s">
        <v>1916</v>
      </c>
      <c r="E25" s="29"/>
      <c r="F25" s="45"/>
      <c r="G25" s="30"/>
      <c r="H25" s="31"/>
      <c r="I25" s="32" t="s">
        <v>1916</v>
      </c>
      <c r="J25" s="30"/>
      <c r="K25" s="30"/>
      <c r="L25" s="33" t="s">
        <v>1916</v>
      </c>
      <c r="M25" s="30"/>
    </row>
    <row r="26" spans="1:13" ht="19.5" x14ac:dyDescent="0.3">
      <c r="A26" s="6"/>
      <c r="B26" s="33" t="s">
        <v>1916</v>
      </c>
      <c r="C26" s="33" t="s">
        <v>1916</v>
      </c>
      <c r="D26" s="28" t="s">
        <v>1916</v>
      </c>
      <c r="E26" s="29"/>
      <c r="F26" s="45"/>
      <c r="G26" s="30"/>
      <c r="H26" s="31"/>
      <c r="I26" s="32" t="s">
        <v>1916</v>
      </c>
      <c r="J26" s="30"/>
      <c r="K26" s="30"/>
      <c r="L26" s="33" t="s">
        <v>1916</v>
      </c>
      <c r="M26" s="30"/>
    </row>
    <row r="27" spans="1:13" ht="19.5" x14ac:dyDescent="0.3">
      <c r="A27" s="6"/>
      <c r="B27" s="33" t="s">
        <v>1916</v>
      </c>
      <c r="C27" s="33" t="s">
        <v>1916</v>
      </c>
      <c r="D27" s="28" t="s">
        <v>1916</v>
      </c>
      <c r="E27" s="29"/>
      <c r="F27" s="45"/>
      <c r="G27" s="30"/>
      <c r="H27" s="31"/>
      <c r="I27" s="32" t="s">
        <v>1916</v>
      </c>
      <c r="J27" s="30"/>
      <c r="K27" s="30"/>
      <c r="L27" s="33" t="s">
        <v>1916</v>
      </c>
      <c r="M27" s="30"/>
    </row>
    <row r="28" spans="1:13" ht="19.5" x14ac:dyDescent="0.3">
      <c r="A28" s="6"/>
      <c r="B28" s="33" t="s">
        <v>1916</v>
      </c>
      <c r="C28" s="33" t="s">
        <v>1916</v>
      </c>
      <c r="D28" s="28" t="s">
        <v>1916</v>
      </c>
      <c r="E28" s="29"/>
      <c r="F28" s="45"/>
      <c r="G28" s="30"/>
      <c r="H28" s="31"/>
      <c r="I28" s="32" t="s">
        <v>1916</v>
      </c>
      <c r="J28" s="30"/>
      <c r="K28" s="30"/>
      <c r="L28" s="33" t="s">
        <v>1916</v>
      </c>
      <c r="M28" s="30"/>
    </row>
    <row r="29" spans="1:13" ht="19.5" x14ac:dyDescent="0.3">
      <c r="A29" s="6"/>
      <c r="B29" s="33" t="s">
        <v>1916</v>
      </c>
      <c r="C29" s="33" t="s">
        <v>1916</v>
      </c>
      <c r="D29" s="28" t="s">
        <v>1916</v>
      </c>
      <c r="E29" s="29"/>
      <c r="F29" s="45"/>
      <c r="G29" s="30"/>
      <c r="H29" s="31"/>
      <c r="I29" s="32" t="s">
        <v>1916</v>
      </c>
      <c r="J29" s="30"/>
      <c r="K29" s="30"/>
      <c r="L29" s="33" t="s">
        <v>1916</v>
      </c>
      <c r="M29" s="30"/>
    </row>
    <row r="30" spans="1:13" ht="19.5" x14ac:dyDescent="0.3">
      <c r="A30" s="6"/>
      <c r="B30" s="33" t="s">
        <v>1916</v>
      </c>
      <c r="C30" s="33" t="s">
        <v>1916</v>
      </c>
      <c r="D30" s="28" t="s">
        <v>1916</v>
      </c>
      <c r="E30" s="29"/>
      <c r="F30" s="45"/>
      <c r="G30" s="30"/>
      <c r="H30" s="31"/>
      <c r="I30" s="32" t="s">
        <v>1916</v>
      </c>
      <c r="J30" s="30"/>
      <c r="K30" s="30"/>
      <c r="L30" s="33" t="s">
        <v>1916</v>
      </c>
      <c r="M30" s="30"/>
    </row>
    <row r="31" spans="1:13" ht="19.5" x14ac:dyDescent="0.3">
      <c r="A31" s="6"/>
      <c r="B31" s="33" t="s">
        <v>1916</v>
      </c>
      <c r="C31" s="33" t="s">
        <v>1916</v>
      </c>
      <c r="D31" s="28" t="s">
        <v>1916</v>
      </c>
      <c r="E31" s="29"/>
      <c r="F31" s="45"/>
      <c r="G31" s="30"/>
      <c r="H31" s="31"/>
      <c r="I31" s="32" t="s">
        <v>1916</v>
      </c>
      <c r="J31" s="30"/>
      <c r="K31" s="30"/>
      <c r="L31" s="33" t="s">
        <v>1916</v>
      </c>
      <c r="M31" s="30"/>
    </row>
    <row r="32" spans="1:13" x14ac:dyDescent="0.25">
      <c r="A32" s="11"/>
    </row>
    <row r="33" spans="1:12" ht="18.75" x14ac:dyDescent="0.3">
      <c r="A33" s="11"/>
      <c r="B33" s="34" t="s">
        <v>1923</v>
      </c>
      <c r="C33" s="35">
        <v>5.5</v>
      </c>
      <c r="D33" s="28"/>
      <c r="E33" s="28"/>
      <c r="F33" s="28"/>
      <c r="G33" s="28"/>
      <c r="H33" s="27"/>
      <c r="I33" s="27"/>
      <c r="J33" s="28"/>
      <c r="K33" s="28"/>
      <c r="L33" s="28"/>
    </row>
    <row r="34" spans="1:12" ht="18.75" x14ac:dyDescent="0.3">
      <c r="A34" s="11"/>
      <c r="B34" s="28"/>
      <c r="C34" s="28"/>
      <c r="D34" s="28"/>
      <c r="E34" s="28"/>
      <c r="F34" s="28"/>
      <c r="G34" s="28"/>
      <c r="H34" s="27"/>
      <c r="I34" s="27"/>
      <c r="J34" s="28"/>
      <c r="K34" s="28"/>
      <c r="L34" s="28"/>
    </row>
    <row r="35" spans="1:12" ht="18.75" x14ac:dyDescent="0.3">
      <c r="B35" s="34" t="s">
        <v>1916</v>
      </c>
      <c r="C35" s="36" t="s">
        <v>1916</v>
      </c>
      <c r="D35" s="35" t="s">
        <v>1916</v>
      </c>
      <c r="E35" s="28"/>
      <c r="F35" s="34" t="s">
        <v>2164</v>
      </c>
      <c r="G35" s="36" t="s">
        <v>1925</v>
      </c>
      <c r="H35" s="35" t="s">
        <v>1926</v>
      </c>
      <c r="I35" s="27"/>
      <c r="J35" s="34" t="s">
        <v>2165</v>
      </c>
      <c r="K35" s="36" t="s">
        <v>1925</v>
      </c>
      <c r="L35" s="35" t="s">
        <v>1925</v>
      </c>
    </row>
    <row r="36" spans="1:12" ht="18.75" x14ac:dyDescent="0.3">
      <c r="B36" s="37" t="s">
        <v>1916</v>
      </c>
      <c r="C36" s="36" t="s">
        <v>1916</v>
      </c>
      <c r="D36" s="35" t="s">
        <v>1916</v>
      </c>
      <c r="E36" s="28"/>
      <c r="F36" s="37" t="s">
        <v>187</v>
      </c>
      <c r="G36" s="36">
        <v>4</v>
      </c>
      <c r="H36" s="35">
        <v>22</v>
      </c>
      <c r="I36" s="27"/>
      <c r="J36" s="37" t="s">
        <v>193</v>
      </c>
      <c r="K36" s="36">
        <v>2</v>
      </c>
      <c r="L36" s="35">
        <v>2</v>
      </c>
    </row>
    <row r="37" spans="1:12" ht="18.75" x14ac:dyDescent="0.3">
      <c r="B37" s="37" t="s">
        <v>1916</v>
      </c>
      <c r="C37" s="36" t="s">
        <v>1916</v>
      </c>
      <c r="D37" s="35" t="s">
        <v>1916</v>
      </c>
      <c r="E37" s="28"/>
      <c r="F37" s="37" t="s">
        <v>224</v>
      </c>
      <c r="G37" s="36">
        <v>4</v>
      </c>
      <c r="H37" s="35">
        <v>22</v>
      </c>
      <c r="I37" s="35"/>
      <c r="J37" s="37" t="s">
        <v>1916</v>
      </c>
      <c r="K37" s="36" t="s">
        <v>1916</v>
      </c>
      <c r="L37" s="35" t="s">
        <v>1916</v>
      </c>
    </row>
    <row r="38" spans="1:12" ht="18.75" x14ac:dyDescent="0.3">
      <c r="B38" s="37" t="s">
        <v>1916</v>
      </c>
      <c r="C38" s="36" t="s">
        <v>1916</v>
      </c>
      <c r="D38" s="35" t="s">
        <v>1916</v>
      </c>
      <c r="E38" s="28"/>
      <c r="F38" s="37" t="s">
        <v>1916</v>
      </c>
      <c r="G38" s="36" t="s">
        <v>1916</v>
      </c>
      <c r="H38" s="35" t="s">
        <v>1916</v>
      </c>
      <c r="I38" s="35"/>
      <c r="J38" s="37"/>
      <c r="K38" s="36"/>
      <c r="L38" s="35"/>
    </row>
    <row r="39" spans="1:12" ht="18.75" x14ac:dyDescent="0.25">
      <c r="B39" s="37"/>
      <c r="C39" s="36"/>
      <c r="D39" s="35"/>
      <c r="E39" s="37"/>
      <c r="F39" s="37"/>
      <c r="G39" s="36"/>
      <c r="H39" s="35"/>
      <c r="I39" s="35"/>
      <c r="J39" s="37"/>
      <c r="K39" s="36"/>
      <c r="L39" s="35"/>
    </row>
    <row r="40" spans="1:12" ht="18.75" x14ac:dyDescent="0.3">
      <c r="B40" s="34" t="s">
        <v>2166</v>
      </c>
      <c r="C40" s="36" t="s">
        <v>1925</v>
      </c>
      <c r="D40" s="35" t="s">
        <v>1925</v>
      </c>
      <c r="E40" s="28"/>
      <c r="F40" s="34" t="s">
        <v>2167</v>
      </c>
      <c r="G40" s="36" t="s">
        <v>1925</v>
      </c>
      <c r="H40" s="35" t="s">
        <v>2168</v>
      </c>
      <c r="I40" s="27"/>
      <c r="J40" s="34" t="s">
        <v>2169</v>
      </c>
      <c r="K40" s="36" t="s">
        <v>1925</v>
      </c>
      <c r="L40" s="35" t="s">
        <v>1926</v>
      </c>
    </row>
    <row r="41" spans="1:12" ht="18.75" x14ac:dyDescent="0.3">
      <c r="B41" s="37" t="s">
        <v>195</v>
      </c>
      <c r="C41" s="36">
        <v>4</v>
      </c>
      <c r="D41" s="35">
        <v>4</v>
      </c>
      <c r="E41" s="37"/>
      <c r="F41" s="37" t="s">
        <v>231</v>
      </c>
      <c r="G41" s="36">
        <v>45</v>
      </c>
      <c r="H41" s="35">
        <v>45</v>
      </c>
      <c r="I41" s="27"/>
      <c r="J41" s="37" t="s">
        <v>205</v>
      </c>
      <c r="K41" s="36">
        <v>45</v>
      </c>
      <c r="L41" s="35">
        <v>247.5</v>
      </c>
    </row>
    <row r="42" spans="1:12" ht="18.75" x14ac:dyDescent="0.3">
      <c r="B42" s="37" t="s">
        <v>197</v>
      </c>
      <c r="C42" s="36">
        <v>2</v>
      </c>
      <c r="D42" s="35">
        <v>2</v>
      </c>
      <c r="E42" s="37"/>
      <c r="F42" s="37" t="s">
        <v>203</v>
      </c>
      <c r="G42" s="36">
        <v>150</v>
      </c>
      <c r="H42" s="35">
        <v>1650</v>
      </c>
      <c r="I42" s="27"/>
      <c r="J42" s="37" t="s">
        <v>207</v>
      </c>
      <c r="K42" s="36">
        <v>5</v>
      </c>
      <c r="L42" s="35">
        <v>27.5</v>
      </c>
    </row>
    <row r="43" spans="1:12" ht="18.75" x14ac:dyDescent="0.3">
      <c r="B43" s="37" t="s">
        <v>199</v>
      </c>
      <c r="C43" s="36">
        <v>2</v>
      </c>
      <c r="D43" s="35">
        <v>2</v>
      </c>
      <c r="E43" s="37"/>
      <c r="F43" s="37" t="s">
        <v>1916</v>
      </c>
      <c r="G43" s="36" t="s">
        <v>1916</v>
      </c>
      <c r="H43" s="35" t="s">
        <v>1916</v>
      </c>
      <c r="I43" s="27"/>
      <c r="J43" s="37"/>
      <c r="K43" s="36"/>
      <c r="L43" s="35"/>
    </row>
    <row r="44" spans="1:12" ht="18.75" x14ac:dyDescent="0.3">
      <c r="B44" s="37"/>
      <c r="C44" s="36"/>
      <c r="D44" s="35"/>
      <c r="E44" s="37"/>
      <c r="F44" s="37"/>
      <c r="G44" s="36"/>
      <c r="H44" s="35"/>
      <c r="I44" s="27"/>
      <c r="J44" s="37"/>
      <c r="K44" s="36"/>
      <c r="L44" s="35"/>
    </row>
    <row r="45" spans="1:12" ht="18.75" x14ac:dyDescent="0.3">
      <c r="B45" s="34" t="s">
        <v>2170</v>
      </c>
      <c r="C45" s="36" t="s">
        <v>1925</v>
      </c>
      <c r="D45" s="35" t="s">
        <v>2168</v>
      </c>
      <c r="E45" s="37"/>
      <c r="F45" s="34" t="s">
        <v>1916</v>
      </c>
      <c r="G45" s="36" t="s">
        <v>1916</v>
      </c>
      <c r="H45" s="35" t="s">
        <v>1916</v>
      </c>
      <c r="I45" s="27"/>
      <c r="J45" s="34" t="s">
        <v>1916</v>
      </c>
      <c r="K45" s="36" t="s">
        <v>1916</v>
      </c>
      <c r="L45" s="35" t="s">
        <v>1916</v>
      </c>
    </row>
    <row r="46" spans="1:12" ht="18.75" x14ac:dyDescent="0.3">
      <c r="B46" s="37" t="s">
        <v>209</v>
      </c>
      <c r="C46" s="36">
        <v>50</v>
      </c>
      <c r="D46" s="35">
        <v>50</v>
      </c>
      <c r="E46" s="37"/>
      <c r="F46" s="37" t="s">
        <v>1916</v>
      </c>
      <c r="G46" s="36" t="s">
        <v>1916</v>
      </c>
      <c r="H46" s="35" t="s">
        <v>1916</v>
      </c>
      <c r="I46" s="27"/>
      <c r="J46" s="37" t="s">
        <v>1916</v>
      </c>
      <c r="K46" s="36" t="s">
        <v>1916</v>
      </c>
      <c r="L46" s="35" t="s">
        <v>1916</v>
      </c>
    </row>
    <row r="47" spans="1:12" ht="18.75" x14ac:dyDescent="0.3">
      <c r="B47" s="37" t="s">
        <v>211</v>
      </c>
      <c r="C47" s="36">
        <v>140</v>
      </c>
      <c r="D47" s="35">
        <v>140</v>
      </c>
      <c r="E47" s="37"/>
      <c r="F47" s="37" t="s">
        <v>1916</v>
      </c>
      <c r="G47" s="36" t="s">
        <v>1916</v>
      </c>
      <c r="H47" s="35" t="s">
        <v>1916</v>
      </c>
      <c r="I47" s="27"/>
      <c r="J47" s="37" t="s">
        <v>1916</v>
      </c>
      <c r="K47" s="36" t="s">
        <v>1916</v>
      </c>
      <c r="L47" s="35" t="s">
        <v>1916</v>
      </c>
    </row>
    <row r="48" spans="1:12" ht="18.75" x14ac:dyDescent="0.25">
      <c r="B48" s="37" t="s">
        <v>203</v>
      </c>
      <c r="C48" s="36">
        <v>150</v>
      </c>
      <c r="D48" s="35">
        <v>1650</v>
      </c>
      <c r="E48" s="37"/>
      <c r="F48" s="37" t="s">
        <v>1916</v>
      </c>
      <c r="G48" s="36" t="s">
        <v>1916</v>
      </c>
      <c r="H48" s="35" t="s">
        <v>1916</v>
      </c>
      <c r="J48" s="21"/>
      <c r="K48" s="22"/>
      <c r="L48" s="23"/>
    </row>
    <row r="49" spans="2:13" ht="18.75" x14ac:dyDescent="0.25">
      <c r="B49" s="37" t="s">
        <v>214</v>
      </c>
      <c r="C49" s="36">
        <v>30</v>
      </c>
      <c r="D49" s="35">
        <v>30</v>
      </c>
      <c r="E49" s="37"/>
      <c r="F49" s="37" t="s">
        <v>1916</v>
      </c>
      <c r="G49" s="36" t="s">
        <v>1916</v>
      </c>
      <c r="H49" s="35" t="s">
        <v>1916</v>
      </c>
      <c r="J49" s="21"/>
      <c r="K49" s="22"/>
      <c r="L49" s="23"/>
    </row>
    <row r="50" spans="2:13" ht="18.75" x14ac:dyDescent="0.25">
      <c r="B50" s="37" t="s">
        <v>1916</v>
      </c>
      <c r="C50" s="36" t="s">
        <v>1916</v>
      </c>
      <c r="D50" s="35" t="s">
        <v>1916</v>
      </c>
      <c r="E50" s="37"/>
      <c r="F50" s="37" t="s">
        <v>1916</v>
      </c>
      <c r="G50" s="36" t="s">
        <v>1916</v>
      </c>
      <c r="H50" s="35" t="s">
        <v>1916</v>
      </c>
      <c r="J50" s="21"/>
      <c r="K50" s="22"/>
      <c r="L50" s="23"/>
    </row>
    <row r="51" spans="2:13" ht="18.75" x14ac:dyDescent="0.25">
      <c r="B51" s="37"/>
      <c r="C51" s="36"/>
      <c r="D51" s="35"/>
      <c r="E51" s="37"/>
      <c r="F51" s="37"/>
      <c r="G51" s="36"/>
      <c r="H51" s="35"/>
      <c r="J51" s="21"/>
      <c r="K51" s="22"/>
      <c r="L51" s="23"/>
    </row>
    <row r="52" spans="2:13" ht="18.75" x14ac:dyDescent="0.3">
      <c r="B52" s="34" t="s">
        <v>1916</v>
      </c>
      <c r="C52" s="36" t="s">
        <v>1916</v>
      </c>
      <c r="D52" s="35" t="s">
        <v>1916</v>
      </c>
      <c r="E52" s="28"/>
      <c r="F52" s="34" t="s">
        <v>1916</v>
      </c>
      <c r="G52" s="34" t="s">
        <v>1916</v>
      </c>
      <c r="H52" s="28"/>
      <c r="J52" s="8"/>
      <c r="K52" s="12" t="s">
        <v>1899</v>
      </c>
      <c r="L52" s="12" t="s">
        <v>1900</v>
      </c>
      <c r="M52" s="12" t="s">
        <v>1901</v>
      </c>
    </row>
    <row r="53" spans="2:13" ht="31.5" customHeight="1" x14ac:dyDescent="0.3">
      <c r="B53" s="37" t="s">
        <v>1916</v>
      </c>
      <c r="C53" s="36" t="s">
        <v>1916</v>
      </c>
      <c r="D53" s="35" t="s">
        <v>1916</v>
      </c>
      <c r="E53" s="28"/>
      <c r="F53" s="37" t="s">
        <v>1916</v>
      </c>
      <c r="G53" s="37" t="s">
        <v>1916</v>
      </c>
      <c r="H53" s="27"/>
      <c r="I53" s="5"/>
      <c r="J53" s="7" t="s">
        <v>79</v>
      </c>
      <c r="K53" s="14" t="s">
        <v>1934</v>
      </c>
      <c r="L53" s="14" t="s">
        <v>1934</v>
      </c>
      <c r="M53" s="14" t="s">
        <v>1934</v>
      </c>
    </row>
    <row r="54" spans="2:13" ht="31.5" customHeight="1" x14ac:dyDescent="0.3">
      <c r="B54" s="37" t="s">
        <v>1916</v>
      </c>
      <c r="C54" s="36" t="s">
        <v>1916</v>
      </c>
      <c r="D54" s="35" t="s">
        <v>1916</v>
      </c>
      <c r="E54" s="28"/>
      <c r="F54" s="37"/>
      <c r="G54" s="37"/>
      <c r="H54" s="27"/>
      <c r="J54" s="7" t="s">
        <v>152</v>
      </c>
      <c r="K54" s="14" t="s">
        <v>2182</v>
      </c>
      <c r="L54" s="14" t="s">
        <v>1934</v>
      </c>
      <c r="M54" s="14" t="s">
        <v>1934</v>
      </c>
    </row>
    <row r="55" spans="2:13" ht="29.25" customHeight="1" x14ac:dyDescent="0.3">
      <c r="B55" s="37" t="s">
        <v>1916</v>
      </c>
      <c r="C55" s="36" t="s">
        <v>1916</v>
      </c>
      <c r="D55" s="35" t="s">
        <v>1916</v>
      </c>
      <c r="E55" s="28"/>
      <c r="F55" s="37"/>
      <c r="G55" s="37"/>
      <c r="H55" s="27"/>
      <c r="J55" s="7" t="s">
        <v>156</v>
      </c>
      <c r="K55" s="14" t="s">
        <v>2183</v>
      </c>
      <c r="L55" s="14" t="s">
        <v>1934</v>
      </c>
      <c r="M55" s="14" t="s">
        <v>1934</v>
      </c>
    </row>
    <row r="56" spans="2:13" ht="31.5" customHeight="1" x14ac:dyDescent="0.3">
      <c r="B56" s="37" t="s">
        <v>1916</v>
      </c>
      <c r="C56" s="36" t="s">
        <v>1916</v>
      </c>
      <c r="D56" s="35" t="s">
        <v>1916</v>
      </c>
      <c r="E56" s="28"/>
      <c r="F56" s="37"/>
      <c r="G56" s="28"/>
      <c r="H56" s="27"/>
      <c r="J56" s="7" t="s">
        <v>160</v>
      </c>
      <c r="K56" s="14" t="s">
        <v>2184</v>
      </c>
      <c r="L56" s="14" t="s">
        <v>1934</v>
      </c>
      <c r="M56" s="14" t="s">
        <v>1934</v>
      </c>
    </row>
    <row r="57" spans="2:13" ht="31.5" customHeight="1" x14ac:dyDescent="0.3">
      <c r="B57" s="37"/>
      <c r="C57" s="36"/>
      <c r="D57" s="35"/>
      <c r="E57" s="28"/>
      <c r="F57" s="37"/>
      <c r="G57" s="28"/>
      <c r="H57" s="27"/>
      <c r="J57" s="7" t="s">
        <v>1902</v>
      </c>
      <c r="K57" s="14" t="s">
        <v>2185</v>
      </c>
      <c r="L57" s="14" t="s">
        <v>1934</v>
      </c>
      <c r="M57" s="14" t="s">
        <v>1934</v>
      </c>
    </row>
    <row r="58" spans="2:13" ht="31.5" customHeight="1" x14ac:dyDescent="0.3">
      <c r="B58" s="34" t="s">
        <v>1916</v>
      </c>
      <c r="C58" s="36" t="s">
        <v>1916</v>
      </c>
      <c r="D58" s="35" t="s">
        <v>1916</v>
      </c>
      <c r="E58" s="28"/>
      <c r="F58" s="38"/>
      <c r="G58" s="28"/>
      <c r="H58" s="27"/>
      <c r="J58" s="7" t="s">
        <v>1903</v>
      </c>
      <c r="K58" s="14" t="s">
        <v>1934</v>
      </c>
      <c r="L58" s="14" t="s">
        <v>1934</v>
      </c>
      <c r="M58" s="14" t="s">
        <v>1934</v>
      </c>
    </row>
    <row r="59" spans="2:13" ht="31.5" customHeight="1" x14ac:dyDescent="0.3">
      <c r="B59" s="37" t="s">
        <v>1916</v>
      </c>
      <c r="C59" s="36" t="s">
        <v>1916</v>
      </c>
      <c r="D59" s="35" t="s">
        <v>1916</v>
      </c>
      <c r="E59" s="28"/>
      <c r="F59" s="38"/>
      <c r="G59" s="28"/>
      <c r="H59" s="27"/>
      <c r="J59" s="7" t="s">
        <v>1904</v>
      </c>
      <c r="K59" s="14" t="s">
        <v>1934</v>
      </c>
      <c r="L59" s="14" t="s">
        <v>1934</v>
      </c>
      <c r="M59" s="14" t="s">
        <v>1934</v>
      </c>
    </row>
    <row r="60" spans="2:13" ht="31.5" customHeight="1" x14ac:dyDescent="0.3">
      <c r="B60" s="37" t="s">
        <v>1916</v>
      </c>
      <c r="C60" s="36" t="s">
        <v>1916</v>
      </c>
      <c r="D60" s="35" t="s">
        <v>1916</v>
      </c>
      <c r="E60" s="28"/>
      <c r="F60" s="38"/>
      <c r="G60" s="28"/>
      <c r="H60" s="27"/>
      <c r="J60" s="7" t="s">
        <v>1905</v>
      </c>
      <c r="K60" s="14" t="s">
        <v>2186</v>
      </c>
      <c r="L60" s="14" t="s">
        <v>1934</v>
      </c>
      <c r="M60" s="14" t="s">
        <v>1934</v>
      </c>
    </row>
    <row r="61" spans="2:13" ht="18.75" x14ac:dyDescent="0.25">
      <c r="B61" s="37" t="s">
        <v>1916</v>
      </c>
      <c r="C61" s="36" t="s">
        <v>1916</v>
      </c>
      <c r="D61" s="35" t="s">
        <v>1916</v>
      </c>
      <c r="E61" s="37"/>
      <c r="F61" s="37"/>
      <c r="G61" s="36"/>
      <c r="H61" s="35"/>
      <c r="J61" s="21"/>
      <c r="K61" s="22"/>
      <c r="L61" s="23"/>
    </row>
    <row r="62" spans="2:13" ht="18.75" x14ac:dyDescent="0.25">
      <c r="B62" s="37" t="s">
        <v>1916</v>
      </c>
      <c r="C62" s="36" t="s">
        <v>1916</v>
      </c>
      <c r="D62" s="35" t="s">
        <v>1916</v>
      </c>
      <c r="E62" s="37"/>
      <c r="F62" s="37"/>
      <c r="G62" s="36"/>
      <c r="H62" s="35"/>
      <c r="J62" s="21"/>
      <c r="K62" s="22"/>
      <c r="L62" s="23"/>
    </row>
    <row r="63" spans="2:13" ht="22.5" customHeight="1" x14ac:dyDescent="0.25">
      <c r="B63" s="37"/>
      <c r="C63" s="36"/>
      <c r="D63" s="35"/>
      <c r="E63" s="37"/>
      <c r="F63" s="37"/>
      <c r="G63" s="36"/>
      <c r="H63" s="35"/>
      <c r="J63" s="21"/>
      <c r="K63" s="22"/>
      <c r="L63" s="23"/>
    </row>
    <row r="64" spans="2:13" x14ac:dyDescent="0.25">
      <c r="B64" s="12" t="s">
        <v>1899</v>
      </c>
      <c r="C64" s="12" t="s">
        <v>1900</v>
      </c>
      <c r="D64" s="12" t="s">
        <v>1901</v>
      </c>
      <c r="E64" s="12" t="s">
        <v>1906</v>
      </c>
      <c r="F64" s="12" t="s">
        <v>1907</v>
      </c>
      <c r="G64" s="12" t="s">
        <v>1908</v>
      </c>
      <c r="H64" s="12" t="s">
        <v>1909</v>
      </c>
      <c r="I64" s="12" t="s">
        <v>1910</v>
      </c>
      <c r="J64" s="12" t="s">
        <v>1911</v>
      </c>
      <c r="K64" s="12" t="s">
        <v>1912</v>
      </c>
      <c r="L64" s="12" t="s">
        <v>1913</v>
      </c>
      <c r="M64" s="12" t="s">
        <v>1914</v>
      </c>
    </row>
    <row r="65" spans="1:13" ht="18.75" customHeight="1" x14ac:dyDescent="0.25">
      <c r="A65" s="7" t="s">
        <v>79</v>
      </c>
      <c r="B65" s="39" t="s">
        <v>1934</v>
      </c>
      <c r="C65" s="39" t="s">
        <v>1934</v>
      </c>
      <c r="D65" s="39" t="s">
        <v>1934</v>
      </c>
      <c r="E65" s="39" t="s">
        <v>1934</v>
      </c>
      <c r="F65" s="39" t="s">
        <v>1934</v>
      </c>
      <c r="G65" s="39" t="s">
        <v>1934</v>
      </c>
      <c r="H65" s="39" t="s">
        <v>1934</v>
      </c>
      <c r="I65" s="39" t="s">
        <v>1934</v>
      </c>
      <c r="J65" s="39" t="s">
        <v>1934</v>
      </c>
      <c r="K65" s="39" t="s">
        <v>1934</v>
      </c>
      <c r="L65" s="39" t="s">
        <v>1934</v>
      </c>
      <c r="M65" s="39" t="s">
        <v>1934</v>
      </c>
    </row>
    <row r="66" spans="1:13" ht="18.75" customHeight="1" x14ac:dyDescent="0.25">
      <c r="A66" s="7" t="s">
        <v>152</v>
      </c>
      <c r="B66" s="39" t="s">
        <v>1934</v>
      </c>
      <c r="C66" s="39" t="s">
        <v>1934</v>
      </c>
      <c r="D66" s="39" t="s">
        <v>1934</v>
      </c>
      <c r="E66" s="39" t="s">
        <v>1934</v>
      </c>
      <c r="F66" s="39" t="s">
        <v>1934</v>
      </c>
      <c r="G66" s="39" t="s">
        <v>1934</v>
      </c>
      <c r="H66" s="39" t="s">
        <v>1934</v>
      </c>
      <c r="I66" s="39" t="s">
        <v>1934</v>
      </c>
      <c r="J66" s="39" t="s">
        <v>1934</v>
      </c>
      <c r="K66" s="39" t="s">
        <v>1934</v>
      </c>
      <c r="L66" s="39" t="s">
        <v>1934</v>
      </c>
      <c r="M66" s="39" t="s">
        <v>1934</v>
      </c>
    </row>
    <row r="67" spans="1:13" ht="18.75" customHeight="1" x14ac:dyDescent="0.25">
      <c r="A67" s="7" t="s">
        <v>156</v>
      </c>
      <c r="B67" s="39" t="s">
        <v>1934</v>
      </c>
      <c r="C67" s="39" t="s">
        <v>1934</v>
      </c>
      <c r="D67" s="39" t="s">
        <v>1934</v>
      </c>
      <c r="E67" s="39" t="s">
        <v>1934</v>
      </c>
      <c r="F67" s="39" t="s">
        <v>1934</v>
      </c>
      <c r="G67" s="39" t="s">
        <v>1934</v>
      </c>
      <c r="H67" s="39" t="s">
        <v>1934</v>
      </c>
      <c r="I67" s="39" t="s">
        <v>1934</v>
      </c>
      <c r="J67" s="39" t="s">
        <v>1934</v>
      </c>
      <c r="K67" s="39" t="s">
        <v>1934</v>
      </c>
      <c r="L67" s="39" t="s">
        <v>1934</v>
      </c>
      <c r="M67" s="39" t="s">
        <v>1934</v>
      </c>
    </row>
    <row r="68" spans="1:13" ht="18.75" customHeight="1" x14ac:dyDescent="0.25">
      <c r="A68" s="7" t="s">
        <v>160</v>
      </c>
      <c r="B68" s="39" t="s">
        <v>2068</v>
      </c>
      <c r="C68" s="39" t="s">
        <v>1934</v>
      </c>
      <c r="D68" s="39" t="s">
        <v>1934</v>
      </c>
      <c r="E68" s="39" t="s">
        <v>1934</v>
      </c>
      <c r="F68" s="39" t="s">
        <v>1934</v>
      </c>
      <c r="G68" s="39" t="s">
        <v>1934</v>
      </c>
      <c r="H68" s="39" t="s">
        <v>1934</v>
      </c>
      <c r="I68" s="39" t="s">
        <v>1934</v>
      </c>
      <c r="J68" s="39" t="s">
        <v>1934</v>
      </c>
      <c r="K68" s="39" t="s">
        <v>1934</v>
      </c>
      <c r="L68" s="39" t="s">
        <v>1934</v>
      </c>
      <c r="M68" s="39" t="s">
        <v>1934</v>
      </c>
    </row>
    <row r="69" spans="1:13" ht="18.75" customHeight="1" x14ac:dyDescent="0.25">
      <c r="A69" s="7" t="s">
        <v>1902</v>
      </c>
      <c r="B69" s="39" t="s">
        <v>2071</v>
      </c>
      <c r="C69" s="39" t="s">
        <v>1934</v>
      </c>
      <c r="D69" s="39" t="s">
        <v>1934</v>
      </c>
      <c r="E69" s="39" t="s">
        <v>1934</v>
      </c>
      <c r="F69" s="39" t="s">
        <v>1934</v>
      </c>
      <c r="G69" s="39" t="s">
        <v>1934</v>
      </c>
      <c r="H69" s="39" t="s">
        <v>1934</v>
      </c>
      <c r="I69" s="39" t="s">
        <v>1934</v>
      </c>
      <c r="J69" s="39" t="s">
        <v>1934</v>
      </c>
      <c r="K69" s="39" t="s">
        <v>1934</v>
      </c>
      <c r="L69" s="39" t="s">
        <v>1934</v>
      </c>
      <c r="M69" s="39" t="s">
        <v>1934</v>
      </c>
    </row>
    <row r="70" spans="1:13" ht="18.75" customHeight="1" x14ac:dyDescent="0.25">
      <c r="A70" s="7" t="s">
        <v>1903</v>
      </c>
      <c r="B70" s="39" t="s">
        <v>2074</v>
      </c>
      <c r="C70" s="39" t="s">
        <v>1934</v>
      </c>
      <c r="D70" s="39" t="s">
        <v>1934</v>
      </c>
      <c r="E70" s="39" t="s">
        <v>1934</v>
      </c>
      <c r="F70" s="39" t="s">
        <v>1934</v>
      </c>
      <c r="G70" s="39" t="s">
        <v>1934</v>
      </c>
      <c r="H70" s="39" t="s">
        <v>1934</v>
      </c>
      <c r="I70" s="39" t="s">
        <v>1934</v>
      </c>
      <c r="J70" s="39" t="s">
        <v>1934</v>
      </c>
      <c r="K70" s="39" t="s">
        <v>1934</v>
      </c>
      <c r="L70" s="39" t="s">
        <v>1934</v>
      </c>
      <c r="M70" s="39" t="s">
        <v>1934</v>
      </c>
    </row>
    <row r="71" spans="1:13" ht="18.75" customHeight="1" x14ac:dyDescent="0.25">
      <c r="A71" s="7" t="s">
        <v>1904</v>
      </c>
      <c r="B71" s="39" t="s">
        <v>2077</v>
      </c>
      <c r="C71" s="39" t="s">
        <v>1934</v>
      </c>
      <c r="D71" s="39" t="s">
        <v>1934</v>
      </c>
      <c r="E71" s="39" t="s">
        <v>1934</v>
      </c>
      <c r="F71" s="39" t="s">
        <v>1934</v>
      </c>
      <c r="G71" s="39" t="s">
        <v>1934</v>
      </c>
      <c r="H71" s="39" t="s">
        <v>1934</v>
      </c>
      <c r="I71" s="39" t="s">
        <v>1934</v>
      </c>
      <c r="J71" s="39" t="s">
        <v>1934</v>
      </c>
      <c r="K71" s="39" t="s">
        <v>1934</v>
      </c>
      <c r="L71" s="39" t="s">
        <v>1934</v>
      </c>
      <c r="M71" s="39" t="s">
        <v>1934</v>
      </c>
    </row>
    <row r="72" spans="1:13" ht="18.75" customHeight="1" x14ac:dyDescent="0.25">
      <c r="A72" s="7" t="s">
        <v>1905</v>
      </c>
      <c r="B72" s="39" t="s">
        <v>2080</v>
      </c>
      <c r="C72" s="39" t="s">
        <v>1934</v>
      </c>
      <c r="D72" s="39" t="s">
        <v>1934</v>
      </c>
      <c r="E72" s="39" t="s">
        <v>1934</v>
      </c>
      <c r="F72" s="39" t="s">
        <v>1934</v>
      </c>
      <c r="G72" s="39" t="s">
        <v>1934</v>
      </c>
      <c r="H72" s="39" t="s">
        <v>1934</v>
      </c>
      <c r="I72" s="39" t="s">
        <v>1934</v>
      </c>
      <c r="J72" s="39" t="s">
        <v>1934</v>
      </c>
      <c r="K72" s="39" t="s">
        <v>1934</v>
      </c>
      <c r="L72" s="39" t="s">
        <v>1934</v>
      </c>
      <c r="M72" s="39" t="s">
        <v>1934</v>
      </c>
    </row>
  </sheetData>
  <mergeCells count="4">
    <mergeCell ref="E4:H4"/>
    <mergeCell ref="K4:L5"/>
    <mergeCell ref="B7:C7"/>
    <mergeCell ref="K7:L7"/>
  </mergeCells>
  <conditionalFormatting sqref="B8:B31">
    <cfRule type="duplicateValues" dxfId="66" priority="13"/>
  </conditionalFormatting>
  <conditionalFormatting sqref="B8:C31">
    <cfRule type="containsBlanks" dxfId="65" priority="4">
      <formula>LEN(TRIM(B8))=0</formula>
    </cfRule>
  </conditionalFormatting>
  <conditionalFormatting sqref="C8:C31">
    <cfRule type="duplicateValues" dxfId="64" priority="5"/>
  </conditionalFormatting>
  <conditionalFormatting sqref="E4">
    <cfRule type="notContainsBlanks" dxfId="63" priority="9">
      <formula>LEN(TRIM(E4))&gt;0</formula>
    </cfRule>
  </conditionalFormatting>
  <conditionalFormatting sqref="E8:H31">
    <cfRule type="expression" dxfId="62" priority="3">
      <formula>ISNUMBER(FIND("POOL",$D8))</formula>
    </cfRule>
  </conditionalFormatting>
  <conditionalFormatting sqref="J8:J31">
    <cfRule type="expression" dxfId="61" priority="8">
      <formula>ISNUMBER(FIND("POOL",$D8))</formula>
    </cfRule>
  </conditionalFormatting>
  <conditionalFormatting sqref="K8:K31">
    <cfRule type="duplicateValues" dxfId="60" priority="10"/>
    <cfRule type="expression" dxfId="59" priority="11">
      <formula>ISNUMBER(FIND("POOL",$D8))</formula>
    </cfRule>
  </conditionalFormatting>
  <conditionalFormatting sqref="L8:L31">
    <cfRule type="containsBlanks" dxfId="58" priority="6">
      <formula>LEN(TRIM(L8))=0</formula>
    </cfRule>
    <cfRule type="duplicateValues" dxfId="57" priority="7"/>
  </conditionalFormatting>
  <conditionalFormatting sqref="M8:M31">
    <cfRule type="expression" dxfId="56" priority="1">
      <formula>ISNUMBER(FIND("POOL",$D8))</formula>
    </cfRule>
  </conditionalFormatting>
  <dataValidations count="1">
    <dataValidation type="whole" allowBlank="1" showInputMessage="1" showErrorMessage="1" sqref="D4" xr:uid="{9456F3C0-3393-4895-86AB-DCF2F1E66D78}">
      <formula1>0</formula1>
      <formula2>24</formula2>
    </dataValidation>
  </dataValidations>
  <pageMargins left="0.25" right="0.25" top="0.75" bottom="0.75" header="0.3" footer="0.3"/>
  <pageSetup paperSize="9" scale="4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E053FF4-B16D-4005-9783-EC03720ECB5D}">
          <x14:formula1>
            <xm:f>Database!$A$16:$A$18</xm:f>
          </x14:formula1>
          <xm:sqref>D2 F9:F13</xm:sqref>
        </x14:dataValidation>
        <x14:dataValidation type="list" allowBlank="1" showInputMessage="1" showErrorMessage="1" xr:uid="{DCD29741-BCBE-4CBC-ADA5-5BF19C56F314}">
          <x14:formula1>
            <xm:f>Database!$A$5:$A$11</xm:f>
          </x14:formula1>
          <xm:sqref>F8:F31</xm:sqref>
        </x14:dataValidation>
        <x14:dataValidation type="list" allowBlank="1" showInputMessage="1" showErrorMessage="1" xr:uid="{95879544-F329-496E-9DC4-92EB319D10F8}">
          <x14:formula1>
            <xm:f>Database!$B$16:$B$19</xm:f>
          </x14:formula1>
          <xm:sqref>J8:J31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2D639-D98D-49DB-B112-F91178B82443}">
  <dimension ref="A2:M72"/>
  <sheetViews>
    <sheetView view="pageBreakPreview" zoomScale="85" zoomScaleNormal="70" zoomScaleSheetLayoutView="85" zoomScalePageLayoutView="55" workbookViewId="0">
      <selection activeCell="G11" sqref="G11"/>
    </sheetView>
  </sheetViews>
  <sheetFormatPr defaultColWidth="9.140625" defaultRowHeight="15" x14ac:dyDescent="0.25"/>
  <cols>
    <col min="1" max="1" width="18.28515625" style="5" customWidth="1"/>
    <col min="2" max="4" width="15" style="5" customWidth="1"/>
    <col min="5" max="5" width="16.140625" style="5" customWidth="1"/>
    <col min="6" max="6" width="17.7109375" style="5" customWidth="1"/>
    <col min="7" max="7" width="15" style="5" customWidth="1"/>
    <col min="8" max="9" width="15" style="8" customWidth="1"/>
    <col min="10" max="12" width="15" style="5" customWidth="1"/>
    <col min="13" max="13" width="15" style="8" customWidth="1"/>
    <col min="14" max="16384" width="9.140625" style="5"/>
  </cols>
  <sheetData>
    <row r="2" spans="1:13" ht="17.25" x14ac:dyDescent="0.3">
      <c r="C2" s="18" t="s">
        <v>1892</v>
      </c>
      <c r="D2" s="15" t="s">
        <v>155</v>
      </c>
      <c r="F2" s="18" t="s">
        <v>1893</v>
      </c>
      <c r="G2" s="43">
        <v>44797</v>
      </c>
      <c r="H2" s="8" t="s">
        <v>1894</v>
      </c>
      <c r="J2" s="18" t="s">
        <v>1895</v>
      </c>
      <c r="K2" s="61" t="s">
        <v>2163</v>
      </c>
      <c r="L2" s="60"/>
    </row>
    <row r="3" spans="1:13" ht="9.75" customHeight="1" x14ac:dyDescent="0.3">
      <c r="C3" s="13"/>
      <c r="D3" s="16"/>
    </row>
    <row r="4" spans="1:13" ht="18.75" x14ac:dyDescent="0.3">
      <c r="C4" s="18" t="s">
        <v>1896</v>
      </c>
      <c r="D4" s="17">
        <v>12</v>
      </c>
      <c r="E4" s="140" t="s">
        <v>1916</v>
      </c>
      <c r="F4" s="141"/>
      <c r="G4" s="141"/>
      <c r="H4" s="141"/>
      <c r="J4" s="18" t="s">
        <v>1897</v>
      </c>
      <c r="K4" s="142"/>
      <c r="L4" s="143"/>
    </row>
    <row r="5" spans="1:13" ht="17.25" x14ac:dyDescent="0.3">
      <c r="C5" s="18" t="s">
        <v>1898</v>
      </c>
      <c r="D5" s="17">
        <v>10022</v>
      </c>
      <c r="J5" s="18"/>
      <c r="K5" s="144"/>
      <c r="L5" s="145"/>
    </row>
    <row r="6" spans="1:13" ht="12" customHeight="1" x14ac:dyDescent="0.25">
      <c r="B6" s="6"/>
      <c r="C6" s="6"/>
    </row>
    <row r="7" spans="1:13" s="40" customFormat="1" ht="37.5" x14ac:dyDescent="0.25">
      <c r="B7" s="146" t="s">
        <v>1</v>
      </c>
      <c r="C7" s="146"/>
      <c r="D7" s="41" t="s">
        <v>2</v>
      </c>
      <c r="E7" s="41" t="s">
        <v>1917</v>
      </c>
      <c r="F7" s="41" t="s">
        <v>4</v>
      </c>
      <c r="G7" s="41" t="s">
        <v>1918</v>
      </c>
      <c r="H7" s="41" t="s">
        <v>1919</v>
      </c>
      <c r="I7" s="41" t="s">
        <v>1920</v>
      </c>
      <c r="J7" s="41" t="s">
        <v>8</v>
      </c>
      <c r="K7" s="146" t="s">
        <v>1921</v>
      </c>
      <c r="L7" s="146"/>
      <c r="M7" s="41" t="s">
        <v>1922</v>
      </c>
    </row>
    <row r="8" spans="1:13" ht="19.5" x14ac:dyDescent="0.3">
      <c r="A8" s="6"/>
      <c r="B8" s="33">
        <v>1</v>
      </c>
      <c r="C8" s="33" t="s">
        <v>80</v>
      </c>
      <c r="D8" s="28" t="s">
        <v>1963</v>
      </c>
      <c r="E8" s="29" t="s">
        <v>1964</v>
      </c>
      <c r="F8" s="45" t="s">
        <v>93</v>
      </c>
      <c r="G8" s="30">
        <v>18.600000000000001</v>
      </c>
      <c r="H8" s="31">
        <v>3</v>
      </c>
      <c r="I8" s="32">
        <v>10.671000000000001</v>
      </c>
      <c r="J8" s="30" t="s">
        <v>79</v>
      </c>
      <c r="K8" s="30">
        <v>7</v>
      </c>
      <c r="L8" s="33" t="s">
        <v>120</v>
      </c>
      <c r="M8" s="30">
        <v>29.8</v>
      </c>
    </row>
    <row r="9" spans="1:13" ht="19.5" x14ac:dyDescent="0.3">
      <c r="A9" s="6"/>
      <c r="B9" s="33">
        <v>2</v>
      </c>
      <c r="C9" s="33" t="s">
        <v>86</v>
      </c>
      <c r="D9" s="28" t="s">
        <v>1967</v>
      </c>
      <c r="E9" s="29" t="s">
        <v>1947</v>
      </c>
      <c r="F9" s="45" t="s">
        <v>93</v>
      </c>
      <c r="G9" s="30">
        <v>38.6</v>
      </c>
      <c r="H9" s="31">
        <v>2</v>
      </c>
      <c r="I9" s="32">
        <v>16.914000000000001</v>
      </c>
      <c r="J9" s="30" t="s">
        <v>79</v>
      </c>
      <c r="K9" s="30">
        <v>8</v>
      </c>
      <c r="L9" s="33" t="s">
        <v>125</v>
      </c>
      <c r="M9" s="30">
        <v>12.3</v>
      </c>
    </row>
    <row r="10" spans="1:13" ht="19.5" x14ac:dyDescent="0.3">
      <c r="A10" s="6"/>
      <c r="B10" s="33">
        <v>3</v>
      </c>
      <c r="C10" s="33" t="s">
        <v>94</v>
      </c>
      <c r="D10" s="28" t="s">
        <v>1970</v>
      </c>
      <c r="E10" s="29" t="s">
        <v>1943</v>
      </c>
      <c r="F10" s="45" t="s">
        <v>107</v>
      </c>
      <c r="G10" s="30">
        <v>8.02</v>
      </c>
      <c r="H10" s="31">
        <v>9</v>
      </c>
      <c r="I10" s="32">
        <v>0</v>
      </c>
      <c r="J10" s="30" t="s">
        <v>79</v>
      </c>
      <c r="K10" s="30">
        <v>9</v>
      </c>
      <c r="L10" s="33" t="s">
        <v>129</v>
      </c>
      <c r="M10" s="30">
        <v>7</v>
      </c>
    </row>
    <row r="11" spans="1:13" ht="19.5" x14ac:dyDescent="0.3">
      <c r="A11" s="6"/>
      <c r="B11" s="33">
        <v>4</v>
      </c>
      <c r="C11" s="33" t="s">
        <v>103</v>
      </c>
      <c r="D11" s="28" t="s">
        <v>1973</v>
      </c>
      <c r="E11" s="29" t="s">
        <v>1974</v>
      </c>
      <c r="F11" s="45" t="s">
        <v>112</v>
      </c>
      <c r="G11" s="30">
        <v>2.65</v>
      </c>
      <c r="H11" s="31">
        <v>9</v>
      </c>
      <c r="I11" s="32">
        <v>0</v>
      </c>
      <c r="J11" s="30" t="s">
        <v>79</v>
      </c>
      <c r="K11" s="30">
        <v>10</v>
      </c>
      <c r="L11" s="33" t="s">
        <v>132</v>
      </c>
      <c r="M11" s="30">
        <v>13.9</v>
      </c>
    </row>
    <row r="12" spans="1:13" ht="19.5" x14ac:dyDescent="0.3">
      <c r="A12" s="6"/>
      <c r="B12" s="33">
        <v>5</v>
      </c>
      <c r="C12" s="33" t="s">
        <v>109</v>
      </c>
      <c r="D12" s="28" t="s">
        <v>1977</v>
      </c>
      <c r="E12" s="29" t="s">
        <v>1978</v>
      </c>
      <c r="F12" s="45" t="s">
        <v>112</v>
      </c>
      <c r="G12" s="30">
        <v>42</v>
      </c>
      <c r="H12" s="31">
        <v>3</v>
      </c>
      <c r="I12" s="32">
        <v>8.34</v>
      </c>
      <c r="J12" s="30" t="s">
        <v>79</v>
      </c>
      <c r="K12" s="30">
        <v>11</v>
      </c>
      <c r="L12" s="33" t="s">
        <v>134</v>
      </c>
      <c r="M12" s="30">
        <v>23.8</v>
      </c>
    </row>
    <row r="13" spans="1:13" ht="19.5" x14ac:dyDescent="0.3">
      <c r="A13" s="6"/>
      <c r="B13" s="33">
        <v>6</v>
      </c>
      <c r="C13" s="33" t="s">
        <v>114</v>
      </c>
      <c r="D13" s="28" t="s">
        <v>1981</v>
      </c>
      <c r="E13" s="29" t="s">
        <v>1982</v>
      </c>
      <c r="F13" s="45" t="s">
        <v>112</v>
      </c>
      <c r="G13" s="30">
        <v>28.6</v>
      </c>
      <c r="H13" s="31">
        <v>4</v>
      </c>
      <c r="I13" s="32">
        <v>6.2960000000000012</v>
      </c>
      <c r="J13" s="30" t="s">
        <v>79</v>
      </c>
      <c r="K13" s="30">
        <v>12</v>
      </c>
      <c r="L13" s="33" t="s">
        <v>137</v>
      </c>
      <c r="M13" s="30">
        <v>15.1</v>
      </c>
    </row>
    <row r="14" spans="1:13" ht="19.5" x14ac:dyDescent="0.3">
      <c r="A14" s="6"/>
      <c r="B14" s="33">
        <v>7</v>
      </c>
      <c r="C14" s="33" t="s">
        <v>120</v>
      </c>
      <c r="D14" s="28" t="s">
        <v>1985</v>
      </c>
      <c r="E14" s="29" t="s">
        <v>1986</v>
      </c>
      <c r="F14" s="45" t="s">
        <v>112</v>
      </c>
      <c r="G14" s="30">
        <v>9.44</v>
      </c>
      <c r="H14" s="31">
        <v>9</v>
      </c>
      <c r="I14" s="32">
        <v>0</v>
      </c>
      <c r="J14" s="30" t="s">
        <v>79</v>
      </c>
      <c r="K14" s="30">
        <v>13</v>
      </c>
      <c r="L14" s="33" t="s">
        <v>140</v>
      </c>
      <c r="M14" s="30">
        <v>10.6</v>
      </c>
    </row>
    <row r="15" spans="1:13" ht="19.5" x14ac:dyDescent="0.3">
      <c r="A15" s="6"/>
      <c r="B15" s="33">
        <v>8</v>
      </c>
      <c r="C15" s="33" t="s">
        <v>125</v>
      </c>
      <c r="D15" s="28" t="s">
        <v>1989</v>
      </c>
      <c r="E15" s="29" t="s">
        <v>1986</v>
      </c>
      <c r="F15" s="45" t="s">
        <v>112</v>
      </c>
      <c r="G15" s="30">
        <v>9.44</v>
      </c>
      <c r="H15" s="31">
        <v>9</v>
      </c>
      <c r="I15" s="32">
        <v>0</v>
      </c>
      <c r="J15" s="30" t="s">
        <v>79</v>
      </c>
      <c r="K15" s="30">
        <v>14</v>
      </c>
      <c r="L15" s="33" t="s">
        <v>142</v>
      </c>
      <c r="M15" s="30">
        <v>11.6</v>
      </c>
    </row>
    <row r="16" spans="1:13" ht="19.5" x14ac:dyDescent="0.3">
      <c r="A16" s="6"/>
      <c r="B16" s="33">
        <v>9</v>
      </c>
      <c r="C16" s="33" t="s">
        <v>129</v>
      </c>
      <c r="D16" s="28" t="s">
        <v>1993</v>
      </c>
      <c r="E16" s="29" t="s">
        <v>1994</v>
      </c>
      <c r="F16" s="45" t="s">
        <v>123</v>
      </c>
      <c r="G16" s="30">
        <v>3.3</v>
      </c>
      <c r="H16" s="31">
        <v>10</v>
      </c>
      <c r="I16" s="32">
        <v>0</v>
      </c>
      <c r="J16" s="30" t="s">
        <v>79</v>
      </c>
      <c r="K16" s="30">
        <v>15</v>
      </c>
      <c r="L16" s="33" t="s">
        <v>144</v>
      </c>
      <c r="M16" s="30">
        <v>18.100000000000001</v>
      </c>
    </row>
    <row r="17" spans="1:13" ht="19.5" x14ac:dyDescent="0.3">
      <c r="A17" s="6"/>
      <c r="B17" s="33">
        <v>10</v>
      </c>
      <c r="C17" s="33" t="s">
        <v>132</v>
      </c>
      <c r="D17" s="28" t="s">
        <v>1997</v>
      </c>
      <c r="E17" s="29" t="s">
        <v>1998</v>
      </c>
      <c r="F17" s="45" t="s">
        <v>112</v>
      </c>
      <c r="G17" s="30">
        <v>58.8</v>
      </c>
      <c r="H17" s="31">
        <v>2</v>
      </c>
      <c r="I17" s="32">
        <v>8.5839999999999996</v>
      </c>
      <c r="J17" s="30" t="s">
        <v>79</v>
      </c>
      <c r="K17" s="30">
        <v>16</v>
      </c>
      <c r="L17" s="33" t="s">
        <v>148</v>
      </c>
      <c r="M17" s="30">
        <v>14.8</v>
      </c>
    </row>
    <row r="18" spans="1:13" ht="19.5" x14ac:dyDescent="0.3">
      <c r="A18" s="6"/>
      <c r="B18" s="33">
        <v>11</v>
      </c>
      <c r="C18" s="33" t="s">
        <v>134</v>
      </c>
      <c r="D18" s="28" t="s">
        <v>2001</v>
      </c>
      <c r="E18" s="29" t="s">
        <v>2002</v>
      </c>
      <c r="F18" s="45" t="s">
        <v>112</v>
      </c>
      <c r="G18" s="30">
        <v>55.4</v>
      </c>
      <c r="H18" s="31">
        <v>2</v>
      </c>
      <c r="I18" s="32">
        <v>7.9719999999999995</v>
      </c>
      <c r="J18" s="30" t="s">
        <v>79</v>
      </c>
      <c r="K18" s="30">
        <v>17</v>
      </c>
      <c r="L18" s="33" t="s">
        <v>153</v>
      </c>
      <c r="M18" s="30">
        <v>12.1</v>
      </c>
    </row>
    <row r="19" spans="1:13" ht="19.5" x14ac:dyDescent="0.3">
      <c r="A19" s="6"/>
      <c r="B19" s="33">
        <v>12</v>
      </c>
      <c r="C19" s="33" t="s">
        <v>137</v>
      </c>
      <c r="D19" s="28" t="s">
        <v>2005</v>
      </c>
      <c r="E19" s="29" t="s">
        <v>2006</v>
      </c>
      <c r="F19" s="45" t="s">
        <v>118</v>
      </c>
      <c r="G19" s="30">
        <v>4.28</v>
      </c>
      <c r="H19" s="31">
        <v>8.4</v>
      </c>
      <c r="I19" s="32">
        <v>0</v>
      </c>
      <c r="J19" s="30" t="s">
        <v>79</v>
      </c>
      <c r="K19" s="30">
        <v>18</v>
      </c>
      <c r="L19" s="33" t="s">
        <v>157</v>
      </c>
      <c r="M19" s="30">
        <v>15.6</v>
      </c>
    </row>
    <row r="20" spans="1:13" ht="19.5" x14ac:dyDescent="0.3">
      <c r="A20" s="6"/>
      <c r="B20" s="33" t="s">
        <v>1916</v>
      </c>
      <c r="C20" s="33" t="s">
        <v>1916</v>
      </c>
      <c r="D20" s="28" t="s">
        <v>1916</v>
      </c>
      <c r="E20" s="29"/>
      <c r="F20" s="45"/>
      <c r="G20" s="30"/>
      <c r="H20" s="31"/>
      <c r="I20" s="32" t="s">
        <v>1916</v>
      </c>
      <c r="J20" s="30"/>
      <c r="K20" s="30"/>
      <c r="L20" s="33" t="s">
        <v>1916</v>
      </c>
      <c r="M20" s="30"/>
    </row>
    <row r="21" spans="1:13" ht="19.5" x14ac:dyDescent="0.3">
      <c r="A21" s="6"/>
      <c r="B21" s="33" t="s">
        <v>1916</v>
      </c>
      <c r="C21" s="33" t="s">
        <v>1916</v>
      </c>
      <c r="D21" s="28" t="s">
        <v>1916</v>
      </c>
      <c r="E21" s="29"/>
      <c r="F21" s="45"/>
      <c r="G21" s="30"/>
      <c r="H21" s="31"/>
      <c r="I21" s="32" t="s">
        <v>1916</v>
      </c>
      <c r="J21" s="30"/>
      <c r="K21" s="30"/>
      <c r="L21" s="33" t="s">
        <v>1916</v>
      </c>
      <c r="M21" s="30"/>
    </row>
    <row r="22" spans="1:13" ht="19.5" x14ac:dyDescent="0.3">
      <c r="A22" s="6"/>
      <c r="B22" s="33" t="s">
        <v>1916</v>
      </c>
      <c r="C22" s="33" t="s">
        <v>1916</v>
      </c>
      <c r="D22" s="28" t="s">
        <v>1916</v>
      </c>
      <c r="E22" s="29"/>
      <c r="F22" s="45"/>
      <c r="G22" s="30"/>
      <c r="H22" s="31"/>
      <c r="I22" s="32" t="s">
        <v>1916</v>
      </c>
      <c r="J22" s="30"/>
      <c r="K22" s="30"/>
      <c r="L22" s="33" t="s">
        <v>1916</v>
      </c>
      <c r="M22" s="30"/>
    </row>
    <row r="23" spans="1:13" ht="19.5" x14ac:dyDescent="0.3">
      <c r="A23" s="6"/>
      <c r="B23" s="33" t="s">
        <v>1916</v>
      </c>
      <c r="C23" s="33" t="s">
        <v>1916</v>
      </c>
      <c r="D23" s="28" t="s">
        <v>1916</v>
      </c>
      <c r="E23" s="29"/>
      <c r="F23" s="45"/>
      <c r="G23" s="30"/>
      <c r="H23" s="31"/>
      <c r="I23" s="32" t="s">
        <v>1916</v>
      </c>
      <c r="J23" s="30"/>
      <c r="K23" s="30"/>
      <c r="L23" s="33" t="s">
        <v>1916</v>
      </c>
      <c r="M23" s="30"/>
    </row>
    <row r="24" spans="1:13" ht="19.5" x14ac:dyDescent="0.3">
      <c r="A24" s="6"/>
      <c r="B24" s="33" t="s">
        <v>1916</v>
      </c>
      <c r="C24" s="33" t="s">
        <v>1916</v>
      </c>
      <c r="D24" s="28" t="s">
        <v>1916</v>
      </c>
      <c r="E24" s="29"/>
      <c r="F24" s="45"/>
      <c r="G24" s="30"/>
      <c r="H24" s="31"/>
      <c r="I24" s="32" t="s">
        <v>1916</v>
      </c>
      <c r="J24" s="30"/>
      <c r="K24" s="30"/>
      <c r="L24" s="33" t="s">
        <v>1916</v>
      </c>
      <c r="M24" s="30"/>
    </row>
    <row r="25" spans="1:13" ht="19.5" x14ac:dyDescent="0.3">
      <c r="A25" s="6"/>
      <c r="B25" s="33" t="s">
        <v>1916</v>
      </c>
      <c r="C25" s="33" t="s">
        <v>1916</v>
      </c>
      <c r="D25" s="28" t="s">
        <v>1916</v>
      </c>
      <c r="E25" s="29"/>
      <c r="F25" s="45"/>
      <c r="G25" s="30"/>
      <c r="H25" s="31"/>
      <c r="I25" s="32" t="s">
        <v>1916</v>
      </c>
      <c r="J25" s="30"/>
      <c r="K25" s="30"/>
      <c r="L25" s="33" t="s">
        <v>1916</v>
      </c>
      <c r="M25" s="30"/>
    </row>
    <row r="26" spans="1:13" ht="19.5" x14ac:dyDescent="0.3">
      <c r="A26" s="6"/>
      <c r="B26" s="33" t="s">
        <v>1916</v>
      </c>
      <c r="C26" s="33" t="s">
        <v>1916</v>
      </c>
      <c r="D26" s="28" t="s">
        <v>1916</v>
      </c>
      <c r="E26" s="29"/>
      <c r="F26" s="45"/>
      <c r="G26" s="30"/>
      <c r="H26" s="31"/>
      <c r="I26" s="32" t="s">
        <v>1916</v>
      </c>
      <c r="J26" s="30"/>
      <c r="K26" s="30"/>
      <c r="L26" s="33" t="s">
        <v>1916</v>
      </c>
      <c r="M26" s="30"/>
    </row>
    <row r="27" spans="1:13" ht="19.5" x14ac:dyDescent="0.3">
      <c r="A27" s="6"/>
      <c r="B27" s="33" t="s">
        <v>1916</v>
      </c>
      <c r="C27" s="33" t="s">
        <v>1916</v>
      </c>
      <c r="D27" s="28" t="s">
        <v>1916</v>
      </c>
      <c r="E27" s="29"/>
      <c r="F27" s="45"/>
      <c r="G27" s="30"/>
      <c r="H27" s="31"/>
      <c r="I27" s="32" t="s">
        <v>1916</v>
      </c>
      <c r="J27" s="30"/>
      <c r="K27" s="30"/>
      <c r="L27" s="33" t="s">
        <v>1916</v>
      </c>
      <c r="M27" s="30"/>
    </row>
    <row r="28" spans="1:13" ht="19.5" x14ac:dyDescent="0.3">
      <c r="A28" s="6"/>
      <c r="B28" s="33" t="s">
        <v>1916</v>
      </c>
      <c r="C28" s="33" t="s">
        <v>1916</v>
      </c>
      <c r="D28" s="28" t="s">
        <v>1916</v>
      </c>
      <c r="E28" s="29"/>
      <c r="F28" s="45"/>
      <c r="G28" s="30"/>
      <c r="H28" s="31"/>
      <c r="I28" s="32" t="s">
        <v>1916</v>
      </c>
      <c r="J28" s="30"/>
      <c r="K28" s="30"/>
      <c r="L28" s="33" t="s">
        <v>1916</v>
      </c>
      <c r="M28" s="30"/>
    </row>
    <row r="29" spans="1:13" ht="19.5" x14ac:dyDescent="0.3">
      <c r="A29" s="6"/>
      <c r="B29" s="33" t="s">
        <v>1916</v>
      </c>
      <c r="C29" s="33" t="s">
        <v>1916</v>
      </c>
      <c r="D29" s="28" t="s">
        <v>1916</v>
      </c>
      <c r="E29" s="29"/>
      <c r="F29" s="45"/>
      <c r="G29" s="30"/>
      <c r="H29" s="31"/>
      <c r="I29" s="32" t="s">
        <v>1916</v>
      </c>
      <c r="J29" s="30"/>
      <c r="K29" s="30"/>
      <c r="L29" s="33" t="s">
        <v>1916</v>
      </c>
      <c r="M29" s="30"/>
    </row>
    <row r="30" spans="1:13" ht="19.5" x14ac:dyDescent="0.3">
      <c r="A30" s="6"/>
      <c r="B30" s="33" t="s">
        <v>1916</v>
      </c>
      <c r="C30" s="33" t="s">
        <v>1916</v>
      </c>
      <c r="D30" s="28" t="s">
        <v>1916</v>
      </c>
      <c r="E30" s="29"/>
      <c r="F30" s="45"/>
      <c r="G30" s="30"/>
      <c r="H30" s="31"/>
      <c r="I30" s="32" t="s">
        <v>1916</v>
      </c>
      <c r="J30" s="30"/>
      <c r="K30" s="30"/>
      <c r="L30" s="33" t="s">
        <v>1916</v>
      </c>
      <c r="M30" s="30"/>
    </row>
    <row r="31" spans="1:13" ht="19.5" x14ac:dyDescent="0.3">
      <c r="A31" s="6"/>
      <c r="B31" s="33" t="s">
        <v>1916</v>
      </c>
      <c r="C31" s="33" t="s">
        <v>1916</v>
      </c>
      <c r="D31" s="28" t="s">
        <v>1916</v>
      </c>
      <c r="E31" s="29"/>
      <c r="F31" s="45"/>
      <c r="G31" s="30"/>
      <c r="H31" s="31"/>
      <c r="I31" s="32" t="s">
        <v>1916</v>
      </c>
      <c r="J31" s="30"/>
      <c r="K31" s="30"/>
      <c r="L31" s="33" t="s">
        <v>1916</v>
      </c>
      <c r="M31" s="30"/>
    </row>
    <row r="32" spans="1:13" x14ac:dyDescent="0.25">
      <c r="A32" s="11"/>
    </row>
    <row r="33" spans="1:12" ht="18.75" x14ac:dyDescent="0.3">
      <c r="A33" s="11"/>
      <c r="B33" s="34" t="s">
        <v>1923</v>
      </c>
      <c r="C33" s="35">
        <v>13</v>
      </c>
      <c r="D33" s="28"/>
      <c r="E33" s="28"/>
      <c r="F33" s="28"/>
      <c r="G33" s="28"/>
      <c r="H33" s="27"/>
      <c r="I33" s="27"/>
      <c r="J33" s="28"/>
      <c r="K33" s="28"/>
      <c r="L33" s="28"/>
    </row>
    <row r="34" spans="1:12" ht="18.75" x14ac:dyDescent="0.3">
      <c r="A34" s="11"/>
      <c r="B34" s="28"/>
      <c r="C34" s="28"/>
      <c r="D34" s="28"/>
      <c r="E34" s="28"/>
      <c r="F34" s="28"/>
      <c r="G34" s="28"/>
      <c r="H34" s="27"/>
      <c r="I34" s="27"/>
      <c r="J34" s="28"/>
      <c r="K34" s="28"/>
      <c r="L34" s="28"/>
    </row>
    <row r="35" spans="1:12" ht="18.75" x14ac:dyDescent="0.3">
      <c r="B35" s="34" t="s">
        <v>2187</v>
      </c>
      <c r="C35" s="36" t="s">
        <v>1925</v>
      </c>
      <c r="D35" s="35" t="s">
        <v>1926</v>
      </c>
      <c r="E35" s="28"/>
      <c r="F35" s="34" t="s">
        <v>2188</v>
      </c>
      <c r="G35" s="36" t="s">
        <v>1925</v>
      </c>
      <c r="H35" s="35" t="s">
        <v>1925</v>
      </c>
      <c r="I35" s="27"/>
      <c r="J35" s="34" t="s">
        <v>1924</v>
      </c>
      <c r="K35" s="36" t="s">
        <v>1925</v>
      </c>
      <c r="L35" s="35" t="s">
        <v>1926</v>
      </c>
    </row>
    <row r="36" spans="1:12" ht="18.75" x14ac:dyDescent="0.3">
      <c r="B36" s="37" t="s">
        <v>245</v>
      </c>
      <c r="C36" s="36">
        <v>1.4</v>
      </c>
      <c r="D36" s="35">
        <v>12.6</v>
      </c>
      <c r="E36" s="28"/>
      <c r="F36" s="37" t="s">
        <v>251</v>
      </c>
      <c r="G36" s="36">
        <v>2.8</v>
      </c>
      <c r="H36" s="35">
        <v>2.8</v>
      </c>
      <c r="I36" s="27"/>
      <c r="J36" s="37" t="s">
        <v>245</v>
      </c>
      <c r="K36" s="36">
        <v>1.4</v>
      </c>
      <c r="L36" s="35">
        <v>4.8999999999999995</v>
      </c>
    </row>
    <row r="37" spans="1:12" ht="18.75" x14ac:dyDescent="0.3">
      <c r="B37" s="37" t="s">
        <v>247</v>
      </c>
      <c r="C37" s="36">
        <v>0.6</v>
      </c>
      <c r="D37" s="35">
        <v>5.3999999999999995</v>
      </c>
      <c r="E37" s="28"/>
      <c r="F37" s="37" t="s">
        <v>1916</v>
      </c>
      <c r="G37" s="36" t="s">
        <v>1916</v>
      </c>
      <c r="H37" s="35" t="s">
        <v>1916</v>
      </c>
      <c r="I37" s="35"/>
      <c r="J37" s="37" t="s">
        <v>251</v>
      </c>
      <c r="K37" s="36">
        <v>2.8</v>
      </c>
      <c r="L37" s="35">
        <v>9.7999999999999989</v>
      </c>
    </row>
    <row r="38" spans="1:12" ht="18.75" x14ac:dyDescent="0.3">
      <c r="B38" s="37" t="s">
        <v>249</v>
      </c>
      <c r="C38" s="36">
        <v>1</v>
      </c>
      <c r="D38" s="35">
        <v>9</v>
      </c>
      <c r="E38" s="28"/>
      <c r="F38" s="37" t="s">
        <v>1916</v>
      </c>
      <c r="G38" s="36" t="s">
        <v>1916</v>
      </c>
      <c r="H38" s="35" t="s">
        <v>1916</v>
      </c>
      <c r="I38" s="35"/>
      <c r="J38" s="37"/>
      <c r="K38" s="36"/>
      <c r="L38" s="35"/>
    </row>
    <row r="39" spans="1:12" ht="18.75" x14ac:dyDescent="0.25">
      <c r="B39" s="37"/>
      <c r="C39" s="36"/>
      <c r="D39" s="35"/>
      <c r="E39" s="37"/>
      <c r="F39" s="37"/>
      <c r="G39" s="36"/>
      <c r="H39" s="35"/>
      <c r="I39" s="35"/>
      <c r="J39" s="37"/>
      <c r="K39" s="36"/>
      <c r="L39" s="35"/>
    </row>
    <row r="40" spans="1:12" ht="18.75" x14ac:dyDescent="0.3">
      <c r="B40" s="34" t="s">
        <v>2189</v>
      </c>
      <c r="C40" s="36" t="s">
        <v>1925</v>
      </c>
      <c r="D40" s="35" t="s">
        <v>1926</v>
      </c>
      <c r="E40" s="28"/>
      <c r="F40" s="34" t="s">
        <v>1927</v>
      </c>
      <c r="G40" s="36" t="s">
        <v>1925</v>
      </c>
      <c r="H40" s="35" t="s">
        <v>1926</v>
      </c>
      <c r="I40" s="27"/>
      <c r="J40" s="34" t="s">
        <v>1928</v>
      </c>
      <c r="K40" s="36" t="s">
        <v>1925</v>
      </c>
      <c r="L40" s="35" t="s">
        <v>1925</v>
      </c>
    </row>
    <row r="41" spans="1:12" ht="18.75" x14ac:dyDescent="0.3">
      <c r="B41" s="37" t="s">
        <v>245</v>
      </c>
      <c r="C41" s="36">
        <v>1.4</v>
      </c>
      <c r="D41" s="35">
        <v>1.4</v>
      </c>
      <c r="E41" s="37"/>
      <c r="F41" s="37" t="s">
        <v>255</v>
      </c>
      <c r="G41" s="36">
        <v>10</v>
      </c>
      <c r="H41" s="35">
        <v>130</v>
      </c>
      <c r="I41" s="27"/>
      <c r="J41" s="37" t="s">
        <v>260</v>
      </c>
      <c r="K41" s="36">
        <v>2</v>
      </c>
      <c r="L41" s="35">
        <v>2</v>
      </c>
    </row>
    <row r="42" spans="1:12" ht="18.75" x14ac:dyDescent="0.3">
      <c r="B42" s="37" t="s">
        <v>251</v>
      </c>
      <c r="C42" s="36">
        <v>2.8</v>
      </c>
      <c r="D42" s="35">
        <v>2.8</v>
      </c>
      <c r="E42" s="37"/>
      <c r="F42" s="37" t="s">
        <v>257</v>
      </c>
      <c r="G42" s="36">
        <v>1.5</v>
      </c>
      <c r="H42" s="35">
        <v>19.5</v>
      </c>
      <c r="I42" s="27"/>
      <c r="J42" s="37" t="s">
        <v>1916</v>
      </c>
      <c r="K42" s="36" t="s">
        <v>1916</v>
      </c>
      <c r="L42" s="35" t="s">
        <v>1916</v>
      </c>
    </row>
    <row r="43" spans="1:12" ht="18.75" x14ac:dyDescent="0.3">
      <c r="B43" s="37" t="s">
        <v>253</v>
      </c>
      <c r="C43" s="36">
        <v>1.4</v>
      </c>
      <c r="D43" s="35">
        <v>1.4</v>
      </c>
      <c r="E43" s="37"/>
      <c r="F43" s="37" t="s">
        <v>199</v>
      </c>
      <c r="G43" s="36">
        <v>2.5</v>
      </c>
      <c r="H43" s="35">
        <v>32.5</v>
      </c>
      <c r="I43" s="27"/>
      <c r="J43" s="37"/>
      <c r="K43" s="36"/>
      <c r="L43" s="35"/>
    </row>
    <row r="44" spans="1:12" ht="18.75" x14ac:dyDescent="0.3">
      <c r="B44" s="37"/>
      <c r="C44" s="36"/>
      <c r="D44" s="35"/>
      <c r="E44" s="37"/>
      <c r="F44" s="37"/>
      <c r="G44" s="36"/>
      <c r="H44" s="35"/>
      <c r="I44" s="27"/>
      <c r="J44" s="37"/>
      <c r="K44" s="36"/>
      <c r="L44" s="35"/>
    </row>
    <row r="45" spans="1:12" ht="18.75" x14ac:dyDescent="0.3">
      <c r="B45" s="34" t="s">
        <v>1929</v>
      </c>
      <c r="C45" s="36" t="s">
        <v>1925</v>
      </c>
      <c r="D45" s="35" t="s">
        <v>1926</v>
      </c>
      <c r="E45" s="37"/>
      <c r="F45" s="34" t="s">
        <v>2190</v>
      </c>
      <c r="G45" s="36" t="s">
        <v>1925</v>
      </c>
      <c r="H45" s="35" t="s">
        <v>1926</v>
      </c>
      <c r="I45" s="27"/>
      <c r="J45" s="34" t="s">
        <v>1930</v>
      </c>
      <c r="K45" s="36" t="s">
        <v>1925</v>
      </c>
      <c r="L45" s="35" t="s">
        <v>1925</v>
      </c>
    </row>
    <row r="46" spans="1:12" ht="18.75" x14ac:dyDescent="0.3">
      <c r="B46" s="37" t="s">
        <v>262</v>
      </c>
      <c r="C46" s="36">
        <v>10</v>
      </c>
      <c r="D46" s="35">
        <v>35</v>
      </c>
      <c r="E46" s="37"/>
      <c r="F46" s="37" t="s">
        <v>262</v>
      </c>
      <c r="G46" s="36">
        <v>10</v>
      </c>
      <c r="H46" s="35">
        <v>100</v>
      </c>
      <c r="I46" s="27"/>
      <c r="J46" s="37" t="s">
        <v>272</v>
      </c>
      <c r="K46" s="36">
        <v>20</v>
      </c>
      <c r="L46" s="35">
        <v>20</v>
      </c>
    </row>
    <row r="47" spans="1:12" ht="18.75" x14ac:dyDescent="0.3">
      <c r="B47" s="37" t="s">
        <v>264</v>
      </c>
      <c r="C47" s="36">
        <v>6.3</v>
      </c>
      <c r="D47" s="35">
        <v>22.05</v>
      </c>
      <c r="E47" s="37"/>
      <c r="F47" s="37" t="s">
        <v>264</v>
      </c>
      <c r="G47" s="36">
        <v>6.3</v>
      </c>
      <c r="H47" s="35">
        <v>63</v>
      </c>
      <c r="I47" s="27"/>
      <c r="J47" s="37" t="s">
        <v>274</v>
      </c>
      <c r="K47" s="36">
        <v>5</v>
      </c>
      <c r="L47" s="35">
        <v>5</v>
      </c>
    </row>
    <row r="48" spans="1:12" ht="18.75" x14ac:dyDescent="0.25">
      <c r="B48" s="37" t="s">
        <v>266</v>
      </c>
      <c r="C48" s="36">
        <v>2</v>
      </c>
      <c r="D48" s="35">
        <v>7</v>
      </c>
      <c r="E48" s="37"/>
      <c r="F48" s="37" t="s">
        <v>266</v>
      </c>
      <c r="G48" s="36">
        <v>2</v>
      </c>
      <c r="H48" s="35">
        <v>20</v>
      </c>
      <c r="J48" s="21"/>
      <c r="K48" s="22"/>
      <c r="L48" s="23"/>
    </row>
    <row r="49" spans="2:13" ht="18.75" x14ac:dyDescent="0.25">
      <c r="B49" s="37" t="s">
        <v>268</v>
      </c>
      <c r="C49" s="36">
        <v>1.95</v>
      </c>
      <c r="D49" s="35">
        <v>6.8250000000000002</v>
      </c>
      <c r="E49" s="37"/>
      <c r="F49" s="37" t="s">
        <v>268</v>
      </c>
      <c r="G49" s="36">
        <v>1.95</v>
      </c>
      <c r="H49" s="35">
        <v>19.5</v>
      </c>
      <c r="J49" s="21"/>
      <c r="K49" s="22"/>
      <c r="L49" s="23"/>
    </row>
    <row r="50" spans="2:13" ht="18.75" x14ac:dyDescent="0.25">
      <c r="B50" s="37" t="s">
        <v>270</v>
      </c>
      <c r="C50" s="36">
        <v>2.4</v>
      </c>
      <c r="D50" s="35">
        <v>8.4</v>
      </c>
      <c r="E50" s="37"/>
      <c r="F50" s="37" t="s">
        <v>270</v>
      </c>
      <c r="G50" s="36">
        <v>2.4</v>
      </c>
      <c r="H50" s="35">
        <v>24</v>
      </c>
      <c r="J50" s="21"/>
      <c r="K50" s="22"/>
      <c r="L50" s="23"/>
    </row>
    <row r="51" spans="2:13" ht="18.75" x14ac:dyDescent="0.25">
      <c r="B51" s="37"/>
      <c r="C51" s="36"/>
      <c r="D51" s="35"/>
      <c r="E51" s="37"/>
      <c r="F51" s="37"/>
      <c r="G51" s="36"/>
      <c r="H51" s="35"/>
      <c r="J51" s="21"/>
      <c r="K51" s="22"/>
      <c r="L51" s="23"/>
    </row>
    <row r="52" spans="2:13" ht="18.75" x14ac:dyDescent="0.3">
      <c r="B52" s="34" t="s">
        <v>1931</v>
      </c>
      <c r="C52" s="36" t="s">
        <v>1925</v>
      </c>
      <c r="D52" s="35" t="s">
        <v>1926</v>
      </c>
      <c r="E52" s="28"/>
      <c r="F52" s="34" t="s">
        <v>1932</v>
      </c>
      <c r="G52" s="34" t="s">
        <v>1933</v>
      </c>
      <c r="H52" s="28"/>
      <c r="J52" s="8"/>
      <c r="K52" s="12" t="s">
        <v>1899</v>
      </c>
      <c r="L52" s="12" t="s">
        <v>1900</v>
      </c>
      <c r="M52" s="12" t="s">
        <v>1901</v>
      </c>
    </row>
    <row r="53" spans="2:13" ht="31.5" customHeight="1" x14ac:dyDescent="0.3">
      <c r="B53" s="37" t="s">
        <v>276</v>
      </c>
      <c r="C53" s="36">
        <v>20</v>
      </c>
      <c r="D53" s="35">
        <v>260</v>
      </c>
      <c r="E53" s="28"/>
      <c r="F53" s="37" t="s">
        <v>93</v>
      </c>
      <c r="G53" s="37">
        <v>28</v>
      </c>
      <c r="H53" s="27"/>
      <c r="I53" s="5"/>
      <c r="J53" s="7" t="s">
        <v>79</v>
      </c>
      <c r="K53" s="14" t="s">
        <v>2191</v>
      </c>
      <c r="L53" s="14" t="s">
        <v>2192</v>
      </c>
      <c r="M53" s="14" t="s">
        <v>1934</v>
      </c>
    </row>
    <row r="54" spans="2:13" ht="31.5" customHeight="1" x14ac:dyDescent="0.3">
      <c r="B54" s="37" t="s">
        <v>278</v>
      </c>
      <c r="C54" s="36">
        <v>5</v>
      </c>
      <c r="D54" s="35">
        <v>65</v>
      </c>
      <c r="E54" s="28"/>
      <c r="F54" s="37" t="s">
        <v>107</v>
      </c>
      <c r="G54" s="37">
        <v>30</v>
      </c>
      <c r="H54" s="27"/>
      <c r="J54" s="7" t="s">
        <v>152</v>
      </c>
      <c r="K54" s="14" t="s">
        <v>2193</v>
      </c>
      <c r="L54" s="14" t="s">
        <v>2194</v>
      </c>
      <c r="M54" s="14" t="s">
        <v>1934</v>
      </c>
    </row>
    <row r="55" spans="2:13" ht="29.25" customHeight="1" x14ac:dyDescent="0.3">
      <c r="B55" s="37" t="s">
        <v>270</v>
      </c>
      <c r="C55" s="36">
        <v>4.8</v>
      </c>
      <c r="D55" s="35">
        <v>62.4</v>
      </c>
      <c r="E55" s="28"/>
      <c r="F55" s="37" t="s">
        <v>112</v>
      </c>
      <c r="G55" s="37">
        <v>32</v>
      </c>
      <c r="H55" s="27"/>
      <c r="J55" s="7" t="s">
        <v>156</v>
      </c>
      <c r="K55" s="14" t="s">
        <v>2195</v>
      </c>
      <c r="L55" s="14" t="s">
        <v>2196</v>
      </c>
      <c r="M55" s="14" t="s">
        <v>1934</v>
      </c>
    </row>
    <row r="56" spans="2:13" ht="31.5" customHeight="1" x14ac:dyDescent="0.3">
      <c r="B56" s="37" t="s">
        <v>191</v>
      </c>
      <c r="C56" s="36">
        <v>45.2</v>
      </c>
      <c r="D56" s="35">
        <v>587.6</v>
      </c>
      <c r="E56" s="28"/>
      <c r="F56" s="37" t="s">
        <v>123</v>
      </c>
      <c r="G56" s="28">
        <v>29</v>
      </c>
      <c r="H56" s="27"/>
      <c r="J56" s="7" t="s">
        <v>160</v>
      </c>
      <c r="K56" s="14" t="s">
        <v>2197</v>
      </c>
      <c r="L56" s="14" t="s">
        <v>2198</v>
      </c>
      <c r="M56" s="14" t="s">
        <v>1934</v>
      </c>
    </row>
    <row r="57" spans="2:13" ht="31.5" customHeight="1" x14ac:dyDescent="0.3">
      <c r="B57" s="37"/>
      <c r="C57" s="36"/>
      <c r="D57" s="35"/>
      <c r="E57" s="28"/>
      <c r="F57" s="37" t="s">
        <v>118</v>
      </c>
      <c r="G57" s="28">
        <v>32</v>
      </c>
      <c r="H57" s="27"/>
      <c r="J57" s="7" t="s">
        <v>1902</v>
      </c>
      <c r="K57" s="14" t="s">
        <v>2199</v>
      </c>
      <c r="L57" s="14" t="s">
        <v>1934</v>
      </c>
      <c r="M57" s="14" t="s">
        <v>1934</v>
      </c>
    </row>
    <row r="58" spans="2:13" ht="31.5" customHeight="1" x14ac:dyDescent="0.3">
      <c r="B58" s="34" t="s">
        <v>1935</v>
      </c>
      <c r="C58" s="36" t="s">
        <v>1925</v>
      </c>
      <c r="D58" s="35" t="s">
        <v>1925</v>
      </c>
      <c r="E58" s="28"/>
      <c r="F58" s="38"/>
      <c r="G58" s="28"/>
      <c r="H58" s="27"/>
      <c r="J58" s="7" t="s">
        <v>1903</v>
      </c>
      <c r="K58" s="14" t="s">
        <v>2200</v>
      </c>
      <c r="L58" s="14" t="s">
        <v>1934</v>
      </c>
      <c r="M58" s="14" t="s">
        <v>1934</v>
      </c>
    </row>
    <row r="59" spans="2:13" ht="31.5" customHeight="1" x14ac:dyDescent="0.3">
      <c r="B59" s="37" t="s">
        <v>292</v>
      </c>
      <c r="C59" s="36">
        <v>80</v>
      </c>
      <c r="D59" s="35">
        <v>80</v>
      </c>
      <c r="E59" s="28"/>
      <c r="F59" s="38"/>
      <c r="G59" s="28"/>
      <c r="H59" s="27"/>
      <c r="J59" s="7" t="s">
        <v>1904</v>
      </c>
      <c r="K59" s="14" t="s">
        <v>2201</v>
      </c>
      <c r="L59" s="14" t="s">
        <v>1934</v>
      </c>
      <c r="M59" s="14" t="s">
        <v>1934</v>
      </c>
    </row>
    <row r="60" spans="2:13" ht="31.5" customHeight="1" x14ac:dyDescent="0.3">
      <c r="B60" s="37" t="s">
        <v>191</v>
      </c>
      <c r="C60" s="36">
        <v>100</v>
      </c>
      <c r="D60" s="35">
        <v>100</v>
      </c>
      <c r="E60" s="28"/>
      <c r="F60" s="38"/>
      <c r="G60" s="28"/>
      <c r="H60" s="27"/>
      <c r="J60" s="7" t="s">
        <v>1905</v>
      </c>
      <c r="K60" s="14" t="s">
        <v>2202</v>
      </c>
      <c r="L60" s="14" t="s">
        <v>1934</v>
      </c>
      <c r="M60" s="14" t="s">
        <v>1934</v>
      </c>
    </row>
    <row r="61" spans="2:13" ht="18.75" x14ac:dyDescent="0.25">
      <c r="B61" s="37" t="s">
        <v>301</v>
      </c>
      <c r="C61" s="36">
        <v>80</v>
      </c>
      <c r="D61" s="35">
        <v>80</v>
      </c>
      <c r="E61" s="37"/>
      <c r="F61" s="37"/>
      <c r="G61" s="36"/>
      <c r="H61" s="35"/>
      <c r="J61" s="21"/>
      <c r="K61" s="22"/>
      <c r="L61" s="23"/>
    </row>
    <row r="62" spans="2:13" ht="18.75" x14ac:dyDescent="0.25">
      <c r="B62" s="37" t="s">
        <v>1936</v>
      </c>
      <c r="C62" s="36">
        <v>200</v>
      </c>
      <c r="D62" s="35">
        <v>200</v>
      </c>
      <c r="E62" s="37"/>
      <c r="F62" s="37"/>
      <c r="G62" s="36"/>
      <c r="H62" s="35"/>
      <c r="J62" s="21"/>
      <c r="K62" s="22"/>
      <c r="L62" s="23"/>
    </row>
    <row r="63" spans="2:13" ht="22.5" customHeight="1" x14ac:dyDescent="0.25">
      <c r="B63" s="37"/>
      <c r="C63" s="36"/>
      <c r="D63" s="35"/>
      <c r="E63" s="37"/>
      <c r="F63" s="37"/>
      <c r="G63" s="36"/>
      <c r="H63" s="35"/>
      <c r="J63" s="21"/>
      <c r="K63" s="22"/>
      <c r="L63" s="23"/>
    </row>
    <row r="64" spans="2:13" x14ac:dyDescent="0.25">
      <c r="B64" s="12" t="s">
        <v>1899</v>
      </c>
      <c r="C64" s="12" t="s">
        <v>1900</v>
      </c>
      <c r="D64" s="12" t="s">
        <v>1901</v>
      </c>
      <c r="E64" s="12" t="s">
        <v>1906</v>
      </c>
      <c r="F64" s="12" t="s">
        <v>1907</v>
      </c>
      <c r="G64" s="12" t="s">
        <v>1908</v>
      </c>
      <c r="H64" s="12" t="s">
        <v>1909</v>
      </c>
      <c r="I64" s="12" t="s">
        <v>1910</v>
      </c>
      <c r="J64" s="12" t="s">
        <v>1911</v>
      </c>
      <c r="K64" s="12" t="s">
        <v>1912</v>
      </c>
      <c r="L64" s="12" t="s">
        <v>1913</v>
      </c>
      <c r="M64" s="12" t="s">
        <v>1914</v>
      </c>
    </row>
    <row r="65" spans="1:13" ht="18.75" customHeight="1" x14ac:dyDescent="0.25">
      <c r="A65" s="7" t="s">
        <v>79</v>
      </c>
      <c r="B65" s="39" t="s">
        <v>1934</v>
      </c>
      <c r="C65" s="39" t="s">
        <v>1970</v>
      </c>
      <c r="D65" s="39" t="s">
        <v>2001</v>
      </c>
      <c r="E65" s="39" t="s">
        <v>1934</v>
      </c>
      <c r="F65" s="39" t="s">
        <v>1934</v>
      </c>
      <c r="G65" s="39" t="s">
        <v>1934</v>
      </c>
      <c r="H65" s="39" t="s">
        <v>1934</v>
      </c>
      <c r="I65" s="39" t="s">
        <v>1934</v>
      </c>
      <c r="J65" s="39" t="s">
        <v>1934</v>
      </c>
      <c r="K65" s="39" t="s">
        <v>1934</v>
      </c>
      <c r="L65" s="39" t="s">
        <v>1934</v>
      </c>
      <c r="M65" s="39" t="s">
        <v>1934</v>
      </c>
    </row>
    <row r="66" spans="1:13" ht="18.75" customHeight="1" x14ac:dyDescent="0.25">
      <c r="A66" s="7" t="s">
        <v>152</v>
      </c>
      <c r="B66" s="39" t="s">
        <v>1934</v>
      </c>
      <c r="C66" s="39" t="s">
        <v>1973</v>
      </c>
      <c r="D66" s="39" t="s">
        <v>2005</v>
      </c>
      <c r="E66" s="39" t="s">
        <v>1934</v>
      </c>
      <c r="F66" s="39" t="s">
        <v>1934</v>
      </c>
      <c r="G66" s="39" t="s">
        <v>1934</v>
      </c>
      <c r="H66" s="39" t="s">
        <v>1934</v>
      </c>
      <c r="I66" s="39" t="s">
        <v>1934</v>
      </c>
      <c r="J66" s="39" t="s">
        <v>1934</v>
      </c>
      <c r="K66" s="39" t="s">
        <v>1934</v>
      </c>
      <c r="L66" s="39" t="s">
        <v>1934</v>
      </c>
      <c r="M66" s="39" t="s">
        <v>1934</v>
      </c>
    </row>
    <row r="67" spans="1:13" ht="18.75" customHeight="1" x14ac:dyDescent="0.25">
      <c r="A67" s="7" t="s">
        <v>156</v>
      </c>
      <c r="B67" s="39" t="s">
        <v>1934</v>
      </c>
      <c r="C67" s="39" t="s">
        <v>1977</v>
      </c>
      <c r="D67" s="39" t="s">
        <v>1934</v>
      </c>
      <c r="E67" s="39" t="s">
        <v>1934</v>
      </c>
      <c r="F67" s="39" t="s">
        <v>1934</v>
      </c>
      <c r="G67" s="39" t="s">
        <v>1934</v>
      </c>
      <c r="H67" s="39" t="s">
        <v>1934</v>
      </c>
      <c r="I67" s="39" t="s">
        <v>1934</v>
      </c>
      <c r="J67" s="39" t="s">
        <v>1934</v>
      </c>
      <c r="K67" s="39" t="s">
        <v>1934</v>
      </c>
      <c r="L67" s="39" t="s">
        <v>1934</v>
      </c>
      <c r="M67" s="39" t="s">
        <v>1934</v>
      </c>
    </row>
    <row r="68" spans="1:13" ht="18.75" customHeight="1" x14ac:dyDescent="0.25">
      <c r="A68" s="7" t="s">
        <v>160</v>
      </c>
      <c r="B68" s="39" t="s">
        <v>1934</v>
      </c>
      <c r="C68" s="39" t="s">
        <v>1981</v>
      </c>
      <c r="D68" s="39" t="s">
        <v>1934</v>
      </c>
      <c r="E68" s="39" t="s">
        <v>1934</v>
      </c>
      <c r="F68" s="39" t="s">
        <v>1934</v>
      </c>
      <c r="G68" s="39" t="s">
        <v>1934</v>
      </c>
      <c r="H68" s="39" t="s">
        <v>1934</v>
      </c>
      <c r="I68" s="39" t="s">
        <v>1934</v>
      </c>
      <c r="J68" s="39" t="s">
        <v>1934</v>
      </c>
      <c r="K68" s="39" t="s">
        <v>1934</v>
      </c>
      <c r="L68" s="39" t="s">
        <v>1934</v>
      </c>
      <c r="M68" s="39" t="s">
        <v>1934</v>
      </c>
    </row>
    <row r="69" spans="1:13" ht="18.75" customHeight="1" x14ac:dyDescent="0.25">
      <c r="A69" s="7" t="s">
        <v>1902</v>
      </c>
      <c r="B69" s="39" t="s">
        <v>1934</v>
      </c>
      <c r="C69" s="39" t="s">
        <v>1985</v>
      </c>
      <c r="D69" s="39" t="s">
        <v>1934</v>
      </c>
      <c r="E69" s="39" t="s">
        <v>1934</v>
      </c>
      <c r="F69" s="39" t="s">
        <v>1934</v>
      </c>
      <c r="G69" s="39" t="s">
        <v>1934</v>
      </c>
      <c r="H69" s="39" t="s">
        <v>1934</v>
      </c>
      <c r="I69" s="39" t="s">
        <v>1934</v>
      </c>
      <c r="J69" s="39" t="s">
        <v>1934</v>
      </c>
      <c r="K69" s="39" t="s">
        <v>1934</v>
      </c>
      <c r="L69" s="39" t="s">
        <v>1934</v>
      </c>
      <c r="M69" s="39" t="s">
        <v>1934</v>
      </c>
    </row>
    <row r="70" spans="1:13" ht="18.75" customHeight="1" x14ac:dyDescent="0.25">
      <c r="A70" s="7" t="s">
        <v>1903</v>
      </c>
      <c r="B70" s="39" t="s">
        <v>1934</v>
      </c>
      <c r="C70" s="39" t="s">
        <v>1989</v>
      </c>
      <c r="D70" s="39" t="s">
        <v>1934</v>
      </c>
      <c r="E70" s="39" t="s">
        <v>1934</v>
      </c>
      <c r="F70" s="39" t="s">
        <v>1934</v>
      </c>
      <c r="G70" s="39" t="s">
        <v>1934</v>
      </c>
      <c r="H70" s="39" t="s">
        <v>1934</v>
      </c>
      <c r="I70" s="39" t="s">
        <v>1934</v>
      </c>
      <c r="J70" s="39" t="s">
        <v>1934</v>
      </c>
      <c r="K70" s="39" t="s">
        <v>1934</v>
      </c>
      <c r="L70" s="39" t="s">
        <v>1934</v>
      </c>
      <c r="M70" s="39" t="s">
        <v>1934</v>
      </c>
    </row>
    <row r="71" spans="1:13" ht="18.75" customHeight="1" x14ac:dyDescent="0.25">
      <c r="A71" s="7" t="s">
        <v>1904</v>
      </c>
      <c r="B71" s="39" t="s">
        <v>1963</v>
      </c>
      <c r="C71" s="39" t="s">
        <v>1993</v>
      </c>
      <c r="D71" s="39" t="s">
        <v>1934</v>
      </c>
      <c r="E71" s="39" t="s">
        <v>1934</v>
      </c>
      <c r="F71" s="39" t="s">
        <v>1934</v>
      </c>
      <c r="G71" s="39" t="s">
        <v>1934</v>
      </c>
      <c r="H71" s="39" t="s">
        <v>1934</v>
      </c>
      <c r="I71" s="39" t="s">
        <v>1934</v>
      </c>
      <c r="J71" s="39" t="s">
        <v>1934</v>
      </c>
      <c r="K71" s="39" t="s">
        <v>1934</v>
      </c>
      <c r="L71" s="39" t="s">
        <v>1934</v>
      </c>
      <c r="M71" s="39" t="s">
        <v>1934</v>
      </c>
    </row>
    <row r="72" spans="1:13" ht="18.75" customHeight="1" x14ac:dyDescent="0.25">
      <c r="A72" s="7" t="s">
        <v>1905</v>
      </c>
      <c r="B72" s="39" t="s">
        <v>1967</v>
      </c>
      <c r="C72" s="39" t="s">
        <v>1997</v>
      </c>
      <c r="D72" s="39" t="s">
        <v>1934</v>
      </c>
      <c r="E72" s="39" t="s">
        <v>1934</v>
      </c>
      <c r="F72" s="39" t="s">
        <v>1934</v>
      </c>
      <c r="G72" s="39" t="s">
        <v>1934</v>
      </c>
      <c r="H72" s="39" t="s">
        <v>1934</v>
      </c>
      <c r="I72" s="39" t="s">
        <v>1934</v>
      </c>
      <c r="J72" s="39" t="s">
        <v>1934</v>
      </c>
      <c r="K72" s="39" t="s">
        <v>1934</v>
      </c>
      <c r="L72" s="39" t="s">
        <v>1934</v>
      </c>
      <c r="M72" s="39" t="s">
        <v>1934</v>
      </c>
    </row>
  </sheetData>
  <mergeCells count="4">
    <mergeCell ref="E4:H4"/>
    <mergeCell ref="K4:L5"/>
    <mergeCell ref="B7:C7"/>
    <mergeCell ref="K7:L7"/>
  </mergeCells>
  <conditionalFormatting sqref="B8:B31">
    <cfRule type="duplicateValues" dxfId="55" priority="13"/>
  </conditionalFormatting>
  <conditionalFormatting sqref="B8:C31">
    <cfRule type="containsBlanks" dxfId="54" priority="4">
      <formula>LEN(TRIM(B8))=0</formula>
    </cfRule>
  </conditionalFormatting>
  <conditionalFormatting sqref="C8:C31">
    <cfRule type="duplicateValues" dxfId="53" priority="5"/>
  </conditionalFormatting>
  <conditionalFormatting sqref="E4">
    <cfRule type="notContainsBlanks" dxfId="52" priority="9">
      <formula>LEN(TRIM(E4))&gt;0</formula>
    </cfRule>
  </conditionalFormatting>
  <conditionalFormatting sqref="E8:H31">
    <cfRule type="expression" dxfId="51" priority="3">
      <formula>ISNUMBER(FIND("POOL",$D8))</formula>
    </cfRule>
  </conditionalFormatting>
  <conditionalFormatting sqref="J8:J31">
    <cfRule type="expression" dxfId="50" priority="8">
      <formula>ISNUMBER(FIND("POOL",$D8))</formula>
    </cfRule>
  </conditionalFormatting>
  <conditionalFormatting sqref="K8:K31">
    <cfRule type="duplicateValues" dxfId="49" priority="10"/>
    <cfRule type="expression" dxfId="48" priority="11">
      <formula>ISNUMBER(FIND("POOL",$D8))</formula>
    </cfRule>
  </conditionalFormatting>
  <conditionalFormatting sqref="L8:L31">
    <cfRule type="containsBlanks" dxfId="47" priority="6">
      <formula>LEN(TRIM(L8))=0</formula>
    </cfRule>
    <cfRule type="duplicateValues" dxfId="46" priority="7"/>
  </conditionalFormatting>
  <conditionalFormatting sqref="M8:M31">
    <cfRule type="expression" dxfId="45" priority="1">
      <formula>ISNUMBER(FIND("POOL",$D8))</formula>
    </cfRule>
  </conditionalFormatting>
  <dataValidations count="1">
    <dataValidation type="whole" allowBlank="1" showInputMessage="1" showErrorMessage="1" sqref="D4" xr:uid="{4C34623D-BF53-4CE7-953E-0A09078291C2}">
      <formula1>0</formula1>
      <formula2>24</formula2>
    </dataValidation>
  </dataValidations>
  <pageMargins left="0.25" right="0.25" top="0.75" bottom="0.75" header="0.3" footer="0.3"/>
  <pageSetup paperSize="9" scale="4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B09C64D-1CE3-4D0D-A4AA-177AD28D4C4B}">
          <x14:formula1>
            <xm:f>Database!$B$16:$B$19</xm:f>
          </x14:formula1>
          <xm:sqref>J8:J31</xm:sqref>
        </x14:dataValidation>
        <x14:dataValidation type="list" allowBlank="1" showInputMessage="1" showErrorMessage="1" xr:uid="{569770A7-0C8C-4E4D-B2CB-2F69405ADA5F}">
          <x14:formula1>
            <xm:f>Database!$A$5:$A$11</xm:f>
          </x14:formula1>
          <xm:sqref>F8:F31</xm:sqref>
        </x14:dataValidation>
        <x14:dataValidation type="list" allowBlank="1" showInputMessage="1" showErrorMessage="1" xr:uid="{762DC2E8-8CC3-42AD-BB8C-9FF7D5E2808B}">
          <x14:formula1>
            <xm:f>Database!$A$16:$A$18</xm:f>
          </x14:formula1>
          <xm:sqref>D2 F9:F13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EFD51-911F-4BD7-8AA3-958CBFEB9C2E}">
  <dimension ref="A2:M72"/>
  <sheetViews>
    <sheetView view="pageBreakPreview" zoomScale="70" zoomScaleNormal="70" zoomScaleSheetLayoutView="70" zoomScalePageLayoutView="40" workbookViewId="0">
      <selection activeCell="H27" sqref="H27"/>
    </sheetView>
  </sheetViews>
  <sheetFormatPr defaultColWidth="9.140625" defaultRowHeight="15" x14ac:dyDescent="0.25"/>
  <cols>
    <col min="1" max="1" width="18.28515625" style="5" customWidth="1"/>
    <col min="2" max="4" width="15" style="5" customWidth="1"/>
    <col min="5" max="5" width="16.140625" style="5" customWidth="1"/>
    <col min="6" max="6" width="17.7109375" style="5" customWidth="1"/>
    <col min="7" max="7" width="15" style="5" customWidth="1"/>
    <col min="8" max="9" width="15" style="8" customWidth="1"/>
    <col min="10" max="12" width="15" style="5" customWidth="1"/>
    <col min="13" max="13" width="15" style="8" customWidth="1"/>
    <col min="14" max="16384" width="9.140625" style="5"/>
  </cols>
  <sheetData>
    <row r="2" spans="1:13" ht="17.25" x14ac:dyDescent="0.3">
      <c r="C2" s="18" t="s">
        <v>1892</v>
      </c>
      <c r="D2" s="15" t="s">
        <v>151</v>
      </c>
      <c r="F2" s="18" t="s">
        <v>1893</v>
      </c>
      <c r="G2" s="43">
        <v>44799</v>
      </c>
      <c r="H2" s="8" t="s">
        <v>1894</v>
      </c>
      <c r="J2" s="18" t="s">
        <v>1895</v>
      </c>
      <c r="K2" s="61" t="s">
        <v>2163</v>
      </c>
      <c r="L2" s="60"/>
    </row>
    <row r="3" spans="1:13" ht="9.75" customHeight="1" x14ac:dyDescent="0.3">
      <c r="C3" s="13"/>
      <c r="D3" s="16"/>
    </row>
    <row r="4" spans="1:13" ht="18.75" x14ac:dyDescent="0.3">
      <c r="C4" s="18" t="s">
        <v>1896</v>
      </c>
      <c r="D4" s="17">
        <v>2</v>
      </c>
      <c r="E4" s="140" t="s">
        <v>1916</v>
      </c>
      <c r="F4" s="141"/>
      <c r="G4" s="141"/>
      <c r="H4" s="141"/>
      <c r="J4" s="18" t="s">
        <v>1897</v>
      </c>
      <c r="K4" s="142"/>
      <c r="L4" s="143"/>
    </row>
    <row r="5" spans="1:13" ht="17.25" x14ac:dyDescent="0.3">
      <c r="C5" s="18" t="s">
        <v>1898</v>
      </c>
      <c r="D5" s="17">
        <v>10036</v>
      </c>
      <c r="J5" s="18"/>
      <c r="K5" s="144"/>
      <c r="L5" s="145"/>
    </row>
    <row r="6" spans="1:13" ht="12" customHeight="1" x14ac:dyDescent="0.25">
      <c r="B6" s="6"/>
      <c r="C6" s="6"/>
    </row>
    <row r="7" spans="1:13" s="40" customFormat="1" ht="37.5" x14ac:dyDescent="0.25">
      <c r="B7" s="146" t="s">
        <v>1</v>
      </c>
      <c r="C7" s="146"/>
      <c r="D7" s="41" t="s">
        <v>2</v>
      </c>
      <c r="E7" s="41" t="s">
        <v>1917</v>
      </c>
      <c r="F7" s="41" t="s">
        <v>4</v>
      </c>
      <c r="G7" s="41" t="s">
        <v>1918</v>
      </c>
      <c r="H7" s="41" t="s">
        <v>1919</v>
      </c>
      <c r="I7" s="41" t="s">
        <v>1920</v>
      </c>
      <c r="J7" s="41" t="s">
        <v>8</v>
      </c>
      <c r="K7" s="146" t="s">
        <v>1921</v>
      </c>
      <c r="L7" s="146"/>
      <c r="M7" s="41" t="s">
        <v>1922</v>
      </c>
    </row>
    <row r="8" spans="1:13" ht="19.5" x14ac:dyDescent="0.3">
      <c r="A8" s="6"/>
      <c r="B8" s="33">
        <v>3</v>
      </c>
      <c r="C8" s="33" t="s">
        <v>94</v>
      </c>
      <c r="D8" s="28" t="s">
        <v>2111</v>
      </c>
      <c r="E8" s="29" t="s">
        <v>2037</v>
      </c>
      <c r="F8" s="45" t="s">
        <v>90</v>
      </c>
      <c r="G8" s="30">
        <v>47.4</v>
      </c>
      <c r="H8" s="31">
        <v>1</v>
      </c>
      <c r="I8" s="48">
        <v>21.12</v>
      </c>
      <c r="J8" s="30" t="s">
        <v>79</v>
      </c>
      <c r="K8" s="30">
        <v>18</v>
      </c>
      <c r="L8" s="33" t="s">
        <v>157</v>
      </c>
      <c r="M8" s="30">
        <v>39.6</v>
      </c>
    </row>
    <row r="9" spans="1:13" ht="19.5" x14ac:dyDescent="0.3">
      <c r="A9" s="6"/>
      <c r="B9" s="33">
        <v>4</v>
      </c>
      <c r="C9" s="33" t="s">
        <v>103</v>
      </c>
      <c r="D9" s="28" t="s">
        <v>2114</v>
      </c>
      <c r="E9" s="29" t="s">
        <v>2115</v>
      </c>
      <c r="F9" s="45" t="s">
        <v>90</v>
      </c>
      <c r="G9" s="30">
        <v>13</v>
      </c>
      <c r="H9" s="31">
        <v>2</v>
      </c>
      <c r="I9" s="48">
        <v>10.133333333333333</v>
      </c>
      <c r="J9" s="30" t="s">
        <v>79</v>
      </c>
      <c r="K9" s="30">
        <v>19</v>
      </c>
      <c r="L9" s="33" t="s">
        <v>161</v>
      </c>
      <c r="M9" s="30">
        <v>2.2000000000000002</v>
      </c>
    </row>
    <row r="10" spans="1:13" ht="19.5" x14ac:dyDescent="0.3">
      <c r="A10" s="6"/>
      <c r="B10" s="33" t="s">
        <v>1916</v>
      </c>
      <c r="C10" s="33" t="s">
        <v>1916</v>
      </c>
      <c r="D10" s="28" t="s">
        <v>1916</v>
      </c>
      <c r="E10" s="29"/>
      <c r="F10" s="45"/>
      <c r="G10" s="30"/>
      <c r="H10" s="31"/>
      <c r="I10" s="32" t="s">
        <v>1916</v>
      </c>
      <c r="J10" s="30"/>
      <c r="K10" s="30"/>
      <c r="L10" s="33" t="s">
        <v>1916</v>
      </c>
      <c r="M10" s="30"/>
    </row>
    <row r="11" spans="1:13" ht="19.5" x14ac:dyDescent="0.3">
      <c r="A11" s="6"/>
      <c r="B11" s="33" t="s">
        <v>1916</v>
      </c>
      <c r="C11" s="33" t="s">
        <v>1916</v>
      </c>
      <c r="D11" s="28" t="s">
        <v>1916</v>
      </c>
      <c r="E11" s="29"/>
      <c r="F11" s="45"/>
      <c r="G11" s="30"/>
      <c r="H11" s="31"/>
      <c r="I11" s="32" t="s">
        <v>1916</v>
      </c>
      <c r="J11" s="30"/>
      <c r="K11" s="30"/>
      <c r="L11" s="33" t="s">
        <v>1916</v>
      </c>
      <c r="M11" s="30"/>
    </row>
    <row r="12" spans="1:13" ht="19.5" x14ac:dyDescent="0.3">
      <c r="A12" s="6"/>
      <c r="B12" s="33" t="s">
        <v>1916</v>
      </c>
      <c r="C12" s="33" t="s">
        <v>1916</v>
      </c>
      <c r="D12" s="28" t="s">
        <v>1916</v>
      </c>
      <c r="E12" s="29"/>
      <c r="F12" s="45"/>
      <c r="G12" s="30"/>
      <c r="H12" s="31"/>
      <c r="I12" s="32" t="s">
        <v>1916</v>
      </c>
      <c r="J12" s="30"/>
      <c r="K12" s="30"/>
      <c r="L12" s="33" t="s">
        <v>1916</v>
      </c>
      <c r="M12" s="30"/>
    </row>
    <row r="13" spans="1:13" ht="19.5" x14ac:dyDescent="0.3">
      <c r="A13" s="6"/>
      <c r="B13" s="33" t="s">
        <v>1916</v>
      </c>
      <c r="C13" s="33" t="s">
        <v>1916</v>
      </c>
      <c r="D13" s="28" t="s">
        <v>1916</v>
      </c>
      <c r="E13" s="29"/>
      <c r="F13" s="45"/>
      <c r="G13" s="30"/>
      <c r="H13" s="31"/>
      <c r="I13" s="32" t="s">
        <v>1916</v>
      </c>
      <c r="J13" s="30"/>
      <c r="K13" s="30"/>
      <c r="L13" s="33" t="s">
        <v>1916</v>
      </c>
      <c r="M13" s="30"/>
    </row>
    <row r="14" spans="1:13" ht="19.5" x14ac:dyDescent="0.3">
      <c r="A14" s="6"/>
      <c r="B14" s="33" t="s">
        <v>1916</v>
      </c>
      <c r="C14" s="33" t="s">
        <v>1916</v>
      </c>
      <c r="D14" s="28" t="s">
        <v>1916</v>
      </c>
      <c r="E14" s="29"/>
      <c r="F14" s="45"/>
      <c r="G14" s="30"/>
      <c r="H14" s="31"/>
      <c r="I14" s="32" t="s">
        <v>1916</v>
      </c>
      <c r="J14" s="30"/>
      <c r="K14" s="30"/>
      <c r="L14" s="33" t="s">
        <v>1916</v>
      </c>
      <c r="M14" s="30"/>
    </row>
    <row r="15" spans="1:13" ht="19.5" x14ac:dyDescent="0.3">
      <c r="A15" s="6"/>
      <c r="B15" s="33" t="s">
        <v>1916</v>
      </c>
      <c r="C15" s="33" t="s">
        <v>1916</v>
      </c>
      <c r="D15" s="28" t="s">
        <v>1916</v>
      </c>
      <c r="E15" s="29"/>
      <c r="F15" s="45"/>
      <c r="G15" s="30"/>
      <c r="H15" s="31"/>
      <c r="I15" s="32" t="s">
        <v>1916</v>
      </c>
      <c r="J15" s="30"/>
      <c r="K15" s="30"/>
      <c r="L15" s="33" t="s">
        <v>1916</v>
      </c>
      <c r="M15" s="30"/>
    </row>
    <row r="16" spans="1:13" ht="19.5" x14ac:dyDescent="0.3">
      <c r="A16" s="6"/>
      <c r="B16" s="33" t="s">
        <v>1916</v>
      </c>
      <c r="C16" s="33" t="s">
        <v>1916</v>
      </c>
      <c r="D16" s="28" t="s">
        <v>1916</v>
      </c>
      <c r="E16" s="29"/>
      <c r="F16" s="45"/>
      <c r="G16" s="30"/>
      <c r="H16" s="31"/>
      <c r="I16" s="32" t="s">
        <v>1916</v>
      </c>
      <c r="J16" s="30"/>
      <c r="K16" s="30"/>
      <c r="L16" s="33" t="s">
        <v>1916</v>
      </c>
      <c r="M16" s="30"/>
    </row>
    <row r="17" spans="1:13" ht="19.5" x14ac:dyDescent="0.3">
      <c r="A17" s="6"/>
      <c r="B17" s="33" t="s">
        <v>1916</v>
      </c>
      <c r="C17" s="33" t="s">
        <v>1916</v>
      </c>
      <c r="D17" s="28" t="s">
        <v>1916</v>
      </c>
      <c r="E17" s="29"/>
      <c r="F17" s="45"/>
      <c r="G17" s="30"/>
      <c r="H17" s="31"/>
      <c r="I17" s="32" t="s">
        <v>1916</v>
      </c>
      <c r="J17" s="30"/>
      <c r="K17" s="30"/>
      <c r="L17" s="33" t="s">
        <v>1916</v>
      </c>
      <c r="M17" s="30"/>
    </row>
    <row r="18" spans="1:13" ht="19.5" x14ac:dyDescent="0.3">
      <c r="A18" s="6"/>
      <c r="B18" s="33" t="s">
        <v>1916</v>
      </c>
      <c r="C18" s="33" t="s">
        <v>1916</v>
      </c>
      <c r="D18" s="28" t="s">
        <v>1916</v>
      </c>
      <c r="E18" s="29"/>
      <c r="F18" s="45"/>
      <c r="G18" s="30"/>
      <c r="H18" s="31"/>
      <c r="I18" s="32" t="s">
        <v>1916</v>
      </c>
      <c r="J18" s="30"/>
      <c r="K18" s="30"/>
      <c r="L18" s="33" t="s">
        <v>1916</v>
      </c>
      <c r="M18" s="30"/>
    </row>
    <row r="19" spans="1:13" ht="19.5" x14ac:dyDescent="0.3">
      <c r="A19" s="6"/>
      <c r="B19" s="33" t="s">
        <v>1916</v>
      </c>
      <c r="C19" s="33" t="s">
        <v>1916</v>
      </c>
      <c r="D19" s="28" t="s">
        <v>1916</v>
      </c>
      <c r="E19" s="29"/>
      <c r="F19" s="45"/>
      <c r="G19" s="30"/>
      <c r="H19" s="31"/>
      <c r="I19" s="32" t="s">
        <v>1916</v>
      </c>
      <c r="J19" s="30"/>
      <c r="K19" s="30"/>
      <c r="L19" s="33" t="s">
        <v>1916</v>
      </c>
      <c r="M19" s="30"/>
    </row>
    <row r="20" spans="1:13" ht="19.5" x14ac:dyDescent="0.3">
      <c r="A20" s="6"/>
      <c r="B20" s="33" t="s">
        <v>1916</v>
      </c>
      <c r="C20" s="33" t="s">
        <v>1916</v>
      </c>
      <c r="D20" s="28" t="s">
        <v>1916</v>
      </c>
      <c r="E20" s="29"/>
      <c r="F20" s="45"/>
      <c r="G20" s="30"/>
      <c r="H20" s="31"/>
      <c r="I20" s="32" t="s">
        <v>1916</v>
      </c>
      <c r="J20" s="30"/>
      <c r="K20" s="30"/>
      <c r="L20" s="33" t="s">
        <v>1916</v>
      </c>
      <c r="M20" s="30"/>
    </row>
    <row r="21" spans="1:13" ht="19.5" x14ac:dyDescent="0.3">
      <c r="A21" s="6"/>
      <c r="B21" s="33" t="s">
        <v>1916</v>
      </c>
      <c r="C21" s="33" t="s">
        <v>1916</v>
      </c>
      <c r="D21" s="28" t="s">
        <v>1916</v>
      </c>
      <c r="E21" s="29"/>
      <c r="F21" s="45"/>
      <c r="G21" s="30"/>
      <c r="H21" s="31"/>
      <c r="I21" s="32" t="s">
        <v>1916</v>
      </c>
      <c r="J21" s="30"/>
      <c r="K21" s="30"/>
      <c r="L21" s="33" t="s">
        <v>1916</v>
      </c>
      <c r="M21" s="30"/>
    </row>
    <row r="22" spans="1:13" ht="19.5" x14ac:dyDescent="0.3">
      <c r="A22" s="6"/>
      <c r="B22" s="33" t="s">
        <v>1916</v>
      </c>
      <c r="C22" s="33" t="s">
        <v>1916</v>
      </c>
      <c r="D22" s="28" t="s">
        <v>1916</v>
      </c>
      <c r="E22" s="29"/>
      <c r="F22" s="45"/>
      <c r="G22" s="30"/>
      <c r="H22" s="31"/>
      <c r="I22" s="32" t="s">
        <v>1916</v>
      </c>
      <c r="J22" s="30"/>
      <c r="K22" s="30"/>
      <c r="L22" s="33" t="s">
        <v>1916</v>
      </c>
      <c r="M22" s="30"/>
    </row>
    <row r="23" spans="1:13" ht="19.5" x14ac:dyDescent="0.3">
      <c r="A23" s="6"/>
      <c r="B23" s="33" t="s">
        <v>1916</v>
      </c>
      <c r="C23" s="33" t="s">
        <v>1916</v>
      </c>
      <c r="D23" s="28" t="s">
        <v>1916</v>
      </c>
      <c r="E23" s="29"/>
      <c r="F23" s="45"/>
      <c r="G23" s="30"/>
      <c r="H23" s="31"/>
      <c r="I23" s="32" t="s">
        <v>1916</v>
      </c>
      <c r="J23" s="30"/>
      <c r="K23" s="30"/>
      <c r="L23" s="33" t="s">
        <v>1916</v>
      </c>
      <c r="M23" s="30"/>
    </row>
    <row r="24" spans="1:13" ht="19.5" x14ac:dyDescent="0.3">
      <c r="A24" s="6"/>
      <c r="B24" s="33" t="s">
        <v>1916</v>
      </c>
      <c r="C24" s="33" t="s">
        <v>1916</v>
      </c>
      <c r="D24" s="28" t="s">
        <v>1916</v>
      </c>
      <c r="E24" s="29"/>
      <c r="F24" s="45"/>
      <c r="G24" s="30"/>
      <c r="H24" s="31"/>
      <c r="I24" s="32" t="s">
        <v>1916</v>
      </c>
      <c r="J24" s="30"/>
      <c r="K24" s="30"/>
      <c r="L24" s="33" t="s">
        <v>1916</v>
      </c>
      <c r="M24" s="30"/>
    </row>
    <row r="25" spans="1:13" ht="19.5" x14ac:dyDescent="0.3">
      <c r="A25" s="6"/>
      <c r="B25" s="33" t="s">
        <v>1916</v>
      </c>
      <c r="C25" s="33" t="s">
        <v>1916</v>
      </c>
      <c r="D25" s="28" t="s">
        <v>1916</v>
      </c>
      <c r="E25" s="29"/>
      <c r="F25" s="45"/>
      <c r="G25" s="30"/>
      <c r="H25" s="31"/>
      <c r="I25" s="32" t="s">
        <v>1916</v>
      </c>
      <c r="J25" s="30"/>
      <c r="K25" s="30"/>
      <c r="L25" s="33" t="s">
        <v>1916</v>
      </c>
      <c r="M25" s="30"/>
    </row>
    <row r="26" spans="1:13" ht="19.5" x14ac:dyDescent="0.3">
      <c r="A26" s="6"/>
      <c r="B26" s="33" t="s">
        <v>1916</v>
      </c>
      <c r="C26" s="33" t="s">
        <v>1916</v>
      </c>
      <c r="D26" s="28" t="s">
        <v>1916</v>
      </c>
      <c r="E26" s="29"/>
      <c r="F26" s="45"/>
      <c r="G26" s="30"/>
      <c r="H26" s="31"/>
      <c r="I26" s="32" t="s">
        <v>1916</v>
      </c>
      <c r="J26" s="30"/>
      <c r="K26" s="30"/>
      <c r="L26" s="33" t="s">
        <v>1916</v>
      </c>
      <c r="M26" s="30"/>
    </row>
    <row r="27" spans="1:13" ht="19.5" x14ac:dyDescent="0.3">
      <c r="A27" s="6"/>
      <c r="B27" s="33" t="s">
        <v>1916</v>
      </c>
      <c r="C27" s="33" t="s">
        <v>1916</v>
      </c>
      <c r="D27" s="28" t="s">
        <v>1916</v>
      </c>
      <c r="E27" s="29"/>
      <c r="F27" s="45"/>
      <c r="G27" s="30"/>
      <c r="H27" s="31"/>
      <c r="I27" s="32" t="s">
        <v>1916</v>
      </c>
      <c r="J27" s="30"/>
      <c r="K27" s="30"/>
      <c r="L27" s="33" t="s">
        <v>1916</v>
      </c>
      <c r="M27" s="30"/>
    </row>
    <row r="28" spans="1:13" ht="19.5" x14ac:dyDescent="0.3">
      <c r="A28" s="6"/>
      <c r="B28" s="33" t="s">
        <v>1916</v>
      </c>
      <c r="C28" s="33" t="s">
        <v>1916</v>
      </c>
      <c r="D28" s="28" t="s">
        <v>1916</v>
      </c>
      <c r="E28" s="29"/>
      <c r="F28" s="45"/>
      <c r="G28" s="30"/>
      <c r="H28" s="31"/>
      <c r="I28" s="32" t="s">
        <v>1916</v>
      </c>
      <c r="J28" s="30"/>
      <c r="K28" s="30"/>
      <c r="L28" s="33" t="s">
        <v>1916</v>
      </c>
      <c r="M28" s="30"/>
    </row>
    <row r="29" spans="1:13" ht="19.5" x14ac:dyDescent="0.3">
      <c r="A29" s="6"/>
      <c r="B29" s="33" t="s">
        <v>1916</v>
      </c>
      <c r="C29" s="33" t="s">
        <v>1916</v>
      </c>
      <c r="D29" s="28" t="s">
        <v>1916</v>
      </c>
      <c r="E29" s="29"/>
      <c r="F29" s="45"/>
      <c r="G29" s="30"/>
      <c r="H29" s="31"/>
      <c r="I29" s="32" t="s">
        <v>1916</v>
      </c>
      <c r="J29" s="30"/>
      <c r="K29" s="30"/>
      <c r="L29" s="33" t="s">
        <v>1916</v>
      </c>
      <c r="M29" s="30"/>
    </row>
    <row r="30" spans="1:13" ht="19.5" x14ac:dyDescent="0.3">
      <c r="A30" s="6"/>
      <c r="B30" s="33" t="s">
        <v>1916</v>
      </c>
      <c r="C30" s="33" t="s">
        <v>1916</v>
      </c>
      <c r="D30" s="28" t="s">
        <v>1916</v>
      </c>
      <c r="E30" s="29"/>
      <c r="F30" s="45"/>
      <c r="G30" s="30"/>
      <c r="H30" s="31"/>
      <c r="I30" s="32" t="s">
        <v>1916</v>
      </c>
      <c r="J30" s="30"/>
      <c r="K30" s="30"/>
      <c r="L30" s="33" t="s">
        <v>1916</v>
      </c>
      <c r="M30" s="30"/>
    </row>
    <row r="31" spans="1:13" ht="19.5" x14ac:dyDescent="0.3">
      <c r="A31" s="6"/>
      <c r="B31" s="33" t="s">
        <v>1916</v>
      </c>
      <c r="C31" s="33" t="s">
        <v>1916</v>
      </c>
      <c r="D31" s="28" t="s">
        <v>1916</v>
      </c>
      <c r="E31" s="29"/>
      <c r="F31" s="45"/>
      <c r="G31" s="30"/>
      <c r="H31" s="31"/>
      <c r="I31" s="32" t="s">
        <v>1916</v>
      </c>
      <c r="J31" s="30"/>
      <c r="K31" s="30"/>
      <c r="L31" s="33" t="s">
        <v>1916</v>
      </c>
      <c r="M31" s="30"/>
    </row>
    <row r="32" spans="1:13" x14ac:dyDescent="0.25">
      <c r="A32" s="11"/>
    </row>
    <row r="33" spans="1:12" ht="18.75" x14ac:dyDescent="0.3">
      <c r="A33" s="11"/>
      <c r="B33" s="34" t="s">
        <v>1923</v>
      </c>
      <c r="C33" s="35">
        <v>2.5</v>
      </c>
      <c r="D33" s="28"/>
      <c r="E33" s="28"/>
      <c r="F33" s="28"/>
      <c r="G33" s="28"/>
      <c r="H33" s="27"/>
      <c r="I33" s="27"/>
      <c r="J33" s="28"/>
      <c r="K33" s="28"/>
      <c r="L33" s="28"/>
    </row>
    <row r="34" spans="1:12" ht="18.75" x14ac:dyDescent="0.3">
      <c r="A34" s="11"/>
      <c r="B34" s="28"/>
      <c r="C34" s="28"/>
      <c r="D34" s="28"/>
      <c r="E34" s="28"/>
      <c r="F34" s="28"/>
      <c r="G34" s="28"/>
      <c r="H34" s="27"/>
      <c r="I34" s="27"/>
      <c r="J34" s="28"/>
      <c r="K34" s="28"/>
      <c r="L34" s="28"/>
    </row>
    <row r="35" spans="1:12" ht="18.75" x14ac:dyDescent="0.3">
      <c r="B35" s="34" t="s">
        <v>2174</v>
      </c>
      <c r="C35" s="36" t="s">
        <v>1925</v>
      </c>
      <c r="D35" s="35" t="s">
        <v>1926</v>
      </c>
      <c r="E35" s="28"/>
      <c r="F35" s="34" t="s">
        <v>2164</v>
      </c>
      <c r="G35" s="36" t="s">
        <v>1925</v>
      </c>
      <c r="H35" s="35" t="s">
        <v>1926</v>
      </c>
      <c r="I35" s="27"/>
      <c r="J35" s="34" t="s">
        <v>2165</v>
      </c>
      <c r="K35" s="36" t="s">
        <v>1925</v>
      </c>
      <c r="L35" s="35" t="s">
        <v>1925</v>
      </c>
    </row>
    <row r="36" spans="1:12" ht="18.75" x14ac:dyDescent="0.3">
      <c r="B36" s="37" t="s">
        <v>183</v>
      </c>
      <c r="C36" s="36">
        <v>2</v>
      </c>
      <c r="D36" s="35">
        <v>5</v>
      </c>
      <c r="E36" s="28"/>
      <c r="F36" s="37" t="s">
        <v>187</v>
      </c>
      <c r="G36" s="36">
        <v>4</v>
      </c>
      <c r="H36" s="35">
        <v>10</v>
      </c>
      <c r="I36" s="27"/>
      <c r="J36" s="37" t="s">
        <v>193</v>
      </c>
      <c r="K36" s="36">
        <v>2</v>
      </c>
      <c r="L36" s="35">
        <v>2</v>
      </c>
    </row>
    <row r="37" spans="1:12" ht="18.75" x14ac:dyDescent="0.3">
      <c r="B37" s="37" t="s">
        <v>185</v>
      </c>
      <c r="C37" s="36">
        <v>1</v>
      </c>
      <c r="D37" s="35">
        <v>2.5</v>
      </c>
      <c r="E37" s="28"/>
      <c r="F37" s="37" t="s">
        <v>189</v>
      </c>
      <c r="G37" s="36">
        <v>4</v>
      </c>
      <c r="H37" s="35">
        <v>10</v>
      </c>
      <c r="I37" s="35"/>
      <c r="J37" s="37" t="s">
        <v>1916</v>
      </c>
      <c r="K37" s="36" t="s">
        <v>1916</v>
      </c>
      <c r="L37" s="35" t="s">
        <v>1916</v>
      </c>
    </row>
    <row r="38" spans="1:12" ht="18.75" x14ac:dyDescent="0.3">
      <c r="B38" s="37" t="s">
        <v>1916</v>
      </c>
      <c r="C38" s="36" t="s">
        <v>1916</v>
      </c>
      <c r="D38" s="35" t="s">
        <v>1916</v>
      </c>
      <c r="E38" s="28"/>
      <c r="F38" s="37" t="s">
        <v>191</v>
      </c>
      <c r="G38" s="36">
        <v>2</v>
      </c>
      <c r="H38" s="35">
        <v>5</v>
      </c>
      <c r="I38" s="35"/>
      <c r="J38" s="37"/>
      <c r="K38" s="36"/>
      <c r="L38" s="35"/>
    </row>
    <row r="39" spans="1:12" ht="18.75" x14ac:dyDescent="0.25">
      <c r="B39" s="37"/>
      <c r="C39" s="36"/>
      <c r="D39" s="35"/>
      <c r="E39" s="37"/>
      <c r="F39" s="37"/>
      <c r="G39" s="36"/>
      <c r="H39" s="35"/>
      <c r="I39" s="35"/>
      <c r="J39" s="37"/>
      <c r="K39" s="36"/>
      <c r="L39" s="35"/>
    </row>
    <row r="40" spans="1:12" ht="18.75" x14ac:dyDescent="0.3">
      <c r="B40" s="34" t="s">
        <v>2166</v>
      </c>
      <c r="C40" s="36" t="s">
        <v>1925</v>
      </c>
      <c r="D40" s="35" t="s">
        <v>1925</v>
      </c>
      <c r="E40" s="28"/>
      <c r="F40" s="34" t="s">
        <v>2167</v>
      </c>
      <c r="G40" s="36" t="s">
        <v>1925</v>
      </c>
      <c r="H40" s="35" t="s">
        <v>2168</v>
      </c>
      <c r="I40" s="27"/>
      <c r="J40" s="34" t="s">
        <v>2169</v>
      </c>
      <c r="K40" s="36" t="s">
        <v>1925</v>
      </c>
      <c r="L40" s="35" t="s">
        <v>1926</v>
      </c>
    </row>
    <row r="41" spans="1:12" ht="18.75" x14ac:dyDescent="0.3">
      <c r="B41" s="37" t="s">
        <v>195</v>
      </c>
      <c r="C41" s="36">
        <v>4</v>
      </c>
      <c r="D41" s="35">
        <v>4</v>
      </c>
      <c r="E41" s="37"/>
      <c r="F41" s="37" t="s">
        <v>201</v>
      </c>
      <c r="G41" s="36">
        <v>45</v>
      </c>
      <c r="H41" s="35">
        <v>45</v>
      </c>
      <c r="I41" s="27"/>
      <c r="J41" s="37" t="s">
        <v>205</v>
      </c>
      <c r="K41" s="36">
        <v>45</v>
      </c>
      <c r="L41" s="35">
        <v>112.5</v>
      </c>
    </row>
    <row r="42" spans="1:12" ht="18.75" x14ac:dyDescent="0.3">
      <c r="B42" s="37" t="s">
        <v>197</v>
      </c>
      <c r="C42" s="36">
        <v>2</v>
      </c>
      <c r="D42" s="35">
        <v>2</v>
      </c>
      <c r="E42" s="37"/>
      <c r="F42" s="37" t="s">
        <v>203</v>
      </c>
      <c r="G42" s="36">
        <v>150</v>
      </c>
      <c r="H42" s="35">
        <v>750</v>
      </c>
      <c r="I42" s="27"/>
      <c r="J42" s="37" t="s">
        <v>207</v>
      </c>
      <c r="K42" s="36">
        <v>5</v>
      </c>
      <c r="L42" s="35">
        <v>12.5</v>
      </c>
    </row>
    <row r="43" spans="1:12" ht="18.75" x14ac:dyDescent="0.3">
      <c r="B43" s="37" t="s">
        <v>199</v>
      </c>
      <c r="C43" s="36">
        <v>2</v>
      </c>
      <c r="D43" s="35">
        <v>2</v>
      </c>
      <c r="E43" s="37"/>
      <c r="F43" s="37" t="s">
        <v>1916</v>
      </c>
      <c r="G43" s="36" t="s">
        <v>1916</v>
      </c>
      <c r="H43" s="35" t="s">
        <v>1916</v>
      </c>
      <c r="I43" s="27"/>
      <c r="J43" s="37"/>
      <c r="K43" s="36"/>
      <c r="L43" s="35"/>
    </row>
    <row r="44" spans="1:12" ht="18.75" x14ac:dyDescent="0.3">
      <c r="B44" s="37"/>
      <c r="C44" s="36"/>
      <c r="D44" s="35"/>
      <c r="E44" s="37"/>
      <c r="F44" s="37"/>
      <c r="G44" s="36"/>
      <c r="H44" s="35"/>
      <c r="I44" s="27"/>
      <c r="J44" s="37"/>
      <c r="K44" s="36"/>
      <c r="L44" s="35"/>
    </row>
    <row r="45" spans="1:12" ht="18.75" x14ac:dyDescent="0.3">
      <c r="B45" s="34" t="s">
        <v>2170</v>
      </c>
      <c r="C45" s="36" t="s">
        <v>1925</v>
      </c>
      <c r="D45" s="35" t="s">
        <v>2168</v>
      </c>
      <c r="E45" s="37"/>
      <c r="F45" s="34" t="s">
        <v>1916</v>
      </c>
      <c r="G45" s="36" t="s">
        <v>1916</v>
      </c>
      <c r="H45" s="35" t="s">
        <v>1916</v>
      </c>
      <c r="I45" s="27"/>
      <c r="J45" s="34" t="s">
        <v>1916</v>
      </c>
      <c r="K45" s="36" t="s">
        <v>1916</v>
      </c>
      <c r="L45" s="35" t="s">
        <v>1916</v>
      </c>
    </row>
    <row r="46" spans="1:12" ht="18.75" x14ac:dyDescent="0.3">
      <c r="B46" s="37" t="s">
        <v>209</v>
      </c>
      <c r="C46" s="36">
        <v>50</v>
      </c>
      <c r="D46" s="35">
        <v>50</v>
      </c>
      <c r="E46" s="37"/>
      <c r="F46" s="37" t="s">
        <v>1916</v>
      </c>
      <c r="G46" s="36" t="s">
        <v>1916</v>
      </c>
      <c r="H46" s="35" t="s">
        <v>1916</v>
      </c>
      <c r="I46" s="27"/>
      <c r="J46" s="37" t="s">
        <v>1916</v>
      </c>
      <c r="K46" s="36" t="s">
        <v>1916</v>
      </c>
      <c r="L46" s="35" t="s">
        <v>1916</v>
      </c>
    </row>
    <row r="47" spans="1:12" ht="18.75" x14ac:dyDescent="0.3">
      <c r="B47" s="37" t="s">
        <v>211</v>
      </c>
      <c r="C47" s="36">
        <v>140</v>
      </c>
      <c r="D47" s="35">
        <v>140</v>
      </c>
      <c r="E47" s="37"/>
      <c r="F47" s="37" t="s">
        <v>1916</v>
      </c>
      <c r="G47" s="36" t="s">
        <v>1916</v>
      </c>
      <c r="H47" s="35" t="s">
        <v>1916</v>
      </c>
      <c r="I47" s="27"/>
      <c r="J47" s="37" t="s">
        <v>1916</v>
      </c>
      <c r="K47" s="36" t="s">
        <v>1916</v>
      </c>
      <c r="L47" s="35" t="s">
        <v>1916</v>
      </c>
    </row>
    <row r="48" spans="1:12" ht="18.75" x14ac:dyDescent="0.25">
      <c r="B48" s="37" t="s">
        <v>203</v>
      </c>
      <c r="C48" s="36">
        <v>150</v>
      </c>
      <c r="D48" s="35">
        <v>750</v>
      </c>
      <c r="E48" s="37"/>
      <c r="F48" s="37" t="s">
        <v>1916</v>
      </c>
      <c r="G48" s="36" t="s">
        <v>1916</v>
      </c>
      <c r="H48" s="35" t="s">
        <v>1916</v>
      </c>
      <c r="J48" s="21"/>
      <c r="K48" s="22"/>
      <c r="L48" s="23"/>
    </row>
    <row r="49" spans="2:13" ht="18.75" x14ac:dyDescent="0.25">
      <c r="B49" s="37" t="s">
        <v>214</v>
      </c>
      <c r="C49" s="36">
        <v>30</v>
      </c>
      <c r="D49" s="35">
        <v>30</v>
      </c>
      <c r="E49" s="37"/>
      <c r="F49" s="37" t="s">
        <v>1916</v>
      </c>
      <c r="G49" s="36" t="s">
        <v>1916</v>
      </c>
      <c r="H49" s="35" t="s">
        <v>1916</v>
      </c>
      <c r="J49" s="21"/>
      <c r="K49" s="22"/>
      <c r="L49" s="23"/>
    </row>
    <row r="50" spans="2:13" ht="18.75" x14ac:dyDescent="0.25">
      <c r="B50" s="37" t="s">
        <v>1916</v>
      </c>
      <c r="C50" s="36" t="s">
        <v>1916</v>
      </c>
      <c r="D50" s="35" t="s">
        <v>1916</v>
      </c>
      <c r="E50" s="37"/>
      <c r="F50" s="37" t="s">
        <v>1916</v>
      </c>
      <c r="G50" s="36" t="s">
        <v>1916</v>
      </c>
      <c r="H50" s="35" t="s">
        <v>1916</v>
      </c>
      <c r="J50" s="21"/>
      <c r="K50" s="22"/>
      <c r="L50" s="23"/>
    </row>
    <row r="51" spans="2:13" ht="18.75" x14ac:dyDescent="0.25">
      <c r="B51" s="37"/>
      <c r="C51" s="36"/>
      <c r="D51" s="35"/>
      <c r="E51" s="37"/>
      <c r="F51" s="37"/>
      <c r="G51" s="36"/>
      <c r="H51" s="35"/>
      <c r="J51" s="21"/>
      <c r="K51" s="22"/>
      <c r="L51" s="23"/>
    </row>
    <row r="52" spans="2:13" ht="18.75" x14ac:dyDescent="0.3">
      <c r="B52" s="34" t="s">
        <v>1916</v>
      </c>
      <c r="C52" s="36" t="s">
        <v>1916</v>
      </c>
      <c r="D52" s="35" t="s">
        <v>1916</v>
      </c>
      <c r="E52" s="28"/>
      <c r="F52" s="34" t="s">
        <v>1916</v>
      </c>
      <c r="G52" s="34" t="s">
        <v>1916</v>
      </c>
      <c r="H52" s="28"/>
      <c r="J52" s="8"/>
      <c r="K52" s="12" t="s">
        <v>1899</v>
      </c>
      <c r="L52" s="12" t="s">
        <v>1900</v>
      </c>
      <c r="M52" s="12" t="s">
        <v>1901</v>
      </c>
    </row>
    <row r="53" spans="2:13" ht="31.5" customHeight="1" x14ac:dyDescent="0.3">
      <c r="B53" s="37" t="s">
        <v>1916</v>
      </c>
      <c r="C53" s="36" t="s">
        <v>1916</v>
      </c>
      <c r="D53" s="35" t="s">
        <v>1916</v>
      </c>
      <c r="E53" s="28"/>
      <c r="F53" s="37" t="s">
        <v>1916</v>
      </c>
      <c r="G53" s="37" t="s">
        <v>1916</v>
      </c>
      <c r="H53" s="27"/>
      <c r="I53" s="5"/>
      <c r="J53" s="7" t="s">
        <v>79</v>
      </c>
      <c r="K53" s="14" t="s">
        <v>1934</v>
      </c>
      <c r="L53" s="14" t="s">
        <v>1934</v>
      </c>
      <c r="M53" s="14" t="s">
        <v>1934</v>
      </c>
    </row>
    <row r="54" spans="2:13" ht="31.5" customHeight="1" x14ac:dyDescent="0.3">
      <c r="B54" s="37" t="s">
        <v>1916</v>
      </c>
      <c r="C54" s="36" t="s">
        <v>1916</v>
      </c>
      <c r="D54" s="35" t="s">
        <v>1916</v>
      </c>
      <c r="E54" s="28"/>
      <c r="F54" s="37"/>
      <c r="G54" s="37"/>
      <c r="H54" s="27"/>
      <c r="J54" s="7" t="s">
        <v>152</v>
      </c>
      <c r="K54" s="14" t="s">
        <v>1934</v>
      </c>
      <c r="L54" s="14" t="s">
        <v>1934</v>
      </c>
      <c r="M54" s="14" t="s">
        <v>1934</v>
      </c>
    </row>
    <row r="55" spans="2:13" ht="29.25" customHeight="1" x14ac:dyDescent="0.3">
      <c r="B55" s="37" t="s">
        <v>1916</v>
      </c>
      <c r="C55" s="36" t="s">
        <v>1916</v>
      </c>
      <c r="D55" s="35" t="s">
        <v>1916</v>
      </c>
      <c r="E55" s="28"/>
      <c r="F55" s="37"/>
      <c r="G55" s="37"/>
      <c r="H55" s="27"/>
      <c r="J55" s="7" t="s">
        <v>156</v>
      </c>
      <c r="K55" s="14" t="s">
        <v>2203</v>
      </c>
      <c r="L55" s="14" t="s">
        <v>1934</v>
      </c>
      <c r="M55" s="14" t="s">
        <v>1934</v>
      </c>
    </row>
    <row r="56" spans="2:13" ht="31.5" customHeight="1" x14ac:dyDescent="0.3">
      <c r="B56" s="37" t="s">
        <v>1916</v>
      </c>
      <c r="C56" s="36" t="s">
        <v>1916</v>
      </c>
      <c r="D56" s="35" t="s">
        <v>1916</v>
      </c>
      <c r="E56" s="28"/>
      <c r="F56" s="37"/>
      <c r="G56" s="28"/>
      <c r="H56" s="27"/>
      <c r="J56" s="7" t="s">
        <v>160</v>
      </c>
      <c r="K56" s="14" t="s">
        <v>2204</v>
      </c>
      <c r="L56" s="14" t="s">
        <v>1934</v>
      </c>
      <c r="M56" s="14" t="s">
        <v>1934</v>
      </c>
    </row>
    <row r="57" spans="2:13" ht="31.5" customHeight="1" x14ac:dyDescent="0.3">
      <c r="B57" s="37"/>
      <c r="C57" s="36"/>
      <c r="D57" s="35"/>
      <c r="E57" s="28"/>
      <c r="F57" s="37"/>
      <c r="G57" s="28"/>
      <c r="H57" s="27"/>
      <c r="J57" s="7" t="s">
        <v>1902</v>
      </c>
      <c r="K57" s="14" t="s">
        <v>1934</v>
      </c>
      <c r="L57" s="14" t="s">
        <v>1934</v>
      </c>
      <c r="M57" s="14" t="s">
        <v>1934</v>
      </c>
    </row>
    <row r="58" spans="2:13" ht="31.5" customHeight="1" x14ac:dyDescent="0.3">
      <c r="B58" s="34" t="s">
        <v>1916</v>
      </c>
      <c r="C58" s="36" t="s">
        <v>1916</v>
      </c>
      <c r="D58" s="35" t="s">
        <v>1916</v>
      </c>
      <c r="E58" s="28"/>
      <c r="F58" s="38"/>
      <c r="G58" s="28"/>
      <c r="H58" s="27"/>
      <c r="J58" s="7" t="s">
        <v>1903</v>
      </c>
      <c r="K58" s="14" t="s">
        <v>1934</v>
      </c>
      <c r="L58" s="14" t="s">
        <v>1934</v>
      </c>
      <c r="M58" s="14" t="s">
        <v>1934</v>
      </c>
    </row>
    <row r="59" spans="2:13" ht="31.5" customHeight="1" x14ac:dyDescent="0.3">
      <c r="B59" s="37" t="s">
        <v>1916</v>
      </c>
      <c r="C59" s="36" t="s">
        <v>1916</v>
      </c>
      <c r="D59" s="35" t="s">
        <v>1916</v>
      </c>
      <c r="E59" s="28"/>
      <c r="F59" s="38"/>
      <c r="G59" s="28"/>
      <c r="H59" s="27"/>
      <c r="J59" s="7" t="s">
        <v>1904</v>
      </c>
      <c r="K59" s="14" t="s">
        <v>1934</v>
      </c>
      <c r="L59" s="14" t="s">
        <v>1934</v>
      </c>
      <c r="M59" s="14" t="s">
        <v>1934</v>
      </c>
    </row>
    <row r="60" spans="2:13" ht="31.5" customHeight="1" x14ac:dyDescent="0.3">
      <c r="B60" s="37" t="s">
        <v>1916</v>
      </c>
      <c r="C60" s="36" t="s">
        <v>1916</v>
      </c>
      <c r="D60" s="35" t="s">
        <v>1916</v>
      </c>
      <c r="E60" s="28"/>
      <c r="F60" s="38"/>
      <c r="G60" s="28"/>
      <c r="H60" s="27"/>
      <c r="J60" s="7" t="s">
        <v>1905</v>
      </c>
      <c r="K60" s="14" t="s">
        <v>1934</v>
      </c>
      <c r="L60" s="14" t="s">
        <v>1934</v>
      </c>
      <c r="M60" s="14" t="s">
        <v>1934</v>
      </c>
    </row>
    <row r="61" spans="2:13" ht="18.75" x14ac:dyDescent="0.25">
      <c r="B61" s="37" t="s">
        <v>1916</v>
      </c>
      <c r="C61" s="36" t="s">
        <v>1916</v>
      </c>
      <c r="D61" s="35" t="s">
        <v>1916</v>
      </c>
      <c r="E61" s="37"/>
      <c r="F61" s="37"/>
      <c r="G61" s="36"/>
      <c r="H61" s="35"/>
      <c r="J61" s="21"/>
      <c r="K61" s="22"/>
      <c r="L61" s="23"/>
    </row>
    <row r="62" spans="2:13" ht="18.75" x14ac:dyDescent="0.25">
      <c r="B62" s="37" t="s">
        <v>1916</v>
      </c>
      <c r="C62" s="36" t="s">
        <v>1916</v>
      </c>
      <c r="D62" s="35" t="s">
        <v>1916</v>
      </c>
      <c r="E62" s="37"/>
      <c r="F62" s="37"/>
      <c r="G62" s="36"/>
      <c r="H62" s="35"/>
      <c r="J62" s="21"/>
      <c r="K62" s="22"/>
      <c r="L62" s="23"/>
    </row>
    <row r="63" spans="2:13" ht="22.5" customHeight="1" x14ac:dyDescent="0.25">
      <c r="B63" s="37"/>
      <c r="C63" s="36"/>
      <c r="D63" s="35"/>
      <c r="E63" s="37"/>
      <c r="F63" s="37"/>
      <c r="G63" s="36"/>
      <c r="H63" s="35"/>
      <c r="J63" s="21"/>
      <c r="K63" s="22"/>
      <c r="L63" s="23"/>
    </row>
    <row r="64" spans="2:13" x14ac:dyDescent="0.25">
      <c r="B64" s="12" t="s">
        <v>1899</v>
      </c>
      <c r="C64" s="12" t="s">
        <v>1900</v>
      </c>
      <c r="D64" s="12" t="s">
        <v>1901</v>
      </c>
      <c r="E64" s="12" t="s">
        <v>1906</v>
      </c>
      <c r="F64" s="12" t="s">
        <v>1907</v>
      </c>
      <c r="G64" s="12" t="s">
        <v>1908</v>
      </c>
      <c r="H64" s="12" t="s">
        <v>1909</v>
      </c>
      <c r="I64" s="12" t="s">
        <v>1910</v>
      </c>
      <c r="J64" s="12" t="s">
        <v>1911</v>
      </c>
      <c r="K64" s="12" t="s">
        <v>1912</v>
      </c>
      <c r="L64" s="12" t="s">
        <v>1913</v>
      </c>
      <c r="M64" s="12" t="s">
        <v>1914</v>
      </c>
    </row>
    <row r="65" spans="1:13" ht="18.75" customHeight="1" x14ac:dyDescent="0.25">
      <c r="A65" s="7" t="s">
        <v>79</v>
      </c>
      <c r="B65" s="39" t="s">
        <v>1934</v>
      </c>
      <c r="C65" s="39" t="s">
        <v>1934</v>
      </c>
      <c r="D65" s="39" t="s">
        <v>1934</v>
      </c>
      <c r="E65" s="39" t="s">
        <v>1934</v>
      </c>
      <c r="F65" s="39" t="s">
        <v>1934</v>
      </c>
      <c r="G65" s="39" t="s">
        <v>1934</v>
      </c>
      <c r="H65" s="39" t="s">
        <v>1934</v>
      </c>
      <c r="I65" s="39" t="s">
        <v>1934</v>
      </c>
      <c r="J65" s="39" t="s">
        <v>1934</v>
      </c>
      <c r="K65" s="39" t="s">
        <v>1934</v>
      </c>
      <c r="L65" s="39" t="s">
        <v>1934</v>
      </c>
      <c r="M65" s="39" t="s">
        <v>1934</v>
      </c>
    </row>
    <row r="66" spans="1:13" ht="18.75" customHeight="1" x14ac:dyDescent="0.25">
      <c r="A66" s="7" t="s">
        <v>152</v>
      </c>
      <c r="B66" s="39" t="s">
        <v>1934</v>
      </c>
      <c r="C66" s="39" t="s">
        <v>1934</v>
      </c>
      <c r="D66" s="39" t="s">
        <v>2111</v>
      </c>
      <c r="E66" s="39" t="s">
        <v>1934</v>
      </c>
      <c r="F66" s="39" t="s">
        <v>1934</v>
      </c>
      <c r="G66" s="39" t="s">
        <v>1934</v>
      </c>
      <c r="H66" s="39" t="s">
        <v>1934</v>
      </c>
      <c r="I66" s="39" t="s">
        <v>1934</v>
      </c>
      <c r="J66" s="39" t="s">
        <v>1934</v>
      </c>
      <c r="K66" s="39" t="s">
        <v>1934</v>
      </c>
      <c r="L66" s="39" t="s">
        <v>1934</v>
      </c>
      <c r="M66" s="39" t="s">
        <v>1934</v>
      </c>
    </row>
    <row r="67" spans="1:13" ht="18.75" customHeight="1" x14ac:dyDescent="0.25">
      <c r="A67" s="7" t="s">
        <v>156</v>
      </c>
      <c r="B67" s="39" t="s">
        <v>1934</v>
      </c>
      <c r="C67" s="39" t="s">
        <v>1934</v>
      </c>
      <c r="D67" s="39" t="s">
        <v>2114</v>
      </c>
      <c r="E67" s="39" t="s">
        <v>1934</v>
      </c>
      <c r="F67" s="39" t="s">
        <v>1934</v>
      </c>
      <c r="G67" s="39" t="s">
        <v>1934</v>
      </c>
      <c r="H67" s="39" t="s">
        <v>1934</v>
      </c>
      <c r="I67" s="39" t="s">
        <v>1934</v>
      </c>
      <c r="J67" s="39" t="s">
        <v>1934</v>
      </c>
      <c r="K67" s="39" t="s">
        <v>1934</v>
      </c>
      <c r="L67" s="39" t="s">
        <v>1934</v>
      </c>
      <c r="M67" s="39" t="s">
        <v>1934</v>
      </c>
    </row>
    <row r="68" spans="1:13" ht="18.75" customHeight="1" x14ac:dyDescent="0.25">
      <c r="A68" s="7" t="s">
        <v>160</v>
      </c>
      <c r="B68" s="39" t="s">
        <v>1934</v>
      </c>
      <c r="C68" s="39" t="s">
        <v>1934</v>
      </c>
      <c r="D68" s="39" t="s">
        <v>1934</v>
      </c>
      <c r="E68" s="39" t="s">
        <v>1934</v>
      </c>
      <c r="F68" s="39" t="s">
        <v>1934</v>
      </c>
      <c r="G68" s="39" t="s">
        <v>1934</v>
      </c>
      <c r="H68" s="39" t="s">
        <v>1934</v>
      </c>
      <c r="I68" s="39" t="s">
        <v>1934</v>
      </c>
      <c r="J68" s="39" t="s">
        <v>1934</v>
      </c>
      <c r="K68" s="39" t="s">
        <v>1934</v>
      </c>
      <c r="L68" s="39" t="s">
        <v>1934</v>
      </c>
      <c r="M68" s="39" t="s">
        <v>1934</v>
      </c>
    </row>
    <row r="69" spans="1:13" ht="18.75" customHeight="1" x14ac:dyDescent="0.25">
      <c r="A69" s="7" t="s">
        <v>1902</v>
      </c>
      <c r="B69" s="39" t="s">
        <v>1934</v>
      </c>
      <c r="C69" s="39" t="s">
        <v>1934</v>
      </c>
      <c r="D69" s="39" t="s">
        <v>1934</v>
      </c>
      <c r="E69" s="39" t="s">
        <v>1934</v>
      </c>
      <c r="F69" s="39" t="s">
        <v>1934</v>
      </c>
      <c r="G69" s="39" t="s">
        <v>1934</v>
      </c>
      <c r="H69" s="39" t="s">
        <v>1934</v>
      </c>
      <c r="I69" s="39" t="s">
        <v>1934</v>
      </c>
      <c r="J69" s="39" t="s">
        <v>1934</v>
      </c>
      <c r="K69" s="39" t="s">
        <v>1934</v>
      </c>
      <c r="L69" s="39" t="s">
        <v>1934</v>
      </c>
      <c r="M69" s="39" t="s">
        <v>1934</v>
      </c>
    </row>
    <row r="70" spans="1:13" ht="18.75" customHeight="1" x14ac:dyDescent="0.25">
      <c r="A70" s="7" t="s">
        <v>1903</v>
      </c>
      <c r="B70" s="39" t="s">
        <v>1934</v>
      </c>
      <c r="C70" s="39" t="s">
        <v>1934</v>
      </c>
      <c r="D70" s="39" t="s">
        <v>1934</v>
      </c>
      <c r="E70" s="39" t="s">
        <v>1934</v>
      </c>
      <c r="F70" s="39" t="s">
        <v>1934</v>
      </c>
      <c r="G70" s="39" t="s">
        <v>1934</v>
      </c>
      <c r="H70" s="39" t="s">
        <v>1934</v>
      </c>
      <c r="I70" s="39" t="s">
        <v>1934</v>
      </c>
      <c r="J70" s="39" t="s">
        <v>1934</v>
      </c>
      <c r="K70" s="39" t="s">
        <v>1934</v>
      </c>
      <c r="L70" s="39" t="s">
        <v>1934</v>
      </c>
      <c r="M70" s="39" t="s">
        <v>1934</v>
      </c>
    </row>
    <row r="71" spans="1:13" ht="18.75" customHeight="1" x14ac:dyDescent="0.25">
      <c r="A71" s="7" t="s">
        <v>1904</v>
      </c>
      <c r="B71" s="39" t="s">
        <v>1934</v>
      </c>
      <c r="C71" s="39" t="s">
        <v>1934</v>
      </c>
      <c r="D71" s="39" t="s">
        <v>1934</v>
      </c>
      <c r="E71" s="39" t="s">
        <v>1934</v>
      </c>
      <c r="F71" s="39" t="s">
        <v>1934</v>
      </c>
      <c r="G71" s="39" t="s">
        <v>1934</v>
      </c>
      <c r="H71" s="39" t="s">
        <v>1934</v>
      </c>
      <c r="I71" s="39" t="s">
        <v>1934</v>
      </c>
      <c r="J71" s="39" t="s">
        <v>1934</v>
      </c>
      <c r="K71" s="39" t="s">
        <v>1934</v>
      </c>
      <c r="L71" s="39" t="s">
        <v>1934</v>
      </c>
      <c r="M71" s="39" t="s">
        <v>1934</v>
      </c>
    </row>
    <row r="72" spans="1:13" ht="18.75" customHeight="1" x14ac:dyDescent="0.25">
      <c r="A72" s="7" t="s">
        <v>1905</v>
      </c>
      <c r="B72" s="39" t="s">
        <v>1934</v>
      </c>
      <c r="C72" s="39" t="s">
        <v>1934</v>
      </c>
      <c r="D72" s="39" t="s">
        <v>1934</v>
      </c>
      <c r="E72" s="39" t="s">
        <v>1934</v>
      </c>
      <c r="F72" s="39" t="s">
        <v>1934</v>
      </c>
      <c r="G72" s="39" t="s">
        <v>1934</v>
      </c>
      <c r="H72" s="39" t="s">
        <v>1934</v>
      </c>
      <c r="I72" s="39" t="s">
        <v>1934</v>
      </c>
      <c r="J72" s="39" t="s">
        <v>1934</v>
      </c>
      <c r="K72" s="39" t="s">
        <v>1934</v>
      </c>
      <c r="L72" s="39" t="s">
        <v>1934</v>
      </c>
      <c r="M72" s="39" t="s">
        <v>1934</v>
      </c>
    </row>
  </sheetData>
  <mergeCells count="4">
    <mergeCell ref="E4:H4"/>
    <mergeCell ref="K4:L5"/>
    <mergeCell ref="B7:C7"/>
    <mergeCell ref="K7:L7"/>
  </mergeCells>
  <conditionalFormatting sqref="B8:B31">
    <cfRule type="duplicateValues" dxfId="44" priority="13"/>
  </conditionalFormatting>
  <conditionalFormatting sqref="B8:C31">
    <cfRule type="containsBlanks" dxfId="43" priority="4">
      <formula>LEN(TRIM(B8))=0</formula>
    </cfRule>
  </conditionalFormatting>
  <conditionalFormatting sqref="C8:C31">
    <cfRule type="duplicateValues" dxfId="42" priority="5"/>
  </conditionalFormatting>
  <conditionalFormatting sqref="E4">
    <cfRule type="notContainsBlanks" dxfId="41" priority="9">
      <formula>LEN(TRIM(E4))&gt;0</formula>
    </cfRule>
  </conditionalFormatting>
  <conditionalFormatting sqref="E8:H31">
    <cfRule type="expression" dxfId="40" priority="3">
      <formula>ISNUMBER(FIND("POOL",$D8))</formula>
    </cfRule>
  </conditionalFormatting>
  <conditionalFormatting sqref="J8:J31">
    <cfRule type="expression" dxfId="39" priority="8">
      <formula>ISNUMBER(FIND("POOL",$D8))</formula>
    </cfRule>
  </conditionalFormatting>
  <conditionalFormatting sqref="K8:K31">
    <cfRule type="duplicateValues" dxfId="38" priority="10"/>
    <cfRule type="expression" dxfId="37" priority="11">
      <formula>ISNUMBER(FIND("POOL",$D8))</formula>
    </cfRule>
  </conditionalFormatting>
  <conditionalFormatting sqref="L8:L31">
    <cfRule type="containsBlanks" dxfId="36" priority="6">
      <formula>LEN(TRIM(L8))=0</formula>
    </cfRule>
    <cfRule type="duplicateValues" dxfId="35" priority="7"/>
  </conditionalFormatting>
  <conditionalFormatting sqref="M8:M31">
    <cfRule type="expression" dxfId="34" priority="1">
      <formula>ISNUMBER(FIND("POOL",$D8))</formula>
    </cfRule>
  </conditionalFormatting>
  <dataValidations count="1">
    <dataValidation type="whole" allowBlank="1" showInputMessage="1" showErrorMessage="1" sqref="D4" xr:uid="{D102315C-F3EA-4EDD-AEC4-A8B5F4F9CB02}">
      <formula1>0</formula1>
      <formula2>24</formula2>
    </dataValidation>
  </dataValidations>
  <pageMargins left="0.25" right="0.25" top="0.75" bottom="0.75" header="0.3" footer="0.3"/>
  <pageSetup paperSize="9" scale="4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E1602A8-CA4C-43E9-AA9C-2EDDCFEA0692}">
          <x14:formula1>
            <xm:f>Database!$B$16:$B$19</xm:f>
          </x14:formula1>
          <xm:sqref>J8:J31</xm:sqref>
        </x14:dataValidation>
        <x14:dataValidation type="list" allowBlank="1" showInputMessage="1" showErrorMessage="1" xr:uid="{A3251D66-737F-4B86-817A-B3D1448723D2}">
          <x14:formula1>
            <xm:f>Database!$A$5:$A$11</xm:f>
          </x14:formula1>
          <xm:sqref>F8:F31</xm:sqref>
        </x14:dataValidation>
        <x14:dataValidation type="list" allowBlank="1" showInputMessage="1" showErrorMessage="1" xr:uid="{A5115729-1BC9-4DF5-B5B3-28DE0B3E98E5}">
          <x14:formula1>
            <xm:f>Database!$A$16:$A$18</xm:f>
          </x14:formula1>
          <xm:sqref>D2 F9:F13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BB5AE-9C5D-4311-8F3B-455D74A511C2}">
  <dimension ref="A2:M72"/>
  <sheetViews>
    <sheetView view="pageBreakPreview" zoomScale="85" zoomScaleNormal="70" zoomScaleSheetLayoutView="85" zoomScalePageLayoutView="55" workbookViewId="0">
      <selection activeCell="H27" sqref="H27"/>
    </sheetView>
  </sheetViews>
  <sheetFormatPr defaultColWidth="9.140625" defaultRowHeight="15" x14ac:dyDescent="0.25"/>
  <cols>
    <col min="1" max="1" width="18.28515625" style="5" customWidth="1"/>
    <col min="2" max="4" width="15" style="5" customWidth="1"/>
    <col min="5" max="5" width="16.140625" style="5" customWidth="1"/>
    <col min="6" max="6" width="17.7109375" style="5" customWidth="1"/>
    <col min="7" max="7" width="15" style="5" customWidth="1"/>
    <col min="8" max="9" width="15" style="8" customWidth="1"/>
    <col min="10" max="12" width="15" style="5" customWidth="1"/>
    <col min="13" max="13" width="15" style="8" customWidth="1"/>
    <col min="14" max="16384" width="9.140625" style="5"/>
  </cols>
  <sheetData>
    <row r="2" spans="1:13" ht="17.25" x14ac:dyDescent="0.3">
      <c r="C2" s="18" t="s">
        <v>1892</v>
      </c>
      <c r="D2" s="15" t="s">
        <v>147</v>
      </c>
      <c r="F2" s="18" t="s">
        <v>1893</v>
      </c>
      <c r="G2" s="43">
        <v>44799</v>
      </c>
      <c r="H2" s="8" t="s">
        <v>1894</v>
      </c>
      <c r="J2" s="18" t="s">
        <v>1895</v>
      </c>
      <c r="K2" s="61" t="s">
        <v>2163</v>
      </c>
      <c r="L2" s="60"/>
    </row>
    <row r="3" spans="1:13" ht="9.75" customHeight="1" x14ac:dyDescent="0.3">
      <c r="C3" s="13"/>
      <c r="D3" s="16"/>
    </row>
    <row r="4" spans="1:13" ht="18.75" x14ac:dyDescent="0.3">
      <c r="C4" s="18" t="s">
        <v>1896</v>
      </c>
      <c r="D4" s="17">
        <v>2</v>
      </c>
      <c r="E4" s="140" t="s">
        <v>1916</v>
      </c>
      <c r="F4" s="141"/>
      <c r="G4" s="141"/>
      <c r="H4" s="141"/>
      <c r="J4" s="18" t="s">
        <v>1897</v>
      </c>
      <c r="K4" s="142"/>
      <c r="L4" s="143"/>
    </row>
    <row r="5" spans="1:13" ht="17.25" x14ac:dyDescent="0.3">
      <c r="C5" s="18" t="s">
        <v>1898</v>
      </c>
      <c r="D5" s="17">
        <v>10034</v>
      </c>
      <c r="J5" s="18"/>
      <c r="K5" s="144"/>
      <c r="L5" s="145"/>
    </row>
    <row r="6" spans="1:13" ht="12" customHeight="1" x14ac:dyDescent="0.25">
      <c r="B6" s="6"/>
      <c r="C6" s="6"/>
    </row>
    <row r="7" spans="1:13" s="40" customFormat="1" ht="37.5" x14ac:dyDescent="0.25">
      <c r="B7" s="146" t="s">
        <v>1</v>
      </c>
      <c r="C7" s="146"/>
      <c r="D7" s="41" t="s">
        <v>2</v>
      </c>
      <c r="E7" s="41" t="s">
        <v>1917</v>
      </c>
      <c r="F7" s="41" t="s">
        <v>4</v>
      </c>
      <c r="G7" s="41" t="s">
        <v>1918</v>
      </c>
      <c r="H7" s="41" t="s">
        <v>1919</v>
      </c>
      <c r="I7" s="41" t="s">
        <v>1920</v>
      </c>
      <c r="J7" s="41" t="s">
        <v>8</v>
      </c>
      <c r="K7" s="146" t="s">
        <v>1921</v>
      </c>
      <c r="L7" s="146"/>
      <c r="M7" s="41" t="s">
        <v>1922</v>
      </c>
    </row>
    <row r="8" spans="1:13" ht="19.5" x14ac:dyDescent="0.3">
      <c r="A8" s="6"/>
      <c r="B8" s="33">
        <v>1</v>
      </c>
      <c r="C8" s="33" t="s">
        <v>80</v>
      </c>
      <c r="D8" s="28" t="s">
        <v>2104</v>
      </c>
      <c r="E8" s="29" t="s">
        <v>1986</v>
      </c>
      <c r="F8" s="45" t="s">
        <v>84</v>
      </c>
      <c r="G8" s="30">
        <v>9.44</v>
      </c>
      <c r="H8" s="31">
        <v>2</v>
      </c>
      <c r="I8" s="49">
        <v>20.655999999999999</v>
      </c>
      <c r="J8" s="30" t="s">
        <v>79</v>
      </c>
      <c r="K8" s="30">
        <v>16</v>
      </c>
      <c r="L8" s="33" t="s">
        <v>148</v>
      </c>
      <c r="M8" s="30">
        <v>14.3</v>
      </c>
    </row>
    <row r="9" spans="1:13" ht="19.5" x14ac:dyDescent="0.3">
      <c r="A9" s="6"/>
      <c r="B9" s="33">
        <v>2</v>
      </c>
      <c r="C9" s="33" t="s">
        <v>86</v>
      </c>
      <c r="D9" s="28" t="s">
        <v>2107</v>
      </c>
      <c r="E9" s="29" t="s">
        <v>2108</v>
      </c>
      <c r="F9" s="45" t="s">
        <v>84</v>
      </c>
      <c r="G9" s="30">
        <v>89.8</v>
      </c>
      <c r="H9" s="31">
        <v>1</v>
      </c>
      <c r="I9" s="49">
        <v>106.75999999999999</v>
      </c>
      <c r="J9" s="30" t="s">
        <v>79</v>
      </c>
      <c r="K9" s="30">
        <v>17</v>
      </c>
      <c r="L9" s="33" t="s">
        <v>153</v>
      </c>
      <c r="M9" s="30">
        <v>4.7</v>
      </c>
    </row>
    <row r="10" spans="1:13" ht="19.5" x14ac:dyDescent="0.3">
      <c r="A10" s="6"/>
      <c r="B10" s="33" t="s">
        <v>1916</v>
      </c>
      <c r="C10" s="33" t="s">
        <v>1916</v>
      </c>
      <c r="D10" s="28" t="s">
        <v>1916</v>
      </c>
      <c r="E10" s="29"/>
      <c r="F10" s="45"/>
      <c r="G10" s="30"/>
      <c r="H10" s="31"/>
      <c r="I10" s="32" t="s">
        <v>1916</v>
      </c>
      <c r="J10" s="30"/>
      <c r="K10" s="30"/>
      <c r="L10" s="33" t="s">
        <v>1916</v>
      </c>
      <c r="M10" s="30"/>
    </row>
    <row r="11" spans="1:13" ht="19.5" x14ac:dyDescent="0.3">
      <c r="A11" s="6"/>
      <c r="B11" s="33" t="s">
        <v>1916</v>
      </c>
      <c r="C11" s="33" t="s">
        <v>1916</v>
      </c>
      <c r="D11" s="28" t="s">
        <v>1916</v>
      </c>
      <c r="E11" s="29"/>
      <c r="F11" s="45"/>
      <c r="G11" s="30"/>
      <c r="H11" s="31"/>
      <c r="I11" s="32" t="s">
        <v>1916</v>
      </c>
      <c r="J11" s="30"/>
      <c r="K11" s="30"/>
      <c r="L11" s="33" t="s">
        <v>1916</v>
      </c>
      <c r="M11" s="30"/>
    </row>
    <row r="12" spans="1:13" ht="19.5" x14ac:dyDescent="0.3">
      <c r="A12" s="6"/>
      <c r="B12" s="33" t="s">
        <v>1916</v>
      </c>
      <c r="C12" s="33" t="s">
        <v>1916</v>
      </c>
      <c r="D12" s="28" t="s">
        <v>1916</v>
      </c>
      <c r="E12" s="29"/>
      <c r="F12" s="45"/>
      <c r="G12" s="30"/>
      <c r="H12" s="31"/>
      <c r="I12" s="32" t="s">
        <v>1916</v>
      </c>
      <c r="J12" s="30"/>
      <c r="K12" s="30"/>
      <c r="L12" s="33" t="s">
        <v>1916</v>
      </c>
      <c r="M12" s="30"/>
    </row>
    <row r="13" spans="1:13" ht="19.5" x14ac:dyDescent="0.3">
      <c r="A13" s="6"/>
      <c r="B13" s="33" t="s">
        <v>1916</v>
      </c>
      <c r="C13" s="33" t="s">
        <v>1916</v>
      </c>
      <c r="D13" s="28" t="s">
        <v>1916</v>
      </c>
      <c r="E13" s="29"/>
      <c r="F13" s="45"/>
      <c r="G13" s="30"/>
      <c r="H13" s="31"/>
      <c r="I13" s="32" t="s">
        <v>1916</v>
      </c>
      <c r="J13" s="30"/>
      <c r="K13" s="30"/>
      <c r="L13" s="33" t="s">
        <v>1916</v>
      </c>
      <c r="M13" s="30"/>
    </row>
    <row r="14" spans="1:13" ht="19.5" x14ac:dyDescent="0.3">
      <c r="A14" s="6"/>
      <c r="B14" s="33" t="s">
        <v>1916</v>
      </c>
      <c r="C14" s="33" t="s">
        <v>1916</v>
      </c>
      <c r="D14" s="28" t="s">
        <v>1916</v>
      </c>
      <c r="E14" s="29"/>
      <c r="F14" s="45"/>
      <c r="G14" s="30"/>
      <c r="H14" s="31"/>
      <c r="I14" s="32" t="s">
        <v>1916</v>
      </c>
      <c r="J14" s="30"/>
      <c r="K14" s="30"/>
      <c r="L14" s="33" t="s">
        <v>1916</v>
      </c>
      <c r="M14" s="30"/>
    </row>
    <row r="15" spans="1:13" ht="19.5" x14ac:dyDescent="0.3">
      <c r="A15" s="6"/>
      <c r="B15" s="33" t="s">
        <v>1916</v>
      </c>
      <c r="C15" s="33" t="s">
        <v>1916</v>
      </c>
      <c r="D15" s="28" t="s">
        <v>1916</v>
      </c>
      <c r="E15" s="29"/>
      <c r="F15" s="45"/>
      <c r="G15" s="30"/>
      <c r="H15" s="31"/>
      <c r="I15" s="32" t="s">
        <v>1916</v>
      </c>
      <c r="J15" s="30"/>
      <c r="K15" s="30"/>
      <c r="L15" s="33" t="s">
        <v>1916</v>
      </c>
      <c r="M15" s="30"/>
    </row>
    <row r="16" spans="1:13" ht="19.5" x14ac:dyDescent="0.3">
      <c r="A16" s="6"/>
      <c r="B16" s="33" t="s">
        <v>1916</v>
      </c>
      <c r="C16" s="33" t="s">
        <v>1916</v>
      </c>
      <c r="D16" s="28" t="s">
        <v>1916</v>
      </c>
      <c r="E16" s="29"/>
      <c r="F16" s="45"/>
      <c r="G16" s="30"/>
      <c r="H16" s="31"/>
      <c r="I16" s="32" t="s">
        <v>1916</v>
      </c>
      <c r="J16" s="30"/>
      <c r="K16" s="30"/>
      <c r="L16" s="33" t="s">
        <v>1916</v>
      </c>
      <c r="M16" s="30"/>
    </row>
    <row r="17" spans="1:13" ht="19.5" x14ac:dyDescent="0.3">
      <c r="A17" s="6"/>
      <c r="B17" s="33" t="s">
        <v>1916</v>
      </c>
      <c r="C17" s="33" t="s">
        <v>1916</v>
      </c>
      <c r="D17" s="28" t="s">
        <v>1916</v>
      </c>
      <c r="E17" s="29"/>
      <c r="F17" s="45"/>
      <c r="G17" s="30"/>
      <c r="H17" s="31"/>
      <c r="I17" s="32" t="s">
        <v>1916</v>
      </c>
      <c r="J17" s="30"/>
      <c r="K17" s="30"/>
      <c r="L17" s="33" t="s">
        <v>1916</v>
      </c>
      <c r="M17" s="30"/>
    </row>
    <row r="18" spans="1:13" ht="19.5" x14ac:dyDescent="0.3">
      <c r="A18" s="6"/>
      <c r="B18" s="33" t="s">
        <v>1916</v>
      </c>
      <c r="C18" s="33" t="s">
        <v>1916</v>
      </c>
      <c r="D18" s="28" t="s">
        <v>1916</v>
      </c>
      <c r="E18" s="29"/>
      <c r="F18" s="45"/>
      <c r="G18" s="30"/>
      <c r="H18" s="31"/>
      <c r="I18" s="32" t="s">
        <v>1916</v>
      </c>
      <c r="J18" s="30"/>
      <c r="K18" s="30"/>
      <c r="L18" s="33" t="s">
        <v>1916</v>
      </c>
      <c r="M18" s="30"/>
    </row>
    <row r="19" spans="1:13" ht="19.5" x14ac:dyDescent="0.3">
      <c r="A19" s="6"/>
      <c r="B19" s="33" t="s">
        <v>1916</v>
      </c>
      <c r="C19" s="33" t="s">
        <v>1916</v>
      </c>
      <c r="D19" s="28" t="s">
        <v>1916</v>
      </c>
      <c r="E19" s="29"/>
      <c r="F19" s="45"/>
      <c r="G19" s="30"/>
      <c r="H19" s="31"/>
      <c r="I19" s="32" t="s">
        <v>1916</v>
      </c>
      <c r="J19" s="30"/>
      <c r="K19" s="30"/>
      <c r="L19" s="33" t="s">
        <v>1916</v>
      </c>
      <c r="M19" s="30"/>
    </row>
    <row r="20" spans="1:13" ht="19.5" x14ac:dyDescent="0.3">
      <c r="A20" s="6"/>
      <c r="B20" s="33" t="s">
        <v>1916</v>
      </c>
      <c r="C20" s="33" t="s">
        <v>1916</v>
      </c>
      <c r="D20" s="28" t="s">
        <v>1916</v>
      </c>
      <c r="E20" s="29"/>
      <c r="F20" s="45"/>
      <c r="G20" s="30"/>
      <c r="H20" s="31"/>
      <c r="I20" s="32" t="s">
        <v>1916</v>
      </c>
      <c r="J20" s="30"/>
      <c r="K20" s="30"/>
      <c r="L20" s="33" t="s">
        <v>1916</v>
      </c>
      <c r="M20" s="30"/>
    </row>
    <row r="21" spans="1:13" ht="19.5" x14ac:dyDescent="0.3">
      <c r="A21" s="6"/>
      <c r="B21" s="33" t="s">
        <v>1916</v>
      </c>
      <c r="C21" s="33" t="s">
        <v>1916</v>
      </c>
      <c r="D21" s="28" t="s">
        <v>1916</v>
      </c>
      <c r="E21" s="29"/>
      <c r="F21" s="45"/>
      <c r="G21" s="30"/>
      <c r="H21" s="31"/>
      <c r="I21" s="32" t="s">
        <v>1916</v>
      </c>
      <c r="J21" s="30"/>
      <c r="K21" s="30"/>
      <c r="L21" s="33" t="s">
        <v>1916</v>
      </c>
      <c r="M21" s="30"/>
    </row>
    <row r="22" spans="1:13" ht="19.5" x14ac:dyDescent="0.3">
      <c r="A22" s="6"/>
      <c r="B22" s="33" t="s">
        <v>1916</v>
      </c>
      <c r="C22" s="33" t="s">
        <v>1916</v>
      </c>
      <c r="D22" s="28" t="s">
        <v>1916</v>
      </c>
      <c r="E22" s="29"/>
      <c r="F22" s="45"/>
      <c r="G22" s="30"/>
      <c r="H22" s="31"/>
      <c r="I22" s="32" t="s">
        <v>1916</v>
      </c>
      <c r="J22" s="30"/>
      <c r="K22" s="30"/>
      <c r="L22" s="33" t="s">
        <v>1916</v>
      </c>
      <c r="M22" s="30"/>
    </row>
    <row r="23" spans="1:13" ht="19.5" x14ac:dyDescent="0.3">
      <c r="A23" s="6"/>
      <c r="B23" s="33" t="s">
        <v>1916</v>
      </c>
      <c r="C23" s="33" t="s">
        <v>1916</v>
      </c>
      <c r="D23" s="28" t="s">
        <v>1916</v>
      </c>
      <c r="E23" s="29"/>
      <c r="F23" s="45"/>
      <c r="G23" s="30"/>
      <c r="H23" s="31"/>
      <c r="I23" s="32" t="s">
        <v>1916</v>
      </c>
      <c r="J23" s="30"/>
      <c r="K23" s="30"/>
      <c r="L23" s="33" t="s">
        <v>1916</v>
      </c>
      <c r="M23" s="30"/>
    </row>
    <row r="24" spans="1:13" ht="19.5" x14ac:dyDescent="0.3">
      <c r="A24" s="6"/>
      <c r="B24" s="33" t="s">
        <v>1916</v>
      </c>
      <c r="C24" s="33" t="s">
        <v>1916</v>
      </c>
      <c r="D24" s="28" t="s">
        <v>1916</v>
      </c>
      <c r="E24" s="29"/>
      <c r="F24" s="45"/>
      <c r="G24" s="30"/>
      <c r="H24" s="31"/>
      <c r="I24" s="32" t="s">
        <v>1916</v>
      </c>
      <c r="J24" s="30"/>
      <c r="K24" s="30"/>
      <c r="L24" s="33" t="s">
        <v>1916</v>
      </c>
      <c r="M24" s="30"/>
    </row>
    <row r="25" spans="1:13" ht="19.5" x14ac:dyDescent="0.3">
      <c r="A25" s="6"/>
      <c r="B25" s="33" t="s">
        <v>1916</v>
      </c>
      <c r="C25" s="33" t="s">
        <v>1916</v>
      </c>
      <c r="D25" s="28" t="s">
        <v>1916</v>
      </c>
      <c r="E25" s="29"/>
      <c r="F25" s="45"/>
      <c r="G25" s="30"/>
      <c r="H25" s="31"/>
      <c r="I25" s="32" t="s">
        <v>1916</v>
      </c>
      <c r="J25" s="30"/>
      <c r="K25" s="30"/>
      <c r="L25" s="33" t="s">
        <v>1916</v>
      </c>
      <c r="M25" s="30"/>
    </row>
    <row r="26" spans="1:13" ht="19.5" x14ac:dyDescent="0.3">
      <c r="A26" s="6"/>
      <c r="B26" s="33" t="s">
        <v>1916</v>
      </c>
      <c r="C26" s="33" t="s">
        <v>1916</v>
      </c>
      <c r="D26" s="28" t="s">
        <v>1916</v>
      </c>
      <c r="E26" s="29"/>
      <c r="F26" s="45"/>
      <c r="G26" s="30"/>
      <c r="H26" s="31"/>
      <c r="I26" s="32" t="s">
        <v>1916</v>
      </c>
      <c r="J26" s="30"/>
      <c r="K26" s="30"/>
      <c r="L26" s="33" t="s">
        <v>1916</v>
      </c>
      <c r="M26" s="30"/>
    </row>
    <row r="27" spans="1:13" ht="19.5" x14ac:dyDescent="0.3">
      <c r="A27" s="6"/>
      <c r="B27" s="33" t="s">
        <v>1916</v>
      </c>
      <c r="C27" s="33" t="s">
        <v>1916</v>
      </c>
      <c r="D27" s="28" t="s">
        <v>1916</v>
      </c>
      <c r="E27" s="29"/>
      <c r="F27" s="45"/>
      <c r="G27" s="30"/>
      <c r="H27" s="31"/>
      <c r="I27" s="32" t="s">
        <v>1916</v>
      </c>
      <c r="J27" s="30"/>
      <c r="K27" s="30"/>
      <c r="L27" s="33" t="s">
        <v>1916</v>
      </c>
      <c r="M27" s="30"/>
    </row>
    <row r="28" spans="1:13" ht="19.5" x14ac:dyDescent="0.3">
      <c r="A28" s="6"/>
      <c r="B28" s="33" t="s">
        <v>1916</v>
      </c>
      <c r="C28" s="33" t="s">
        <v>1916</v>
      </c>
      <c r="D28" s="28" t="s">
        <v>1916</v>
      </c>
      <c r="E28" s="29"/>
      <c r="F28" s="45"/>
      <c r="G28" s="30"/>
      <c r="H28" s="31"/>
      <c r="I28" s="32" t="s">
        <v>1916</v>
      </c>
      <c r="J28" s="30"/>
      <c r="K28" s="30"/>
      <c r="L28" s="33" t="s">
        <v>1916</v>
      </c>
      <c r="M28" s="30"/>
    </row>
    <row r="29" spans="1:13" ht="19.5" x14ac:dyDescent="0.3">
      <c r="A29" s="6"/>
      <c r="B29" s="33" t="s">
        <v>1916</v>
      </c>
      <c r="C29" s="33" t="s">
        <v>1916</v>
      </c>
      <c r="D29" s="28" t="s">
        <v>1916</v>
      </c>
      <c r="E29" s="29"/>
      <c r="F29" s="45"/>
      <c r="G29" s="30"/>
      <c r="H29" s="31"/>
      <c r="I29" s="32" t="s">
        <v>1916</v>
      </c>
      <c r="J29" s="30"/>
      <c r="K29" s="30"/>
      <c r="L29" s="33" t="s">
        <v>1916</v>
      </c>
      <c r="M29" s="30"/>
    </row>
    <row r="30" spans="1:13" ht="19.5" x14ac:dyDescent="0.3">
      <c r="A30" s="6"/>
      <c r="B30" s="33" t="s">
        <v>1916</v>
      </c>
      <c r="C30" s="33" t="s">
        <v>1916</v>
      </c>
      <c r="D30" s="28" t="s">
        <v>1916</v>
      </c>
      <c r="E30" s="29"/>
      <c r="F30" s="45"/>
      <c r="G30" s="30"/>
      <c r="H30" s="31"/>
      <c r="I30" s="32" t="s">
        <v>1916</v>
      </c>
      <c r="J30" s="30"/>
      <c r="K30" s="30"/>
      <c r="L30" s="33" t="s">
        <v>1916</v>
      </c>
      <c r="M30" s="30"/>
    </row>
    <row r="31" spans="1:13" ht="19.5" x14ac:dyDescent="0.3">
      <c r="A31" s="6"/>
      <c r="B31" s="33" t="s">
        <v>1916</v>
      </c>
      <c r="C31" s="33" t="s">
        <v>1916</v>
      </c>
      <c r="D31" s="28" t="s">
        <v>1916</v>
      </c>
      <c r="E31" s="29"/>
      <c r="F31" s="45"/>
      <c r="G31" s="30"/>
      <c r="H31" s="31"/>
      <c r="I31" s="32" t="s">
        <v>1916</v>
      </c>
      <c r="J31" s="30"/>
      <c r="K31" s="30"/>
      <c r="L31" s="33" t="s">
        <v>1916</v>
      </c>
      <c r="M31" s="30"/>
    </row>
    <row r="32" spans="1:13" x14ac:dyDescent="0.25">
      <c r="A32" s="11"/>
    </row>
    <row r="33" spans="1:12" ht="18.75" x14ac:dyDescent="0.3">
      <c r="A33" s="11"/>
      <c r="B33" s="34" t="s">
        <v>1923</v>
      </c>
      <c r="C33" s="35">
        <v>2.5</v>
      </c>
      <c r="D33" s="28"/>
      <c r="E33" s="28"/>
      <c r="F33" s="28"/>
      <c r="G33" s="28"/>
      <c r="H33" s="27"/>
      <c r="I33" s="27"/>
      <c r="J33" s="28"/>
      <c r="K33" s="28"/>
      <c r="L33" s="28"/>
    </row>
    <row r="34" spans="1:12" ht="18.75" x14ac:dyDescent="0.3">
      <c r="A34" s="11"/>
      <c r="B34" s="28"/>
      <c r="C34" s="28"/>
      <c r="D34" s="28"/>
      <c r="E34" s="28"/>
      <c r="F34" s="28"/>
      <c r="G34" s="28"/>
      <c r="H34" s="27"/>
      <c r="I34" s="27"/>
      <c r="J34" s="28"/>
      <c r="K34" s="28"/>
      <c r="L34" s="28"/>
    </row>
    <row r="35" spans="1:12" ht="18.75" x14ac:dyDescent="0.3">
      <c r="B35" s="34" t="s">
        <v>1916</v>
      </c>
      <c r="C35" s="36" t="s">
        <v>1916</v>
      </c>
      <c r="D35" s="35" t="s">
        <v>1916</v>
      </c>
      <c r="E35" s="28"/>
      <c r="F35" s="34" t="s">
        <v>2164</v>
      </c>
      <c r="G35" s="36" t="s">
        <v>1925</v>
      </c>
      <c r="H35" s="35" t="s">
        <v>1926</v>
      </c>
      <c r="I35" s="27"/>
      <c r="J35" s="34" t="s">
        <v>2165</v>
      </c>
      <c r="K35" s="36" t="s">
        <v>1925</v>
      </c>
      <c r="L35" s="35" t="s">
        <v>1925</v>
      </c>
    </row>
    <row r="36" spans="1:12" ht="18.75" x14ac:dyDescent="0.3">
      <c r="B36" s="37" t="s">
        <v>1916</v>
      </c>
      <c r="C36" s="36" t="s">
        <v>1916</v>
      </c>
      <c r="D36" s="35" t="s">
        <v>1916</v>
      </c>
      <c r="E36" s="28"/>
      <c r="F36" s="37" t="s">
        <v>187</v>
      </c>
      <c r="G36" s="36">
        <v>4</v>
      </c>
      <c r="H36" s="35">
        <v>10</v>
      </c>
      <c r="I36" s="27"/>
      <c r="J36" s="37" t="s">
        <v>193</v>
      </c>
      <c r="K36" s="36">
        <v>2</v>
      </c>
      <c r="L36" s="35">
        <v>2</v>
      </c>
    </row>
    <row r="37" spans="1:12" ht="18.75" x14ac:dyDescent="0.3">
      <c r="B37" s="37" t="s">
        <v>1916</v>
      </c>
      <c r="C37" s="36" t="s">
        <v>1916</v>
      </c>
      <c r="D37" s="35" t="s">
        <v>1916</v>
      </c>
      <c r="E37" s="28"/>
      <c r="F37" s="37" t="s">
        <v>224</v>
      </c>
      <c r="G37" s="36">
        <v>4</v>
      </c>
      <c r="H37" s="35">
        <v>10</v>
      </c>
      <c r="I37" s="35"/>
      <c r="J37" s="37" t="s">
        <v>1916</v>
      </c>
      <c r="K37" s="36" t="s">
        <v>1916</v>
      </c>
      <c r="L37" s="35" t="s">
        <v>1916</v>
      </c>
    </row>
    <row r="38" spans="1:12" ht="18.75" x14ac:dyDescent="0.3">
      <c r="B38" s="37" t="s">
        <v>1916</v>
      </c>
      <c r="C38" s="36" t="s">
        <v>1916</v>
      </c>
      <c r="D38" s="35" t="s">
        <v>1916</v>
      </c>
      <c r="E38" s="28"/>
      <c r="F38" s="37" t="s">
        <v>1916</v>
      </c>
      <c r="G38" s="36" t="s">
        <v>1916</v>
      </c>
      <c r="H38" s="35" t="s">
        <v>1916</v>
      </c>
      <c r="I38" s="35"/>
      <c r="J38" s="37"/>
      <c r="K38" s="36"/>
      <c r="L38" s="35"/>
    </row>
    <row r="39" spans="1:12" ht="18.75" x14ac:dyDescent="0.25">
      <c r="B39" s="37"/>
      <c r="C39" s="36"/>
      <c r="D39" s="35"/>
      <c r="E39" s="37"/>
      <c r="F39" s="37"/>
      <c r="G39" s="36"/>
      <c r="H39" s="35"/>
      <c r="I39" s="35"/>
      <c r="J39" s="37"/>
      <c r="K39" s="36"/>
      <c r="L39" s="35"/>
    </row>
    <row r="40" spans="1:12" ht="18.75" x14ac:dyDescent="0.3">
      <c r="B40" s="34" t="s">
        <v>2166</v>
      </c>
      <c r="C40" s="36" t="s">
        <v>1925</v>
      </c>
      <c r="D40" s="35" t="s">
        <v>1925</v>
      </c>
      <c r="E40" s="28"/>
      <c r="F40" s="34" t="s">
        <v>2167</v>
      </c>
      <c r="G40" s="36" t="s">
        <v>1925</v>
      </c>
      <c r="H40" s="35" t="s">
        <v>2168</v>
      </c>
      <c r="I40" s="27"/>
      <c r="J40" s="34" t="s">
        <v>2169</v>
      </c>
      <c r="K40" s="36" t="s">
        <v>1925</v>
      </c>
      <c r="L40" s="35" t="s">
        <v>1926</v>
      </c>
    </row>
    <row r="41" spans="1:12" ht="18.75" x14ac:dyDescent="0.3">
      <c r="B41" s="37" t="s">
        <v>195</v>
      </c>
      <c r="C41" s="36">
        <v>4</v>
      </c>
      <c r="D41" s="35">
        <v>4</v>
      </c>
      <c r="E41" s="37"/>
      <c r="F41" s="37" t="s">
        <v>231</v>
      </c>
      <c r="G41" s="36">
        <v>45</v>
      </c>
      <c r="H41" s="35">
        <v>45</v>
      </c>
      <c r="I41" s="27"/>
      <c r="J41" s="37" t="s">
        <v>205</v>
      </c>
      <c r="K41" s="36">
        <v>45</v>
      </c>
      <c r="L41" s="35">
        <v>112.5</v>
      </c>
    </row>
    <row r="42" spans="1:12" ht="18.75" x14ac:dyDescent="0.3">
      <c r="B42" s="37" t="s">
        <v>197</v>
      </c>
      <c r="C42" s="36">
        <v>2</v>
      </c>
      <c r="D42" s="35">
        <v>2</v>
      </c>
      <c r="E42" s="37"/>
      <c r="F42" s="37" t="s">
        <v>203</v>
      </c>
      <c r="G42" s="36">
        <v>150</v>
      </c>
      <c r="H42" s="35">
        <v>750</v>
      </c>
      <c r="I42" s="27"/>
      <c r="J42" s="37" t="s">
        <v>207</v>
      </c>
      <c r="K42" s="36">
        <v>5</v>
      </c>
      <c r="L42" s="35">
        <v>12.5</v>
      </c>
    </row>
    <row r="43" spans="1:12" ht="18.75" x14ac:dyDescent="0.3">
      <c r="B43" s="37" t="s">
        <v>199</v>
      </c>
      <c r="C43" s="36">
        <v>2</v>
      </c>
      <c r="D43" s="35">
        <v>2</v>
      </c>
      <c r="E43" s="37"/>
      <c r="F43" s="37" t="s">
        <v>1916</v>
      </c>
      <c r="G43" s="36" t="s">
        <v>1916</v>
      </c>
      <c r="H43" s="35" t="s">
        <v>1916</v>
      </c>
      <c r="I43" s="27"/>
      <c r="J43" s="37"/>
      <c r="K43" s="36"/>
      <c r="L43" s="35"/>
    </row>
    <row r="44" spans="1:12" ht="18.75" x14ac:dyDescent="0.3">
      <c r="B44" s="37"/>
      <c r="C44" s="36"/>
      <c r="D44" s="35"/>
      <c r="E44" s="37"/>
      <c r="F44" s="37"/>
      <c r="G44" s="36"/>
      <c r="H44" s="35"/>
      <c r="I44" s="27"/>
      <c r="J44" s="37"/>
      <c r="K44" s="36"/>
      <c r="L44" s="35"/>
    </row>
    <row r="45" spans="1:12" ht="18.75" x14ac:dyDescent="0.3">
      <c r="B45" s="34" t="s">
        <v>2170</v>
      </c>
      <c r="C45" s="36" t="s">
        <v>1925</v>
      </c>
      <c r="D45" s="35" t="s">
        <v>2168</v>
      </c>
      <c r="E45" s="37"/>
      <c r="F45" s="34" t="s">
        <v>1916</v>
      </c>
      <c r="G45" s="36" t="s">
        <v>1916</v>
      </c>
      <c r="H45" s="35" t="s">
        <v>1916</v>
      </c>
      <c r="I45" s="27"/>
      <c r="J45" s="34" t="s">
        <v>1916</v>
      </c>
      <c r="K45" s="36" t="s">
        <v>1916</v>
      </c>
      <c r="L45" s="35" t="s">
        <v>1916</v>
      </c>
    </row>
    <row r="46" spans="1:12" ht="18.75" x14ac:dyDescent="0.3">
      <c r="B46" s="37" t="s">
        <v>209</v>
      </c>
      <c r="C46" s="36">
        <v>50</v>
      </c>
      <c r="D46" s="35">
        <v>50</v>
      </c>
      <c r="E46" s="37"/>
      <c r="F46" s="37" t="s">
        <v>1916</v>
      </c>
      <c r="G46" s="36" t="s">
        <v>1916</v>
      </c>
      <c r="H46" s="35" t="s">
        <v>1916</v>
      </c>
      <c r="I46" s="27"/>
      <c r="J46" s="37" t="s">
        <v>1916</v>
      </c>
      <c r="K46" s="36" t="s">
        <v>1916</v>
      </c>
      <c r="L46" s="35" t="s">
        <v>1916</v>
      </c>
    </row>
    <row r="47" spans="1:12" ht="18.75" x14ac:dyDescent="0.3">
      <c r="B47" s="37" t="s">
        <v>211</v>
      </c>
      <c r="C47" s="36">
        <v>140</v>
      </c>
      <c r="D47" s="35">
        <v>140</v>
      </c>
      <c r="E47" s="37"/>
      <c r="F47" s="37" t="s">
        <v>1916</v>
      </c>
      <c r="G47" s="36" t="s">
        <v>1916</v>
      </c>
      <c r="H47" s="35" t="s">
        <v>1916</v>
      </c>
      <c r="I47" s="27"/>
      <c r="J47" s="37" t="s">
        <v>1916</v>
      </c>
      <c r="K47" s="36" t="s">
        <v>1916</v>
      </c>
      <c r="L47" s="35" t="s">
        <v>1916</v>
      </c>
    </row>
    <row r="48" spans="1:12" ht="18.75" x14ac:dyDescent="0.25">
      <c r="B48" s="37" t="s">
        <v>203</v>
      </c>
      <c r="C48" s="36">
        <v>150</v>
      </c>
      <c r="D48" s="35">
        <v>750</v>
      </c>
      <c r="E48" s="37"/>
      <c r="F48" s="37" t="s">
        <v>1916</v>
      </c>
      <c r="G48" s="36" t="s">
        <v>1916</v>
      </c>
      <c r="H48" s="35" t="s">
        <v>1916</v>
      </c>
      <c r="J48" s="21"/>
      <c r="K48" s="22"/>
      <c r="L48" s="23"/>
    </row>
    <row r="49" spans="2:13" ht="18.75" x14ac:dyDescent="0.25">
      <c r="B49" s="37" t="s">
        <v>214</v>
      </c>
      <c r="C49" s="36">
        <v>30</v>
      </c>
      <c r="D49" s="35">
        <v>30</v>
      </c>
      <c r="E49" s="37"/>
      <c r="F49" s="37" t="s">
        <v>1916</v>
      </c>
      <c r="G49" s="36" t="s">
        <v>1916</v>
      </c>
      <c r="H49" s="35" t="s">
        <v>1916</v>
      </c>
      <c r="J49" s="21"/>
      <c r="K49" s="22"/>
      <c r="L49" s="23"/>
    </row>
    <row r="50" spans="2:13" ht="18.75" x14ac:dyDescent="0.25">
      <c r="B50" s="37" t="s">
        <v>1916</v>
      </c>
      <c r="C50" s="36" t="s">
        <v>1916</v>
      </c>
      <c r="D50" s="35" t="s">
        <v>1916</v>
      </c>
      <c r="E50" s="37"/>
      <c r="F50" s="37" t="s">
        <v>1916</v>
      </c>
      <c r="G50" s="36" t="s">
        <v>1916</v>
      </c>
      <c r="H50" s="35" t="s">
        <v>1916</v>
      </c>
      <c r="J50" s="21"/>
      <c r="K50" s="22"/>
      <c r="L50" s="23"/>
    </row>
    <row r="51" spans="2:13" ht="18.75" x14ac:dyDescent="0.25">
      <c r="B51" s="37"/>
      <c r="C51" s="36"/>
      <c r="D51" s="35"/>
      <c r="E51" s="37"/>
      <c r="F51" s="37"/>
      <c r="G51" s="36"/>
      <c r="H51" s="35"/>
      <c r="J51" s="21"/>
      <c r="K51" s="22"/>
      <c r="L51" s="23"/>
    </row>
    <row r="52" spans="2:13" ht="18.75" x14ac:dyDescent="0.3">
      <c r="B52" s="34" t="s">
        <v>1916</v>
      </c>
      <c r="C52" s="36" t="s">
        <v>1916</v>
      </c>
      <c r="D52" s="35" t="s">
        <v>1916</v>
      </c>
      <c r="E52" s="28"/>
      <c r="F52" s="34" t="s">
        <v>1916</v>
      </c>
      <c r="G52" s="34" t="s">
        <v>1916</v>
      </c>
      <c r="H52" s="28"/>
      <c r="J52" s="8"/>
      <c r="K52" s="12" t="s">
        <v>1899</v>
      </c>
      <c r="L52" s="12" t="s">
        <v>1900</v>
      </c>
      <c r="M52" s="12" t="s">
        <v>1901</v>
      </c>
    </row>
    <row r="53" spans="2:13" ht="31.5" customHeight="1" x14ac:dyDescent="0.3">
      <c r="B53" s="37" t="s">
        <v>1916</v>
      </c>
      <c r="C53" s="36" t="s">
        <v>1916</v>
      </c>
      <c r="D53" s="35" t="s">
        <v>1916</v>
      </c>
      <c r="E53" s="28"/>
      <c r="F53" s="37" t="s">
        <v>1916</v>
      </c>
      <c r="G53" s="37" t="s">
        <v>1916</v>
      </c>
      <c r="H53" s="27"/>
      <c r="I53" s="5"/>
      <c r="J53" s="7" t="s">
        <v>79</v>
      </c>
      <c r="K53" s="14" t="s">
        <v>2205</v>
      </c>
      <c r="L53" s="14" t="s">
        <v>1934</v>
      </c>
      <c r="M53" s="14" t="s">
        <v>1934</v>
      </c>
    </row>
    <row r="54" spans="2:13" ht="31.5" customHeight="1" x14ac:dyDescent="0.3">
      <c r="B54" s="37" t="s">
        <v>1916</v>
      </c>
      <c r="C54" s="36" t="s">
        <v>1916</v>
      </c>
      <c r="D54" s="35" t="s">
        <v>1916</v>
      </c>
      <c r="E54" s="28"/>
      <c r="F54" s="37"/>
      <c r="G54" s="37"/>
      <c r="H54" s="27"/>
      <c r="J54" s="7" t="s">
        <v>152</v>
      </c>
      <c r="K54" s="14" t="s">
        <v>2206</v>
      </c>
      <c r="L54" s="14" t="s">
        <v>1934</v>
      </c>
      <c r="M54" s="14" t="s">
        <v>1934</v>
      </c>
    </row>
    <row r="55" spans="2:13" ht="29.25" customHeight="1" x14ac:dyDescent="0.3">
      <c r="B55" s="37" t="s">
        <v>1916</v>
      </c>
      <c r="C55" s="36" t="s">
        <v>1916</v>
      </c>
      <c r="D55" s="35" t="s">
        <v>1916</v>
      </c>
      <c r="E55" s="28"/>
      <c r="F55" s="37"/>
      <c r="G55" s="37"/>
      <c r="H55" s="27"/>
      <c r="J55" s="7" t="s">
        <v>156</v>
      </c>
      <c r="K55" s="14" t="s">
        <v>1934</v>
      </c>
      <c r="L55" s="14" t="s">
        <v>1934</v>
      </c>
      <c r="M55" s="14" t="s">
        <v>1934</v>
      </c>
    </row>
    <row r="56" spans="2:13" ht="31.5" customHeight="1" x14ac:dyDescent="0.3">
      <c r="B56" s="37" t="s">
        <v>1916</v>
      </c>
      <c r="C56" s="36" t="s">
        <v>1916</v>
      </c>
      <c r="D56" s="35" t="s">
        <v>1916</v>
      </c>
      <c r="E56" s="28"/>
      <c r="F56" s="37"/>
      <c r="G56" s="28"/>
      <c r="H56" s="27"/>
      <c r="J56" s="7" t="s">
        <v>160</v>
      </c>
      <c r="K56" s="14" t="s">
        <v>1934</v>
      </c>
      <c r="L56" s="14" t="s">
        <v>1934</v>
      </c>
      <c r="M56" s="14" t="s">
        <v>1934</v>
      </c>
    </row>
    <row r="57" spans="2:13" ht="31.5" customHeight="1" x14ac:dyDescent="0.3">
      <c r="B57" s="37"/>
      <c r="C57" s="36"/>
      <c r="D57" s="35"/>
      <c r="E57" s="28"/>
      <c r="F57" s="37"/>
      <c r="G57" s="28"/>
      <c r="H57" s="27"/>
      <c r="J57" s="7" t="s">
        <v>1902</v>
      </c>
      <c r="K57" s="14" t="s">
        <v>1934</v>
      </c>
      <c r="L57" s="14" t="s">
        <v>1934</v>
      </c>
      <c r="M57" s="14" t="s">
        <v>1934</v>
      </c>
    </row>
    <row r="58" spans="2:13" ht="31.5" customHeight="1" x14ac:dyDescent="0.3">
      <c r="B58" s="34" t="s">
        <v>1916</v>
      </c>
      <c r="C58" s="36" t="s">
        <v>1916</v>
      </c>
      <c r="D58" s="35" t="s">
        <v>1916</v>
      </c>
      <c r="E58" s="28"/>
      <c r="F58" s="38"/>
      <c r="G58" s="28"/>
      <c r="H58" s="27"/>
      <c r="J58" s="7" t="s">
        <v>1903</v>
      </c>
      <c r="K58" s="14" t="s">
        <v>1934</v>
      </c>
      <c r="L58" s="14" t="s">
        <v>1934</v>
      </c>
      <c r="M58" s="14" t="s">
        <v>1934</v>
      </c>
    </row>
    <row r="59" spans="2:13" ht="31.5" customHeight="1" x14ac:dyDescent="0.3">
      <c r="B59" s="37" t="s">
        <v>1916</v>
      </c>
      <c r="C59" s="36" t="s">
        <v>1916</v>
      </c>
      <c r="D59" s="35" t="s">
        <v>1916</v>
      </c>
      <c r="E59" s="28"/>
      <c r="F59" s="38"/>
      <c r="G59" s="28"/>
      <c r="H59" s="27"/>
      <c r="J59" s="7" t="s">
        <v>1904</v>
      </c>
      <c r="K59" s="14" t="s">
        <v>1934</v>
      </c>
      <c r="L59" s="14" t="s">
        <v>1934</v>
      </c>
      <c r="M59" s="14" t="s">
        <v>1934</v>
      </c>
    </row>
    <row r="60" spans="2:13" ht="31.5" customHeight="1" x14ac:dyDescent="0.3">
      <c r="B60" s="37" t="s">
        <v>1916</v>
      </c>
      <c r="C60" s="36" t="s">
        <v>1916</v>
      </c>
      <c r="D60" s="35" t="s">
        <v>1916</v>
      </c>
      <c r="E60" s="28"/>
      <c r="F60" s="38"/>
      <c r="G60" s="28"/>
      <c r="H60" s="27"/>
      <c r="J60" s="7" t="s">
        <v>1905</v>
      </c>
      <c r="K60" s="14" t="s">
        <v>1934</v>
      </c>
      <c r="L60" s="14" t="s">
        <v>1934</v>
      </c>
      <c r="M60" s="14" t="s">
        <v>1934</v>
      </c>
    </row>
    <row r="61" spans="2:13" ht="18.75" x14ac:dyDescent="0.25">
      <c r="B61" s="37" t="s">
        <v>1916</v>
      </c>
      <c r="C61" s="36" t="s">
        <v>1916</v>
      </c>
      <c r="D61" s="35" t="s">
        <v>1916</v>
      </c>
      <c r="E61" s="37"/>
      <c r="F61" s="37"/>
      <c r="G61" s="36"/>
      <c r="H61" s="35"/>
      <c r="J61" s="21"/>
      <c r="K61" s="22"/>
      <c r="L61" s="23"/>
    </row>
    <row r="62" spans="2:13" ht="18.75" x14ac:dyDescent="0.25">
      <c r="B62" s="37" t="s">
        <v>1916</v>
      </c>
      <c r="C62" s="36" t="s">
        <v>1916</v>
      </c>
      <c r="D62" s="35" t="s">
        <v>1916</v>
      </c>
      <c r="E62" s="37"/>
      <c r="F62" s="37"/>
      <c r="G62" s="36"/>
      <c r="H62" s="35"/>
      <c r="J62" s="21"/>
      <c r="K62" s="22"/>
      <c r="L62" s="23"/>
    </row>
    <row r="63" spans="2:13" ht="22.5" customHeight="1" x14ac:dyDescent="0.25">
      <c r="B63" s="37"/>
      <c r="C63" s="36"/>
      <c r="D63" s="35"/>
      <c r="E63" s="37"/>
      <c r="F63" s="37"/>
      <c r="G63" s="36"/>
      <c r="H63" s="35"/>
      <c r="J63" s="21"/>
      <c r="K63" s="22"/>
      <c r="L63" s="23"/>
    </row>
    <row r="64" spans="2:13" x14ac:dyDescent="0.25">
      <c r="B64" s="12" t="s">
        <v>1899</v>
      </c>
      <c r="C64" s="12" t="s">
        <v>1900</v>
      </c>
      <c r="D64" s="12" t="s">
        <v>1901</v>
      </c>
      <c r="E64" s="12" t="s">
        <v>1906</v>
      </c>
      <c r="F64" s="12" t="s">
        <v>1907</v>
      </c>
      <c r="G64" s="12" t="s">
        <v>1908</v>
      </c>
      <c r="H64" s="12" t="s">
        <v>1909</v>
      </c>
      <c r="I64" s="12" t="s">
        <v>1910</v>
      </c>
      <c r="J64" s="12" t="s">
        <v>1911</v>
      </c>
      <c r="K64" s="12" t="s">
        <v>1912</v>
      </c>
      <c r="L64" s="12" t="s">
        <v>1913</v>
      </c>
      <c r="M64" s="12" t="s">
        <v>1914</v>
      </c>
    </row>
    <row r="65" spans="1:13" ht="18.75" customHeight="1" x14ac:dyDescent="0.25">
      <c r="A65" s="7" t="s">
        <v>79</v>
      </c>
      <c r="B65" s="39" t="s">
        <v>1934</v>
      </c>
      <c r="C65" s="39" t="s">
        <v>1934</v>
      </c>
      <c r="D65" s="39" t="s">
        <v>2107</v>
      </c>
      <c r="E65" s="39" t="s">
        <v>1934</v>
      </c>
      <c r="F65" s="39" t="s">
        <v>1934</v>
      </c>
      <c r="G65" s="39" t="s">
        <v>1934</v>
      </c>
      <c r="H65" s="39" t="s">
        <v>1934</v>
      </c>
      <c r="I65" s="39" t="s">
        <v>1934</v>
      </c>
      <c r="J65" s="39" t="s">
        <v>1934</v>
      </c>
      <c r="K65" s="39" t="s">
        <v>1934</v>
      </c>
      <c r="L65" s="39" t="s">
        <v>1934</v>
      </c>
      <c r="M65" s="39" t="s">
        <v>1934</v>
      </c>
    </row>
    <row r="66" spans="1:13" ht="18.75" customHeight="1" x14ac:dyDescent="0.25">
      <c r="A66" s="7" t="s">
        <v>152</v>
      </c>
      <c r="B66" s="39" t="s">
        <v>1934</v>
      </c>
      <c r="C66" s="39" t="s">
        <v>1934</v>
      </c>
      <c r="D66" s="39" t="s">
        <v>1934</v>
      </c>
      <c r="E66" s="39" t="s">
        <v>1934</v>
      </c>
      <c r="F66" s="39" t="s">
        <v>1934</v>
      </c>
      <c r="G66" s="39" t="s">
        <v>1934</v>
      </c>
      <c r="H66" s="39" t="s">
        <v>1934</v>
      </c>
      <c r="I66" s="39" t="s">
        <v>1934</v>
      </c>
      <c r="J66" s="39" t="s">
        <v>1934</v>
      </c>
      <c r="K66" s="39" t="s">
        <v>1934</v>
      </c>
      <c r="L66" s="39" t="s">
        <v>1934</v>
      </c>
      <c r="M66" s="39" t="s">
        <v>1934</v>
      </c>
    </row>
    <row r="67" spans="1:13" ht="18.75" customHeight="1" x14ac:dyDescent="0.25">
      <c r="A67" s="7" t="s">
        <v>156</v>
      </c>
      <c r="B67" s="39" t="s">
        <v>1934</v>
      </c>
      <c r="C67" s="39" t="s">
        <v>1934</v>
      </c>
      <c r="D67" s="39" t="s">
        <v>1934</v>
      </c>
      <c r="E67" s="39" t="s">
        <v>1934</v>
      </c>
      <c r="F67" s="39" t="s">
        <v>1934</v>
      </c>
      <c r="G67" s="39" t="s">
        <v>1934</v>
      </c>
      <c r="H67" s="39" t="s">
        <v>1934</v>
      </c>
      <c r="I67" s="39" t="s">
        <v>1934</v>
      </c>
      <c r="J67" s="39" t="s">
        <v>1934</v>
      </c>
      <c r="K67" s="39" t="s">
        <v>1934</v>
      </c>
      <c r="L67" s="39" t="s">
        <v>1934</v>
      </c>
      <c r="M67" s="39" t="s">
        <v>1934</v>
      </c>
    </row>
    <row r="68" spans="1:13" ht="18.75" customHeight="1" x14ac:dyDescent="0.25">
      <c r="A68" s="7" t="s">
        <v>160</v>
      </c>
      <c r="B68" s="39" t="s">
        <v>1934</v>
      </c>
      <c r="C68" s="39" t="s">
        <v>1934</v>
      </c>
      <c r="D68" s="39" t="s">
        <v>1934</v>
      </c>
      <c r="E68" s="39" t="s">
        <v>1934</v>
      </c>
      <c r="F68" s="39" t="s">
        <v>1934</v>
      </c>
      <c r="G68" s="39" t="s">
        <v>1934</v>
      </c>
      <c r="H68" s="39" t="s">
        <v>1934</v>
      </c>
      <c r="I68" s="39" t="s">
        <v>1934</v>
      </c>
      <c r="J68" s="39" t="s">
        <v>1934</v>
      </c>
      <c r="K68" s="39" t="s">
        <v>1934</v>
      </c>
      <c r="L68" s="39" t="s">
        <v>1934</v>
      </c>
      <c r="M68" s="39" t="s">
        <v>1934</v>
      </c>
    </row>
    <row r="69" spans="1:13" ht="18.75" customHeight="1" x14ac:dyDescent="0.25">
      <c r="A69" s="7" t="s">
        <v>1902</v>
      </c>
      <c r="B69" s="39" t="s">
        <v>1934</v>
      </c>
      <c r="C69" s="39" t="s">
        <v>1934</v>
      </c>
      <c r="D69" s="39" t="s">
        <v>1934</v>
      </c>
      <c r="E69" s="39" t="s">
        <v>1934</v>
      </c>
      <c r="F69" s="39" t="s">
        <v>1934</v>
      </c>
      <c r="G69" s="39" t="s">
        <v>1934</v>
      </c>
      <c r="H69" s="39" t="s">
        <v>1934</v>
      </c>
      <c r="I69" s="39" t="s">
        <v>1934</v>
      </c>
      <c r="J69" s="39" t="s">
        <v>1934</v>
      </c>
      <c r="K69" s="39" t="s">
        <v>1934</v>
      </c>
      <c r="L69" s="39" t="s">
        <v>1934</v>
      </c>
      <c r="M69" s="39" t="s">
        <v>1934</v>
      </c>
    </row>
    <row r="70" spans="1:13" ht="18.75" customHeight="1" x14ac:dyDescent="0.25">
      <c r="A70" s="7" t="s">
        <v>1903</v>
      </c>
      <c r="B70" s="39" t="s">
        <v>1934</v>
      </c>
      <c r="C70" s="39" t="s">
        <v>1934</v>
      </c>
      <c r="D70" s="39" t="s">
        <v>1934</v>
      </c>
      <c r="E70" s="39" t="s">
        <v>1934</v>
      </c>
      <c r="F70" s="39" t="s">
        <v>1934</v>
      </c>
      <c r="G70" s="39" t="s">
        <v>1934</v>
      </c>
      <c r="H70" s="39" t="s">
        <v>1934</v>
      </c>
      <c r="I70" s="39" t="s">
        <v>1934</v>
      </c>
      <c r="J70" s="39" t="s">
        <v>1934</v>
      </c>
      <c r="K70" s="39" t="s">
        <v>1934</v>
      </c>
      <c r="L70" s="39" t="s">
        <v>1934</v>
      </c>
      <c r="M70" s="39" t="s">
        <v>1934</v>
      </c>
    </row>
    <row r="71" spans="1:13" ht="18.75" customHeight="1" x14ac:dyDescent="0.25">
      <c r="A71" s="7" t="s">
        <v>1904</v>
      </c>
      <c r="B71" s="39" t="s">
        <v>1934</v>
      </c>
      <c r="C71" s="39" t="s">
        <v>1934</v>
      </c>
      <c r="D71" s="39" t="s">
        <v>1934</v>
      </c>
      <c r="E71" s="39" t="s">
        <v>1934</v>
      </c>
      <c r="F71" s="39" t="s">
        <v>1934</v>
      </c>
      <c r="G71" s="39" t="s">
        <v>1934</v>
      </c>
      <c r="H71" s="39" t="s">
        <v>1934</v>
      </c>
      <c r="I71" s="39" t="s">
        <v>1934</v>
      </c>
      <c r="J71" s="39" t="s">
        <v>1934</v>
      </c>
      <c r="K71" s="39" t="s">
        <v>1934</v>
      </c>
      <c r="L71" s="39" t="s">
        <v>1934</v>
      </c>
      <c r="M71" s="39" t="s">
        <v>1934</v>
      </c>
    </row>
    <row r="72" spans="1:13" ht="18.75" customHeight="1" x14ac:dyDescent="0.25">
      <c r="A72" s="7" t="s">
        <v>1905</v>
      </c>
      <c r="B72" s="39" t="s">
        <v>1934</v>
      </c>
      <c r="C72" s="39" t="s">
        <v>2104</v>
      </c>
      <c r="D72" s="39" t="s">
        <v>1934</v>
      </c>
      <c r="E72" s="39" t="s">
        <v>1934</v>
      </c>
      <c r="F72" s="39" t="s">
        <v>1934</v>
      </c>
      <c r="G72" s="39" t="s">
        <v>1934</v>
      </c>
      <c r="H72" s="39" t="s">
        <v>1934</v>
      </c>
      <c r="I72" s="39" t="s">
        <v>1934</v>
      </c>
      <c r="J72" s="39" t="s">
        <v>1934</v>
      </c>
      <c r="K72" s="39" t="s">
        <v>1934</v>
      </c>
      <c r="L72" s="39" t="s">
        <v>1934</v>
      </c>
      <c r="M72" s="39" t="s">
        <v>1934</v>
      </c>
    </row>
  </sheetData>
  <mergeCells count="4">
    <mergeCell ref="E4:H4"/>
    <mergeCell ref="K4:L5"/>
    <mergeCell ref="B7:C7"/>
    <mergeCell ref="K7:L7"/>
  </mergeCells>
  <conditionalFormatting sqref="B8:B31">
    <cfRule type="duplicateValues" dxfId="33" priority="13"/>
  </conditionalFormatting>
  <conditionalFormatting sqref="B8:C31">
    <cfRule type="containsBlanks" dxfId="32" priority="4">
      <formula>LEN(TRIM(B8))=0</formula>
    </cfRule>
  </conditionalFormatting>
  <conditionalFormatting sqref="C8:C31">
    <cfRule type="duplicateValues" dxfId="31" priority="5"/>
  </conditionalFormatting>
  <conditionalFormatting sqref="E4">
    <cfRule type="notContainsBlanks" dxfId="30" priority="9">
      <formula>LEN(TRIM(E4))&gt;0</formula>
    </cfRule>
  </conditionalFormatting>
  <conditionalFormatting sqref="E8:H31">
    <cfRule type="expression" dxfId="29" priority="3">
      <formula>ISNUMBER(FIND("POOL",$D8))</formula>
    </cfRule>
  </conditionalFormatting>
  <conditionalFormatting sqref="J8:J31">
    <cfRule type="expression" dxfId="28" priority="8">
      <formula>ISNUMBER(FIND("POOL",$D8))</formula>
    </cfRule>
  </conditionalFormatting>
  <conditionalFormatting sqref="K8:K31">
    <cfRule type="duplicateValues" dxfId="27" priority="10"/>
    <cfRule type="expression" dxfId="26" priority="11">
      <formula>ISNUMBER(FIND("POOL",$D8))</formula>
    </cfRule>
  </conditionalFormatting>
  <conditionalFormatting sqref="L8:L31">
    <cfRule type="containsBlanks" dxfId="25" priority="6">
      <formula>LEN(TRIM(L8))=0</formula>
    </cfRule>
    <cfRule type="duplicateValues" dxfId="24" priority="7"/>
  </conditionalFormatting>
  <conditionalFormatting sqref="M8:M31">
    <cfRule type="expression" dxfId="23" priority="1">
      <formula>ISNUMBER(FIND("POOL",$D8))</formula>
    </cfRule>
  </conditionalFormatting>
  <dataValidations count="1">
    <dataValidation type="whole" allowBlank="1" showInputMessage="1" showErrorMessage="1" sqref="D4" xr:uid="{5230B698-F8D8-42BB-836C-61211D948DA6}">
      <formula1>0</formula1>
      <formula2>24</formula2>
    </dataValidation>
  </dataValidations>
  <pageMargins left="0.25" right="0.25" top="0.75" bottom="0.75" header="0.3" footer="0.3"/>
  <pageSetup paperSize="9" scale="4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B9CEA10-D59F-4A16-8363-5435CA23AE32}">
          <x14:formula1>
            <xm:f>Database!$B$16:$B$19</xm:f>
          </x14:formula1>
          <xm:sqref>J8:J31</xm:sqref>
        </x14:dataValidation>
        <x14:dataValidation type="list" allowBlank="1" showInputMessage="1" showErrorMessage="1" xr:uid="{76EC8394-B4FF-4F43-B2C3-6A616DBE3440}">
          <x14:formula1>
            <xm:f>Database!$A$5:$A$11</xm:f>
          </x14:formula1>
          <xm:sqref>F8:F31</xm:sqref>
        </x14:dataValidation>
        <x14:dataValidation type="list" allowBlank="1" showInputMessage="1" showErrorMessage="1" xr:uid="{58D4BEC8-FC41-4570-8F35-0F2BA2E52BD0}">
          <x14:formula1>
            <xm:f>Database!$A$16:$A$18</xm:f>
          </x14:formula1>
          <xm:sqref>D2 F9:F13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A4CC9-0F8D-4EF1-B138-7722C5958590}">
  <dimension ref="A2:M72"/>
  <sheetViews>
    <sheetView view="pageBreakPreview" zoomScale="85" zoomScaleNormal="70" zoomScaleSheetLayoutView="85" zoomScalePageLayoutView="55" workbookViewId="0">
      <selection activeCell="H27" sqref="H27"/>
    </sheetView>
  </sheetViews>
  <sheetFormatPr defaultColWidth="9.140625" defaultRowHeight="15" x14ac:dyDescent="0.25"/>
  <cols>
    <col min="1" max="1" width="18.28515625" style="5" customWidth="1"/>
    <col min="2" max="4" width="15" style="5" customWidth="1"/>
    <col min="5" max="5" width="16.140625" style="5" customWidth="1"/>
    <col min="6" max="6" width="17.7109375" style="5" customWidth="1"/>
    <col min="7" max="7" width="15" style="5" customWidth="1"/>
    <col min="8" max="9" width="15" style="8" customWidth="1"/>
    <col min="10" max="12" width="15" style="5" customWidth="1"/>
    <col min="13" max="13" width="15" style="8" customWidth="1"/>
    <col min="14" max="16384" width="9.140625" style="5"/>
  </cols>
  <sheetData>
    <row r="2" spans="1:13" ht="17.25" x14ac:dyDescent="0.3">
      <c r="C2" s="18" t="s">
        <v>1892</v>
      </c>
      <c r="D2" s="15" t="s">
        <v>155</v>
      </c>
      <c r="F2" s="18" t="s">
        <v>1893</v>
      </c>
      <c r="G2" s="43">
        <v>44795</v>
      </c>
      <c r="H2" s="8" t="s">
        <v>1894</v>
      </c>
      <c r="J2" s="18" t="s">
        <v>1895</v>
      </c>
      <c r="K2" s="61" t="s">
        <v>2163</v>
      </c>
      <c r="L2" s="60"/>
    </row>
    <row r="3" spans="1:13" ht="9.75" customHeight="1" x14ac:dyDescent="0.3">
      <c r="C3" s="13"/>
      <c r="D3" s="16"/>
    </row>
    <row r="4" spans="1:13" ht="18.75" x14ac:dyDescent="0.3">
      <c r="C4" s="18" t="s">
        <v>1896</v>
      </c>
      <c r="D4" s="17">
        <v>6</v>
      </c>
      <c r="E4" s="140" t="s">
        <v>1916</v>
      </c>
      <c r="F4" s="141"/>
      <c r="G4" s="141"/>
      <c r="H4" s="141"/>
      <c r="J4" s="18" t="s">
        <v>1897</v>
      </c>
      <c r="K4" s="142"/>
      <c r="L4" s="143"/>
    </row>
    <row r="5" spans="1:13" ht="17.25" x14ac:dyDescent="0.3">
      <c r="C5" s="18" t="s">
        <v>1898</v>
      </c>
      <c r="D5" s="17">
        <v>10016</v>
      </c>
      <c r="J5" s="18"/>
      <c r="K5" s="144"/>
      <c r="L5" s="145"/>
    </row>
    <row r="6" spans="1:13" ht="12" customHeight="1" x14ac:dyDescent="0.25">
      <c r="B6" s="6"/>
      <c r="C6" s="6"/>
    </row>
    <row r="7" spans="1:13" s="40" customFormat="1" ht="37.5" x14ac:dyDescent="0.25">
      <c r="B7" s="146" t="s">
        <v>1</v>
      </c>
      <c r="C7" s="146"/>
      <c r="D7" s="41" t="s">
        <v>2</v>
      </c>
      <c r="E7" s="41" t="s">
        <v>1917</v>
      </c>
      <c r="F7" s="41" t="s">
        <v>4</v>
      </c>
      <c r="G7" s="41" t="s">
        <v>1918</v>
      </c>
      <c r="H7" s="41" t="s">
        <v>1919</v>
      </c>
      <c r="I7" s="41" t="s">
        <v>1920</v>
      </c>
      <c r="J7" s="41" t="s">
        <v>8</v>
      </c>
      <c r="K7" s="146" t="s">
        <v>1921</v>
      </c>
      <c r="L7" s="146"/>
      <c r="M7" s="41" t="s">
        <v>1922</v>
      </c>
    </row>
    <row r="8" spans="1:13" ht="19.5" x14ac:dyDescent="0.3">
      <c r="A8" s="6"/>
      <c r="B8" s="33">
        <v>1</v>
      </c>
      <c r="C8" s="33" t="s">
        <v>80</v>
      </c>
      <c r="D8" s="28" t="s">
        <v>2207</v>
      </c>
      <c r="E8" s="29" t="s">
        <v>1947</v>
      </c>
      <c r="F8" s="45" t="s">
        <v>93</v>
      </c>
      <c r="G8" s="30">
        <v>38.6</v>
      </c>
      <c r="H8" s="31">
        <v>2</v>
      </c>
      <c r="I8" s="32">
        <v>16.914000000000001</v>
      </c>
      <c r="J8" s="30" t="s">
        <v>79</v>
      </c>
      <c r="K8" s="30">
        <v>1</v>
      </c>
      <c r="L8" s="33" t="s">
        <v>80</v>
      </c>
      <c r="M8" s="50">
        <v>1.49</v>
      </c>
    </row>
    <row r="9" spans="1:13" ht="19.5" x14ac:dyDescent="0.3">
      <c r="A9" s="6"/>
      <c r="B9" s="33">
        <v>2</v>
      </c>
      <c r="C9" s="33" t="s">
        <v>86</v>
      </c>
      <c r="D9" s="28" t="s">
        <v>2208</v>
      </c>
      <c r="E9" s="29" t="s">
        <v>1951</v>
      </c>
      <c r="F9" s="45" t="s">
        <v>93</v>
      </c>
      <c r="G9" s="30">
        <v>39.799999999999997</v>
      </c>
      <c r="H9" s="31">
        <v>2</v>
      </c>
      <c r="I9" s="32">
        <v>17.501999999999999</v>
      </c>
      <c r="J9" s="30" t="s">
        <v>79</v>
      </c>
      <c r="K9" s="30">
        <v>2</v>
      </c>
      <c r="L9" s="33" t="s">
        <v>86</v>
      </c>
      <c r="M9" s="50">
        <v>1.46</v>
      </c>
    </row>
    <row r="10" spans="1:13" ht="19.5" x14ac:dyDescent="0.3">
      <c r="A10" s="6"/>
      <c r="B10" s="33">
        <v>3</v>
      </c>
      <c r="C10" s="33" t="s">
        <v>94</v>
      </c>
      <c r="D10" s="28" t="s">
        <v>2209</v>
      </c>
      <c r="E10" s="29" t="s">
        <v>1955</v>
      </c>
      <c r="F10" s="45" t="s">
        <v>93</v>
      </c>
      <c r="G10" s="30">
        <v>63</v>
      </c>
      <c r="H10" s="31">
        <v>2</v>
      </c>
      <c r="I10" s="32">
        <v>28.87</v>
      </c>
      <c r="J10" s="30" t="s">
        <v>79</v>
      </c>
      <c r="K10" s="30">
        <v>3</v>
      </c>
      <c r="L10" s="33" t="s">
        <v>94</v>
      </c>
      <c r="M10" s="50">
        <v>1.66</v>
      </c>
    </row>
    <row r="11" spans="1:13" ht="19.5" x14ac:dyDescent="0.3">
      <c r="A11" s="6"/>
      <c r="B11" s="33">
        <v>4</v>
      </c>
      <c r="C11" s="33" t="s">
        <v>103</v>
      </c>
      <c r="D11" s="28" t="s">
        <v>2210</v>
      </c>
      <c r="E11" s="29" t="s">
        <v>1943</v>
      </c>
      <c r="F11" s="45" t="s">
        <v>107</v>
      </c>
      <c r="G11" s="30">
        <v>8.02</v>
      </c>
      <c r="H11" s="31">
        <v>9</v>
      </c>
      <c r="I11" s="32">
        <v>0</v>
      </c>
      <c r="J11" s="30" t="s">
        <v>79</v>
      </c>
      <c r="K11" s="30">
        <v>4</v>
      </c>
      <c r="L11" s="33" t="s">
        <v>103</v>
      </c>
      <c r="M11" s="50">
        <v>1</v>
      </c>
    </row>
    <row r="12" spans="1:13" ht="19.5" x14ac:dyDescent="0.3">
      <c r="A12" s="6"/>
      <c r="B12" s="33">
        <v>5</v>
      </c>
      <c r="C12" s="33" t="s">
        <v>109</v>
      </c>
      <c r="D12" s="28" t="s">
        <v>2211</v>
      </c>
      <c r="E12" s="29" t="s">
        <v>1958</v>
      </c>
      <c r="F12" s="45" t="s">
        <v>93</v>
      </c>
      <c r="G12" s="30">
        <v>97.8</v>
      </c>
      <c r="H12" s="31">
        <v>2</v>
      </c>
      <c r="I12" s="32">
        <v>45.921999999999997</v>
      </c>
      <c r="J12" s="30" t="s">
        <v>79</v>
      </c>
      <c r="K12" s="30">
        <v>5</v>
      </c>
      <c r="L12" s="33" t="s">
        <v>109</v>
      </c>
      <c r="M12" s="50">
        <v>1.63</v>
      </c>
    </row>
    <row r="13" spans="1:13" ht="19.5" x14ac:dyDescent="0.3">
      <c r="A13" s="6"/>
      <c r="B13" s="33">
        <v>6</v>
      </c>
      <c r="C13" s="33" t="s">
        <v>114</v>
      </c>
      <c r="D13" s="28" t="s">
        <v>2212</v>
      </c>
      <c r="E13" s="29" t="s">
        <v>1961</v>
      </c>
      <c r="F13" s="45" t="s">
        <v>93</v>
      </c>
      <c r="G13" s="30">
        <v>95</v>
      </c>
      <c r="H13" s="31">
        <v>2</v>
      </c>
      <c r="I13" s="32">
        <v>44.55</v>
      </c>
      <c r="J13" s="30" t="s">
        <v>79</v>
      </c>
      <c r="K13" s="30">
        <v>6</v>
      </c>
      <c r="L13" s="33" t="s">
        <v>114</v>
      </c>
      <c r="M13" s="50">
        <v>1.46</v>
      </c>
    </row>
    <row r="14" spans="1:13" ht="19.5" x14ac:dyDescent="0.3">
      <c r="A14" s="6"/>
      <c r="B14" s="33" t="s">
        <v>1916</v>
      </c>
      <c r="C14" s="33" t="s">
        <v>1916</v>
      </c>
      <c r="D14" s="28" t="s">
        <v>1916</v>
      </c>
      <c r="E14" s="29"/>
      <c r="F14" s="45"/>
      <c r="G14" s="30"/>
      <c r="H14" s="31"/>
      <c r="I14" s="32" t="s">
        <v>1916</v>
      </c>
      <c r="J14" s="30"/>
      <c r="K14" s="30"/>
      <c r="L14" s="33" t="s">
        <v>1916</v>
      </c>
      <c r="M14" s="30"/>
    </row>
    <row r="15" spans="1:13" ht="19.5" x14ac:dyDescent="0.3">
      <c r="A15" s="6"/>
      <c r="B15" s="33" t="s">
        <v>1916</v>
      </c>
      <c r="C15" s="33" t="s">
        <v>1916</v>
      </c>
      <c r="D15" s="28" t="s">
        <v>1916</v>
      </c>
      <c r="E15" s="29"/>
      <c r="F15" s="45"/>
      <c r="G15" s="30"/>
      <c r="H15" s="31"/>
      <c r="I15" s="32" t="s">
        <v>1916</v>
      </c>
      <c r="J15" s="30"/>
      <c r="K15" s="30"/>
      <c r="L15" s="33" t="s">
        <v>1916</v>
      </c>
      <c r="M15" s="30"/>
    </row>
    <row r="16" spans="1:13" ht="19.5" x14ac:dyDescent="0.3">
      <c r="A16" s="6"/>
      <c r="B16" s="33" t="s">
        <v>1916</v>
      </c>
      <c r="C16" s="33" t="s">
        <v>1916</v>
      </c>
      <c r="D16" s="28" t="s">
        <v>1916</v>
      </c>
      <c r="E16" s="29"/>
      <c r="F16" s="45"/>
      <c r="G16" s="30"/>
      <c r="H16" s="31"/>
      <c r="I16" s="32" t="s">
        <v>1916</v>
      </c>
      <c r="J16" s="30"/>
      <c r="K16" s="30"/>
      <c r="L16" s="33" t="s">
        <v>1916</v>
      </c>
      <c r="M16" s="30"/>
    </row>
    <row r="17" spans="1:13" ht="19.5" x14ac:dyDescent="0.3">
      <c r="A17" s="6"/>
      <c r="B17" s="33" t="s">
        <v>1916</v>
      </c>
      <c r="C17" s="33" t="s">
        <v>1916</v>
      </c>
      <c r="D17" s="28" t="s">
        <v>1916</v>
      </c>
      <c r="E17" s="29"/>
      <c r="F17" s="45"/>
      <c r="G17" s="30"/>
      <c r="H17" s="31"/>
      <c r="I17" s="32" t="s">
        <v>1916</v>
      </c>
      <c r="J17" s="30"/>
      <c r="K17" s="30"/>
      <c r="L17" s="33" t="s">
        <v>1916</v>
      </c>
      <c r="M17" s="30"/>
    </row>
    <row r="18" spans="1:13" ht="19.5" x14ac:dyDescent="0.3">
      <c r="A18" s="6"/>
      <c r="B18" s="33" t="s">
        <v>1916</v>
      </c>
      <c r="C18" s="33" t="s">
        <v>1916</v>
      </c>
      <c r="D18" s="28" t="s">
        <v>1916</v>
      </c>
      <c r="E18" s="29"/>
      <c r="F18" s="45"/>
      <c r="G18" s="30"/>
      <c r="H18" s="31"/>
      <c r="I18" s="32" t="s">
        <v>1916</v>
      </c>
      <c r="J18" s="30"/>
      <c r="K18" s="30"/>
      <c r="L18" s="33" t="s">
        <v>1916</v>
      </c>
      <c r="M18" s="30"/>
    </row>
    <row r="19" spans="1:13" ht="19.5" x14ac:dyDescent="0.3">
      <c r="A19" s="6"/>
      <c r="B19" s="33" t="s">
        <v>1916</v>
      </c>
      <c r="C19" s="33" t="s">
        <v>1916</v>
      </c>
      <c r="D19" s="28" t="s">
        <v>1916</v>
      </c>
      <c r="E19" s="29"/>
      <c r="F19" s="45"/>
      <c r="G19" s="30"/>
      <c r="H19" s="31"/>
      <c r="I19" s="32" t="s">
        <v>1916</v>
      </c>
      <c r="J19" s="30"/>
      <c r="K19" s="30"/>
      <c r="L19" s="33" t="s">
        <v>1916</v>
      </c>
      <c r="M19" s="30"/>
    </row>
    <row r="20" spans="1:13" ht="19.5" x14ac:dyDescent="0.3">
      <c r="A20" s="6"/>
      <c r="B20" s="33" t="s">
        <v>1916</v>
      </c>
      <c r="C20" s="33" t="s">
        <v>1916</v>
      </c>
      <c r="D20" s="28" t="s">
        <v>1916</v>
      </c>
      <c r="E20" s="29"/>
      <c r="F20" s="45"/>
      <c r="G20" s="30"/>
      <c r="H20" s="31"/>
      <c r="I20" s="32" t="s">
        <v>1916</v>
      </c>
      <c r="J20" s="30"/>
      <c r="K20" s="30"/>
      <c r="L20" s="33" t="s">
        <v>1916</v>
      </c>
      <c r="M20" s="30"/>
    </row>
    <row r="21" spans="1:13" ht="19.5" x14ac:dyDescent="0.3">
      <c r="A21" s="6"/>
      <c r="B21" s="33" t="s">
        <v>1916</v>
      </c>
      <c r="C21" s="33" t="s">
        <v>1916</v>
      </c>
      <c r="D21" s="28" t="s">
        <v>1916</v>
      </c>
      <c r="E21" s="29"/>
      <c r="F21" s="45"/>
      <c r="G21" s="30"/>
      <c r="H21" s="31"/>
      <c r="I21" s="32" t="s">
        <v>1916</v>
      </c>
      <c r="J21" s="30"/>
      <c r="K21" s="30"/>
      <c r="L21" s="33" t="s">
        <v>1916</v>
      </c>
      <c r="M21" s="30"/>
    </row>
    <row r="22" spans="1:13" ht="19.5" x14ac:dyDescent="0.3">
      <c r="A22" s="6"/>
      <c r="B22" s="33" t="s">
        <v>1916</v>
      </c>
      <c r="C22" s="33" t="s">
        <v>1916</v>
      </c>
      <c r="D22" s="28" t="s">
        <v>1916</v>
      </c>
      <c r="E22" s="29"/>
      <c r="F22" s="45"/>
      <c r="G22" s="30"/>
      <c r="H22" s="31"/>
      <c r="I22" s="32" t="s">
        <v>1916</v>
      </c>
      <c r="J22" s="30"/>
      <c r="K22" s="30"/>
      <c r="L22" s="33" t="s">
        <v>1916</v>
      </c>
      <c r="M22" s="30"/>
    </row>
    <row r="23" spans="1:13" ht="19.5" x14ac:dyDescent="0.3">
      <c r="A23" s="6"/>
      <c r="B23" s="33" t="s">
        <v>1916</v>
      </c>
      <c r="C23" s="33" t="s">
        <v>1916</v>
      </c>
      <c r="D23" s="28" t="s">
        <v>1916</v>
      </c>
      <c r="E23" s="29"/>
      <c r="F23" s="45"/>
      <c r="G23" s="30"/>
      <c r="H23" s="31"/>
      <c r="I23" s="32" t="s">
        <v>1916</v>
      </c>
      <c r="J23" s="30"/>
      <c r="K23" s="30"/>
      <c r="L23" s="33" t="s">
        <v>1916</v>
      </c>
      <c r="M23" s="30"/>
    </row>
    <row r="24" spans="1:13" ht="19.5" x14ac:dyDescent="0.3">
      <c r="A24" s="6"/>
      <c r="B24" s="33" t="s">
        <v>1916</v>
      </c>
      <c r="C24" s="33" t="s">
        <v>1916</v>
      </c>
      <c r="D24" s="28" t="s">
        <v>1916</v>
      </c>
      <c r="E24" s="29"/>
      <c r="F24" s="45"/>
      <c r="G24" s="30"/>
      <c r="H24" s="31"/>
      <c r="I24" s="32" t="s">
        <v>1916</v>
      </c>
      <c r="J24" s="30"/>
      <c r="K24" s="30"/>
      <c r="L24" s="33" t="s">
        <v>1916</v>
      </c>
      <c r="M24" s="30"/>
    </row>
    <row r="25" spans="1:13" ht="19.5" x14ac:dyDescent="0.3">
      <c r="A25" s="6"/>
      <c r="B25" s="33" t="s">
        <v>1916</v>
      </c>
      <c r="C25" s="33" t="s">
        <v>1916</v>
      </c>
      <c r="D25" s="28" t="s">
        <v>1916</v>
      </c>
      <c r="E25" s="29"/>
      <c r="F25" s="45"/>
      <c r="G25" s="30"/>
      <c r="H25" s="31"/>
      <c r="I25" s="32" t="s">
        <v>1916</v>
      </c>
      <c r="J25" s="30"/>
      <c r="K25" s="30"/>
      <c r="L25" s="33" t="s">
        <v>1916</v>
      </c>
      <c r="M25" s="30"/>
    </row>
    <row r="26" spans="1:13" ht="19.5" x14ac:dyDescent="0.3">
      <c r="A26" s="6"/>
      <c r="B26" s="33" t="s">
        <v>1916</v>
      </c>
      <c r="C26" s="33" t="s">
        <v>1916</v>
      </c>
      <c r="D26" s="28" t="s">
        <v>1916</v>
      </c>
      <c r="E26" s="29"/>
      <c r="F26" s="45"/>
      <c r="G26" s="30"/>
      <c r="H26" s="31"/>
      <c r="I26" s="32" t="s">
        <v>1916</v>
      </c>
      <c r="J26" s="30"/>
      <c r="K26" s="30"/>
      <c r="L26" s="33" t="s">
        <v>1916</v>
      </c>
      <c r="M26" s="30"/>
    </row>
    <row r="27" spans="1:13" ht="19.5" x14ac:dyDescent="0.3">
      <c r="A27" s="6"/>
      <c r="B27" s="33" t="s">
        <v>1916</v>
      </c>
      <c r="C27" s="33" t="s">
        <v>1916</v>
      </c>
      <c r="D27" s="28" t="s">
        <v>1916</v>
      </c>
      <c r="E27" s="29"/>
      <c r="F27" s="45"/>
      <c r="G27" s="30"/>
      <c r="H27" s="31"/>
      <c r="I27" s="32" t="s">
        <v>1916</v>
      </c>
      <c r="J27" s="30"/>
      <c r="K27" s="30"/>
      <c r="L27" s="33" t="s">
        <v>1916</v>
      </c>
      <c r="M27" s="30"/>
    </row>
    <row r="28" spans="1:13" ht="19.5" x14ac:dyDescent="0.3">
      <c r="A28" s="6"/>
      <c r="B28" s="33" t="s">
        <v>1916</v>
      </c>
      <c r="C28" s="33" t="s">
        <v>1916</v>
      </c>
      <c r="D28" s="28" t="s">
        <v>1916</v>
      </c>
      <c r="E28" s="29"/>
      <c r="F28" s="45"/>
      <c r="G28" s="30"/>
      <c r="H28" s="31"/>
      <c r="I28" s="32" t="s">
        <v>1916</v>
      </c>
      <c r="J28" s="30"/>
      <c r="K28" s="30"/>
      <c r="L28" s="33" t="s">
        <v>1916</v>
      </c>
      <c r="M28" s="30"/>
    </row>
    <row r="29" spans="1:13" ht="19.5" x14ac:dyDescent="0.3">
      <c r="A29" s="6"/>
      <c r="B29" s="33" t="s">
        <v>1916</v>
      </c>
      <c r="C29" s="33" t="s">
        <v>1916</v>
      </c>
      <c r="D29" s="28" t="s">
        <v>1916</v>
      </c>
      <c r="E29" s="29"/>
      <c r="F29" s="45"/>
      <c r="G29" s="30"/>
      <c r="H29" s="31"/>
      <c r="I29" s="32" t="s">
        <v>1916</v>
      </c>
      <c r="J29" s="30"/>
      <c r="K29" s="30"/>
      <c r="L29" s="33" t="s">
        <v>1916</v>
      </c>
      <c r="M29" s="30"/>
    </row>
    <row r="30" spans="1:13" ht="19.5" x14ac:dyDescent="0.3">
      <c r="A30" s="6"/>
      <c r="B30" s="33" t="s">
        <v>1916</v>
      </c>
      <c r="C30" s="33" t="s">
        <v>1916</v>
      </c>
      <c r="D30" s="28" t="s">
        <v>1916</v>
      </c>
      <c r="E30" s="29"/>
      <c r="F30" s="45"/>
      <c r="G30" s="30"/>
      <c r="H30" s="31"/>
      <c r="I30" s="32" t="s">
        <v>1916</v>
      </c>
      <c r="J30" s="30"/>
      <c r="K30" s="30"/>
      <c r="L30" s="33" t="s">
        <v>1916</v>
      </c>
      <c r="M30" s="30"/>
    </row>
    <row r="31" spans="1:13" ht="19.5" x14ac:dyDescent="0.3">
      <c r="A31" s="6"/>
      <c r="B31" s="33" t="s">
        <v>1916</v>
      </c>
      <c r="C31" s="33" t="s">
        <v>1916</v>
      </c>
      <c r="D31" s="28" t="s">
        <v>1916</v>
      </c>
      <c r="E31" s="29"/>
      <c r="F31" s="45"/>
      <c r="G31" s="30"/>
      <c r="H31" s="31"/>
      <c r="I31" s="32" t="s">
        <v>1916</v>
      </c>
      <c r="J31" s="30"/>
      <c r="K31" s="30"/>
      <c r="L31" s="33" t="s">
        <v>1916</v>
      </c>
      <c r="M31" s="30"/>
    </row>
    <row r="32" spans="1:13" x14ac:dyDescent="0.25">
      <c r="A32" s="11"/>
    </row>
    <row r="33" spans="1:12" ht="18.75" x14ac:dyDescent="0.3">
      <c r="A33" s="11"/>
      <c r="B33" s="34" t="s">
        <v>1923</v>
      </c>
      <c r="C33" s="35">
        <v>7</v>
      </c>
      <c r="D33" s="28"/>
      <c r="E33" s="28"/>
      <c r="F33" s="28"/>
      <c r="G33" s="28"/>
      <c r="H33" s="27"/>
      <c r="I33" s="27"/>
      <c r="J33" s="28"/>
      <c r="K33" s="28"/>
      <c r="L33" s="28"/>
    </row>
    <row r="34" spans="1:12" ht="18.75" x14ac:dyDescent="0.3">
      <c r="A34" s="11"/>
      <c r="B34" s="28"/>
      <c r="C34" s="28"/>
      <c r="D34" s="28"/>
      <c r="E34" s="28"/>
      <c r="F34" s="28"/>
      <c r="G34" s="28"/>
      <c r="H34" s="27"/>
      <c r="I34" s="27"/>
      <c r="J34" s="28"/>
      <c r="K34" s="28"/>
      <c r="L34" s="28"/>
    </row>
    <row r="35" spans="1:12" ht="18.75" x14ac:dyDescent="0.3">
      <c r="B35" s="34" t="s">
        <v>2187</v>
      </c>
      <c r="C35" s="36" t="s">
        <v>1925</v>
      </c>
      <c r="D35" s="35" t="s">
        <v>1926</v>
      </c>
      <c r="E35" s="28"/>
      <c r="F35" s="34" t="s">
        <v>2188</v>
      </c>
      <c r="G35" s="36" t="s">
        <v>1925</v>
      </c>
      <c r="H35" s="35" t="s">
        <v>1925</v>
      </c>
      <c r="I35" s="27"/>
      <c r="J35" s="34" t="s">
        <v>1924</v>
      </c>
      <c r="K35" s="36" t="s">
        <v>1925</v>
      </c>
      <c r="L35" s="35" t="s">
        <v>1926</v>
      </c>
    </row>
    <row r="36" spans="1:12" ht="18.75" x14ac:dyDescent="0.3">
      <c r="B36" s="37" t="s">
        <v>245</v>
      </c>
      <c r="C36" s="36">
        <v>1.4</v>
      </c>
      <c r="D36" s="35">
        <v>1.4</v>
      </c>
      <c r="E36" s="28"/>
      <c r="F36" s="37" t="s">
        <v>251</v>
      </c>
      <c r="G36" s="36">
        <v>2.8</v>
      </c>
      <c r="H36" s="35">
        <v>2.8</v>
      </c>
      <c r="I36" s="27"/>
      <c r="J36" s="37" t="s">
        <v>245</v>
      </c>
      <c r="K36" s="36">
        <v>1.4</v>
      </c>
      <c r="L36" s="35">
        <v>7.6999999999999993</v>
      </c>
    </row>
    <row r="37" spans="1:12" ht="18.75" x14ac:dyDescent="0.3">
      <c r="B37" s="37" t="s">
        <v>247</v>
      </c>
      <c r="C37" s="36">
        <v>0.6</v>
      </c>
      <c r="D37" s="35">
        <v>0.6</v>
      </c>
      <c r="E37" s="28"/>
      <c r="F37" s="37" t="s">
        <v>1916</v>
      </c>
      <c r="G37" s="36" t="s">
        <v>1916</v>
      </c>
      <c r="H37" s="35" t="s">
        <v>1916</v>
      </c>
      <c r="I37" s="35"/>
      <c r="J37" s="37" t="s">
        <v>251</v>
      </c>
      <c r="K37" s="36">
        <v>2.8</v>
      </c>
      <c r="L37" s="35">
        <v>15.399999999999999</v>
      </c>
    </row>
    <row r="38" spans="1:12" ht="18.75" x14ac:dyDescent="0.3">
      <c r="B38" s="37" t="s">
        <v>249</v>
      </c>
      <c r="C38" s="36">
        <v>1</v>
      </c>
      <c r="D38" s="35">
        <v>1</v>
      </c>
      <c r="E38" s="28"/>
      <c r="F38" s="37" t="s">
        <v>1916</v>
      </c>
      <c r="G38" s="36" t="s">
        <v>1916</v>
      </c>
      <c r="H38" s="35" t="s">
        <v>1916</v>
      </c>
      <c r="I38" s="35"/>
      <c r="J38" s="37"/>
      <c r="K38" s="36"/>
      <c r="L38" s="35"/>
    </row>
    <row r="39" spans="1:12" ht="18.75" x14ac:dyDescent="0.25">
      <c r="B39" s="37"/>
      <c r="C39" s="36"/>
      <c r="D39" s="35"/>
      <c r="E39" s="37"/>
      <c r="F39" s="37"/>
      <c r="G39" s="36"/>
      <c r="H39" s="35"/>
      <c r="I39" s="35"/>
      <c r="J39" s="37"/>
      <c r="K39" s="36"/>
      <c r="L39" s="35"/>
    </row>
    <row r="40" spans="1:12" ht="18.75" x14ac:dyDescent="0.3">
      <c r="B40" s="34" t="s">
        <v>1916</v>
      </c>
      <c r="C40" s="36" t="s">
        <v>1916</v>
      </c>
      <c r="D40" s="35" t="s">
        <v>1916</v>
      </c>
      <c r="E40" s="28"/>
      <c r="F40" s="34" t="s">
        <v>1927</v>
      </c>
      <c r="G40" s="36" t="s">
        <v>1925</v>
      </c>
      <c r="H40" s="35" t="s">
        <v>1926</v>
      </c>
      <c r="I40" s="27"/>
      <c r="J40" s="34" t="s">
        <v>1928</v>
      </c>
      <c r="K40" s="36" t="s">
        <v>1925</v>
      </c>
      <c r="L40" s="35" t="s">
        <v>1925</v>
      </c>
    </row>
    <row r="41" spans="1:12" ht="18.75" x14ac:dyDescent="0.3">
      <c r="B41" s="37" t="s">
        <v>1916</v>
      </c>
      <c r="C41" s="36" t="s">
        <v>1916</v>
      </c>
      <c r="D41" s="35" t="s">
        <v>1916</v>
      </c>
      <c r="E41" s="37"/>
      <c r="F41" s="37" t="s">
        <v>255</v>
      </c>
      <c r="G41" s="36">
        <v>10</v>
      </c>
      <c r="H41" s="35">
        <v>70</v>
      </c>
      <c r="I41" s="27"/>
      <c r="J41" s="37" t="s">
        <v>260</v>
      </c>
      <c r="K41" s="36">
        <v>2</v>
      </c>
      <c r="L41" s="35">
        <v>2</v>
      </c>
    </row>
    <row r="42" spans="1:12" ht="18.75" x14ac:dyDescent="0.3">
      <c r="B42" s="37" t="s">
        <v>1916</v>
      </c>
      <c r="C42" s="36" t="s">
        <v>1916</v>
      </c>
      <c r="D42" s="35" t="s">
        <v>1916</v>
      </c>
      <c r="E42" s="37"/>
      <c r="F42" s="37" t="s">
        <v>257</v>
      </c>
      <c r="G42" s="36">
        <v>1.5</v>
      </c>
      <c r="H42" s="35">
        <v>10.5</v>
      </c>
      <c r="I42" s="27"/>
      <c r="J42" s="37" t="s">
        <v>1916</v>
      </c>
      <c r="K42" s="36" t="s">
        <v>1916</v>
      </c>
      <c r="L42" s="35" t="s">
        <v>1916</v>
      </c>
    </row>
    <row r="43" spans="1:12" ht="18.75" x14ac:dyDescent="0.3">
      <c r="B43" s="37" t="s">
        <v>1916</v>
      </c>
      <c r="C43" s="36" t="s">
        <v>1916</v>
      </c>
      <c r="D43" s="35" t="s">
        <v>1916</v>
      </c>
      <c r="E43" s="37"/>
      <c r="F43" s="37" t="s">
        <v>199</v>
      </c>
      <c r="G43" s="36">
        <v>2.5</v>
      </c>
      <c r="H43" s="35">
        <v>17.5</v>
      </c>
      <c r="I43" s="27"/>
      <c r="J43" s="37"/>
      <c r="K43" s="36"/>
      <c r="L43" s="35"/>
    </row>
    <row r="44" spans="1:12" ht="18.75" x14ac:dyDescent="0.3">
      <c r="B44" s="37"/>
      <c r="C44" s="36"/>
      <c r="D44" s="35"/>
      <c r="E44" s="37"/>
      <c r="F44" s="37"/>
      <c r="G44" s="36"/>
      <c r="H44" s="35"/>
      <c r="I44" s="27"/>
      <c r="J44" s="37"/>
      <c r="K44" s="36"/>
      <c r="L44" s="35"/>
    </row>
    <row r="45" spans="1:12" ht="18.75" x14ac:dyDescent="0.3">
      <c r="B45" s="34" t="s">
        <v>1929</v>
      </c>
      <c r="C45" s="36" t="s">
        <v>1925</v>
      </c>
      <c r="D45" s="35" t="s">
        <v>1926</v>
      </c>
      <c r="E45" s="37"/>
      <c r="F45" s="34" t="s">
        <v>1916</v>
      </c>
      <c r="G45" s="36" t="s">
        <v>1916</v>
      </c>
      <c r="H45" s="35" t="s">
        <v>1916</v>
      </c>
      <c r="I45" s="27"/>
      <c r="J45" s="34" t="s">
        <v>1930</v>
      </c>
      <c r="K45" s="36" t="s">
        <v>1925</v>
      </c>
      <c r="L45" s="35" t="s">
        <v>1925</v>
      </c>
    </row>
    <row r="46" spans="1:12" ht="18.75" x14ac:dyDescent="0.3">
      <c r="B46" s="37" t="s">
        <v>262</v>
      </c>
      <c r="C46" s="36">
        <v>10</v>
      </c>
      <c r="D46" s="35">
        <v>70</v>
      </c>
      <c r="E46" s="37"/>
      <c r="F46" s="37" t="s">
        <v>1916</v>
      </c>
      <c r="G46" s="36" t="s">
        <v>1916</v>
      </c>
      <c r="H46" s="35" t="s">
        <v>1916</v>
      </c>
      <c r="I46" s="27"/>
      <c r="J46" s="37" t="s">
        <v>272</v>
      </c>
      <c r="K46" s="36">
        <v>20</v>
      </c>
      <c r="L46" s="35">
        <v>20</v>
      </c>
    </row>
    <row r="47" spans="1:12" ht="18.75" x14ac:dyDescent="0.3">
      <c r="B47" s="37" t="s">
        <v>264</v>
      </c>
      <c r="C47" s="36">
        <v>6.3</v>
      </c>
      <c r="D47" s="35">
        <v>44.1</v>
      </c>
      <c r="E47" s="37"/>
      <c r="F47" s="37" t="s">
        <v>1916</v>
      </c>
      <c r="G47" s="36" t="s">
        <v>1916</v>
      </c>
      <c r="H47" s="35" t="s">
        <v>1916</v>
      </c>
      <c r="I47" s="27"/>
      <c r="J47" s="37" t="s">
        <v>274</v>
      </c>
      <c r="K47" s="36">
        <v>5</v>
      </c>
      <c r="L47" s="35">
        <v>5</v>
      </c>
    </row>
    <row r="48" spans="1:12" ht="18.75" x14ac:dyDescent="0.25">
      <c r="B48" s="37" t="s">
        <v>266</v>
      </c>
      <c r="C48" s="36">
        <v>2</v>
      </c>
      <c r="D48" s="35">
        <v>14</v>
      </c>
      <c r="E48" s="37"/>
      <c r="F48" s="37" t="s">
        <v>1916</v>
      </c>
      <c r="G48" s="36" t="s">
        <v>1916</v>
      </c>
      <c r="H48" s="35" t="s">
        <v>1916</v>
      </c>
      <c r="J48" s="21"/>
      <c r="K48" s="22"/>
      <c r="L48" s="23"/>
    </row>
    <row r="49" spans="2:13" ht="18.75" x14ac:dyDescent="0.25">
      <c r="B49" s="37" t="s">
        <v>268</v>
      </c>
      <c r="C49" s="36">
        <v>1.95</v>
      </c>
      <c r="D49" s="35">
        <v>13.65</v>
      </c>
      <c r="E49" s="37"/>
      <c r="F49" s="37" t="s">
        <v>1916</v>
      </c>
      <c r="G49" s="36" t="s">
        <v>1916</v>
      </c>
      <c r="H49" s="35" t="s">
        <v>1916</v>
      </c>
      <c r="J49" s="21"/>
      <c r="K49" s="22"/>
      <c r="L49" s="23"/>
    </row>
    <row r="50" spans="2:13" ht="18.75" x14ac:dyDescent="0.25">
      <c r="B50" s="37" t="s">
        <v>270</v>
      </c>
      <c r="C50" s="36">
        <v>2.4</v>
      </c>
      <c r="D50" s="35">
        <v>16.8</v>
      </c>
      <c r="E50" s="37"/>
      <c r="F50" s="37" t="s">
        <v>1916</v>
      </c>
      <c r="G50" s="36" t="s">
        <v>1916</v>
      </c>
      <c r="H50" s="35" t="s">
        <v>1916</v>
      </c>
      <c r="J50" s="21"/>
      <c r="K50" s="22"/>
      <c r="L50" s="23"/>
    </row>
    <row r="51" spans="2:13" ht="18.75" x14ac:dyDescent="0.25">
      <c r="B51" s="37"/>
      <c r="C51" s="36"/>
      <c r="D51" s="35"/>
      <c r="E51" s="37"/>
      <c r="F51" s="37"/>
      <c r="G51" s="36"/>
      <c r="H51" s="35"/>
      <c r="J51" s="21"/>
      <c r="K51" s="22"/>
      <c r="L51" s="23"/>
    </row>
    <row r="52" spans="2:13" ht="18.75" x14ac:dyDescent="0.3">
      <c r="B52" s="34" t="s">
        <v>1931</v>
      </c>
      <c r="C52" s="36" t="s">
        <v>1925</v>
      </c>
      <c r="D52" s="35" t="s">
        <v>1926</v>
      </c>
      <c r="E52" s="28"/>
      <c r="F52" s="34" t="s">
        <v>1932</v>
      </c>
      <c r="G52" s="34" t="s">
        <v>1933</v>
      </c>
      <c r="H52" s="28"/>
      <c r="J52" s="8"/>
      <c r="K52" s="12" t="s">
        <v>1899</v>
      </c>
      <c r="L52" s="12" t="s">
        <v>1900</v>
      </c>
      <c r="M52" s="12" t="s">
        <v>1901</v>
      </c>
    </row>
    <row r="53" spans="2:13" ht="31.5" customHeight="1" x14ac:dyDescent="0.3">
      <c r="B53" s="37" t="s">
        <v>276</v>
      </c>
      <c r="C53" s="36">
        <v>20</v>
      </c>
      <c r="D53" s="35">
        <v>140</v>
      </c>
      <c r="E53" s="28"/>
      <c r="F53" s="37" t="s">
        <v>93</v>
      </c>
      <c r="G53" s="37">
        <v>28</v>
      </c>
      <c r="H53" s="27"/>
      <c r="I53" s="5"/>
      <c r="J53" s="7" t="s">
        <v>79</v>
      </c>
      <c r="K53" s="14" t="s">
        <v>2213</v>
      </c>
      <c r="L53" s="14" t="s">
        <v>1934</v>
      </c>
      <c r="M53" s="14" t="s">
        <v>1934</v>
      </c>
    </row>
    <row r="54" spans="2:13" ht="31.5" customHeight="1" x14ac:dyDescent="0.3">
      <c r="B54" s="37" t="s">
        <v>278</v>
      </c>
      <c r="C54" s="36">
        <v>5</v>
      </c>
      <c r="D54" s="35">
        <v>35</v>
      </c>
      <c r="E54" s="28"/>
      <c r="F54" s="37" t="s">
        <v>107</v>
      </c>
      <c r="G54" s="37">
        <v>30</v>
      </c>
      <c r="H54" s="27"/>
      <c r="J54" s="7" t="s">
        <v>152</v>
      </c>
      <c r="K54" s="14" t="s">
        <v>2214</v>
      </c>
      <c r="L54" s="14" t="s">
        <v>1934</v>
      </c>
      <c r="M54" s="14" t="s">
        <v>1934</v>
      </c>
    </row>
    <row r="55" spans="2:13" ht="29.25" customHeight="1" x14ac:dyDescent="0.3">
      <c r="B55" s="37" t="s">
        <v>270</v>
      </c>
      <c r="C55" s="36">
        <v>4.8</v>
      </c>
      <c r="D55" s="35">
        <v>33.6</v>
      </c>
      <c r="E55" s="28"/>
      <c r="F55" s="37"/>
      <c r="G55" s="37"/>
      <c r="H55" s="27"/>
      <c r="J55" s="7" t="s">
        <v>156</v>
      </c>
      <c r="K55" s="14" t="s">
        <v>2215</v>
      </c>
      <c r="L55" s="14" t="s">
        <v>1934</v>
      </c>
      <c r="M55" s="14" t="s">
        <v>1934</v>
      </c>
    </row>
    <row r="56" spans="2:13" ht="31.5" customHeight="1" x14ac:dyDescent="0.3">
      <c r="B56" s="37" t="s">
        <v>191</v>
      </c>
      <c r="C56" s="36">
        <v>45.2</v>
      </c>
      <c r="D56" s="35">
        <v>316.40000000000003</v>
      </c>
      <c r="E56" s="28"/>
      <c r="F56" s="37"/>
      <c r="G56" s="28"/>
      <c r="H56" s="27"/>
      <c r="J56" s="7" t="s">
        <v>160</v>
      </c>
      <c r="K56" s="14" t="s">
        <v>2216</v>
      </c>
      <c r="L56" s="14" t="s">
        <v>1934</v>
      </c>
      <c r="M56" s="14" t="s">
        <v>1934</v>
      </c>
    </row>
    <row r="57" spans="2:13" ht="31.5" customHeight="1" x14ac:dyDescent="0.3">
      <c r="B57" s="37"/>
      <c r="C57" s="36"/>
      <c r="D57" s="35"/>
      <c r="E57" s="28"/>
      <c r="F57" s="37"/>
      <c r="G57" s="28"/>
      <c r="H57" s="27"/>
      <c r="J57" s="7" t="s">
        <v>1902</v>
      </c>
      <c r="K57" s="14" t="s">
        <v>2217</v>
      </c>
      <c r="L57" s="14" t="s">
        <v>1934</v>
      </c>
      <c r="M57" s="14" t="s">
        <v>1934</v>
      </c>
    </row>
    <row r="58" spans="2:13" ht="31.5" customHeight="1" x14ac:dyDescent="0.3">
      <c r="B58" s="34" t="s">
        <v>1935</v>
      </c>
      <c r="C58" s="36" t="s">
        <v>1925</v>
      </c>
      <c r="D58" s="35" t="s">
        <v>1925</v>
      </c>
      <c r="E58" s="28"/>
      <c r="F58" s="38"/>
      <c r="G58" s="28"/>
      <c r="H58" s="27"/>
      <c r="J58" s="7" t="s">
        <v>1903</v>
      </c>
      <c r="K58" s="14" t="s">
        <v>2218</v>
      </c>
      <c r="L58" s="14" t="s">
        <v>1934</v>
      </c>
      <c r="M58" s="14" t="s">
        <v>1934</v>
      </c>
    </row>
    <row r="59" spans="2:13" ht="31.5" customHeight="1" x14ac:dyDescent="0.3">
      <c r="B59" s="37" t="s">
        <v>292</v>
      </c>
      <c r="C59" s="36">
        <v>80</v>
      </c>
      <c r="D59" s="35">
        <v>80</v>
      </c>
      <c r="E59" s="28"/>
      <c r="F59" s="38"/>
      <c r="G59" s="28"/>
      <c r="H59" s="27"/>
      <c r="J59" s="7" t="s">
        <v>1904</v>
      </c>
      <c r="K59" s="14" t="s">
        <v>1934</v>
      </c>
      <c r="L59" s="14" t="s">
        <v>1934</v>
      </c>
      <c r="M59" s="14" t="s">
        <v>1934</v>
      </c>
    </row>
    <row r="60" spans="2:13" ht="31.5" customHeight="1" x14ac:dyDescent="0.3">
      <c r="B60" s="37" t="s">
        <v>191</v>
      </c>
      <c r="C60" s="36">
        <v>100</v>
      </c>
      <c r="D60" s="35">
        <v>100</v>
      </c>
      <c r="E60" s="28"/>
      <c r="F60" s="38"/>
      <c r="G60" s="28"/>
      <c r="H60" s="27"/>
      <c r="J60" s="7" t="s">
        <v>1905</v>
      </c>
      <c r="K60" s="14" t="s">
        <v>1934</v>
      </c>
      <c r="L60" s="14" t="s">
        <v>1934</v>
      </c>
      <c r="M60" s="14" t="s">
        <v>1934</v>
      </c>
    </row>
    <row r="61" spans="2:13" ht="18.75" x14ac:dyDescent="0.25">
      <c r="B61" s="37" t="s">
        <v>301</v>
      </c>
      <c r="C61" s="36">
        <v>80</v>
      </c>
      <c r="D61" s="35">
        <v>80</v>
      </c>
      <c r="E61" s="37"/>
      <c r="F61" s="37"/>
      <c r="G61" s="36"/>
      <c r="H61" s="35"/>
      <c r="J61" s="21"/>
      <c r="K61" s="22"/>
      <c r="L61" s="23"/>
    </row>
    <row r="62" spans="2:13" ht="18.75" x14ac:dyDescent="0.25">
      <c r="B62" s="37" t="s">
        <v>1936</v>
      </c>
      <c r="C62" s="36">
        <v>200</v>
      </c>
      <c r="D62" s="35">
        <v>200</v>
      </c>
      <c r="E62" s="37"/>
      <c r="F62" s="37"/>
      <c r="G62" s="36"/>
      <c r="H62" s="35"/>
      <c r="J62" s="21"/>
      <c r="K62" s="22"/>
      <c r="L62" s="23"/>
    </row>
    <row r="63" spans="2:13" ht="22.5" customHeight="1" x14ac:dyDescent="0.25">
      <c r="B63" s="37"/>
      <c r="C63" s="36"/>
      <c r="D63" s="35"/>
      <c r="E63" s="37"/>
      <c r="F63" s="37"/>
      <c r="G63" s="36"/>
      <c r="H63" s="35"/>
      <c r="J63" s="21"/>
      <c r="K63" s="22"/>
      <c r="L63" s="23"/>
    </row>
    <row r="64" spans="2:13" x14ac:dyDescent="0.25">
      <c r="B64" s="12" t="s">
        <v>1899</v>
      </c>
      <c r="C64" s="12" t="s">
        <v>1900</v>
      </c>
      <c r="D64" s="12" t="s">
        <v>1901</v>
      </c>
      <c r="E64" s="12" t="s">
        <v>1906</v>
      </c>
      <c r="F64" s="12" t="s">
        <v>1907</v>
      </c>
      <c r="G64" s="12" t="s">
        <v>1908</v>
      </c>
      <c r="H64" s="12" t="s">
        <v>1909</v>
      </c>
      <c r="I64" s="12" t="s">
        <v>1910</v>
      </c>
      <c r="J64" s="12" t="s">
        <v>1911</v>
      </c>
      <c r="K64" s="12" t="s">
        <v>1912</v>
      </c>
      <c r="L64" s="12" t="s">
        <v>1913</v>
      </c>
      <c r="M64" s="12" t="s">
        <v>1914</v>
      </c>
    </row>
    <row r="65" spans="1:13" ht="18.75" customHeight="1" x14ac:dyDescent="0.25">
      <c r="A65" s="7" t="s">
        <v>79</v>
      </c>
      <c r="B65" s="39" t="s">
        <v>2207</v>
      </c>
      <c r="C65" s="39" t="s">
        <v>1934</v>
      </c>
      <c r="D65" s="39" t="s">
        <v>1934</v>
      </c>
      <c r="E65" s="39" t="s">
        <v>1934</v>
      </c>
      <c r="F65" s="39" t="s">
        <v>1934</v>
      </c>
      <c r="G65" s="39" t="s">
        <v>1934</v>
      </c>
      <c r="H65" s="39" t="s">
        <v>1934</v>
      </c>
      <c r="I65" s="39" t="s">
        <v>1934</v>
      </c>
      <c r="J65" s="39" t="s">
        <v>1934</v>
      </c>
      <c r="K65" s="39" t="s">
        <v>1934</v>
      </c>
      <c r="L65" s="39" t="s">
        <v>1934</v>
      </c>
      <c r="M65" s="39" t="s">
        <v>1934</v>
      </c>
    </row>
    <row r="66" spans="1:13" ht="18.75" customHeight="1" x14ac:dyDescent="0.25">
      <c r="A66" s="7" t="s">
        <v>152</v>
      </c>
      <c r="B66" s="39" t="s">
        <v>2208</v>
      </c>
      <c r="C66" s="39" t="s">
        <v>1934</v>
      </c>
      <c r="D66" s="39" t="s">
        <v>1934</v>
      </c>
      <c r="E66" s="39" t="s">
        <v>1934</v>
      </c>
      <c r="F66" s="39" t="s">
        <v>1934</v>
      </c>
      <c r="G66" s="39" t="s">
        <v>1934</v>
      </c>
      <c r="H66" s="39" t="s">
        <v>1934</v>
      </c>
      <c r="I66" s="39" t="s">
        <v>1934</v>
      </c>
      <c r="J66" s="39" t="s">
        <v>1934</v>
      </c>
      <c r="K66" s="39" t="s">
        <v>1934</v>
      </c>
      <c r="L66" s="39" t="s">
        <v>1934</v>
      </c>
      <c r="M66" s="39" t="s">
        <v>1934</v>
      </c>
    </row>
    <row r="67" spans="1:13" ht="18.75" customHeight="1" x14ac:dyDescent="0.25">
      <c r="A67" s="7" t="s">
        <v>156</v>
      </c>
      <c r="B67" s="39" t="s">
        <v>2209</v>
      </c>
      <c r="C67" s="39" t="s">
        <v>1934</v>
      </c>
      <c r="D67" s="39" t="s">
        <v>1934</v>
      </c>
      <c r="E67" s="39" t="s">
        <v>1934</v>
      </c>
      <c r="F67" s="39" t="s">
        <v>1934</v>
      </c>
      <c r="G67" s="39" t="s">
        <v>1934</v>
      </c>
      <c r="H67" s="39" t="s">
        <v>1934</v>
      </c>
      <c r="I67" s="39" t="s">
        <v>1934</v>
      </c>
      <c r="J67" s="39" t="s">
        <v>1934</v>
      </c>
      <c r="K67" s="39" t="s">
        <v>1934</v>
      </c>
      <c r="L67" s="39" t="s">
        <v>1934</v>
      </c>
      <c r="M67" s="39" t="s">
        <v>1934</v>
      </c>
    </row>
    <row r="68" spans="1:13" ht="18.75" customHeight="1" x14ac:dyDescent="0.25">
      <c r="A68" s="7" t="s">
        <v>160</v>
      </c>
      <c r="B68" s="39" t="s">
        <v>2210</v>
      </c>
      <c r="C68" s="39" t="s">
        <v>1934</v>
      </c>
      <c r="D68" s="39" t="s">
        <v>1934</v>
      </c>
      <c r="E68" s="39" t="s">
        <v>1934</v>
      </c>
      <c r="F68" s="39" t="s">
        <v>1934</v>
      </c>
      <c r="G68" s="39" t="s">
        <v>1934</v>
      </c>
      <c r="H68" s="39" t="s">
        <v>1934</v>
      </c>
      <c r="I68" s="39" t="s">
        <v>1934</v>
      </c>
      <c r="J68" s="39" t="s">
        <v>1934</v>
      </c>
      <c r="K68" s="39" t="s">
        <v>1934</v>
      </c>
      <c r="L68" s="39" t="s">
        <v>1934</v>
      </c>
      <c r="M68" s="39" t="s">
        <v>1934</v>
      </c>
    </row>
    <row r="69" spans="1:13" ht="18.75" customHeight="1" x14ac:dyDescent="0.25">
      <c r="A69" s="7" t="s">
        <v>1902</v>
      </c>
      <c r="B69" s="39" t="s">
        <v>2211</v>
      </c>
      <c r="C69" s="39" t="s">
        <v>1934</v>
      </c>
      <c r="D69" s="39" t="s">
        <v>1934</v>
      </c>
      <c r="E69" s="39" t="s">
        <v>1934</v>
      </c>
      <c r="F69" s="39" t="s">
        <v>1934</v>
      </c>
      <c r="G69" s="39" t="s">
        <v>1934</v>
      </c>
      <c r="H69" s="39" t="s">
        <v>1934</v>
      </c>
      <c r="I69" s="39" t="s">
        <v>1934</v>
      </c>
      <c r="J69" s="39" t="s">
        <v>1934</v>
      </c>
      <c r="K69" s="39" t="s">
        <v>1934</v>
      </c>
      <c r="L69" s="39" t="s">
        <v>1934</v>
      </c>
      <c r="M69" s="39" t="s">
        <v>1934</v>
      </c>
    </row>
    <row r="70" spans="1:13" ht="18.75" customHeight="1" x14ac:dyDescent="0.25">
      <c r="A70" s="7" t="s">
        <v>1903</v>
      </c>
      <c r="B70" s="39" t="s">
        <v>2212</v>
      </c>
      <c r="C70" s="39" t="s">
        <v>1934</v>
      </c>
      <c r="D70" s="39" t="s">
        <v>1934</v>
      </c>
      <c r="E70" s="39" t="s">
        <v>1934</v>
      </c>
      <c r="F70" s="39" t="s">
        <v>1934</v>
      </c>
      <c r="G70" s="39" t="s">
        <v>1934</v>
      </c>
      <c r="H70" s="39" t="s">
        <v>1934</v>
      </c>
      <c r="I70" s="39" t="s">
        <v>1934</v>
      </c>
      <c r="J70" s="39" t="s">
        <v>1934</v>
      </c>
      <c r="K70" s="39" t="s">
        <v>1934</v>
      </c>
      <c r="L70" s="39" t="s">
        <v>1934</v>
      </c>
      <c r="M70" s="39" t="s">
        <v>1934</v>
      </c>
    </row>
    <row r="71" spans="1:13" ht="18.75" customHeight="1" x14ac:dyDescent="0.25">
      <c r="A71" s="7" t="s">
        <v>1904</v>
      </c>
      <c r="B71" s="39" t="s">
        <v>1934</v>
      </c>
      <c r="C71" s="39" t="s">
        <v>1934</v>
      </c>
      <c r="D71" s="39" t="s">
        <v>1934</v>
      </c>
      <c r="E71" s="39" t="s">
        <v>1934</v>
      </c>
      <c r="F71" s="39" t="s">
        <v>1934</v>
      </c>
      <c r="G71" s="39" t="s">
        <v>1934</v>
      </c>
      <c r="H71" s="39" t="s">
        <v>1934</v>
      </c>
      <c r="I71" s="39" t="s">
        <v>1934</v>
      </c>
      <c r="J71" s="39" t="s">
        <v>1934</v>
      </c>
      <c r="K71" s="39" t="s">
        <v>1934</v>
      </c>
      <c r="L71" s="39" t="s">
        <v>1934</v>
      </c>
      <c r="M71" s="39" t="s">
        <v>1934</v>
      </c>
    </row>
    <row r="72" spans="1:13" ht="18.75" customHeight="1" x14ac:dyDescent="0.25">
      <c r="A72" s="7" t="s">
        <v>1905</v>
      </c>
      <c r="B72" s="39" t="s">
        <v>1934</v>
      </c>
      <c r="C72" s="39" t="s">
        <v>1934</v>
      </c>
      <c r="D72" s="39" t="s">
        <v>1934</v>
      </c>
      <c r="E72" s="39" t="s">
        <v>1934</v>
      </c>
      <c r="F72" s="39" t="s">
        <v>1934</v>
      </c>
      <c r="G72" s="39" t="s">
        <v>1934</v>
      </c>
      <c r="H72" s="39" t="s">
        <v>1934</v>
      </c>
      <c r="I72" s="39" t="s">
        <v>1934</v>
      </c>
      <c r="J72" s="39" t="s">
        <v>1934</v>
      </c>
      <c r="K72" s="39" t="s">
        <v>1934</v>
      </c>
      <c r="L72" s="39" t="s">
        <v>1934</v>
      </c>
      <c r="M72" s="39" t="s">
        <v>1934</v>
      </c>
    </row>
  </sheetData>
  <mergeCells count="4">
    <mergeCell ref="E4:H4"/>
    <mergeCell ref="K4:L5"/>
    <mergeCell ref="B7:C7"/>
    <mergeCell ref="K7:L7"/>
  </mergeCells>
  <conditionalFormatting sqref="B8:B31">
    <cfRule type="duplicateValues" dxfId="22" priority="13"/>
  </conditionalFormatting>
  <conditionalFormatting sqref="B8:C31">
    <cfRule type="containsBlanks" dxfId="21" priority="4">
      <formula>LEN(TRIM(B8))=0</formula>
    </cfRule>
  </conditionalFormatting>
  <conditionalFormatting sqref="C8:C31">
    <cfRule type="duplicateValues" dxfId="20" priority="5"/>
  </conditionalFormatting>
  <conditionalFormatting sqref="E4">
    <cfRule type="notContainsBlanks" dxfId="19" priority="9">
      <formula>LEN(TRIM(E4))&gt;0</formula>
    </cfRule>
  </conditionalFormatting>
  <conditionalFormatting sqref="E8:H31">
    <cfRule type="expression" dxfId="18" priority="3">
      <formula>ISNUMBER(FIND("POOL",$D8))</formula>
    </cfRule>
  </conditionalFormatting>
  <conditionalFormatting sqref="J8:J31">
    <cfRule type="expression" dxfId="17" priority="8">
      <formula>ISNUMBER(FIND("POOL",$D8))</formula>
    </cfRule>
  </conditionalFormatting>
  <conditionalFormatting sqref="K8:K31">
    <cfRule type="duplicateValues" dxfId="16" priority="10"/>
    <cfRule type="expression" dxfId="15" priority="11">
      <formula>ISNUMBER(FIND("POOL",$D8))</formula>
    </cfRule>
  </conditionalFormatting>
  <conditionalFormatting sqref="L8:L31">
    <cfRule type="containsBlanks" dxfId="14" priority="6">
      <formula>LEN(TRIM(L8))=0</formula>
    </cfRule>
    <cfRule type="duplicateValues" dxfId="13" priority="7"/>
  </conditionalFormatting>
  <conditionalFormatting sqref="M8:M31">
    <cfRule type="expression" dxfId="12" priority="1">
      <formula>ISNUMBER(FIND("POOL",$D8))</formula>
    </cfRule>
  </conditionalFormatting>
  <dataValidations count="1">
    <dataValidation type="whole" allowBlank="1" showInputMessage="1" showErrorMessage="1" sqref="D4" xr:uid="{2E83D696-1EB0-436D-9990-5C69DFE3FD6C}">
      <formula1>0</formula1>
      <formula2>24</formula2>
    </dataValidation>
  </dataValidations>
  <pageMargins left="0.25" right="0.25" top="0.75" bottom="0.75" header="0.3" footer="0.3"/>
  <pageSetup paperSize="9" scale="4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D6B68F2-B943-48A4-9718-3EAEC0836553}">
          <x14:formula1>
            <xm:f>Database!$B$16:$B$19</xm:f>
          </x14:formula1>
          <xm:sqref>J8:J31</xm:sqref>
        </x14:dataValidation>
        <x14:dataValidation type="list" allowBlank="1" showInputMessage="1" showErrorMessage="1" xr:uid="{78F324B2-F875-4ABE-8C17-C5B945D188B4}">
          <x14:formula1>
            <xm:f>Database!$A$5:$A$11</xm:f>
          </x14:formula1>
          <xm:sqref>F8:F31</xm:sqref>
        </x14:dataValidation>
        <x14:dataValidation type="list" allowBlank="1" showInputMessage="1" showErrorMessage="1" xr:uid="{FB3BB924-AB8D-4AAA-96A9-2000954B9B52}">
          <x14:formula1>
            <xm:f>Database!$A$16:$A$18</xm:f>
          </x14:formula1>
          <xm:sqref>D2 F9:F13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D9AC3-420C-4BFA-9BA6-5B67BC5BB3EB}">
  <dimension ref="A2:Q85"/>
  <sheetViews>
    <sheetView view="pageBreakPreview" topLeftCell="A2" zoomScale="85" zoomScaleNormal="70" zoomScaleSheetLayoutView="85" zoomScalePageLayoutView="55" workbookViewId="0">
      <selection activeCell="J45" sqref="J45"/>
    </sheetView>
  </sheetViews>
  <sheetFormatPr defaultColWidth="9.140625" defaultRowHeight="15" x14ac:dyDescent="0.25"/>
  <cols>
    <col min="1" max="1" width="18.28515625" style="5" customWidth="1"/>
    <col min="2" max="4" width="15" style="5" customWidth="1"/>
    <col min="5" max="5" width="16.140625" style="5" customWidth="1"/>
    <col min="6" max="6" width="17.7109375" style="5" customWidth="1"/>
    <col min="7" max="7" width="15" style="5" customWidth="1"/>
    <col min="8" max="9" width="15" style="8" customWidth="1"/>
    <col min="10" max="12" width="15" style="5" customWidth="1"/>
    <col min="13" max="13" width="15" style="8" customWidth="1"/>
    <col min="14" max="14" width="13.28515625" style="5" customWidth="1"/>
    <col min="15" max="15" width="13" style="5" customWidth="1"/>
    <col min="16" max="16" width="12.28515625" style="5" bestFit="1" customWidth="1"/>
    <col min="17" max="17" width="10.85546875" style="5" bestFit="1" customWidth="1"/>
    <col min="18" max="16384" width="9.140625" style="5"/>
  </cols>
  <sheetData>
    <row r="2" spans="1:13" ht="17.25" x14ac:dyDescent="0.3">
      <c r="C2" s="18" t="s">
        <v>1892</v>
      </c>
      <c r="D2" s="15" t="s">
        <v>155</v>
      </c>
      <c r="F2" s="18" t="s">
        <v>1893</v>
      </c>
      <c r="G2" s="43">
        <v>44810</v>
      </c>
      <c r="H2" s="8" t="s">
        <v>1894</v>
      </c>
      <c r="J2" s="18" t="s">
        <v>1895</v>
      </c>
      <c r="K2" s="61" t="s">
        <v>2163</v>
      </c>
      <c r="L2" s="60"/>
    </row>
    <row r="3" spans="1:13" ht="9.75" customHeight="1" x14ac:dyDescent="0.3">
      <c r="C3" s="13"/>
      <c r="D3" s="16"/>
    </row>
    <row r="4" spans="1:13" ht="18.75" x14ac:dyDescent="0.3">
      <c r="C4" s="18" t="s">
        <v>1896</v>
      </c>
      <c r="D4" s="17">
        <v>6</v>
      </c>
      <c r="E4" s="140" t="s">
        <v>1916</v>
      </c>
      <c r="F4" s="141"/>
      <c r="G4" s="141"/>
      <c r="H4" s="141"/>
      <c r="J4" s="18" t="s">
        <v>1897</v>
      </c>
      <c r="K4" s="142"/>
      <c r="L4" s="143"/>
    </row>
    <row r="5" spans="1:13" ht="17.25" x14ac:dyDescent="0.3">
      <c r="C5" s="18" t="s">
        <v>1898</v>
      </c>
      <c r="D5" s="17">
        <v>10038</v>
      </c>
      <c r="J5" s="18"/>
      <c r="K5" s="144"/>
      <c r="L5" s="145"/>
    </row>
    <row r="6" spans="1:13" ht="12" customHeight="1" x14ac:dyDescent="0.25">
      <c r="B6" s="6"/>
      <c r="C6" s="6"/>
    </row>
    <row r="7" spans="1:13" s="40" customFormat="1" ht="37.5" x14ac:dyDescent="0.25">
      <c r="B7" s="146" t="s">
        <v>1</v>
      </c>
      <c r="C7" s="146"/>
      <c r="D7" s="41" t="s">
        <v>2</v>
      </c>
      <c r="E7" s="41" t="s">
        <v>1917</v>
      </c>
      <c r="F7" s="41" t="s">
        <v>4</v>
      </c>
      <c r="G7" s="41" t="s">
        <v>1918</v>
      </c>
      <c r="H7" s="41" t="s">
        <v>1919</v>
      </c>
      <c r="I7" s="41" t="s">
        <v>1920</v>
      </c>
      <c r="J7" s="41" t="s">
        <v>8</v>
      </c>
      <c r="K7" s="146" t="s">
        <v>1921</v>
      </c>
      <c r="L7" s="146"/>
      <c r="M7" s="41" t="s">
        <v>1922</v>
      </c>
    </row>
    <row r="8" spans="1:13" ht="19.5" x14ac:dyDescent="0.3">
      <c r="A8" s="6"/>
      <c r="B8" s="33">
        <v>1</v>
      </c>
      <c r="C8" s="33" t="s">
        <v>80</v>
      </c>
      <c r="D8" s="28" t="s">
        <v>1942</v>
      </c>
      <c r="E8" s="29" t="s">
        <v>1943</v>
      </c>
      <c r="F8" s="45" t="s">
        <v>107</v>
      </c>
      <c r="G8" s="30">
        <v>8.02</v>
      </c>
      <c r="H8" s="31">
        <v>9</v>
      </c>
      <c r="I8" s="32">
        <v>0</v>
      </c>
      <c r="J8" s="30" t="s">
        <v>79</v>
      </c>
      <c r="K8" s="30">
        <v>19</v>
      </c>
      <c r="L8" s="33" t="s">
        <v>161</v>
      </c>
      <c r="M8" s="30">
        <v>9.76</v>
      </c>
    </row>
    <row r="9" spans="1:13" ht="19.5" x14ac:dyDescent="0.3">
      <c r="A9" s="6"/>
      <c r="B9" s="33">
        <v>2</v>
      </c>
      <c r="C9" s="33" t="s">
        <v>86</v>
      </c>
      <c r="D9" s="28" t="s">
        <v>1946</v>
      </c>
      <c r="E9" s="29" t="s">
        <v>1947</v>
      </c>
      <c r="F9" s="45" t="s">
        <v>93</v>
      </c>
      <c r="G9" s="30">
        <v>38.6</v>
      </c>
      <c r="H9" s="31">
        <v>2</v>
      </c>
      <c r="I9" s="32">
        <v>16.914000000000001</v>
      </c>
      <c r="J9" s="30" t="s">
        <v>79</v>
      </c>
      <c r="K9" s="30">
        <v>20</v>
      </c>
      <c r="L9" s="33" t="s">
        <v>162</v>
      </c>
      <c r="M9" s="30">
        <v>11.1</v>
      </c>
    </row>
    <row r="10" spans="1:13" ht="19.5" x14ac:dyDescent="0.3">
      <c r="A10" s="6"/>
      <c r="B10" s="33">
        <v>3</v>
      </c>
      <c r="C10" s="33" t="s">
        <v>94</v>
      </c>
      <c r="D10" s="28" t="s">
        <v>1950</v>
      </c>
      <c r="E10" s="29" t="s">
        <v>1951</v>
      </c>
      <c r="F10" s="45" t="s">
        <v>93</v>
      </c>
      <c r="G10" s="30">
        <v>39.799999999999997</v>
      </c>
      <c r="H10" s="31">
        <v>2</v>
      </c>
      <c r="I10" s="32">
        <v>17.501999999999999</v>
      </c>
      <c r="J10" s="30" t="s">
        <v>79</v>
      </c>
      <c r="K10" s="30">
        <v>21</v>
      </c>
      <c r="L10" s="33" t="s">
        <v>163</v>
      </c>
      <c r="M10" s="30">
        <v>11.3</v>
      </c>
    </row>
    <row r="11" spans="1:13" ht="19.5" x14ac:dyDescent="0.3">
      <c r="A11" s="6"/>
      <c r="B11" s="33">
        <v>4</v>
      </c>
      <c r="C11" s="33" t="s">
        <v>103</v>
      </c>
      <c r="D11" s="28" t="s">
        <v>1954</v>
      </c>
      <c r="E11" s="29" t="s">
        <v>1955</v>
      </c>
      <c r="F11" s="45" t="s">
        <v>93</v>
      </c>
      <c r="G11" s="30">
        <v>63</v>
      </c>
      <c r="H11" s="31">
        <v>2</v>
      </c>
      <c r="I11" s="32">
        <v>28.87</v>
      </c>
      <c r="J11" s="30" t="s">
        <v>79</v>
      </c>
      <c r="K11" s="30">
        <v>22</v>
      </c>
      <c r="L11" s="33" t="s">
        <v>164</v>
      </c>
      <c r="M11" s="30">
        <v>10.7</v>
      </c>
    </row>
    <row r="12" spans="1:13" ht="19.5" x14ac:dyDescent="0.3">
      <c r="A12" s="6"/>
      <c r="B12" s="33">
        <v>5</v>
      </c>
      <c r="C12" s="33" t="s">
        <v>109</v>
      </c>
      <c r="D12" s="28" t="s">
        <v>1957</v>
      </c>
      <c r="E12" s="29" t="s">
        <v>1958</v>
      </c>
      <c r="F12" s="45" t="s">
        <v>93</v>
      </c>
      <c r="G12" s="30">
        <v>97.8</v>
      </c>
      <c r="H12" s="31">
        <v>2</v>
      </c>
      <c r="I12" s="32">
        <v>45.921999999999997</v>
      </c>
      <c r="J12" s="30" t="s">
        <v>79</v>
      </c>
      <c r="K12" s="30">
        <v>23</v>
      </c>
      <c r="L12" s="33" t="s">
        <v>165</v>
      </c>
      <c r="M12" s="30">
        <v>13.6</v>
      </c>
    </row>
    <row r="13" spans="1:13" ht="19.5" x14ac:dyDescent="0.3">
      <c r="A13" s="6"/>
      <c r="B13" s="33">
        <v>6</v>
      </c>
      <c r="C13" s="33" t="s">
        <v>114</v>
      </c>
      <c r="D13" s="28" t="s">
        <v>1960</v>
      </c>
      <c r="E13" s="29" t="s">
        <v>1961</v>
      </c>
      <c r="F13" s="45" t="s">
        <v>93</v>
      </c>
      <c r="G13" s="30">
        <v>95</v>
      </c>
      <c r="H13" s="31">
        <v>2</v>
      </c>
      <c r="I13" s="32">
        <v>44.55</v>
      </c>
      <c r="J13" s="30" t="s">
        <v>79</v>
      </c>
      <c r="K13" s="30">
        <v>24</v>
      </c>
      <c r="L13" s="33" t="s">
        <v>166</v>
      </c>
      <c r="M13" s="30">
        <v>13.9</v>
      </c>
    </row>
    <row r="14" spans="1:13" ht="19.5" x14ac:dyDescent="0.3">
      <c r="A14" s="6"/>
      <c r="B14" s="33" t="s">
        <v>1916</v>
      </c>
      <c r="C14" s="33" t="s">
        <v>1916</v>
      </c>
      <c r="D14" s="28" t="s">
        <v>1916</v>
      </c>
      <c r="E14" s="29"/>
      <c r="F14" s="45"/>
      <c r="G14" s="30"/>
      <c r="H14" s="31"/>
      <c r="I14" s="32" t="s">
        <v>1916</v>
      </c>
      <c r="J14" s="30"/>
      <c r="K14" s="30"/>
      <c r="L14" s="33" t="s">
        <v>1916</v>
      </c>
      <c r="M14" s="30"/>
    </row>
    <row r="15" spans="1:13" ht="19.5" x14ac:dyDescent="0.3">
      <c r="A15" s="6"/>
      <c r="B15" s="33" t="s">
        <v>1916</v>
      </c>
      <c r="C15" s="33" t="s">
        <v>1916</v>
      </c>
      <c r="D15" s="28" t="s">
        <v>1916</v>
      </c>
      <c r="E15" s="29"/>
      <c r="F15" s="45"/>
      <c r="G15" s="30"/>
      <c r="H15" s="31"/>
      <c r="I15" s="32" t="s">
        <v>1916</v>
      </c>
      <c r="J15" s="30"/>
      <c r="K15" s="30"/>
      <c r="L15" s="33" t="s">
        <v>1916</v>
      </c>
      <c r="M15" s="30"/>
    </row>
    <row r="16" spans="1:13" ht="19.5" x14ac:dyDescent="0.3">
      <c r="A16" s="6"/>
      <c r="B16" s="33" t="s">
        <v>1916</v>
      </c>
      <c r="C16" s="33" t="s">
        <v>1916</v>
      </c>
      <c r="D16" s="28" t="s">
        <v>1916</v>
      </c>
      <c r="E16" s="29"/>
      <c r="F16" s="45"/>
      <c r="G16" s="30"/>
      <c r="H16" s="31"/>
      <c r="I16" s="32" t="s">
        <v>1916</v>
      </c>
      <c r="J16" s="30"/>
      <c r="K16" s="30"/>
      <c r="L16" s="33" t="s">
        <v>1916</v>
      </c>
      <c r="M16" s="30"/>
    </row>
    <row r="17" spans="1:13" ht="19.5" x14ac:dyDescent="0.3">
      <c r="A17" s="6"/>
      <c r="B17" s="33" t="s">
        <v>1916</v>
      </c>
      <c r="C17" s="33" t="s">
        <v>1916</v>
      </c>
      <c r="D17" s="28" t="s">
        <v>1916</v>
      </c>
      <c r="E17" s="29"/>
      <c r="F17" s="45"/>
      <c r="G17" s="30"/>
      <c r="H17" s="31"/>
      <c r="I17" s="32" t="s">
        <v>1916</v>
      </c>
      <c r="J17" s="30"/>
      <c r="K17" s="30"/>
      <c r="L17" s="33" t="s">
        <v>1916</v>
      </c>
      <c r="M17" s="30"/>
    </row>
    <row r="18" spans="1:13" ht="19.5" x14ac:dyDescent="0.3">
      <c r="A18" s="6"/>
      <c r="B18" s="33" t="s">
        <v>1916</v>
      </c>
      <c r="C18" s="33" t="s">
        <v>1916</v>
      </c>
      <c r="D18" s="28" t="s">
        <v>1916</v>
      </c>
      <c r="E18" s="29"/>
      <c r="F18" s="45"/>
      <c r="G18" s="30"/>
      <c r="H18" s="31"/>
      <c r="I18" s="32" t="s">
        <v>1916</v>
      </c>
      <c r="J18" s="30"/>
      <c r="K18" s="30"/>
      <c r="L18" s="33" t="s">
        <v>1916</v>
      </c>
      <c r="M18" s="30"/>
    </row>
    <row r="19" spans="1:13" ht="19.5" x14ac:dyDescent="0.3">
      <c r="A19" s="6"/>
      <c r="B19" s="33" t="s">
        <v>1916</v>
      </c>
      <c r="C19" s="33" t="s">
        <v>1916</v>
      </c>
      <c r="D19" s="28" t="s">
        <v>1916</v>
      </c>
      <c r="E19" s="29"/>
      <c r="F19" s="45"/>
      <c r="G19" s="30"/>
      <c r="H19" s="31"/>
      <c r="I19" s="32" t="s">
        <v>1916</v>
      </c>
      <c r="J19" s="30"/>
      <c r="K19" s="30"/>
      <c r="L19" s="33" t="s">
        <v>1916</v>
      </c>
      <c r="M19" s="30"/>
    </row>
    <row r="20" spans="1:13" ht="19.5" x14ac:dyDescent="0.3">
      <c r="A20" s="6"/>
      <c r="B20" s="33" t="s">
        <v>1916</v>
      </c>
      <c r="C20" s="33" t="s">
        <v>1916</v>
      </c>
      <c r="D20" s="28" t="s">
        <v>1916</v>
      </c>
      <c r="E20" s="29"/>
      <c r="F20" s="45"/>
      <c r="G20" s="30"/>
      <c r="H20" s="31"/>
      <c r="I20" s="32" t="s">
        <v>1916</v>
      </c>
      <c r="J20" s="30"/>
      <c r="K20" s="30"/>
      <c r="L20" s="33" t="s">
        <v>1916</v>
      </c>
      <c r="M20" s="30"/>
    </row>
    <row r="21" spans="1:13" ht="19.5" x14ac:dyDescent="0.3">
      <c r="A21" s="6"/>
      <c r="B21" s="33" t="s">
        <v>1916</v>
      </c>
      <c r="C21" s="33" t="s">
        <v>1916</v>
      </c>
      <c r="D21" s="28" t="s">
        <v>1916</v>
      </c>
      <c r="E21" s="29"/>
      <c r="F21" s="45"/>
      <c r="G21" s="30"/>
      <c r="H21" s="31"/>
      <c r="I21" s="32" t="s">
        <v>1916</v>
      </c>
      <c r="J21" s="30"/>
      <c r="K21" s="30"/>
      <c r="L21" s="33" t="s">
        <v>1916</v>
      </c>
      <c r="M21" s="30"/>
    </row>
    <row r="22" spans="1:13" ht="19.5" x14ac:dyDescent="0.3">
      <c r="A22" s="6"/>
      <c r="B22" s="33" t="s">
        <v>1916</v>
      </c>
      <c r="C22" s="33" t="s">
        <v>1916</v>
      </c>
      <c r="D22" s="28" t="s">
        <v>1916</v>
      </c>
      <c r="E22" s="29"/>
      <c r="F22" s="45"/>
      <c r="G22" s="30"/>
      <c r="H22" s="31"/>
      <c r="I22" s="32" t="s">
        <v>1916</v>
      </c>
      <c r="J22" s="30"/>
      <c r="K22" s="30"/>
      <c r="L22" s="33" t="s">
        <v>1916</v>
      </c>
      <c r="M22" s="30"/>
    </row>
    <row r="23" spans="1:13" ht="19.5" x14ac:dyDescent="0.3">
      <c r="A23" s="6"/>
      <c r="B23" s="33" t="s">
        <v>1916</v>
      </c>
      <c r="C23" s="33" t="s">
        <v>1916</v>
      </c>
      <c r="D23" s="28" t="s">
        <v>1916</v>
      </c>
      <c r="E23" s="29"/>
      <c r="F23" s="45"/>
      <c r="G23" s="30"/>
      <c r="H23" s="31"/>
      <c r="I23" s="32" t="s">
        <v>1916</v>
      </c>
      <c r="J23" s="30"/>
      <c r="K23" s="30"/>
      <c r="L23" s="33" t="s">
        <v>1916</v>
      </c>
      <c r="M23" s="30"/>
    </row>
    <row r="24" spans="1:13" ht="19.5" x14ac:dyDescent="0.3">
      <c r="A24" s="6"/>
      <c r="B24" s="33" t="s">
        <v>1916</v>
      </c>
      <c r="C24" s="33" t="s">
        <v>1916</v>
      </c>
      <c r="D24" s="28" t="s">
        <v>1916</v>
      </c>
      <c r="E24" s="29"/>
      <c r="F24" s="45"/>
      <c r="G24" s="30"/>
      <c r="H24" s="31"/>
      <c r="I24" s="32" t="s">
        <v>1916</v>
      </c>
      <c r="J24" s="30"/>
      <c r="K24" s="30"/>
      <c r="L24" s="33" t="s">
        <v>1916</v>
      </c>
      <c r="M24" s="30"/>
    </row>
    <row r="25" spans="1:13" ht="19.5" x14ac:dyDescent="0.3">
      <c r="A25" s="6"/>
      <c r="B25" s="33" t="s">
        <v>1916</v>
      </c>
      <c r="C25" s="33" t="s">
        <v>1916</v>
      </c>
      <c r="D25" s="28" t="s">
        <v>1916</v>
      </c>
      <c r="E25" s="29"/>
      <c r="F25" s="45"/>
      <c r="G25" s="30"/>
      <c r="H25" s="31"/>
      <c r="I25" s="32" t="s">
        <v>1916</v>
      </c>
      <c r="J25" s="30"/>
      <c r="K25" s="30"/>
      <c r="L25" s="33" t="s">
        <v>1916</v>
      </c>
      <c r="M25" s="30"/>
    </row>
    <row r="26" spans="1:13" ht="19.5" x14ac:dyDescent="0.3">
      <c r="A26" s="6"/>
      <c r="B26" s="33" t="s">
        <v>1916</v>
      </c>
      <c r="C26" s="33" t="s">
        <v>1916</v>
      </c>
      <c r="D26" s="28" t="s">
        <v>1916</v>
      </c>
      <c r="E26" s="29"/>
      <c r="F26" s="45"/>
      <c r="G26" s="30"/>
      <c r="H26" s="31"/>
      <c r="I26" s="32" t="s">
        <v>1916</v>
      </c>
      <c r="J26" s="30"/>
      <c r="K26" s="30"/>
      <c r="L26" s="33" t="s">
        <v>1916</v>
      </c>
      <c r="M26" s="30"/>
    </row>
    <row r="27" spans="1:13" ht="19.5" x14ac:dyDescent="0.3">
      <c r="A27" s="6"/>
      <c r="B27" s="33" t="s">
        <v>1916</v>
      </c>
      <c r="C27" s="33" t="s">
        <v>1916</v>
      </c>
      <c r="D27" s="28" t="s">
        <v>1916</v>
      </c>
      <c r="E27" s="29"/>
      <c r="F27" s="45"/>
      <c r="G27" s="30"/>
      <c r="H27" s="31"/>
      <c r="I27" s="32" t="s">
        <v>1916</v>
      </c>
      <c r="J27" s="30"/>
      <c r="K27" s="30"/>
      <c r="L27" s="33" t="s">
        <v>1916</v>
      </c>
      <c r="M27" s="30"/>
    </row>
    <row r="28" spans="1:13" ht="19.5" x14ac:dyDescent="0.3">
      <c r="A28" s="6"/>
      <c r="B28" s="33" t="s">
        <v>1916</v>
      </c>
      <c r="C28" s="33" t="s">
        <v>1916</v>
      </c>
      <c r="D28" s="28" t="s">
        <v>1916</v>
      </c>
      <c r="E28" s="29"/>
      <c r="F28" s="45"/>
      <c r="G28" s="30"/>
      <c r="H28" s="31"/>
      <c r="I28" s="32" t="s">
        <v>1916</v>
      </c>
      <c r="J28" s="30"/>
      <c r="K28" s="30"/>
      <c r="L28" s="33" t="s">
        <v>1916</v>
      </c>
      <c r="M28" s="30"/>
    </row>
    <row r="29" spans="1:13" ht="19.5" x14ac:dyDescent="0.3">
      <c r="A29" s="6"/>
      <c r="B29" s="33" t="s">
        <v>1916</v>
      </c>
      <c r="C29" s="33" t="s">
        <v>1916</v>
      </c>
      <c r="D29" s="28" t="s">
        <v>1916</v>
      </c>
      <c r="E29" s="29"/>
      <c r="F29" s="45"/>
      <c r="G29" s="30"/>
      <c r="H29" s="31"/>
      <c r="I29" s="32" t="s">
        <v>1916</v>
      </c>
      <c r="J29" s="30"/>
      <c r="K29" s="30"/>
      <c r="L29" s="33" t="s">
        <v>1916</v>
      </c>
      <c r="M29" s="30"/>
    </row>
    <row r="30" spans="1:13" ht="19.5" x14ac:dyDescent="0.3">
      <c r="A30" s="6"/>
      <c r="B30" s="33" t="s">
        <v>1916</v>
      </c>
      <c r="C30" s="33" t="s">
        <v>1916</v>
      </c>
      <c r="D30" s="28" t="s">
        <v>1916</v>
      </c>
      <c r="E30" s="29"/>
      <c r="F30" s="45"/>
      <c r="G30" s="30"/>
      <c r="H30" s="31"/>
      <c r="I30" s="32" t="s">
        <v>1916</v>
      </c>
      <c r="J30" s="30"/>
      <c r="K30" s="30"/>
      <c r="L30" s="33" t="s">
        <v>1916</v>
      </c>
      <c r="M30" s="30"/>
    </row>
    <row r="31" spans="1:13" ht="19.5" x14ac:dyDescent="0.3">
      <c r="A31" s="6"/>
      <c r="B31" s="33" t="s">
        <v>1916</v>
      </c>
      <c r="C31" s="33" t="s">
        <v>1916</v>
      </c>
      <c r="D31" s="28" t="s">
        <v>1916</v>
      </c>
      <c r="E31" s="29"/>
      <c r="F31" s="45"/>
      <c r="G31" s="30"/>
      <c r="H31" s="31"/>
      <c r="I31" s="32" t="s">
        <v>1916</v>
      </c>
      <c r="J31" s="30"/>
      <c r="K31" s="30"/>
      <c r="L31" s="33" t="s">
        <v>1916</v>
      </c>
      <c r="M31" s="30"/>
    </row>
    <row r="32" spans="1:13" x14ac:dyDescent="0.25">
      <c r="A32" s="11"/>
    </row>
    <row r="33" spans="1:17" ht="18.75" x14ac:dyDescent="0.3">
      <c r="A33" s="11"/>
      <c r="B33" s="34" t="s">
        <v>1923</v>
      </c>
      <c r="C33" s="35">
        <v>7</v>
      </c>
      <c r="D33" s="28"/>
      <c r="E33" s="28"/>
      <c r="F33" s="28"/>
      <c r="G33" s="28"/>
      <c r="H33" s="27"/>
      <c r="I33" s="27"/>
      <c r="J33" s="28"/>
      <c r="K33" s="28"/>
      <c r="L33" s="28"/>
    </row>
    <row r="34" spans="1:17" ht="18.75" x14ac:dyDescent="0.3">
      <c r="A34" s="11"/>
      <c r="B34" s="28"/>
      <c r="C34" s="28"/>
      <c r="D34" s="28"/>
      <c r="E34" s="28"/>
      <c r="F34" s="28"/>
      <c r="G34" s="28"/>
      <c r="H34" s="27"/>
      <c r="I34" s="27"/>
      <c r="J34" s="28"/>
      <c r="K34" s="28"/>
      <c r="L34" s="28"/>
    </row>
    <row r="35" spans="1:17" ht="18.75" x14ac:dyDescent="0.3">
      <c r="B35" s="34" t="s">
        <v>2187</v>
      </c>
      <c r="C35" s="36" t="s">
        <v>1925</v>
      </c>
      <c r="D35" s="35" t="s">
        <v>1926</v>
      </c>
      <c r="E35" s="28"/>
      <c r="F35" s="34" t="s">
        <v>2188</v>
      </c>
      <c r="G35" s="36" t="s">
        <v>1925</v>
      </c>
      <c r="H35" s="35" t="s">
        <v>1925</v>
      </c>
      <c r="I35" s="27"/>
      <c r="J35" s="34" t="s">
        <v>1924</v>
      </c>
      <c r="K35" s="36" t="s">
        <v>1925</v>
      </c>
      <c r="L35" s="35" t="s">
        <v>1926</v>
      </c>
    </row>
    <row r="36" spans="1:17" ht="18.75" x14ac:dyDescent="0.3">
      <c r="B36" s="37" t="s">
        <v>245</v>
      </c>
      <c r="C36" s="36">
        <v>1.4</v>
      </c>
      <c r="D36" s="35">
        <v>1.4</v>
      </c>
      <c r="E36" s="28"/>
      <c r="F36" s="37" t="s">
        <v>251</v>
      </c>
      <c r="G36" s="36">
        <v>2.8</v>
      </c>
      <c r="H36" s="35">
        <v>2.8</v>
      </c>
      <c r="I36" s="27"/>
      <c r="J36" s="37" t="s">
        <v>245</v>
      </c>
      <c r="K36" s="36">
        <v>1.4</v>
      </c>
      <c r="L36" s="35">
        <v>7.6999999999999993</v>
      </c>
    </row>
    <row r="37" spans="1:17" ht="18.75" x14ac:dyDescent="0.3">
      <c r="B37" s="37" t="s">
        <v>247</v>
      </c>
      <c r="C37" s="36">
        <v>0.6</v>
      </c>
      <c r="D37" s="35">
        <v>0.6</v>
      </c>
      <c r="E37" s="28"/>
      <c r="F37" s="37" t="s">
        <v>1916</v>
      </c>
      <c r="G37" s="36" t="s">
        <v>1916</v>
      </c>
      <c r="H37" s="35" t="s">
        <v>1916</v>
      </c>
      <c r="I37" s="35"/>
      <c r="J37" s="37" t="s">
        <v>251</v>
      </c>
      <c r="K37" s="36">
        <v>2.8</v>
      </c>
      <c r="L37" s="35">
        <v>15.399999999999999</v>
      </c>
      <c r="P37" s="25"/>
      <c r="Q37" s="26"/>
    </row>
    <row r="38" spans="1:17" ht="18.75" x14ac:dyDescent="0.3">
      <c r="B38" s="37" t="s">
        <v>249</v>
      </c>
      <c r="C38" s="36">
        <v>1</v>
      </c>
      <c r="D38" s="35">
        <v>1</v>
      </c>
      <c r="E38" s="28"/>
      <c r="F38" s="37" t="s">
        <v>1916</v>
      </c>
      <c r="G38" s="36" t="s">
        <v>1916</v>
      </c>
      <c r="H38" s="35" t="s">
        <v>1916</v>
      </c>
      <c r="I38" s="35"/>
      <c r="J38" s="37"/>
      <c r="K38" s="36"/>
      <c r="L38" s="35"/>
    </row>
    <row r="39" spans="1:17" ht="18.75" x14ac:dyDescent="0.25">
      <c r="B39" s="37"/>
      <c r="C39" s="36"/>
      <c r="D39" s="35"/>
      <c r="E39" s="37"/>
      <c r="F39" s="37"/>
      <c r="G39" s="36"/>
      <c r="H39" s="35"/>
      <c r="I39" s="35"/>
      <c r="J39" s="37"/>
      <c r="K39" s="36"/>
      <c r="L39" s="35"/>
    </row>
    <row r="40" spans="1:17" ht="18.75" x14ac:dyDescent="0.3">
      <c r="B40" s="34" t="s">
        <v>1916</v>
      </c>
      <c r="C40" s="36" t="s">
        <v>1916</v>
      </c>
      <c r="D40" s="35" t="s">
        <v>1916</v>
      </c>
      <c r="E40" s="28"/>
      <c r="F40" s="34" t="s">
        <v>1927</v>
      </c>
      <c r="G40" s="36" t="s">
        <v>1925</v>
      </c>
      <c r="H40" s="35" t="s">
        <v>1926</v>
      </c>
      <c r="I40" s="27"/>
      <c r="J40" s="34" t="s">
        <v>1928</v>
      </c>
      <c r="K40" s="36" t="s">
        <v>1925</v>
      </c>
      <c r="L40" s="35" t="s">
        <v>1925</v>
      </c>
    </row>
    <row r="41" spans="1:17" ht="18.75" x14ac:dyDescent="0.3">
      <c r="B41" s="37" t="s">
        <v>1916</v>
      </c>
      <c r="C41" s="36" t="s">
        <v>1916</v>
      </c>
      <c r="D41" s="35" t="s">
        <v>1916</v>
      </c>
      <c r="E41" s="37"/>
      <c r="F41" s="37" t="s">
        <v>255</v>
      </c>
      <c r="G41" s="36">
        <v>10</v>
      </c>
      <c r="H41" s="35">
        <v>70</v>
      </c>
      <c r="I41" s="27"/>
      <c r="J41" s="37" t="s">
        <v>260</v>
      </c>
      <c r="K41" s="36">
        <v>2</v>
      </c>
      <c r="L41" s="35">
        <v>2</v>
      </c>
    </row>
    <row r="42" spans="1:17" ht="18.75" x14ac:dyDescent="0.3">
      <c r="B42" s="37" t="s">
        <v>1916</v>
      </c>
      <c r="C42" s="36" t="s">
        <v>1916</v>
      </c>
      <c r="D42" s="35" t="s">
        <v>1916</v>
      </c>
      <c r="E42" s="37"/>
      <c r="F42" s="37" t="s">
        <v>257</v>
      </c>
      <c r="G42" s="36">
        <v>1.5</v>
      </c>
      <c r="H42" s="35">
        <v>10.5</v>
      </c>
      <c r="I42" s="27"/>
      <c r="J42" s="37" t="s">
        <v>1916</v>
      </c>
      <c r="K42" s="36" t="s">
        <v>1916</v>
      </c>
      <c r="L42" s="35" t="s">
        <v>1916</v>
      </c>
    </row>
    <row r="43" spans="1:17" ht="18.75" x14ac:dyDescent="0.3">
      <c r="B43" s="37" t="s">
        <v>1916</v>
      </c>
      <c r="C43" s="36" t="s">
        <v>1916</v>
      </c>
      <c r="D43" s="35" t="s">
        <v>1916</v>
      </c>
      <c r="E43" s="37"/>
      <c r="F43" s="37" t="s">
        <v>199</v>
      </c>
      <c r="G43" s="36">
        <v>2.5</v>
      </c>
      <c r="H43" s="35">
        <v>17.5</v>
      </c>
      <c r="I43" s="27"/>
      <c r="J43" s="37"/>
      <c r="K43" s="36"/>
      <c r="L43" s="35"/>
    </row>
    <row r="44" spans="1:17" ht="18.75" x14ac:dyDescent="0.3">
      <c r="B44" s="37"/>
      <c r="C44" s="36"/>
      <c r="D44" s="35"/>
      <c r="E44" s="37"/>
      <c r="F44" s="37"/>
      <c r="G44" s="36"/>
      <c r="H44" s="35"/>
      <c r="I44" s="27"/>
      <c r="J44" s="37"/>
      <c r="K44" s="36"/>
      <c r="L44" s="35"/>
    </row>
    <row r="45" spans="1:17" ht="18.75" x14ac:dyDescent="0.3">
      <c r="B45" s="34" t="s">
        <v>1929</v>
      </c>
      <c r="C45" s="36" t="s">
        <v>1925</v>
      </c>
      <c r="D45" s="35" t="s">
        <v>1926</v>
      </c>
      <c r="E45" s="37"/>
      <c r="F45" s="34" t="s">
        <v>1916</v>
      </c>
      <c r="G45" s="36" t="s">
        <v>1916</v>
      </c>
      <c r="H45" s="35" t="s">
        <v>1916</v>
      </c>
      <c r="I45" s="27"/>
      <c r="J45" s="34" t="s">
        <v>1930</v>
      </c>
      <c r="K45" s="36" t="s">
        <v>1925</v>
      </c>
      <c r="L45" s="35" t="s">
        <v>1925</v>
      </c>
    </row>
    <row r="46" spans="1:17" ht="18.75" x14ac:dyDescent="0.3">
      <c r="B46" s="37" t="s">
        <v>262</v>
      </c>
      <c r="C46" s="36">
        <v>10</v>
      </c>
      <c r="D46" s="35">
        <v>70</v>
      </c>
      <c r="E46" s="37"/>
      <c r="F46" s="37" t="s">
        <v>1916</v>
      </c>
      <c r="G46" s="36" t="s">
        <v>1916</v>
      </c>
      <c r="H46" s="35" t="s">
        <v>1916</v>
      </c>
      <c r="I46" s="27"/>
      <c r="J46" s="37" t="s">
        <v>272</v>
      </c>
      <c r="K46" s="36">
        <v>20</v>
      </c>
      <c r="L46" s="35">
        <v>20</v>
      </c>
    </row>
    <row r="47" spans="1:17" ht="18.75" x14ac:dyDescent="0.3">
      <c r="B47" s="37" t="s">
        <v>264</v>
      </c>
      <c r="C47" s="36">
        <v>6.3</v>
      </c>
      <c r="D47" s="35">
        <v>44.1</v>
      </c>
      <c r="E47" s="37"/>
      <c r="F47" s="37" t="s">
        <v>1916</v>
      </c>
      <c r="G47" s="36" t="s">
        <v>1916</v>
      </c>
      <c r="H47" s="35" t="s">
        <v>1916</v>
      </c>
      <c r="I47" s="27"/>
      <c r="J47" s="37" t="s">
        <v>274</v>
      </c>
      <c r="K47" s="36">
        <v>5</v>
      </c>
      <c r="L47" s="35">
        <v>5</v>
      </c>
    </row>
    <row r="48" spans="1:17" ht="18.75" x14ac:dyDescent="0.25">
      <c r="B48" s="37" t="s">
        <v>266</v>
      </c>
      <c r="C48" s="36">
        <v>2</v>
      </c>
      <c r="D48" s="35">
        <v>14</v>
      </c>
      <c r="E48" s="37"/>
      <c r="F48" s="37" t="s">
        <v>1916</v>
      </c>
      <c r="G48" s="36" t="s">
        <v>1916</v>
      </c>
      <c r="H48" s="35" t="s">
        <v>1916</v>
      </c>
      <c r="J48" s="21"/>
      <c r="K48" s="22"/>
      <c r="L48" s="23"/>
    </row>
    <row r="49" spans="2:14" ht="18.75" x14ac:dyDescent="0.25">
      <c r="B49" s="37" t="s">
        <v>268</v>
      </c>
      <c r="C49" s="36">
        <v>1.95</v>
      </c>
      <c r="D49" s="35">
        <v>13.65</v>
      </c>
      <c r="E49" s="37"/>
      <c r="F49" s="37" t="s">
        <v>1916</v>
      </c>
      <c r="G49" s="36" t="s">
        <v>1916</v>
      </c>
      <c r="H49" s="35" t="s">
        <v>1916</v>
      </c>
      <c r="J49" s="21"/>
      <c r="K49" s="22"/>
      <c r="L49" s="23"/>
    </row>
    <row r="50" spans="2:14" ht="18.75" x14ac:dyDescent="0.25">
      <c r="B50" s="37" t="s">
        <v>270</v>
      </c>
      <c r="C50" s="36">
        <v>2.4</v>
      </c>
      <c r="D50" s="35">
        <v>16.8</v>
      </c>
      <c r="E50" s="37"/>
      <c r="F50" s="37" t="s">
        <v>1916</v>
      </c>
      <c r="G50" s="36" t="s">
        <v>1916</v>
      </c>
      <c r="H50" s="35" t="s">
        <v>1916</v>
      </c>
      <c r="J50" s="21"/>
      <c r="K50" s="22"/>
      <c r="L50" s="23"/>
    </row>
    <row r="51" spans="2:14" ht="18.75" x14ac:dyDescent="0.25">
      <c r="B51" s="37"/>
      <c r="C51" s="36"/>
      <c r="D51" s="35"/>
      <c r="E51" s="37"/>
      <c r="F51" s="37"/>
      <c r="G51" s="36"/>
      <c r="H51" s="35"/>
      <c r="J51" s="21"/>
      <c r="K51" s="22"/>
      <c r="L51" s="23"/>
    </row>
    <row r="52" spans="2:14" ht="18.75" x14ac:dyDescent="0.3">
      <c r="B52" s="34" t="s">
        <v>1931</v>
      </c>
      <c r="C52" s="36" t="s">
        <v>1925</v>
      </c>
      <c r="D52" s="35" t="s">
        <v>1926</v>
      </c>
      <c r="E52" s="28"/>
      <c r="F52" s="34" t="s">
        <v>1932</v>
      </c>
      <c r="G52" s="34" t="s">
        <v>1933</v>
      </c>
      <c r="H52" s="28"/>
      <c r="J52" s="8"/>
      <c r="K52" s="12" t="s">
        <v>1899</v>
      </c>
      <c r="L52" s="12" t="s">
        <v>1900</v>
      </c>
      <c r="M52" s="12" t="s">
        <v>1901</v>
      </c>
    </row>
    <row r="53" spans="2:14" ht="31.5" customHeight="1" x14ac:dyDescent="0.3">
      <c r="B53" s="37" t="s">
        <v>276</v>
      </c>
      <c r="C53" s="36">
        <v>20</v>
      </c>
      <c r="D53" s="35">
        <v>140</v>
      </c>
      <c r="E53" s="28"/>
      <c r="F53" s="37" t="s">
        <v>107</v>
      </c>
      <c r="G53" s="37">
        <v>30</v>
      </c>
      <c r="H53" s="27"/>
      <c r="I53" s="5"/>
      <c r="J53" s="7" t="s">
        <v>79</v>
      </c>
      <c r="K53" s="14" t="s">
        <v>2219</v>
      </c>
      <c r="L53" s="14" t="s">
        <v>1934</v>
      </c>
      <c r="M53" s="14" t="s">
        <v>1934</v>
      </c>
      <c r="N53" s="4"/>
    </row>
    <row r="54" spans="2:14" ht="31.5" customHeight="1" x14ac:dyDescent="0.3">
      <c r="B54" s="37" t="s">
        <v>278</v>
      </c>
      <c r="C54" s="36">
        <v>5</v>
      </c>
      <c r="D54" s="35">
        <v>35</v>
      </c>
      <c r="E54" s="28"/>
      <c r="F54" s="37" t="s">
        <v>93</v>
      </c>
      <c r="G54" s="37">
        <v>28</v>
      </c>
      <c r="H54" s="27"/>
      <c r="J54" s="7" t="s">
        <v>152</v>
      </c>
      <c r="K54" s="14" t="s">
        <v>2220</v>
      </c>
      <c r="L54" s="14" t="s">
        <v>1934</v>
      </c>
      <c r="M54" s="14" t="s">
        <v>1934</v>
      </c>
      <c r="N54" s="4"/>
    </row>
    <row r="55" spans="2:14" ht="29.25" customHeight="1" x14ac:dyDescent="0.3">
      <c r="B55" s="37" t="s">
        <v>270</v>
      </c>
      <c r="C55" s="36">
        <v>4.8</v>
      </c>
      <c r="D55" s="35">
        <v>33.6</v>
      </c>
      <c r="E55" s="28"/>
      <c r="F55" s="37"/>
      <c r="G55" s="37"/>
      <c r="H55" s="27"/>
      <c r="J55" s="7" t="s">
        <v>156</v>
      </c>
      <c r="K55" s="14" t="s">
        <v>2221</v>
      </c>
      <c r="L55" s="14" t="s">
        <v>1934</v>
      </c>
      <c r="M55" s="14" t="s">
        <v>1934</v>
      </c>
      <c r="N55" s="4"/>
    </row>
    <row r="56" spans="2:14" ht="31.5" customHeight="1" x14ac:dyDescent="0.3">
      <c r="B56" s="37" t="s">
        <v>191</v>
      </c>
      <c r="C56" s="36">
        <v>45.2</v>
      </c>
      <c r="D56" s="35">
        <v>316.40000000000003</v>
      </c>
      <c r="E56" s="28"/>
      <c r="F56" s="37"/>
      <c r="G56" s="28"/>
      <c r="H56" s="27"/>
      <c r="J56" s="7" t="s">
        <v>160</v>
      </c>
      <c r="K56" s="14" t="s">
        <v>2222</v>
      </c>
      <c r="L56" s="14" t="s">
        <v>1934</v>
      </c>
      <c r="M56" s="14" t="s">
        <v>1934</v>
      </c>
      <c r="N56" s="4"/>
    </row>
    <row r="57" spans="2:14" ht="31.5" customHeight="1" x14ac:dyDescent="0.3">
      <c r="B57" s="37"/>
      <c r="C57" s="36"/>
      <c r="D57" s="35"/>
      <c r="E57" s="28"/>
      <c r="F57" s="37"/>
      <c r="G57" s="28"/>
      <c r="H57" s="27"/>
      <c r="J57" s="7" t="s">
        <v>1902</v>
      </c>
      <c r="K57" s="14" t="s">
        <v>2223</v>
      </c>
      <c r="L57" s="14" t="s">
        <v>1934</v>
      </c>
      <c r="M57" s="14" t="s">
        <v>1934</v>
      </c>
      <c r="N57" s="4"/>
    </row>
    <row r="58" spans="2:14" ht="31.5" customHeight="1" x14ac:dyDescent="0.3">
      <c r="B58" s="34" t="s">
        <v>1935</v>
      </c>
      <c r="C58" s="36" t="s">
        <v>1925</v>
      </c>
      <c r="D58" s="35" t="s">
        <v>1925</v>
      </c>
      <c r="E58" s="28"/>
      <c r="F58" s="38"/>
      <c r="G58" s="28"/>
      <c r="H58" s="27"/>
      <c r="J58" s="7" t="s">
        <v>1903</v>
      </c>
      <c r="K58" s="14" t="s">
        <v>2224</v>
      </c>
      <c r="L58" s="14" t="s">
        <v>1934</v>
      </c>
      <c r="M58" s="14" t="s">
        <v>1934</v>
      </c>
      <c r="N58" s="4"/>
    </row>
    <row r="59" spans="2:14" ht="31.5" customHeight="1" x14ac:dyDescent="0.3">
      <c r="B59" s="37" t="s">
        <v>292</v>
      </c>
      <c r="C59" s="36">
        <v>80</v>
      </c>
      <c r="D59" s="35">
        <v>80</v>
      </c>
      <c r="E59" s="28"/>
      <c r="F59" s="38"/>
      <c r="G59" s="28"/>
      <c r="H59" s="27"/>
      <c r="J59" s="7" t="s">
        <v>1904</v>
      </c>
      <c r="K59" s="14" t="s">
        <v>1934</v>
      </c>
      <c r="L59" s="14" t="s">
        <v>1934</v>
      </c>
      <c r="M59" s="14" t="s">
        <v>1934</v>
      </c>
      <c r="N59" s="4"/>
    </row>
    <row r="60" spans="2:14" ht="31.5" customHeight="1" x14ac:dyDescent="0.3">
      <c r="B60" s="37" t="s">
        <v>191</v>
      </c>
      <c r="C60" s="36">
        <v>100</v>
      </c>
      <c r="D60" s="35">
        <v>100</v>
      </c>
      <c r="E60" s="28"/>
      <c r="F60" s="38"/>
      <c r="G60" s="28"/>
      <c r="H60" s="27"/>
      <c r="J60" s="7" t="s">
        <v>1905</v>
      </c>
      <c r="K60" s="14" t="s">
        <v>1934</v>
      </c>
      <c r="L60" s="14" t="s">
        <v>1934</v>
      </c>
      <c r="M60" s="14" t="s">
        <v>1934</v>
      </c>
      <c r="N60" s="4"/>
    </row>
    <row r="61" spans="2:14" ht="18.75" x14ac:dyDescent="0.25">
      <c r="B61" s="37" t="s">
        <v>301</v>
      </c>
      <c r="C61" s="36">
        <v>80</v>
      </c>
      <c r="D61" s="35">
        <v>80</v>
      </c>
      <c r="E61" s="37"/>
      <c r="F61" s="37"/>
      <c r="G61" s="36"/>
      <c r="H61" s="35"/>
      <c r="J61" s="21"/>
      <c r="K61" s="22"/>
      <c r="L61" s="23"/>
    </row>
    <row r="62" spans="2:14" ht="18.75" x14ac:dyDescent="0.25">
      <c r="B62" s="37" t="s">
        <v>1936</v>
      </c>
      <c r="C62" s="36">
        <v>200</v>
      </c>
      <c r="D62" s="35">
        <v>200</v>
      </c>
      <c r="E62" s="37"/>
      <c r="F62" s="37"/>
      <c r="G62" s="36"/>
      <c r="H62" s="35"/>
      <c r="J62" s="21"/>
      <c r="K62" s="22"/>
      <c r="L62" s="23"/>
    </row>
    <row r="63" spans="2:14" ht="22.5" customHeight="1" x14ac:dyDescent="0.25">
      <c r="B63" s="37"/>
      <c r="C63" s="36"/>
      <c r="D63" s="35"/>
      <c r="E63" s="37"/>
      <c r="F63" s="37"/>
      <c r="G63" s="36"/>
      <c r="H63" s="35"/>
      <c r="J63" s="21"/>
      <c r="K63" s="22"/>
      <c r="L63" s="23"/>
    </row>
    <row r="64" spans="2:14" x14ac:dyDescent="0.25">
      <c r="B64" s="12" t="s">
        <v>1899</v>
      </c>
      <c r="C64" s="12" t="s">
        <v>1900</v>
      </c>
      <c r="D64" s="12" t="s">
        <v>1901</v>
      </c>
      <c r="E64" s="12" t="s">
        <v>1906</v>
      </c>
      <c r="F64" s="12" t="s">
        <v>1907</v>
      </c>
      <c r="G64" s="12" t="s">
        <v>1908</v>
      </c>
      <c r="H64" s="12" t="s">
        <v>1909</v>
      </c>
      <c r="I64" s="12" t="s">
        <v>1910</v>
      </c>
      <c r="J64" s="12" t="s">
        <v>1911</v>
      </c>
      <c r="K64" s="12" t="s">
        <v>1912</v>
      </c>
      <c r="L64" s="12" t="s">
        <v>1913</v>
      </c>
      <c r="M64" s="12" t="s">
        <v>1914</v>
      </c>
    </row>
    <row r="65" spans="1:13" ht="18.75" customHeight="1" x14ac:dyDescent="0.25">
      <c r="A65" s="7" t="s">
        <v>79</v>
      </c>
      <c r="B65" s="39" t="s">
        <v>1934</v>
      </c>
      <c r="C65" s="39" t="s">
        <v>1934</v>
      </c>
      <c r="D65" s="39" t="s">
        <v>1934</v>
      </c>
      <c r="E65" s="39" t="s">
        <v>1934</v>
      </c>
      <c r="F65" s="39" t="s">
        <v>1934</v>
      </c>
      <c r="G65" s="39" t="s">
        <v>1934</v>
      </c>
      <c r="H65" s="39" t="s">
        <v>1934</v>
      </c>
      <c r="I65" s="39" t="s">
        <v>1934</v>
      </c>
      <c r="J65" s="39" t="s">
        <v>1934</v>
      </c>
      <c r="K65" s="39" t="s">
        <v>1934</v>
      </c>
      <c r="L65" s="39" t="s">
        <v>1934</v>
      </c>
      <c r="M65" s="39" t="s">
        <v>1934</v>
      </c>
    </row>
    <row r="66" spans="1:13" ht="18.75" customHeight="1" x14ac:dyDescent="0.25">
      <c r="A66" s="7" t="s">
        <v>152</v>
      </c>
      <c r="B66" s="39" t="s">
        <v>1934</v>
      </c>
      <c r="C66" s="39" t="s">
        <v>1934</v>
      </c>
      <c r="D66" s="39" t="s">
        <v>1934</v>
      </c>
      <c r="E66" s="39" t="s">
        <v>1934</v>
      </c>
      <c r="F66" s="39" t="s">
        <v>1934</v>
      </c>
      <c r="G66" s="39" t="s">
        <v>1934</v>
      </c>
      <c r="H66" s="39" t="s">
        <v>1934</v>
      </c>
      <c r="I66" s="39" t="s">
        <v>1934</v>
      </c>
      <c r="J66" s="39" t="s">
        <v>1934</v>
      </c>
      <c r="K66" s="39" t="s">
        <v>1934</v>
      </c>
      <c r="L66" s="39" t="s">
        <v>1934</v>
      </c>
      <c r="M66" s="39" t="s">
        <v>1934</v>
      </c>
    </row>
    <row r="67" spans="1:13" ht="18.75" customHeight="1" x14ac:dyDescent="0.25">
      <c r="A67" s="7" t="s">
        <v>156</v>
      </c>
      <c r="B67" s="39" t="s">
        <v>1934</v>
      </c>
      <c r="C67" s="39" t="s">
        <v>1934</v>
      </c>
      <c r="D67" s="39" t="s">
        <v>1942</v>
      </c>
      <c r="E67" s="39" t="s">
        <v>1934</v>
      </c>
      <c r="F67" s="39" t="s">
        <v>1934</v>
      </c>
      <c r="G67" s="39" t="s">
        <v>1934</v>
      </c>
      <c r="H67" s="39" t="s">
        <v>1934</v>
      </c>
      <c r="I67" s="39" t="s">
        <v>1934</v>
      </c>
      <c r="J67" s="39" t="s">
        <v>1934</v>
      </c>
      <c r="K67" s="39" t="s">
        <v>1934</v>
      </c>
      <c r="L67" s="39" t="s">
        <v>1934</v>
      </c>
      <c r="M67" s="39" t="s">
        <v>1934</v>
      </c>
    </row>
    <row r="68" spans="1:13" ht="18.75" customHeight="1" x14ac:dyDescent="0.25">
      <c r="A68" s="7" t="s">
        <v>160</v>
      </c>
      <c r="B68" s="39" t="s">
        <v>1934</v>
      </c>
      <c r="C68" s="39" t="s">
        <v>1934</v>
      </c>
      <c r="D68" s="39" t="s">
        <v>1946</v>
      </c>
      <c r="E68" s="39" t="s">
        <v>1934</v>
      </c>
      <c r="F68" s="39" t="s">
        <v>1934</v>
      </c>
      <c r="G68" s="39" t="s">
        <v>1934</v>
      </c>
      <c r="H68" s="39" t="s">
        <v>1934</v>
      </c>
      <c r="I68" s="39" t="s">
        <v>1934</v>
      </c>
      <c r="J68" s="39" t="s">
        <v>1934</v>
      </c>
      <c r="K68" s="39" t="s">
        <v>1934</v>
      </c>
      <c r="L68" s="39" t="s">
        <v>1934</v>
      </c>
      <c r="M68" s="39" t="s">
        <v>1934</v>
      </c>
    </row>
    <row r="69" spans="1:13" ht="18.75" customHeight="1" x14ac:dyDescent="0.25">
      <c r="A69" s="7" t="s">
        <v>1902</v>
      </c>
      <c r="B69" s="39" t="s">
        <v>1934</v>
      </c>
      <c r="C69" s="39" t="s">
        <v>1934</v>
      </c>
      <c r="D69" s="39" t="s">
        <v>1950</v>
      </c>
      <c r="E69" s="39" t="s">
        <v>1934</v>
      </c>
      <c r="F69" s="39" t="s">
        <v>1934</v>
      </c>
      <c r="G69" s="39" t="s">
        <v>1934</v>
      </c>
      <c r="H69" s="39" t="s">
        <v>1934</v>
      </c>
      <c r="I69" s="39" t="s">
        <v>1934</v>
      </c>
      <c r="J69" s="39" t="s">
        <v>1934</v>
      </c>
      <c r="K69" s="39" t="s">
        <v>1934</v>
      </c>
      <c r="L69" s="39" t="s">
        <v>1934</v>
      </c>
      <c r="M69" s="39" t="s">
        <v>1934</v>
      </c>
    </row>
    <row r="70" spans="1:13" ht="18.75" customHeight="1" x14ac:dyDescent="0.25">
      <c r="A70" s="7" t="s">
        <v>1903</v>
      </c>
      <c r="B70" s="39" t="s">
        <v>1934</v>
      </c>
      <c r="C70" s="39" t="s">
        <v>1934</v>
      </c>
      <c r="D70" s="39" t="s">
        <v>1954</v>
      </c>
      <c r="E70" s="39" t="s">
        <v>1934</v>
      </c>
      <c r="F70" s="39" t="s">
        <v>1934</v>
      </c>
      <c r="G70" s="39" t="s">
        <v>1934</v>
      </c>
      <c r="H70" s="39" t="s">
        <v>1934</v>
      </c>
      <c r="I70" s="39" t="s">
        <v>1934</v>
      </c>
      <c r="J70" s="39" t="s">
        <v>1934</v>
      </c>
      <c r="K70" s="39" t="s">
        <v>1934</v>
      </c>
      <c r="L70" s="39" t="s">
        <v>1934</v>
      </c>
      <c r="M70" s="39" t="s">
        <v>1934</v>
      </c>
    </row>
    <row r="71" spans="1:13" ht="18.75" customHeight="1" x14ac:dyDescent="0.25">
      <c r="A71" s="7" t="s">
        <v>1904</v>
      </c>
      <c r="B71" s="39" t="s">
        <v>1934</v>
      </c>
      <c r="C71" s="39" t="s">
        <v>1934</v>
      </c>
      <c r="D71" s="39" t="s">
        <v>1957</v>
      </c>
      <c r="E71" s="39" t="s">
        <v>1934</v>
      </c>
      <c r="F71" s="39" t="s">
        <v>1934</v>
      </c>
      <c r="G71" s="39" t="s">
        <v>1934</v>
      </c>
      <c r="H71" s="39" t="s">
        <v>1934</v>
      </c>
      <c r="I71" s="39" t="s">
        <v>1934</v>
      </c>
      <c r="J71" s="39" t="s">
        <v>1934</v>
      </c>
      <c r="K71" s="39" t="s">
        <v>1934</v>
      </c>
      <c r="L71" s="39" t="s">
        <v>1934</v>
      </c>
      <c r="M71" s="39" t="s">
        <v>1934</v>
      </c>
    </row>
    <row r="72" spans="1:13" ht="18.75" customHeight="1" x14ac:dyDescent="0.25">
      <c r="A72" s="7" t="s">
        <v>1905</v>
      </c>
      <c r="B72" s="39" t="s">
        <v>1934</v>
      </c>
      <c r="C72" s="39" t="s">
        <v>1934</v>
      </c>
      <c r="D72" s="39" t="s">
        <v>1960</v>
      </c>
      <c r="E72" s="39" t="s">
        <v>1934</v>
      </c>
      <c r="F72" s="39" t="s">
        <v>1934</v>
      </c>
      <c r="G72" s="39" t="s">
        <v>1934</v>
      </c>
      <c r="H72" s="39" t="s">
        <v>1934</v>
      </c>
      <c r="I72" s="39" t="s">
        <v>1934</v>
      </c>
      <c r="J72" s="39" t="s">
        <v>1934</v>
      </c>
      <c r="K72" s="39" t="s">
        <v>1934</v>
      </c>
      <c r="L72" s="39" t="s">
        <v>1934</v>
      </c>
      <c r="M72" s="39" t="s">
        <v>1934</v>
      </c>
    </row>
    <row r="85" spans="12:12" x14ac:dyDescent="0.25">
      <c r="L85" s="42"/>
    </row>
  </sheetData>
  <mergeCells count="4">
    <mergeCell ref="E4:H4"/>
    <mergeCell ref="K4:L5"/>
    <mergeCell ref="B7:C7"/>
    <mergeCell ref="K7:L7"/>
  </mergeCells>
  <conditionalFormatting sqref="B8:B31">
    <cfRule type="duplicateValues" dxfId="11" priority="14"/>
  </conditionalFormatting>
  <conditionalFormatting sqref="B8:C31">
    <cfRule type="containsBlanks" dxfId="10" priority="4">
      <formula>LEN(TRIM(B8))=0</formula>
    </cfRule>
  </conditionalFormatting>
  <conditionalFormatting sqref="C8:C31">
    <cfRule type="duplicateValues" dxfId="9" priority="5"/>
  </conditionalFormatting>
  <conditionalFormatting sqref="E4">
    <cfRule type="notContainsBlanks" dxfId="8" priority="10">
      <formula>LEN(TRIM(E4))&gt;0</formula>
    </cfRule>
  </conditionalFormatting>
  <conditionalFormatting sqref="E8:H31">
    <cfRule type="expression" dxfId="7" priority="3">
      <formula>ISNUMBER(FIND("POOL",$D8))</formula>
    </cfRule>
  </conditionalFormatting>
  <conditionalFormatting sqref="J8:J31">
    <cfRule type="expression" dxfId="6" priority="9">
      <formula>ISNUMBER(FIND("POOL",$D8))</formula>
    </cfRule>
  </conditionalFormatting>
  <conditionalFormatting sqref="K8:K31">
    <cfRule type="duplicateValues" dxfId="5" priority="11"/>
    <cfRule type="expression" dxfId="4" priority="12">
      <formula>ISNUMBER(FIND("POOL",$D8))</formula>
    </cfRule>
  </conditionalFormatting>
  <conditionalFormatting sqref="L8:L31">
    <cfRule type="containsBlanks" dxfId="3" priority="6">
      <formula>LEN(TRIM(L8))=0</formula>
    </cfRule>
    <cfRule type="duplicateValues" dxfId="2" priority="7"/>
  </conditionalFormatting>
  <conditionalFormatting sqref="M8:M31">
    <cfRule type="expression" dxfId="1" priority="1">
      <formula>ISNUMBER(FIND("POOL",$D8))</formula>
    </cfRule>
  </conditionalFormatting>
  <dataValidations count="1">
    <dataValidation type="whole" allowBlank="1" showInputMessage="1" showErrorMessage="1" sqref="D4" xr:uid="{5A2B1DA6-9A7D-4A2A-BDD5-181ED52FC33F}">
      <formula1>0</formula1>
      <formula2>24</formula2>
    </dataValidation>
  </dataValidations>
  <pageMargins left="0.25" right="0.25" top="0.75" bottom="0.75" header="0.3" footer="0.3"/>
  <pageSetup paperSize="9" scale="49" orientation="portrait" r:id="rId1"/>
  <colBreaks count="1" manualBreakCount="1">
    <brk id="13" max="81" man="1"/>
  </colBreak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CA10D3C-2A3B-4354-88EE-1236A1D4924F}">
          <x14:formula1>
            <xm:f>Database!$B$16:$B$19</xm:f>
          </x14:formula1>
          <xm:sqref>J8:J31</xm:sqref>
        </x14:dataValidation>
        <x14:dataValidation type="list" allowBlank="1" showInputMessage="1" showErrorMessage="1" xr:uid="{B9680378-8C7B-4966-B1D8-B5561A615AEF}">
          <x14:formula1>
            <xm:f>Database!$A$5:$A$11</xm:f>
          </x14:formula1>
          <xm:sqref>F8:F31</xm:sqref>
        </x14:dataValidation>
        <x14:dataValidation type="list" allowBlank="1" showInputMessage="1" showErrorMessage="1" xr:uid="{2EC0705D-0369-4255-9EE9-9D092B2C2287}">
          <x14:formula1>
            <xm:f>Database!$A$16:$A$18</xm:f>
          </x14:formula1>
          <xm:sqref>D2 F9:F13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ADA468-E2B5-4452-96EB-A9309D12E1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2</vt:i4>
      </vt:variant>
    </vt:vector>
  </HeadingPairs>
  <TitlesOfParts>
    <vt:vector size="21" baseType="lpstr">
      <vt:lpstr>Database</vt:lpstr>
      <vt:lpstr>SampleSheet Generator</vt:lpstr>
      <vt:lpstr>Controle de Preparo</vt:lpstr>
      <vt:lpstr>Modelo Run Illumina</vt:lpstr>
      <vt:lpstr>Folha de trabalho modelo</vt:lpstr>
      <vt:lpstr>20220812</vt:lpstr>
      <vt:lpstr>20220830</vt:lpstr>
      <vt:lpstr>20220912</vt:lpstr>
      <vt:lpstr>20221014-QiaSeq</vt:lpstr>
      <vt:lpstr>20221014-AmpliSeq</vt:lpstr>
      <vt:lpstr>20220929-QiaSeq V4</vt:lpstr>
      <vt:lpstr>20220802-AmpliSeq DNA</vt:lpstr>
      <vt:lpstr>20220810-AmpliSeq RNA</vt:lpstr>
      <vt:lpstr>20220810-AmpliSeq DNA</vt:lpstr>
      <vt:lpstr>20220824-QiaSeq V4</vt:lpstr>
      <vt:lpstr>20220826-AmpliSeq RNA</vt:lpstr>
      <vt:lpstr>20220826-AmpliSeq DNA</vt:lpstr>
      <vt:lpstr>20220822-QiaSeq V4</vt:lpstr>
      <vt:lpstr>20220906-QiaSeqV4</vt:lpstr>
      <vt:lpstr>'20220906-QiaSeqV4'!Print_Area</vt:lpstr>
      <vt:lpstr>'20221014-AmpliSeq'!Print_Area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 Bertollo de Alexandre</dc:creator>
  <cp:keywords/>
  <dc:description/>
  <cp:lastModifiedBy>Rodrigo Bertollo de Alexandre</cp:lastModifiedBy>
  <cp:revision/>
  <cp:lastPrinted>2023-07-19T11:12:00Z</cp:lastPrinted>
  <dcterms:created xsi:type="dcterms:W3CDTF">2022-09-06T14:39:43Z</dcterms:created>
  <dcterms:modified xsi:type="dcterms:W3CDTF">2023-07-20T01:08:40Z</dcterms:modified>
  <cp:category/>
  <cp:contentStatus/>
</cp:coreProperties>
</file>