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emiliogamarra/Documents/Trabajo/1) Clases/1) IBME/8) MIAX/MIAX 7ª/"/>
    </mc:Choice>
  </mc:AlternateContent>
  <xr:revisionPtr revIDLastSave="0" documentId="13_ncr:1_{DD4F9818-A837-5440-8260-A25C519278EF}" xr6:coauthVersionLast="47" xr6:coauthVersionMax="47" xr10:uidLastSave="{00000000-0000-0000-0000-000000000000}"/>
  <bookViews>
    <workbookView xWindow="720" yWindow="460" windowWidth="37360" windowHeight="20680" tabRatio="771" activeTab="1" xr2:uid="{00000000-000D-0000-FFFF-FFFF00000000}"/>
  </bookViews>
  <sheets>
    <sheet name="Calculadora" sheetId="39" r:id="rId1"/>
    <sheet name="Datos Bonos" sheetId="40" r:id="rId2"/>
    <sheet name="Forward" sheetId="42" r:id="rId3"/>
    <sheet name="Gestión Duración" sheetId="43" r:id="rId4"/>
  </sheets>
  <externalReferences>
    <externalReference r:id="rId5"/>
    <externalReference r:id="rId6"/>
    <externalReference r:id="rId7"/>
    <externalReference r:id="rId8"/>
  </externalReferences>
  <definedNames>
    <definedName name="Amortización">[1]Rentas!$B$7</definedName>
    <definedName name="base">[1]Rentas!$A$4</definedName>
    <definedName name="basebonos" localSheetId="3">[2]Calculadora!$O$2:$S$51</definedName>
    <definedName name="basebonos">'Datos Bonos'!$A$2:$F$95</definedName>
    <definedName name="capital">#REF!</definedName>
    <definedName name="Coste">[1]Rentas!$B$5</definedName>
    <definedName name="Cuota">#REF!</definedName>
    <definedName name="cupon1">'[3]Cot-Px'!$H$4</definedName>
    <definedName name="cupon2">'[3]Cot-Px'!$H$5</definedName>
    <definedName name="cupon3" localSheetId="3">#REF!</definedName>
    <definedName name="cupon3">'[3]Cot-Px'!$H$6</definedName>
    <definedName name="cuponbono" localSheetId="3">#REF!</definedName>
    <definedName name="cuponbono">'[3]Cot-Px'!$C$4</definedName>
    <definedName name="curva">#REF!</definedName>
    <definedName name="curva_asset">#REF!</definedName>
    <definedName name="curva_deuda">#REF!</definedName>
    <definedName name="fd">#REF!</definedName>
    <definedName name="fd_asset">#REF!</definedName>
    <definedName name="fecha_valor">#REF!</definedName>
    <definedName name="Fechas">[1]Rentas!$A$13:$A$33</definedName>
    <definedName name="fv_asset">#REF!</definedName>
    <definedName name="Importe">#REF!</definedName>
    <definedName name="Intereses">#REF!</definedName>
    <definedName name="interpolar" localSheetId="3">'Gestión Duración'!interpolar</definedName>
    <definedName name="interpolar">[0]!interpolar</definedName>
    <definedName name="kk">[4]!interp</definedName>
    <definedName name="Letras">#REF!</definedName>
    <definedName name="macros.interp" localSheetId="3">'Gestión Duración'!macros.interp</definedName>
    <definedName name="macros.interp">[0]!macros.interp</definedName>
    <definedName name="Módulo1.interp" localSheetId="3">'Gestión Duración'!Módulo1.interp</definedName>
    <definedName name="Módulo1.interp">[0]!Módulo1.interp</definedName>
    <definedName name="mov_tip_3">#REF!</definedName>
    <definedName name="mov_tip_5">#REF!</definedName>
    <definedName name="Nominal">#REF!</definedName>
    <definedName name="Plazo">#REF!</definedName>
    <definedName name="Rendimiento">[1]Rentas!$B$6</definedName>
    <definedName name="solver_adj" localSheetId="0" hidden="1">Calculadora!$B$8</definedName>
    <definedName name="solver_lin" localSheetId="0" hidden="1">0</definedName>
    <definedName name="solver_num" localSheetId="0" hidden="1">0</definedName>
    <definedName name="solver_opt" localSheetId="0" hidden="1">Calculadora!$G$15</definedName>
    <definedName name="solver_typ" localSheetId="0" hidden="1">3</definedName>
    <definedName name="solver_val" localSheetId="0" hidden="1">0</definedName>
    <definedName name="tipo">#REF!</definedName>
    <definedName name="tipo_mensual">#REF!</definedName>
    <definedName name="Tipos">[1]Rentas!$E$5</definedName>
    <definedName name="tir" localSheetId="3">#REF!</definedName>
    <definedName name="tir">#REF!</definedName>
    <definedName name="TIR_Letra">#REF!</definedName>
    <definedName name="Valor_inicial">#REF!</definedName>
    <definedName name="Valores">[1]Rentas!$C$13:$C$33</definedName>
    <definedName name="value_date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" i="39" l="1"/>
  <c r="S3" i="39"/>
  <c r="B4" i="39"/>
  <c r="B6" i="42"/>
  <c r="E6" i="42"/>
  <c r="E8" i="42"/>
  <c r="E11" i="42"/>
  <c r="B8" i="42"/>
  <c r="G15" i="40"/>
  <c r="G16" i="40"/>
  <c r="G17" i="40"/>
  <c r="G18" i="40"/>
  <c r="G19" i="40"/>
  <c r="G20" i="40"/>
  <c r="G21" i="40"/>
  <c r="G22" i="40"/>
  <c r="G23" i="40"/>
  <c r="G24" i="40"/>
  <c r="G25" i="40"/>
  <c r="G26" i="40"/>
  <c r="G27" i="40"/>
  <c r="G28" i="40"/>
  <c r="G29" i="40"/>
  <c r="G30" i="40"/>
  <c r="G31" i="40"/>
  <c r="G32" i="40"/>
  <c r="G33" i="40"/>
  <c r="G34" i="40"/>
  <c r="G35" i="40"/>
  <c r="G36" i="40"/>
  <c r="G37" i="40"/>
  <c r="G38" i="40"/>
  <c r="G39" i="40"/>
  <c r="G40" i="40"/>
  <c r="G41" i="40"/>
  <c r="G42" i="40"/>
  <c r="G43" i="40"/>
  <c r="G44" i="40"/>
  <c r="G45" i="40"/>
  <c r="G46" i="40"/>
  <c r="G47" i="40"/>
  <c r="G48" i="40"/>
  <c r="G49" i="40"/>
  <c r="G50" i="40"/>
  <c r="G51" i="40"/>
  <c r="G52" i="40"/>
  <c r="G53" i="40"/>
  <c r="G54" i="40"/>
  <c r="G55" i="40"/>
  <c r="G56" i="40"/>
  <c r="G57" i="40"/>
  <c r="G58" i="40"/>
  <c r="G59" i="40"/>
  <c r="G60" i="40"/>
  <c r="G61" i="40"/>
  <c r="G62" i="40"/>
  <c r="G63" i="40"/>
  <c r="G64" i="40"/>
  <c r="G65" i="40"/>
  <c r="G66" i="40"/>
  <c r="G67" i="40"/>
  <c r="G68" i="40"/>
  <c r="G69" i="40"/>
  <c r="G70" i="40"/>
  <c r="G71" i="40"/>
  <c r="G72" i="40"/>
  <c r="G73" i="40"/>
  <c r="G74" i="40"/>
  <c r="G75" i="40"/>
  <c r="G76" i="40"/>
  <c r="G77" i="40"/>
  <c r="G78" i="40"/>
  <c r="G79" i="40"/>
  <c r="G80" i="40"/>
  <c r="G81" i="40"/>
  <c r="G82" i="40"/>
  <c r="G83" i="40"/>
  <c r="G84" i="40"/>
  <c r="G85" i="40"/>
  <c r="G86" i="40"/>
  <c r="G87" i="40"/>
  <c r="G88" i="40"/>
  <c r="G89" i="40"/>
  <c r="G90" i="40"/>
  <c r="G91" i="40"/>
  <c r="G3" i="40"/>
  <c r="G4" i="40"/>
  <c r="G5" i="40"/>
  <c r="G6" i="40"/>
  <c r="G7" i="40"/>
  <c r="G8" i="40"/>
  <c r="G9" i="40"/>
  <c r="G10" i="40"/>
  <c r="G11" i="40"/>
  <c r="G12" i="40"/>
  <c r="G13" i="40"/>
  <c r="G14" i="40"/>
  <c r="G92" i="40"/>
  <c r="G93" i="40"/>
  <c r="G94" i="40"/>
  <c r="G95" i="40"/>
  <c r="G2" i="40"/>
  <c r="B2" i="39"/>
  <c r="B3" i="39"/>
  <c r="E11" i="43"/>
  <c r="G5" i="43"/>
  <c r="M5" i="43"/>
  <c r="G6" i="43"/>
  <c r="M6" i="43"/>
  <c r="G7" i="43"/>
  <c r="M7" i="43"/>
  <c r="G8" i="43"/>
  <c r="M8" i="43"/>
  <c r="G9" i="43"/>
  <c r="M9" i="43"/>
  <c r="G10" i="43"/>
  <c r="M10" i="43"/>
  <c r="M11" i="43"/>
  <c r="M12" i="43"/>
  <c r="D11" i="43"/>
  <c r="F5" i="43"/>
  <c r="K5" i="43"/>
  <c r="F6" i="43"/>
  <c r="K6" i="43"/>
  <c r="F7" i="43"/>
  <c r="K7" i="43"/>
  <c r="F8" i="43"/>
  <c r="K8" i="43"/>
  <c r="F9" i="43"/>
  <c r="K9" i="43"/>
  <c r="F10" i="43"/>
  <c r="K10" i="43"/>
  <c r="K11" i="43"/>
  <c r="K12" i="43"/>
  <c r="L5" i="43"/>
  <c r="L6" i="43"/>
  <c r="L7" i="43"/>
  <c r="L8" i="43"/>
  <c r="L9" i="43"/>
  <c r="L10" i="43"/>
  <c r="L11" i="43"/>
  <c r="J5" i="43"/>
  <c r="J6" i="43"/>
  <c r="J7" i="43"/>
  <c r="J8" i="43"/>
  <c r="J9" i="43"/>
  <c r="J10" i="43"/>
  <c r="J11" i="43"/>
  <c r="E5" i="42"/>
  <c r="B15" i="42"/>
  <c r="E15" i="42"/>
  <c r="E20" i="42"/>
  <c r="B16" i="42"/>
  <c r="E16" i="42"/>
  <c r="E21" i="42"/>
  <c r="E22" i="42"/>
  <c r="E23" i="42"/>
  <c r="E24" i="42"/>
  <c r="E25" i="42"/>
  <c r="E17" i="42"/>
  <c r="E27" i="42"/>
  <c r="E26" i="42"/>
  <c r="E28" i="42"/>
  <c r="E29" i="42"/>
  <c r="E30" i="42"/>
  <c r="E10" i="42"/>
  <c r="E32" i="42"/>
  <c r="B19" i="42"/>
  <c r="B20" i="42"/>
  <c r="B21" i="42"/>
  <c r="B23" i="42"/>
  <c r="B24" i="42"/>
  <c r="B22" i="42"/>
  <c r="E18" i="42"/>
  <c r="E4" i="42"/>
  <c r="B6" i="39"/>
  <c r="B16" i="39"/>
  <c r="D5" i="39"/>
  <c r="D4" i="39"/>
  <c r="B5" i="39"/>
  <c r="F4" i="39"/>
  <c r="H5" i="39"/>
  <c r="B13" i="39"/>
  <c r="B22" i="39"/>
  <c r="P4" i="39"/>
  <c r="P6" i="39"/>
  <c r="P7" i="39"/>
  <c r="S6" i="39"/>
  <c r="S12" i="39"/>
  <c r="S5" i="39"/>
  <c r="P10" i="39"/>
  <c r="P8" i="39"/>
  <c r="F5" i="39"/>
  <c r="D6" i="39"/>
  <c r="E5" i="39"/>
  <c r="G5" i="39"/>
  <c r="B15" i="39"/>
  <c r="B12" i="39"/>
  <c r="B17" i="39"/>
  <c r="B7" i="39"/>
  <c r="B14" i="39"/>
  <c r="I5" i="39"/>
  <c r="S7" i="39"/>
  <c r="S8" i="39"/>
  <c r="S11" i="39"/>
  <c r="P11" i="39"/>
  <c r="P12" i="39"/>
  <c r="E6" i="39"/>
  <c r="F6" i="39"/>
  <c r="G6" i="39"/>
  <c r="D7" i="39"/>
  <c r="H6" i="39"/>
  <c r="I6" i="39"/>
  <c r="P13" i="39"/>
  <c r="P15" i="39"/>
  <c r="P16" i="39"/>
  <c r="P18" i="39"/>
  <c r="F7" i="39"/>
  <c r="E7" i="39"/>
  <c r="D8" i="39"/>
  <c r="H7" i="39"/>
  <c r="I7" i="39"/>
  <c r="E4" i="39"/>
  <c r="G4" i="39"/>
  <c r="B8" i="39"/>
  <c r="S14" i="39"/>
  <c r="R15" i="39"/>
  <c r="S16" i="39"/>
  <c r="R17" i="39"/>
  <c r="D9" i="39"/>
  <c r="E8" i="39"/>
  <c r="F8" i="39"/>
  <c r="G8" i="39"/>
  <c r="H8" i="39"/>
  <c r="I8" i="39"/>
  <c r="G7" i="39"/>
  <c r="E9" i="39"/>
  <c r="F9" i="39"/>
  <c r="D10" i="39"/>
  <c r="H9" i="39"/>
  <c r="I9" i="39"/>
  <c r="E10" i="39"/>
  <c r="H10" i="39"/>
  <c r="I10" i="39"/>
  <c r="D11" i="39"/>
  <c r="F10" i="39"/>
  <c r="G9" i="39"/>
  <c r="F11" i="39"/>
  <c r="D12" i="39"/>
  <c r="E11" i="39"/>
  <c r="G11" i="39"/>
  <c r="H11" i="39"/>
  <c r="I11" i="39"/>
  <c r="G10" i="39"/>
  <c r="D13" i="39"/>
  <c r="F12" i="39"/>
  <c r="E12" i="39"/>
  <c r="G12" i="39"/>
  <c r="H12" i="39"/>
  <c r="I12" i="39"/>
  <c r="D14" i="39"/>
  <c r="E13" i="39"/>
  <c r="F13" i="39"/>
  <c r="H13" i="39"/>
  <c r="I13" i="39"/>
  <c r="E14" i="39"/>
  <c r="F14" i="39"/>
  <c r="G14" i="39"/>
  <c r="H14" i="39"/>
  <c r="I14" i="39"/>
  <c r="D15" i="39"/>
  <c r="G13" i="39"/>
  <c r="F15" i="39"/>
  <c r="E15" i="39"/>
  <c r="D16" i="39"/>
  <c r="H15" i="39"/>
  <c r="I15" i="39"/>
  <c r="G15" i="39"/>
  <c r="D17" i="39"/>
  <c r="E16" i="39"/>
  <c r="F16" i="39"/>
  <c r="H16" i="39"/>
  <c r="I16" i="39"/>
  <c r="D18" i="39"/>
  <c r="E17" i="39"/>
  <c r="F17" i="39"/>
  <c r="H17" i="39"/>
  <c r="I17" i="39"/>
  <c r="G16" i="39"/>
  <c r="G17" i="39"/>
  <c r="E18" i="39"/>
  <c r="H18" i="39"/>
  <c r="I18" i="39"/>
  <c r="D19" i="39"/>
  <c r="F18" i="39"/>
  <c r="F19" i="39"/>
  <c r="D20" i="39"/>
  <c r="E19" i="39"/>
  <c r="H19" i="39"/>
  <c r="I19" i="39"/>
  <c r="G18" i="39"/>
  <c r="G19" i="39"/>
  <c r="D21" i="39"/>
  <c r="E20" i="39"/>
  <c r="F20" i="39"/>
  <c r="G20" i="39"/>
  <c r="H20" i="39"/>
  <c r="I20" i="39"/>
  <c r="F21" i="39"/>
  <c r="D22" i="39"/>
  <c r="E21" i="39"/>
  <c r="H21" i="39"/>
  <c r="I21" i="39"/>
  <c r="E22" i="39"/>
  <c r="D23" i="39"/>
  <c r="H22" i="39"/>
  <c r="I22" i="39"/>
  <c r="F22" i="39"/>
  <c r="G21" i="39"/>
  <c r="F23" i="39"/>
  <c r="E23" i="39"/>
  <c r="G23" i="39"/>
  <c r="D24" i="39"/>
  <c r="H23" i="39"/>
  <c r="I23" i="39"/>
  <c r="G22" i="39"/>
  <c r="D25" i="39"/>
  <c r="E24" i="39"/>
  <c r="F24" i="39"/>
  <c r="H24" i="39"/>
  <c r="I24" i="39"/>
  <c r="E25" i="39"/>
  <c r="F25" i="39"/>
  <c r="D26" i="39"/>
  <c r="H25" i="39"/>
  <c r="I25" i="39"/>
  <c r="G24" i="39"/>
  <c r="E26" i="39"/>
  <c r="F26" i="39"/>
  <c r="G26" i="39"/>
  <c r="H26" i="39"/>
  <c r="I26" i="39"/>
  <c r="D27" i="39"/>
  <c r="G25" i="39"/>
  <c r="F27" i="39"/>
  <c r="D28" i="39"/>
  <c r="E27" i="39"/>
  <c r="H27" i="39"/>
  <c r="I27" i="39"/>
  <c r="D29" i="39"/>
  <c r="F28" i="39"/>
  <c r="E28" i="39"/>
  <c r="G28" i="39"/>
  <c r="H28" i="39"/>
  <c r="I28" i="39"/>
  <c r="G27" i="39"/>
  <c r="D30" i="39"/>
  <c r="E29" i="39"/>
  <c r="F29" i="39"/>
  <c r="G29" i="39"/>
  <c r="H29" i="39"/>
  <c r="I29" i="39"/>
  <c r="E30" i="39"/>
  <c r="F30" i="39"/>
  <c r="G30" i="39"/>
  <c r="H30" i="39"/>
  <c r="I30" i="39"/>
  <c r="D31" i="39"/>
  <c r="F31" i="39"/>
  <c r="E31" i="39"/>
  <c r="D32" i="39"/>
  <c r="H31" i="39"/>
  <c r="I31" i="39"/>
  <c r="G31" i="39"/>
  <c r="D33" i="39"/>
  <c r="E32" i="39"/>
  <c r="F32" i="39"/>
  <c r="G32" i="39"/>
  <c r="H32" i="39"/>
  <c r="I32" i="39"/>
  <c r="D34" i="39"/>
  <c r="E33" i="39"/>
  <c r="F33" i="39"/>
  <c r="G33" i="39"/>
  <c r="H33" i="39"/>
  <c r="I33" i="39"/>
  <c r="E34" i="39"/>
  <c r="D35" i="39"/>
  <c r="F34" i="39"/>
  <c r="H34" i="39"/>
  <c r="I34" i="39"/>
  <c r="G34" i="39"/>
  <c r="F35" i="39"/>
  <c r="D36" i="39"/>
  <c r="E35" i="39"/>
  <c r="G35" i="39"/>
  <c r="H35" i="39"/>
  <c r="I35" i="39"/>
  <c r="D37" i="39"/>
  <c r="E36" i="39"/>
  <c r="F36" i="39"/>
  <c r="G36" i="39"/>
  <c r="H36" i="39"/>
  <c r="I36" i="39"/>
  <c r="F37" i="39"/>
  <c r="D38" i="39"/>
  <c r="E37" i="39"/>
  <c r="G37" i="39"/>
  <c r="H37" i="39"/>
  <c r="I37" i="39"/>
  <c r="E38" i="39"/>
  <c r="D39" i="39"/>
  <c r="H38" i="39"/>
  <c r="I38" i="39"/>
  <c r="F38" i="39"/>
  <c r="F39" i="39"/>
  <c r="E39" i="39"/>
  <c r="D40" i="39"/>
  <c r="H39" i="39"/>
  <c r="I39" i="39"/>
  <c r="G38" i="39"/>
  <c r="D41" i="39"/>
  <c r="H40" i="39"/>
  <c r="I40" i="39"/>
  <c r="E40" i="39"/>
  <c r="F40" i="39"/>
  <c r="G39" i="39"/>
  <c r="E41" i="39"/>
  <c r="F41" i="39"/>
  <c r="D42" i="39"/>
  <c r="H41" i="39"/>
  <c r="I41" i="39"/>
  <c r="G40" i="39"/>
  <c r="G41" i="39"/>
  <c r="E42" i="39"/>
  <c r="F42" i="39"/>
  <c r="G42" i="39"/>
  <c r="H42" i="39"/>
  <c r="I42" i="39"/>
  <c r="D43" i="39"/>
  <c r="F43" i="39"/>
  <c r="D44" i="39"/>
  <c r="E43" i="39"/>
  <c r="G43" i="39"/>
  <c r="H43" i="39"/>
  <c r="I43" i="39"/>
  <c r="D45" i="39"/>
  <c r="F44" i="39"/>
  <c r="H44" i="39"/>
  <c r="I44" i="39"/>
  <c r="E44" i="39"/>
  <c r="G44" i="39"/>
  <c r="D46" i="39"/>
  <c r="E45" i="39"/>
  <c r="F45" i="39"/>
  <c r="G45" i="39"/>
  <c r="H45" i="39"/>
  <c r="I45" i="39"/>
  <c r="E46" i="39"/>
  <c r="F46" i="39"/>
  <c r="H46" i="39"/>
  <c r="I46" i="39"/>
  <c r="D47" i="39"/>
  <c r="F47" i="39"/>
  <c r="E47" i="39"/>
  <c r="G47" i="39"/>
  <c r="D48" i="39"/>
  <c r="H47" i="39"/>
  <c r="I47" i="39"/>
  <c r="G46" i="39"/>
  <c r="D49" i="39"/>
  <c r="E48" i="39"/>
  <c r="F48" i="39"/>
  <c r="H48" i="39"/>
  <c r="I48" i="39"/>
  <c r="G48" i="39"/>
  <c r="D50" i="39"/>
  <c r="E49" i="39"/>
  <c r="F49" i="39"/>
  <c r="G49" i="39"/>
  <c r="H49" i="39"/>
  <c r="I49" i="39"/>
  <c r="E50" i="39"/>
  <c r="F50" i="39"/>
  <c r="G50" i="39"/>
  <c r="D51" i="39"/>
  <c r="H50" i="39"/>
  <c r="I50" i="39"/>
  <c r="F51" i="39"/>
  <c r="D52" i="39"/>
  <c r="H51" i="39"/>
  <c r="I51" i="39"/>
  <c r="E51" i="39"/>
  <c r="G51" i="39"/>
  <c r="D53" i="39"/>
  <c r="E52" i="39"/>
  <c r="F52" i="39"/>
  <c r="G52" i="39"/>
  <c r="H52" i="39"/>
  <c r="I52" i="39"/>
  <c r="F53" i="39"/>
  <c r="D54" i="39"/>
  <c r="H53" i="39"/>
  <c r="I53" i="39"/>
  <c r="E53" i="39"/>
  <c r="E54" i="39"/>
  <c r="F54" i="39"/>
  <c r="H54" i="39"/>
  <c r="I54" i="39"/>
  <c r="G53" i="39"/>
  <c r="G54" i="39"/>
  <c r="B20" i="39"/>
  <c r="J54" i="39"/>
  <c r="K54" i="39"/>
  <c r="L54" i="39"/>
  <c r="J52" i="39"/>
  <c r="K52" i="39"/>
  <c r="L52" i="39"/>
  <c r="J50" i="39"/>
  <c r="K50" i="39"/>
  <c r="L50" i="39"/>
  <c r="J48" i="39"/>
  <c r="K48" i="39"/>
  <c r="L48" i="39"/>
  <c r="J46" i="39"/>
  <c r="K46" i="39"/>
  <c r="L46" i="39"/>
  <c r="J44" i="39"/>
  <c r="K44" i="39"/>
  <c r="L44" i="39"/>
  <c r="J42" i="39"/>
  <c r="K42" i="39"/>
  <c r="L42" i="39"/>
  <c r="J40" i="39"/>
  <c r="K40" i="39"/>
  <c r="L40" i="39"/>
  <c r="J38" i="39"/>
  <c r="K38" i="39"/>
  <c r="L38" i="39"/>
  <c r="J36" i="39"/>
  <c r="K36" i="39"/>
  <c r="L36" i="39"/>
  <c r="J34" i="39"/>
  <c r="K34" i="39"/>
  <c r="L34" i="39"/>
  <c r="J32" i="39"/>
  <c r="K32" i="39"/>
  <c r="L32" i="39"/>
  <c r="J8" i="39"/>
  <c r="K8" i="39"/>
  <c r="L8" i="39"/>
  <c r="J12" i="39"/>
  <c r="K12" i="39"/>
  <c r="L12" i="39"/>
  <c r="J16" i="39"/>
  <c r="K16" i="39"/>
  <c r="L16" i="39"/>
  <c r="J20" i="39"/>
  <c r="K20" i="39"/>
  <c r="L20" i="39"/>
  <c r="J24" i="39"/>
  <c r="K24" i="39"/>
  <c r="L24" i="39"/>
  <c r="J28" i="39"/>
  <c r="K28" i="39"/>
  <c r="L28" i="39"/>
  <c r="J5" i="39"/>
  <c r="K5" i="39"/>
  <c r="L5" i="39"/>
  <c r="J6" i="39"/>
  <c r="K6" i="39"/>
  <c r="L6" i="39"/>
  <c r="J7" i="39"/>
  <c r="K7" i="39"/>
  <c r="L7" i="39"/>
  <c r="J21" i="39"/>
  <c r="K21" i="39"/>
  <c r="L21" i="39"/>
  <c r="J22" i="39"/>
  <c r="K22" i="39"/>
  <c r="L22" i="39"/>
  <c r="J23" i="39"/>
  <c r="K23" i="39"/>
  <c r="L23" i="39"/>
  <c r="J51" i="39"/>
  <c r="K51" i="39"/>
  <c r="L51" i="39"/>
  <c r="J47" i="39"/>
  <c r="K47" i="39"/>
  <c r="L47" i="39"/>
  <c r="J43" i="39"/>
  <c r="K43" i="39"/>
  <c r="L43" i="39"/>
  <c r="J39" i="39"/>
  <c r="K39" i="39"/>
  <c r="L39" i="39"/>
  <c r="J35" i="39"/>
  <c r="K35" i="39"/>
  <c r="L35" i="39"/>
  <c r="J17" i="39"/>
  <c r="K17" i="39"/>
  <c r="L17" i="39"/>
  <c r="J18" i="39"/>
  <c r="K18" i="39"/>
  <c r="L18" i="39"/>
  <c r="J19" i="39"/>
  <c r="K19" i="39"/>
  <c r="L19" i="39"/>
  <c r="J33" i="39"/>
  <c r="K33" i="39"/>
  <c r="L33" i="39"/>
  <c r="J13" i="39"/>
  <c r="K13" i="39"/>
  <c r="L13" i="39"/>
  <c r="J14" i="39"/>
  <c r="K14" i="39"/>
  <c r="L14" i="39"/>
  <c r="J15" i="39"/>
  <c r="K15" i="39"/>
  <c r="L15" i="39"/>
  <c r="J29" i="39"/>
  <c r="K29" i="39"/>
  <c r="L29" i="39"/>
  <c r="J30" i="39"/>
  <c r="K30" i="39"/>
  <c r="L30" i="39"/>
  <c r="J53" i="39"/>
  <c r="K53" i="39"/>
  <c r="L53" i="39"/>
  <c r="J49" i="39"/>
  <c r="K49" i="39"/>
  <c r="L49" i="39"/>
  <c r="J45" i="39"/>
  <c r="K45" i="39"/>
  <c r="L45" i="39"/>
  <c r="J41" i="39"/>
  <c r="K41" i="39"/>
  <c r="L41" i="39"/>
  <c r="J37" i="39"/>
  <c r="K37" i="39"/>
  <c r="L37" i="39"/>
  <c r="J31" i="39"/>
  <c r="K31" i="39"/>
  <c r="L31" i="39"/>
  <c r="J9" i="39"/>
  <c r="K9" i="39"/>
  <c r="L9" i="39"/>
  <c r="J10" i="39"/>
  <c r="K10" i="39"/>
  <c r="L10" i="39"/>
  <c r="J11" i="39"/>
  <c r="K11" i="39"/>
  <c r="L11" i="39"/>
  <c r="J25" i="39"/>
  <c r="K25" i="39"/>
  <c r="L25" i="39"/>
  <c r="J26" i="39"/>
  <c r="K26" i="39"/>
  <c r="L26" i="39"/>
  <c r="J27" i="39"/>
  <c r="K27" i="39"/>
  <c r="L27" i="39"/>
  <c r="M5" i="39"/>
  <c r="M6" i="39"/>
  <c r="M8" i="39"/>
  <c r="M7" i="39"/>
  <c r="M9" i="39"/>
  <c r="M10" i="39"/>
  <c r="M11" i="39"/>
  <c r="M12" i="39"/>
  <c r="M14" i="39"/>
  <c r="M13" i="39"/>
  <c r="M15" i="39"/>
  <c r="M16" i="39"/>
  <c r="M17" i="39"/>
  <c r="M18" i="39"/>
  <c r="M19" i="39"/>
  <c r="M20" i="39"/>
  <c r="M21" i="39"/>
  <c r="M22" i="39"/>
  <c r="M23" i="39"/>
  <c r="M24" i="39"/>
  <c r="M26" i="39"/>
  <c r="M25" i="39"/>
  <c r="M27" i="39"/>
  <c r="M28" i="39"/>
  <c r="M29" i="39"/>
  <c r="M30" i="39"/>
  <c r="M32" i="39"/>
  <c r="M31" i="39"/>
  <c r="M33" i="39"/>
  <c r="M34" i="39"/>
  <c r="M35" i="39"/>
  <c r="M36" i="39"/>
  <c r="M37" i="39"/>
  <c r="M38" i="39"/>
  <c r="M39" i="39"/>
  <c r="M40" i="39"/>
  <c r="M42" i="39"/>
  <c r="M41" i="39"/>
  <c r="M43" i="39"/>
  <c r="M44" i="39"/>
  <c r="M45" i="39"/>
  <c r="M47" i="39"/>
  <c r="M46" i="39"/>
  <c r="M48" i="39"/>
  <c r="M49" i="39"/>
  <c r="M50" i="39"/>
  <c r="M52" i="39"/>
  <c r="M51" i="39"/>
  <c r="M53" i="39"/>
  <c r="M54" i="39"/>
  <c r="B25" i="39"/>
  <c r="B21" i="39"/>
  <c r="B23" i="39"/>
  <c r="B24" i="39"/>
  <c r="B27" i="39"/>
  <c r="B26" i="39"/>
  <c r="B28" i="39"/>
  <c r="B12" i="42"/>
  <c r="B17" i="42"/>
  <c r="B25" i="42"/>
  <c r="B26" i="42"/>
  <c r="B32" i="4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PortatilIbm</author>
  </authors>
  <commentList>
    <comment ref="B6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+DiaLab()
Cuenta los días laborales que se tomen como referencia</t>
        </r>
      </text>
    </comment>
  </commentList>
</comments>
</file>

<file path=xl/sharedStrings.xml><?xml version="1.0" encoding="utf-8"?>
<sst xmlns="http://schemas.openxmlformats.org/spreadsheetml/2006/main" count="177" uniqueCount="123">
  <si>
    <t>Cupón</t>
  </si>
  <si>
    <t>Duración</t>
  </si>
  <si>
    <t>Años</t>
  </si>
  <si>
    <t>TIR</t>
  </si>
  <si>
    <t>Nominal</t>
  </si>
  <si>
    <t>Vencimiento</t>
  </si>
  <si>
    <t>Bono</t>
  </si>
  <si>
    <t>Precio</t>
  </si>
  <si>
    <t>Sensi</t>
  </si>
  <si>
    <t>Base</t>
  </si>
  <si>
    <t>Dur</t>
  </si>
  <si>
    <t>Efectivo</t>
  </si>
  <si>
    <t>Ultimo cupón</t>
  </si>
  <si>
    <t>Próximo cupón</t>
  </si>
  <si>
    <t>CC</t>
  </si>
  <si>
    <t>BONO</t>
  </si>
  <si>
    <t>Convexidad</t>
  </si>
  <si>
    <t>Cupon corrido de un Bono</t>
  </si>
  <si>
    <t>Carry de un Bono</t>
  </si>
  <si>
    <t>Flujos</t>
  </si>
  <si>
    <t>Nº días</t>
  </si>
  <si>
    <t>F.Dcto</t>
  </si>
  <si>
    <t>V.act. flujos</t>
  </si>
  <si>
    <t>(A)x(C)x[(C)+1)]</t>
  </si>
  <si>
    <t>Vcto</t>
  </si>
  <si>
    <t>Fechas</t>
  </si>
  <si>
    <t>Cupones</t>
  </si>
  <si>
    <t>Principales</t>
  </si>
  <si>
    <t>(A)</t>
  </si>
  <si>
    <t>(B)</t>
  </si>
  <si>
    <t>(C)=(B)/base</t>
  </si>
  <si>
    <t>(D)</t>
  </si>
  <si>
    <t>(E)=(A)x(D)</t>
  </si>
  <si>
    <t>(C) x (E)</t>
  </si>
  <si>
    <t>[1+TIR]^[(C)+2]</t>
  </si>
  <si>
    <t>Cupón Bono</t>
  </si>
  <si>
    <t>Fecha contratación</t>
  </si>
  <si>
    <t>cotización</t>
  </si>
  <si>
    <t xml:space="preserve">Fecha Valor </t>
  </si>
  <si>
    <t>Fecha liquidación</t>
  </si>
  <si>
    <t>C.C.</t>
  </si>
  <si>
    <t>Ultimo Cupón</t>
  </si>
  <si>
    <t>Proximo Cupón</t>
  </si>
  <si>
    <t>Frecuencia Cupones</t>
  </si>
  <si>
    <t>Repo día / Eonia</t>
  </si>
  <si>
    <t>Días desde ultimo cupón hasta fecha ida ("d1")</t>
  </si>
  <si>
    <t>DATOS INTERMEDIOS</t>
  </si>
  <si>
    <t>Días hasta próximo Cupón</t>
  </si>
  <si>
    <t>días c.c.</t>
  </si>
  <si>
    <t>Dias Base ("Act")</t>
  </si>
  <si>
    <t>Repo</t>
  </si>
  <si>
    <t>dias restan</t>
  </si>
  <si>
    <t>FRAC AÑO</t>
  </si>
  <si>
    <t>Total año</t>
  </si>
  <si>
    <t>Bono Comprado</t>
  </si>
  <si>
    <t>ult.cupón</t>
  </si>
  <si>
    <t>prox.cupón</t>
  </si>
  <si>
    <t>Precio completo</t>
  </si>
  <si>
    <t>Bono vendido</t>
  </si>
  <si>
    <t>RESULTADOS DE CÁLCULOS</t>
  </si>
  <si>
    <t>Duración:</t>
  </si>
  <si>
    <t>Vida Residual</t>
  </si>
  <si>
    <t>D.Corregida (%)</t>
  </si>
  <si>
    <t>PVBP</t>
  </si>
  <si>
    <t>Correc.Convex. (1 p.b):</t>
  </si>
  <si>
    <t>Total Ajuste precio</t>
  </si>
  <si>
    <t>Ajuste en precio (1.000€)</t>
  </si>
  <si>
    <t>Ajuste en precio Total (1.000€)</t>
  </si>
  <si>
    <t>CALCULO DEL PRECIO FORWARD PARA UN BONO</t>
  </si>
  <si>
    <t>SIN CORTE DE CUPÓN INTERMEDIO</t>
  </si>
  <si>
    <t>CON CORTE DE CUPÓN INTERMEDIO</t>
  </si>
  <si>
    <r>
      <t>Tipo financiación ("r</t>
    </r>
    <r>
      <rPr>
        <vertAlign val="subscript"/>
        <sz val="11"/>
        <color indexed="62"/>
        <rFont val="Arial"/>
        <family val="2"/>
      </rPr>
      <t>f</t>
    </r>
    <r>
      <rPr>
        <sz val="11"/>
        <color indexed="62"/>
        <rFont val="Arial"/>
        <family val="2"/>
      </rPr>
      <t>")</t>
    </r>
  </si>
  <si>
    <t>Horizonte ("d")</t>
  </si>
  <si>
    <r>
      <t>Tipo Inversión ("r</t>
    </r>
    <r>
      <rPr>
        <vertAlign val="subscript"/>
        <sz val="11"/>
        <color indexed="62"/>
        <rFont val="Arial"/>
        <family val="2"/>
      </rPr>
      <t>i</t>
    </r>
    <r>
      <rPr>
        <sz val="11"/>
        <color indexed="62"/>
        <rFont val="Arial"/>
        <family val="2"/>
      </rPr>
      <t>")</t>
    </r>
  </si>
  <si>
    <t>Fecha Vuelta</t>
  </si>
  <si>
    <t>Corta cupón???</t>
  </si>
  <si>
    <t>Próximo cupón sin Corte</t>
  </si>
  <si>
    <t>CC Ida ("CC0")</t>
  </si>
  <si>
    <t>FRAC AÑO (sin corte)</t>
  </si>
  <si>
    <t>Precio Completo IDA (P0+CC0)</t>
  </si>
  <si>
    <t>Dias desde corte de cupón hasta Vuelta ("d2")</t>
  </si>
  <si>
    <t>CC Vuelta ("CC1")</t>
  </si>
  <si>
    <t>Días desde Forward hasta proximo corte</t>
  </si>
  <si>
    <t>FRAC AÑO (con corte)</t>
  </si>
  <si>
    <t>Forward</t>
  </si>
  <si>
    <t>GESTIÓN DE LA DURACIÓN DE UN PORTFOLIO</t>
  </si>
  <si>
    <t>Cartera 1</t>
  </si>
  <si>
    <t>Cartera 2</t>
  </si>
  <si>
    <t>Referencia</t>
  </si>
  <si>
    <t>Nom 1</t>
  </si>
  <si>
    <t>Nom 2</t>
  </si>
  <si>
    <t>Peso1</t>
  </si>
  <si>
    <t>Peso2</t>
  </si>
  <si>
    <t>D. Bono</t>
  </si>
  <si>
    <t>S.Bono</t>
  </si>
  <si>
    <t>Reducir duración de la cartera</t>
  </si>
  <si>
    <t xml:space="preserve">Incrementar duración de la cartera </t>
  </si>
  <si>
    <t xml:space="preserve">OE 5.50 04-21   </t>
  </si>
  <si>
    <t>- Compra de bonos con Cupón alto</t>
  </si>
  <si>
    <t xml:space="preserve">OE 3.80 04-24   </t>
  </si>
  <si>
    <t>- Venta de bonos con cupón bajo</t>
  </si>
  <si>
    <t xml:space="preserve">OE 1.45 04-29   </t>
  </si>
  <si>
    <t>Reducción del plazo de la cartera</t>
  </si>
  <si>
    <r>
      <t xml:space="preserve"> </t>
    </r>
    <r>
      <rPr>
        <b/>
        <sz val="11"/>
        <color indexed="12"/>
        <rFont val="Calibri"/>
        <family val="2"/>
      </rPr>
      <t>Ampliar del plazo de la cartera</t>
    </r>
  </si>
  <si>
    <t xml:space="preserve">OE 1.85 07-35   </t>
  </si>
  <si>
    <t>- Comprar bonos cortos</t>
  </si>
  <si>
    <t xml:space="preserve">OE 2.70 10-48   </t>
  </si>
  <si>
    <t>- Vender bonos largos</t>
  </si>
  <si>
    <t xml:space="preserve">OE 3.45 07-66   </t>
  </si>
  <si>
    <t>Posición total cartera</t>
  </si>
  <si>
    <t>VPB</t>
  </si>
  <si>
    <t>SPGB5,40% 31/01/2023</t>
  </si>
  <si>
    <t>SPGB0,25% 30/07/2024</t>
  </si>
  <si>
    <t>SPGB1,60% 30/04/2025</t>
  </si>
  <si>
    <t>SPGB1,95% 30/04/2026</t>
  </si>
  <si>
    <t>SPGB1,50% 30/04/2027</t>
  </si>
  <si>
    <t>SPGB1,40% 30/04/2028</t>
  </si>
  <si>
    <t>SPGB0,60% 31/10/2029</t>
  </si>
  <si>
    <t>SPGB1,85% 30/07/2035</t>
  </si>
  <si>
    <t>SPGB4,20% 31/01/2037</t>
  </si>
  <si>
    <t>SPGB5,15% 31/10/2044</t>
  </si>
  <si>
    <t>SPGB2,70% 31/10/2048</t>
  </si>
  <si>
    <t>SPGB 5,85% 31/01/2022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</si>
</sst>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#,##0\ &quot;€&quot;;[Red]\-#,##0\ &quot;€&quot;"/>
    <numFmt numFmtId="7" formatCode="#,##0.00\ &quot;€&quot;;\-#,##0.00\ &quot;€&quot;"/>
    <numFmt numFmtId="8" formatCode="#,##0.00\ &quot;€&quot;;[Red]\-#,##0.00\ &quot;€&quot;"/>
    <numFmt numFmtId="164" formatCode="_-* #,##0.00\ _€_-;\-* #,##0.00\ _€_-;_-* &quot;-&quot;??\ _€_-;_-@_-"/>
    <numFmt numFmtId="165" formatCode="_-* #,##0.00&quot;€&quot;_-;\-* #,##0.00&quot;€&quot;_-;_-* &quot;-&quot;??&quot;€&quot;_-;_-@_-"/>
    <numFmt numFmtId="166" formatCode="_-* #,##0.00_€_-;\-* #,##0.00_€_-;_-* &quot;-&quot;??_€_-;_-@_-"/>
    <numFmt numFmtId="167" formatCode="0.000"/>
    <numFmt numFmtId="168" formatCode="0.000%"/>
    <numFmt numFmtId="169" formatCode="0.0000"/>
    <numFmt numFmtId="170" formatCode="[$-C0A]d\-mmm\-yy;@"/>
    <numFmt numFmtId="171" formatCode="_([$€]* #,##0.00_);_([$€]* \(#,##0.00\);_([$€]* \-??_);_(@_)"/>
    <numFmt numFmtId="172" formatCode="#,##0.00\ &quot;€&quot;"/>
    <numFmt numFmtId="173" formatCode="_-* #,##0.00\ [$€-C0A]_-;\-* #,##0.00\ [$€-C0A]_-;_-* &quot;-&quot;??\ [$€-C0A]_-;_-@_-"/>
    <numFmt numFmtId="174" formatCode="_(* #,##0.00_);_(* \(#,##0.00\);_(* &quot;-&quot;??_);_(@_)"/>
    <numFmt numFmtId="175" formatCode="0.00000%"/>
    <numFmt numFmtId="176" formatCode="dd\-mmm\-yyyy\ ddd"/>
    <numFmt numFmtId="177" formatCode="#,##0.0\ &quot;€&quot;;[Red]\-#,##0.00\ &quot;€&quot;"/>
    <numFmt numFmtId="178" formatCode="0.00000"/>
    <numFmt numFmtId="179" formatCode="0.000\ &quot;Años&quot;"/>
    <numFmt numFmtId="180" formatCode="0.000\ &quot;p.b.&quot;"/>
    <numFmt numFmtId="181" formatCode="_-* #,##0.000\ [$€-C0A]_-;\-* #,##0.000\ [$€-C0A]_-;_-* &quot;-&quot;??\ [$€-C0A]_-;_-@_-"/>
    <numFmt numFmtId="182" formatCode="dd\-mmm\-yyyy;"/>
    <numFmt numFmtId="183" formatCode="[$-C0A]d\-mmm\-yyyy;@"/>
    <numFmt numFmtId="184" formatCode="0.000000%"/>
    <numFmt numFmtId="185" formatCode="0.0000000%"/>
    <numFmt numFmtId="186" formatCode="0.000000000%"/>
  </numFmts>
  <fonts count="49" x14ac:knownFonts="1">
    <font>
      <sz val="10"/>
      <name val="Arial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indexed="8"/>
      <name val="Calibri"/>
      <family val="2"/>
    </font>
    <font>
      <sz val="12"/>
      <name val="Verdana"/>
      <family val="2"/>
    </font>
    <font>
      <sz val="10"/>
      <name val="Verdana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rgb="FF0000FF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Times New Roman"/>
      <family val="1"/>
    </font>
    <font>
      <b/>
      <sz val="16"/>
      <color indexed="9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2"/>
      <color indexed="32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b/>
      <sz val="8"/>
      <color indexed="81"/>
      <name val="Tahoma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20"/>
      <color theme="0"/>
      <name val="Calibri"/>
      <family val="2"/>
      <scheme val="minor"/>
    </font>
    <font>
      <sz val="10"/>
      <name val="Arial"/>
      <family val="2"/>
    </font>
    <font>
      <sz val="11"/>
      <color theme="4" tint="-0.499984740745262"/>
      <name val="Arial"/>
      <family val="2"/>
    </font>
    <font>
      <vertAlign val="subscript"/>
      <sz val="11"/>
      <color indexed="62"/>
      <name val="Arial"/>
      <family val="2"/>
    </font>
    <font>
      <sz val="11"/>
      <color indexed="62"/>
      <name val="Arial"/>
      <family val="2"/>
    </font>
    <font>
      <b/>
      <sz val="12"/>
      <color rgb="FFFF0000"/>
      <name val="Arial"/>
      <family val="2"/>
    </font>
    <font>
      <b/>
      <sz val="16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0000FF"/>
      <name val="Calibri"/>
      <family val="2"/>
    </font>
    <font>
      <sz val="11"/>
      <color indexed="12"/>
      <name val="Arial"/>
      <family val="2"/>
    </font>
    <font>
      <b/>
      <sz val="11"/>
      <color rgb="FF000000"/>
      <name val="Calibri"/>
      <family val="2"/>
    </font>
    <font>
      <b/>
      <sz val="11"/>
      <color indexed="12"/>
      <name val="Calibri"/>
      <family val="2"/>
    </font>
    <font>
      <sz val="12"/>
      <name val="Calibri"/>
      <family val="2"/>
      <scheme val="minor"/>
    </font>
    <font>
      <sz val="8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indexed="44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FFF66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00009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rgb="FF000000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96">
    <xf numFmtId="0" fontId="0" fillId="0" borderId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10" fillId="8" borderId="0" applyNumberFormat="0" applyBorder="0" applyAlignment="0" applyProtection="0"/>
    <xf numFmtId="0" fontId="9" fillId="9" borderId="0" applyNumberFormat="0" applyBorder="0" applyAlignment="0" applyProtection="0"/>
    <xf numFmtId="0" fontId="11" fillId="10" borderId="0" applyNumberFormat="0" applyBorder="0" applyAlignment="0" applyProtection="0"/>
    <xf numFmtId="0" fontId="12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2" fillId="13" borderId="0" applyNumberFormat="0" applyBorder="0" applyAlignment="0" applyProtection="0"/>
    <xf numFmtId="0" fontId="11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4" fillId="15" borderId="1" applyBorder="0">
      <alignment horizontal="center"/>
    </xf>
    <xf numFmtId="171" fontId="3" fillId="0" borderId="0" applyFill="0" applyBorder="0" applyAlignment="0" applyProtection="0"/>
    <xf numFmtId="0" fontId="6" fillId="2" borderId="0" applyNumberFormat="0" applyBorder="0" applyAlignment="0" applyProtection="0"/>
    <xf numFmtId="166" fontId="7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0" fillId="0" borderId="0" applyFont="0" applyFill="0" applyBorder="0" applyAlignment="0" applyProtection="0"/>
    <xf numFmtId="174" fontId="3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8" fillId="0" borderId="0"/>
    <xf numFmtId="0" fontId="10" fillId="0" borderId="0"/>
    <xf numFmtId="0" fontId="3" fillId="16" borderId="10" applyNumberFormat="0" applyFont="0" applyAlignment="0" applyProtection="0"/>
    <xf numFmtId="0" fontId="3" fillId="16" borderId="10" applyNumberFormat="0" applyFont="0" applyAlignment="0" applyProtection="0"/>
    <xf numFmtId="0" fontId="10" fillId="16" borderId="10" applyNumberFormat="0" applyFont="0" applyAlignment="0" applyProtection="0"/>
    <xf numFmtId="0" fontId="3" fillId="16" borderId="10" applyNumberFormat="0" applyFont="0" applyAlignment="0" applyProtection="0"/>
    <xf numFmtId="0" fontId="3" fillId="16" borderId="10" applyNumberFormat="0" applyFont="0" applyAlignment="0" applyProtection="0"/>
    <xf numFmtId="0" fontId="3" fillId="16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1" fillId="13" borderId="0" applyNumberFormat="0" applyBorder="0" applyAlignment="0" applyProtection="0"/>
    <xf numFmtId="0" fontId="2" fillId="7" borderId="0" applyNumberFormat="0" applyBorder="0" applyAlignment="0" applyProtection="0"/>
    <xf numFmtId="0" fontId="2" fillId="6" borderId="0" applyNumberFormat="0" applyBorder="0" applyAlignment="0" applyProtection="0"/>
    <xf numFmtId="0" fontId="2" fillId="9" borderId="0" applyNumberFormat="0" applyBorder="0" applyAlignment="0" applyProtection="0"/>
    <xf numFmtId="0" fontId="23" fillId="0" borderId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5" fillId="0" borderId="0"/>
    <xf numFmtId="0" fontId="35" fillId="16" borderId="10" applyNumberFormat="0" applyFont="0" applyAlignment="0" applyProtection="0"/>
    <xf numFmtId="9" fontId="35" fillId="0" borderId="0" applyFont="0" applyFill="0" applyBorder="0" applyAlignment="0" applyProtection="0"/>
    <xf numFmtId="0" fontId="11" fillId="13" borderId="0" applyNumberFormat="0" applyBorder="0" applyAlignment="0" applyProtection="0"/>
    <xf numFmtId="0" fontId="2" fillId="4" borderId="0" applyNumberFormat="0" applyBorder="0" applyAlignment="0" applyProtection="0"/>
    <xf numFmtId="0" fontId="12" fillId="13" borderId="0" applyNumberFormat="0" applyBorder="0" applyAlignment="0" applyProtection="0"/>
    <xf numFmtId="0" fontId="2" fillId="7" borderId="0" applyNumberFormat="0" applyBorder="0" applyAlignment="0" applyProtection="0"/>
    <xf numFmtId="0" fontId="35" fillId="16" borderId="10" applyNumberFormat="0" applyFont="0" applyAlignment="0" applyProtection="0"/>
  </cellStyleXfs>
  <cellXfs count="147">
    <xf numFmtId="0" fontId="0" fillId="0" borderId="0" xfId="0"/>
    <xf numFmtId="0" fontId="4" fillId="0" borderId="0" xfId="0" applyFont="1" applyAlignment="1">
      <alignment vertical="center"/>
    </xf>
    <xf numFmtId="0" fontId="24" fillId="18" borderId="3" xfId="53" applyFont="1" applyFill="1" applyBorder="1" applyAlignment="1">
      <alignment horizontal="left" vertical="center"/>
    </xf>
    <xf numFmtId="1" fontId="25" fillId="18" borderId="4" xfId="53" applyNumberFormat="1" applyFont="1" applyFill="1" applyBorder="1" applyAlignment="1">
      <alignment horizontal="centerContinuous" vertical="center"/>
    </xf>
    <xf numFmtId="0" fontId="26" fillId="0" borderId="0" xfId="53" applyFont="1" applyBorder="1" applyAlignment="1">
      <alignment vertical="center"/>
    </xf>
    <xf numFmtId="0" fontId="27" fillId="0" borderId="0" xfId="53" applyFont="1" applyBorder="1" applyAlignment="1">
      <alignment vertical="center"/>
    </xf>
    <xf numFmtId="168" fontId="28" fillId="3" borderId="0" xfId="44" applyNumberFormat="1" applyFont="1" applyFill="1" applyBorder="1" applyAlignment="1">
      <alignment horizontal="center" vertical="center"/>
    </xf>
    <xf numFmtId="0" fontId="28" fillId="3" borderId="0" xfId="53" applyFont="1" applyFill="1" applyBorder="1" applyAlignment="1">
      <alignment horizontal="center" vertical="center"/>
    </xf>
    <xf numFmtId="0" fontId="18" fillId="0" borderId="0" xfId="53" applyFont="1" applyAlignment="1">
      <alignment vertical="center"/>
    </xf>
    <xf numFmtId="0" fontId="15" fillId="6" borderId="6" xfId="51" applyFont="1" applyBorder="1" applyAlignment="1">
      <alignment horizontal="right" vertical="center"/>
    </xf>
    <xf numFmtId="169" fontId="15" fillId="6" borderId="7" xfId="44" applyNumberFormat="1" applyFont="1" applyFill="1" applyBorder="1" applyAlignment="1">
      <alignment vertical="center"/>
    </xf>
    <xf numFmtId="0" fontId="28" fillId="3" borderId="0" xfId="53" applyFont="1" applyFill="1" applyBorder="1" applyAlignment="1">
      <alignment vertical="center"/>
    </xf>
    <xf numFmtId="0" fontId="28" fillId="3" borderId="0" xfId="53" quotePrefix="1" applyFont="1" applyFill="1" applyBorder="1" applyAlignment="1">
      <alignment horizontal="center" vertical="center"/>
    </xf>
    <xf numFmtId="4" fontId="17" fillId="16" borderId="10" xfId="38" applyNumberFormat="1" applyFont="1" applyAlignment="1">
      <alignment vertical="center"/>
    </xf>
    <xf numFmtId="176" fontId="18" fillId="16" borderId="10" xfId="38" applyNumberFormat="1" applyFont="1" applyAlignment="1">
      <alignment vertical="center"/>
    </xf>
    <xf numFmtId="170" fontId="15" fillId="6" borderId="7" xfId="51" applyNumberFormat="1" applyFont="1" applyBorder="1" applyAlignment="1">
      <alignment vertical="center"/>
    </xf>
    <xf numFmtId="10" fontId="18" fillId="16" borderId="10" xfId="38" applyNumberFormat="1" applyFont="1" applyAlignment="1">
      <alignment vertical="center"/>
    </xf>
    <xf numFmtId="168" fontId="18" fillId="16" borderId="10" xfId="39" applyNumberFormat="1" applyFont="1" applyAlignment="1">
      <alignment horizontal="right" vertical="center"/>
    </xf>
    <xf numFmtId="170" fontId="21" fillId="16" borderId="10" xfId="38" applyNumberFormat="1" applyFont="1" applyAlignment="1">
      <alignment horizontal="center" vertical="center"/>
    </xf>
    <xf numFmtId="170" fontId="11" fillId="13" borderId="0" xfId="49" applyNumberFormat="1" applyFont="1" applyBorder="1" applyAlignment="1">
      <alignment vertical="center"/>
    </xf>
    <xf numFmtId="169" fontId="11" fillId="13" borderId="0" xfId="49" applyNumberFormat="1" applyFont="1" applyBorder="1" applyAlignment="1">
      <alignment horizontal="center" vertical="center"/>
    </xf>
    <xf numFmtId="0" fontId="18" fillId="0" borderId="0" xfId="53" applyFont="1" applyBorder="1" applyAlignment="1">
      <alignment vertical="center"/>
    </xf>
    <xf numFmtId="0" fontId="17" fillId="0" borderId="0" xfId="0" applyFont="1" applyAlignment="1">
      <alignment vertical="center"/>
    </xf>
    <xf numFmtId="176" fontId="18" fillId="0" borderId="0" xfId="0" applyNumberFormat="1" applyFont="1" applyAlignment="1">
      <alignment vertical="center"/>
    </xf>
    <xf numFmtId="177" fontId="18" fillId="16" borderId="10" xfId="39" applyNumberFormat="1" applyFont="1" applyAlignment="1">
      <alignment horizontal="right" vertical="center"/>
    </xf>
    <xf numFmtId="0" fontId="11" fillId="13" borderId="0" xfId="49" applyFont="1" applyBorder="1" applyAlignment="1">
      <alignment horizontal="center" vertical="center"/>
    </xf>
    <xf numFmtId="0" fontId="2" fillId="7" borderId="0" xfId="50" applyFont="1" applyBorder="1" applyAlignment="1">
      <alignment horizontal="center" vertical="center"/>
    </xf>
    <xf numFmtId="2" fontId="2" fillId="7" borderId="0" xfId="50" applyNumberFormat="1" applyFont="1" applyBorder="1" applyAlignment="1">
      <alignment horizontal="center" vertical="center"/>
    </xf>
    <xf numFmtId="169" fontId="2" fillId="7" borderId="0" xfId="50" applyNumberFormat="1" applyFont="1" applyBorder="1" applyAlignment="1">
      <alignment horizontal="center" vertical="center"/>
    </xf>
    <xf numFmtId="167" fontId="2" fillId="7" borderId="0" xfId="50" applyNumberFormat="1" applyFont="1" applyBorder="1" applyAlignment="1">
      <alignment horizontal="center" vertical="center"/>
    </xf>
    <xf numFmtId="0" fontId="17" fillId="16" borderId="10" xfId="38" applyFont="1" applyAlignment="1">
      <alignment vertical="center"/>
    </xf>
    <xf numFmtId="167" fontId="18" fillId="16" borderId="10" xfId="48" applyNumberFormat="1" applyFont="1" applyFill="1" applyBorder="1" applyAlignment="1">
      <alignment vertical="center"/>
    </xf>
    <xf numFmtId="0" fontId="17" fillId="0" borderId="0" xfId="35" applyFont="1" applyBorder="1" applyAlignment="1">
      <alignment vertical="center"/>
    </xf>
    <xf numFmtId="176" fontId="18" fillId="0" borderId="0" xfId="35" applyNumberFormat="1" applyFont="1" applyFill="1" applyBorder="1" applyAlignment="1">
      <alignment horizontal="right" vertical="center"/>
    </xf>
    <xf numFmtId="178" fontId="15" fillId="6" borderId="7" xfId="44" applyNumberFormat="1" applyFont="1" applyFill="1" applyBorder="1" applyAlignment="1">
      <alignment vertical="center"/>
    </xf>
    <xf numFmtId="170" fontId="17" fillId="16" borderId="10" xfId="38" applyNumberFormat="1" applyFont="1" applyAlignment="1">
      <alignment vertical="center"/>
    </xf>
    <xf numFmtId="0" fontId="18" fillId="0" borderId="0" xfId="35" applyFont="1" applyBorder="1" applyAlignment="1">
      <alignment horizontal="right" vertical="center"/>
    </xf>
    <xf numFmtId="0" fontId="15" fillId="6" borderId="8" xfId="51" applyFont="1" applyBorder="1" applyAlignment="1">
      <alignment horizontal="right" vertical="center"/>
    </xf>
    <xf numFmtId="0" fontId="15" fillId="6" borderId="9" xfId="51" applyFont="1" applyBorder="1" applyAlignment="1">
      <alignment vertical="center"/>
    </xf>
    <xf numFmtId="0" fontId="18" fillId="0" borderId="0" xfId="0" applyFont="1" applyAlignment="1">
      <alignment vertical="center"/>
    </xf>
    <xf numFmtId="0" fontId="17" fillId="0" borderId="0" xfId="35" applyFont="1" applyBorder="1" applyAlignment="1">
      <alignment horizontal="right" vertical="center"/>
    </xf>
    <xf numFmtId="0" fontId="15" fillId="9" borderId="0" xfId="52" applyFont="1" applyBorder="1" applyAlignment="1">
      <alignment vertical="center"/>
    </xf>
    <xf numFmtId="8" fontId="15" fillId="9" borderId="0" xfId="52" applyNumberFormat="1" applyFont="1" applyBorder="1" applyAlignment="1">
      <alignment horizontal="right" vertical="center"/>
    </xf>
    <xf numFmtId="0" fontId="15" fillId="7" borderId="6" xfId="50" applyFont="1" applyBorder="1" applyAlignment="1">
      <alignment horizontal="right" vertical="center"/>
    </xf>
    <xf numFmtId="0" fontId="15" fillId="7" borderId="7" xfId="50" applyFont="1" applyBorder="1" applyAlignment="1">
      <alignment horizontal="right" vertical="center"/>
    </xf>
    <xf numFmtId="169" fontId="18" fillId="0" borderId="0" xfId="0" applyNumberFormat="1" applyFont="1" applyAlignment="1">
      <alignment vertical="center"/>
    </xf>
    <xf numFmtId="0" fontId="13" fillId="13" borderId="0" xfId="49" applyFont="1" applyBorder="1" applyAlignment="1">
      <alignment vertical="center"/>
    </xf>
    <xf numFmtId="170" fontId="15" fillId="7" borderId="7" xfId="50" applyNumberFormat="1" applyFont="1" applyBorder="1" applyAlignment="1">
      <alignment horizontal="right" vertical="center"/>
    </xf>
    <xf numFmtId="0" fontId="26" fillId="0" borderId="0" xfId="53" applyFont="1" applyAlignment="1">
      <alignment vertical="center"/>
    </xf>
    <xf numFmtId="168" fontId="13" fillId="13" borderId="0" xfId="44" applyNumberFormat="1" applyFont="1" applyFill="1" applyBorder="1" applyAlignment="1">
      <alignment horizontal="center" vertical="center"/>
    </xf>
    <xf numFmtId="0" fontId="13" fillId="10" borderId="0" xfId="12" applyFont="1" applyBorder="1" applyAlignment="1">
      <alignment vertical="center"/>
    </xf>
    <xf numFmtId="0" fontId="15" fillId="7" borderId="8" xfId="50" applyFont="1" applyBorder="1" applyAlignment="1">
      <alignment horizontal="right" vertical="center"/>
    </xf>
    <xf numFmtId="169" fontId="15" fillId="7" borderId="9" xfId="50" applyNumberFormat="1" applyFont="1" applyBorder="1" applyAlignment="1">
      <alignment horizontal="right" vertical="center"/>
    </xf>
    <xf numFmtId="7" fontId="13" fillId="13" borderId="0" xfId="49" applyNumberFormat="1" applyFont="1" applyBorder="1" applyAlignment="1">
      <alignment horizontal="center" vertical="center"/>
    </xf>
    <xf numFmtId="0" fontId="17" fillId="0" borderId="0" xfId="35" applyFont="1" applyAlignment="1">
      <alignment vertical="center"/>
    </xf>
    <xf numFmtId="168" fontId="18" fillId="0" borderId="0" xfId="53" applyNumberFormat="1" applyFont="1" applyAlignment="1">
      <alignment vertical="center"/>
    </xf>
    <xf numFmtId="10" fontId="13" fillId="19" borderId="6" xfId="44" applyNumberFormat="1" applyFont="1" applyFill="1" applyBorder="1" applyAlignment="1">
      <alignment horizontal="right" vertical="center"/>
    </xf>
    <xf numFmtId="168" fontId="13" fillId="19" borderId="7" xfId="44" applyNumberFormat="1" applyFont="1" applyFill="1" applyBorder="1" applyAlignment="1">
      <alignment horizontal="right" vertical="center"/>
    </xf>
    <xf numFmtId="0" fontId="13" fillId="19" borderId="6" xfId="53" applyFont="1" applyFill="1" applyBorder="1" applyAlignment="1">
      <alignment horizontal="right" vertical="center"/>
    </xf>
    <xf numFmtId="179" fontId="13" fillId="19" borderId="7" xfId="53" applyNumberFormat="1" applyFont="1" applyFill="1" applyBorder="1" applyAlignment="1">
      <alignment horizontal="right" vertical="center"/>
    </xf>
    <xf numFmtId="167" fontId="13" fillId="19" borderId="7" xfId="53" applyNumberFormat="1" applyFont="1" applyFill="1" applyBorder="1" applyAlignment="1">
      <alignment horizontal="right" vertical="center"/>
    </xf>
    <xf numFmtId="180" fontId="13" fillId="19" borderId="7" xfId="53" applyNumberFormat="1" applyFont="1" applyFill="1" applyBorder="1" applyAlignment="1">
      <alignment horizontal="right" vertical="center"/>
    </xf>
    <xf numFmtId="0" fontId="13" fillId="19" borderId="8" xfId="53" applyFont="1" applyFill="1" applyBorder="1" applyAlignment="1">
      <alignment horizontal="right" vertical="center"/>
    </xf>
    <xf numFmtId="180" fontId="13" fillId="19" borderId="9" xfId="44" applyNumberFormat="1" applyFont="1" applyFill="1" applyBorder="1" applyAlignment="1">
      <alignment horizontal="right" vertical="center"/>
    </xf>
    <xf numFmtId="172" fontId="18" fillId="0" borderId="0" xfId="53" applyNumberFormat="1" applyFont="1" applyAlignment="1">
      <alignment vertical="center"/>
    </xf>
    <xf numFmtId="181" fontId="13" fillId="19" borderId="7" xfId="53" applyNumberFormat="1" applyFont="1" applyFill="1" applyBorder="1" applyAlignment="1">
      <alignment horizontal="right" vertical="center"/>
    </xf>
    <xf numFmtId="0" fontId="5" fillId="3" borderId="2" xfId="0" applyFont="1" applyFill="1" applyBorder="1" applyAlignment="1">
      <alignment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5" fillId="21" borderId="11" xfId="34" applyFont="1" applyFill="1" applyBorder="1" applyAlignment="1">
      <alignment horizontal="left" vertical="center"/>
    </xf>
    <xf numFmtId="168" fontId="4" fillId="21" borderId="12" xfId="45" applyNumberFormat="1" applyFont="1" applyFill="1" applyBorder="1" applyAlignment="1">
      <alignment horizontal="center" vertical="center"/>
    </xf>
    <xf numFmtId="182" fontId="4" fillId="21" borderId="12" xfId="34" applyNumberFormat="1" applyFont="1" applyFill="1" applyBorder="1" applyAlignment="1">
      <alignment vertical="center"/>
    </xf>
    <xf numFmtId="0" fontId="4" fillId="21" borderId="12" xfId="34" applyFont="1" applyFill="1" applyBorder="1" applyAlignment="1">
      <alignment vertical="center"/>
    </xf>
    <xf numFmtId="168" fontId="4" fillId="21" borderId="11" xfId="45" applyNumberFormat="1" applyFont="1" applyFill="1" applyBorder="1" applyAlignment="1">
      <alignment horizontal="center" vertical="center"/>
    </xf>
    <xf numFmtId="0" fontId="36" fillId="0" borderId="0" xfId="188" applyFont="1" applyAlignment="1">
      <alignment vertical="center"/>
    </xf>
    <xf numFmtId="0" fontId="36" fillId="0" borderId="0" xfId="0" applyFont="1" applyAlignment="1">
      <alignment vertical="center"/>
    </xf>
    <xf numFmtId="4" fontId="36" fillId="16" borderId="10" xfId="189" applyNumberFormat="1" applyFont="1" applyAlignment="1">
      <alignment vertical="center"/>
    </xf>
    <xf numFmtId="176" fontId="36" fillId="16" borderId="10" xfId="189" applyNumberFormat="1" applyFont="1" applyAlignment="1">
      <alignment vertical="center"/>
    </xf>
    <xf numFmtId="10" fontId="36" fillId="16" borderId="10" xfId="189" applyNumberFormat="1" applyFont="1" applyAlignment="1">
      <alignment vertical="center"/>
    </xf>
    <xf numFmtId="170" fontId="36" fillId="16" borderId="10" xfId="189" applyNumberFormat="1" applyFont="1" applyAlignment="1">
      <alignment vertical="center"/>
    </xf>
    <xf numFmtId="0" fontId="36" fillId="16" borderId="10" xfId="189" applyFont="1" applyAlignment="1">
      <alignment vertical="center"/>
    </xf>
    <xf numFmtId="176" fontId="36" fillId="0" borderId="0" xfId="188" applyNumberFormat="1" applyFont="1" applyAlignment="1">
      <alignment vertical="center"/>
    </xf>
    <xf numFmtId="170" fontId="36" fillId="0" borderId="0" xfId="188" applyNumberFormat="1" applyFont="1" applyAlignment="1">
      <alignment vertical="center"/>
    </xf>
    <xf numFmtId="0" fontId="36" fillId="0" borderId="0" xfId="53" applyFont="1" applyAlignment="1">
      <alignment vertical="center"/>
    </xf>
    <xf numFmtId="0" fontId="36" fillId="0" borderId="0" xfId="188" applyFont="1" applyAlignment="1">
      <alignment horizontal="left" vertical="center" indent="1"/>
    </xf>
    <xf numFmtId="0" fontId="39" fillId="20" borderId="0" xfId="0" applyFont="1" applyFill="1"/>
    <xf numFmtId="0" fontId="39" fillId="20" borderId="0" xfId="0" applyFont="1" applyFill="1" applyAlignment="1">
      <alignment horizontal="center"/>
    </xf>
    <xf numFmtId="167" fontId="36" fillId="0" borderId="0" xfId="188" applyNumberFormat="1" applyFont="1" applyAlignment="1">
      <alignment vertical="center"/>
    </xf>
    <xf numFmtId="168" fontId="36" fillId="0" borderId="0" xfId="190" applyNumberFormat="1" applyFont="1" applyAlignment="1">
      <alignment vertical="center"/>
    </xf>
    <xf numFmtId="10" fontId="36" fillId="0" borderId="0" xfId="190" applyNumberFormat="1" applyFont="1" applyAlignment="1">
      <alignment vertical="center"/>
    </xf>
    <xf numFmtId="0" fontId="11" fillId="13" borderId="0" xfId="49" applyFont="1" applyAlignment="1">
      <alignment vertical="center"/>
    </xf>
    <xf numFmtId="175" fontId="11" fillId="13" borderId="0" xfId="49" applyNumberFormat="1" applyFont="1" applyAlignment="1">
      <alignment vertical="center"/>
    </xf>
    <xf numFmtId="0" fontId="41" fillId="0" borderId="0" xfId="188" applyFont="1" applyAlignment="1">
      <alignment horizontal="center"/>
    </xf>
    <xf numFmtId="0" fontId="20" fillId="0" borderId="0" xfId="188" applyFont="1" applyBorder="1" applyAlignment="1">
      <alignment horizontal="center" vertical="center"/>
    </xf>
    <xf numFmtId="0" fontId="20" fillId="0" borderId="0" xfId="188" applyFont="1" applyBorder="1" applyAlignment="1">
      <alignment horizontal="center"/>
    </xf>
    <xf numFmtId="0" fontId="22" fillId="13" borderId="0" xfId="193" applyFont="1" applyBorder="1" applyAlignment="1">
      <alignment horizontal="center" vertical="center"/>
    </xf>
    <xf numFmtId="0" fontId="16" fillId="4" borderId="0" xfId="192" applyFont="1" applyBorder="1" applyAlignment="1">
      <alignment horizontal="center" vertical="center"/>
    </xf>
    <xf numFmtId="0" fontId="19" fillId="3" borderId="0" xfId="188" applyFont="1" applyFill="1" applyBorder="1" applyAlignment="1">
      <alignment horizontal="center" vertical="center"/>
    </xf>
    <xf numFmtId="0" fontId="19" fillId="10" borderId="0" xfId="13" applyFont="1" applyBorder="1" applyAlignment="1">
      <alignment horizontal="center" vertical="center"/>
    </xf>
    <xf numFmtId="0" fontId="19" fillId="17" borderId="16" xfId="188" applyFont="1" applyFill="1" applyBorder="1" applyAlignment="1">
      <alignment horizontal="center" vertical="center"/>
    </xf>
    <xf numFmtId="0" fontId="19" fillId="17" borderId="17" xfId="188" applyFont="1" applyFill="1" applyBorder="1" applyAlignment="1">
      <alignment horizontal="center" vertical="center"/>
    </xf>
    <xf numFmtId="0" fontId="19" fillId="22" borderId="16" xfId="193" applyFont="1" applyFill="1" applyBorder="1" applyAlignment="1">
      <alignment horizontal="center" vertical="center"/>
    </xf>
    <xf numFmtId="0" fontId="19" fillId="22" borderId="17" xfId="193" applyFont="1" applyFill="1" applyBorder="1" applyAlignment="1">
      <alignment horizontal="center" vertical="center"/>
    </xf>
    <xf numFmtId="0" fontId="42" fillId="0" borderId="0" xfId="0" applyFont="1"/>
    <xf numFmtId="0" fontId="43" fillId="0" borderId="0" xfId="0" applyFont="1"/>
    <xf numFmtId="0" fontId="1" fillId="7" borderId="0" xfId="194" applyFont="1" applyBorder="1" applyAlignment="1">
      <alignment horizontal="center" vertical="center"/>
    </xf>
    <xf numFmtId="10" fontId="1" fillId="4" borderId="0" xfId="192" applyNumberFormat="1" applyFont="1" applyBorder="1" applyAlignment="1">
      <alignment horizontal="center" vertical="center"/>
    </xf>
    <xf numFmtId="183" fontId="1" fillId="4" borderId="0" xfId="192" applyNumberFormat="1" applyFont="1" applyBorder="1" applyAlignment="1">
      <alignment horizontal="center" vertical="center"/>
    </xf>
    <xf numFmtId="6" fontId="44" fillId="16" borderId="0" xfId="195" applyNumberFormat="1" applyFont="1" applyBorder="1" applyAlignment="1">
      <alignment horizontal="right" vertical="center"/>
    </xf>
    <xf numFmtId="10" fontId="20" fillId="3" borderId="0" xfId="190" applyNumberFormat="1" applyFont="1" applyFill="1" applyBorder="1" applyAlignment="1">
      <alignment horizontal="center" vertical="center"/>
    </xf>
    <xf numFmtId="167" fontId="20" fillId="10" borderId="0" xfId="13" applyNumberFormat="1" applyFont="1" applyBorder="1" applyAlignment="1">
      <alignment horizontal="center" vertical="center" wrapText="1"/>
    </xf>
    <xf numFmtId="167" fontId="1" fillId="17" borderId="16" xfId="192" applyNumberFormat="1" applyFont="1" applyFill="1" applyBorder="1" applyAlignment="1">
      <alignment horizontal="center" vertical="center"/>
    </xf>
    <xf numFmtId="167" fontId="1" fillId="17" borderId="17" xfId="192" applyNumberFormat="1" applyFont="1" applyFill="1" applyBorder="1" applyAlignment="1">
      <alignment horizontal="center" vertical="center"/>
    </xf>
    <xf numFmtId="167" fontId="20" fillId="22" borderId="16" xfId="193" applyNumberFormat="1" applyFont="1" applyFill="1" applyBorder="1" applyAlignment="1">
      <alignment horizontal="center" vertical="center"/>
    </xf>
    <xf numFmtId="167" fontId="20" fillId="22" borderId="17" xfId="193" applyNumberFormat="1" applyFont="1" applyFill="1" applyBorder="1" applyAlignment="1">
      <alignment horizontal="center" vertical="center"/>
    </xf>
    <xf numFmtId="0" fontId="45" fillId="0" borderId="0" xfId="0" applyFont="1"/>
    <xf numFmtId="177" fontId="1" fillId="4" borderId="0" xfId="192" applyNumberFormat="1" applyFont="1" applyBorder="1" applyAlignment="1">
      <alignment horizontal="center" vertical="center"/>
    </xf>
    <xf numFmtId="177" fontId="20" fillId="3" borderId="0" xfId="188" applyNumberFormat="1" applyFont="1" applyFill="1" applyBorder="1" applyAlignment="1">
      <alignment horizontal="center" vertical="center"/>
    </xf>
    <xf numFmtId="2" fontId="1" fillId="17" borderId="14" xfId="192" applyNumberFormat="1" applyFont="1" applyFill="1" applyBorder="1" applyAlignment="1">
      <alignment horizontal="center" vertical="center"/>
    </xf>
    <xf numFmtId="167" fontId="1" fillId="17" borderId="15" xfId="192" applyNumberFormat="1" applyFont="1" applyFill="1" applyBorder="1" applyAlignment="1">
      <alignment horizontal="center" vertical="center"/>
    </xf>
    <xf numFmtId="2" fontId="20" fillId="22" borderId="14" xfId="193" applyNumberFormat="1" applyFont="1" applyFill="1" applyBorder="1" applyAlignment="1">
      <alignment horizontal="center" vertical="center"/>
    </xf>
    <xf numFmtId="167" fontId="20" fillId="22" borderId="15" xfId="193" applyNumberFormat="1" applyFont="1" applyFill="1" applyBorder="1" applyAlignment="1">
      <alignment horizontal="center" vertical="center"/>
    </xf>
    <xf numFmtId="0" fontId="47" fillId="0" borderId="0" xfId="188" applyFont="1" applyAlignment="1">
      <alignment horizontal="center"/>
    </xf>
    <xf numFmtId="173" fontId="1" fillId="17" borderId="15" xfId="192" applyNumberFormat="1" applyFont="1" applyFill="1" applyBorder="1" applyAlignment="1">
      <alignment horizontal="center" vertical="center"/>
    </xf>
    <xf numFmtId="173" fontId="20" fillId="22" borderId="15" xfId="193" applyNumberFormat="1" applyFont="1" applyFill="1" applyBorder="1" applyAlignment="1">
      <alignment horizontal="center" vertical="center"/>
    </xf>
    <xf numFmtId="0" fontId="47" fillId="0" borderId="0" xfId="188" applyFont="1" applyAlignment="1">
      <alignment horizontal="left"/>
    </xf>
    <xf numFmtId="0" fontId="5" fillId="0" borderId="0" xfId="0" applyFont="1" applyAlignment="1">
      <alignment vertical="center"/>
    </xf>
    <xf numFmtId="184" fontId="36" fillId="16" borderId="10" xfId="189" applyNumberFormat="1" applyFont="1" applyAlignment="1">
      <alignment vertical="center"/>
    </xf>
    <xf numFmtId="185" fontId="36" fillId="16" borderId="10" xfId="189" applyNumberFormat="1" applyFont="1" applyAlignment="1">
      <alignment vertical="center"/>
    </xf>
    <xf numFmtId="186" fontId="36" fillId="0" borderId="0" xfId="190" applyNumberFormat="1" applyFont="1" applyAlignment="1">
      <alignment vertical="center"/>
    </xf>
    <xf numFmtId="0" fontId="13" fillId="19" borderId="3" xfId="53" applyFont="1" applyFill="1" applyBorder="1" applyAlignment="1">
      <alignment horizontal="right" vertical="center"/>
    </xf>
    <xf numFmtId="0" fontId="13" fillId="19" borderId="4" xfId="53" applyFont="1" applyFill="1" applyBorder="1" applyAlignment="1">
      <alignment horizontal="right" vertical="center"/>
    </xf>
    <xf numFmtId="0" fontId="29" fillId="0" borderId="0" xfId="35" applyFont="1" applyBorder="1" applyAlignment="1">
      <alignment horizontal="center" vertical="center"/>
    </xf>
    <xf numFmtId="0" fontId="30" fillId="0" borderId="0" xfId="35" applyFont="1" applyBorder="1" applyAlignment="1">
      <alignment horizontal="center" vertical="center"/>
    </xf>
    <xf numFmtId="0" fontId="15" fillId="7" borderId="6" xfId="50" applyFont="1" applyBorder="1" applyAlignment="1">
      <alignment horizontal="center" vertical="center"/>
    </xf>
    <xf numFmtId="0" fontId="15" fillId="7" borderId="7" xfId="50" applyFont="1" applyBorder="1" applyAlignment="1">
      <alignment horizontal="center" vertical="center"/>
    </xf>
    <xf numFmtId="8" fontId="13" fillId="13" borderId="0" xfId="49" applyNumberFormat="1" applyFont="1" applyBorder="1" applyAlignment="1">
      <alignment horizontal="center" vertical="center"/>
    </xf>
    <xf numFmtId="8" fontId="13" fillId="10" borderId="0" xfId="12" applyNumberFormat="1" applyFont="1" applyBorder="1" applyAlignment="1">
      <alignment horizontal="center" vertical="center"/>
    </xf>
    <xf numFmtId="0" fontId="34" fillId="13" borderId="0" xfId="49" applyFont="1" applyAlignment="1">
      <alignment horizontal="center" vertical="center"/>
    </xf>
    <xf numFmtId="0" fontId="22" fillId="13" borderId="13" xfId="49" applyFont="1" applyBorder="1" applyAlignment="1">
      <alignment horizontal="left" vertical="center"/>
    </xf>
    <xf numFmtId="0" fontId="40" fillId="13" borderId="0" xfId="191" applyFont="1" applyAlignment="1">
      <alignment horizontal="left" vertical="center"/>
    </xf>
    <xf numFmtId="0" fontId="16" fillId="17" borderId="14" xfId="192" applyFont="1" applyFill="1" applyBorder="1" applyAlignment="1">
      <alignment horizontal="center" vertical="center"/>
    </xf>
    <xf numFmtId="0" fontId="16" fillId="17" borderId="15" xfId="192" applyFont="1" applyFill="1" applyBorder="1" applyAlignment="1">
      <alignment horizontal="center" vertical="center"/>
    </xf>
    <xf numFmtId="0" fontId="19" fillId="22" borderId="14" xfId="193" applyFont="1" applyFill="1" applyBorder="1" applyAlignment="1">
      <alignment horizontal="center" vertical="center"/>
    </xf>
    <xf numFmtId="0" fontId="19" fillId="22" borderId="15" xfId="193" applyFont="1" applyFill="1" applyBorder="1" applyAlignment="1">
      <alignment horizontal="center" vertical="center"/>
    </xf>
    <xf numFmtId="0" fontId="22" fillId="13" borderId="0" xfId="193" applyFont="1" applyBorder="1" applyAlignment="1">
      <alignment horizontal="center" vertical="center"/>
    </xf>
  </cellXfs>
  <cellStyles count="196">
    <cellStyle name="20% - Énfasis1 2" xfId="1" xr:uid="{00000000-0005-0000-0000-000000000000}"/>
    <cellStyle name="20% - Énfasis1 2 2" xfId="192" xr:uid="{00000000-0005-0000-0000-000001000000}"/>
    <cellStyle name="20% - Énfasis1 3" xfId="2" xr:uid="{00000000-0005-0000-0000-000002000000}"/>
    <cellStyle name="20% - Énfasis1 4" xfId="3" xr:uid="{00000000-0005-0000-0000-000003000000}"/>
    <cellStyle name="20% - Énfasis3 2" xfId="4" xr:uid="{00000000-0005-0000-0000-000004000000}"/>
    <cellStyle name="20% - Énfasis5" xfId="51" builtinId="46"/>
    <cellStyle name="20% - Énfasis5 2" xfId="5" xr:uid="{00000000-0005-0000-0000-000006000000}"/>
    <cellStyle name="40% - Énfasis1" xfId="50" builtinId="31"/>
    <cellStyle name="40% - Énfasis1 2" xfId="6" xr:uid="{00000000-0005-0000-0000-000008000000}"/>
    <cellStyle name="40% - Énfasis1 2 2" xfId="194" xr:uid="{00000000-0005-0000-0000-000009000000}"/>
    <cellStyle name="40% - Énfasis1 3" xfId="7" xr:uid="{00000000-0005-0000-0000-00000A000000}"/>
    <cellStyle name="40% - Énfasis1 4" xfId="8" xr:uid="{00000000-0005-0000-0000-00000B000000}"/>
    <cellStyle name="40% - Énfasis1 5" xfId="9" xr:uid="{00000000-0005-0000-0000-00000C000000}"/>
    <cellStyle name="40% - Énfasis4 2" xfId="10" xr:uid="{00000000-0005-0000-0000-00000D000000}"/>
    <cellStyle name="40% - Énfasis5" xfId="52" builtinId="47"/>
    <cellStyle name="40% - Énfasis5 2" xfId="11" xr:uid="{00000000-0005-0000-0000-00000F000000}"/>
    <cellStyle name="60% - Énfasis1" xfId="12" builtinId="32"/>
    <cellStyle name="60% - Énfasis1 2" xfId="13" xr:uid="{00000000-0005-0000-0000-000011000000}"/>
    <cellStyle name="60% - Énfasis1 3" xfId="14" xr:uid="{00000000-0005-0000-0000-000012000000}"/>
    <cellStyle name="60% - Énfasis2 2" xfId="15" xr:uid="{00000000-0005-0000-0000-000013000000}"/>
    <cellStyle name="60% - Énfasis2 3" xfId="16" xr:uid="{00000000-0005-0000-0000-000014000000}"/>
    <cellStyle name="60% - Énfasis5 2" xfId="17" xr:uid="{00000000-0005-0000-0000-000015000000}"/>
    <cellStyle name="Énfasis1" xfId="49" builtinId="29"/>
    <cellStyle name="Énfasis1 2" xfId="18" xr:uid="{00000000-0005-0000-0000-000017000000}"/>
    <cellStyle name="Énfasis1 2 2" xfId="19" xr:uid="{00000000-0005-0000-0000-000018000000}"/>
    <cellStyle name="Énfasis1 2 2 2" xfId="193" xr:uid="{00000000-0005-0000-0000-000019000000}"/>
    <cellStyle name="Énfasis1 2 3" xfId="20" xr:uid="{00000000-0005-0000-0000-00001A000000}"/>
    <cellStyle name="Énfasis1 3" xfId="21" xr:uid="{00000000-0005-0000-0000-00001B000000}"/>
    <cellStyle name="Énfasis1 3 2" xfId="22" xr:uid="{00000000-0005-0000-0000-00001C000000}"/>
    <cellStyle name="Énfasis1 3 3" xfId="191" xr:uid="{00000000-0005-0000-0000-00001D000000}"/>
    <cellStyle name="Énfasis1 4" xfId="23" xr:uid="{00000000-0005-0000-0000-00001E000000}"/>
    <cellStyle name="Énfasis2 2" xfId="24" xr:uid="{00000000-0005-0000-0000-00001F000000}"/>
    <cellStyle name="Estilo 1" xfId="25" xr:uid="{00000000-0005-0000-0000-000020000000}"/>
    <cellStyle name="Euro" xfId="26" xr:uid="{00000000-0005-0000-0000-000021000000}"/>
    <cellStyle name="Excel_BuiltIn_20% - Énfasis5" xfId="27" xr:uid="{00000000-0005-0000-0000-000022000000}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Millares" xfId="48" builtinId="3"/>
    <cellStyle name="Millares 2" xfId="28" xr:uid="{00000000-0005-0000-0000-0000AA000000}"/>
    <cellStyle name="Millares 3" xfId="29" xr:uid="{00000000-0005-0000-0000-0000AB000000}"/>
    <cellStyle name="Millares 4" xfId="30" xr:uid="{00000000-0005-0000-0000-0000AC000000}"/>
    <cellStyle name="Millares 5" xfId="31" xr:uid="{00000000-0005-0000-0000-0000AD000000}"/>
    <cellStyle name="Moneda 2" xfId="32" xr:uid="{00000000-0005-0000-0000-0000AE000000}"/>
    <cellStyle name="Normal" xfId="0" builtinId="0"/>
    <cellStyle name="Normal 2" xfId="33" xr:uid="{00000000-0005-0000-0000-0000B0000000}"/>
    <cellStyle name="Normal 2 2" xfId="34" xr:uid="{00000000-0005-0000-0000-0000B1000000}"/>
    <cellStyle name="Normal 2 2 2" xfId="188" xr:uid="{00000000-0005-0000-0000-0000B2000000}"/>
    <cellStyle name="Normal 3" xfId="35" xr:uid="{00000000-0005-0000-0000-0000B3000000}"/>
    <cellStyle name="Normal 4" xfId="36" xr:uid="{00000000-0005-0000-0000-0000B4000000}"/>
    <cellStyle name="Normal 5" xfId="37" xr:uid="{00000000-0005-0000-0000-0000B5000000}"/>
    <cellStyle name="Normal_BARBELL" xfId="53" xr:uid="{00000000-0005-0000-0000-0000B6000000}"/>
    <cellStyle name="Nota 2" xfId="39" xr:uid="{00000000-0005-0000-0000-0000B7000000}"/>
    <cellStyle name="Nota 2 2" xfId="195" xr:uid="{00000000-0005-0000-0000-0000B8000000}"/>
    <cellStyle name="Nota 3" xfId="40" xr:uid="{00000000-0005-0000-0000-0000B9000000}"/>
    <cellStyle name="Nota 4" xfId="41" xr:uid="{00000000-0005-0000-0000-0000BA000000}"/>
    <cellStyle name="Nota 4 2" xfId="42" xr:uid="{00000000-0005-0000-0000-0000BB000000}"/>
    <cellStyle name="Nota 5" xfId="43" xr:uid="{00000000-0005-0000-0000-0000BC000000}"/>
    <cellStyle name="Notas" xfId="38" builtinId="10"/>
    <cellStyle name="Notas 2" xfId="189" xr:uid="{00000000-0005-0000-0000-0000BE000000}"/>
    <cellStyle name="Porcentaje" xfId="44" builtinId="5"/>
    <cellStyle name="Porcentual 2" xfId="45" xr:uid="{00000000-0005-0000-0000-0000C0000000}"/>
    <cellStyle name="Porcentual 2 2" xfId="190" xr:uid="{00000000-0005-0000-0000-0000C1000000}"/>
    <cellStyle name="Porcentual 3" xfId="46" xr:uid="{00000000-0005-0000-0000-0000C2000000}"/>
    <cellStyle name="Porcentual 3 2" xfId="47" xr:uid="{00000000-0005-0000-0000-0000C3000000}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Lines="71" dropStyle="combo" dx="26" fmlaLink="$B$1" fmlaRange="'Datos Bonos'!$B$2:$B$95" sel="13" val="12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1244600</xdr:colOff>
          <xdr:row>0</xdr:row>
          <xdr:rowOff>25400</xdr:rowOff>
        </xdr:from>
        <xdr:to>
          <xdr:col>1</xdr:col>
          <xdr:colOff>952500</xdr:colOff>
          <xdr:row>0</xdr:row>
          <xdr:rowOff>254000</xdr:rowOff>
        </xdr:to>
        <xdr:sp macro="" textlink="">
          <xdr:nvSpPr>
            <xdr:cNvPr id="9217" name="Drop Down 5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0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14400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Documents%20and%20Settings/1/Mis%20documentos/trabajo/Clases/IOF/Master%20Auditor&#237;a/Practica%20Formulario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F/IBME-AyTP-Trading%20Tipo%20inter&#233;s-Jun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egamarra/Documents/Instituto/MFIA/2)%20Bonos/IBME-Mfia-Bonos-27Abr201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MFIA/2)%20Bonos/IBME-Mfia-Bonos-11May1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ntas"/>
      <sheetName val="Bonos"/>
      <sheetName val="Datos Bonos"/>
      <sheetName val="B&amp;S"/>
      <sheetName val="Aleat"/>
    </sheetNames>
    <sheetDataSet>
      <sheetData sheetId="0">
        <row r="4">
          <cell r="A4">
            <v>3</v>
          </cell>
        </row>
        <row r="5">
          <cell r="B5">
            <v>100</v>
          </cell>
          <cell r="E5">
            <v>0.05</v>
          </cell>
        </row>
        <row r="6">
          <cell r="B6">
            <v>4</v>
          </cell>
        </row>
        <row r="7">
          <cell r="B7">
            <v>100</v>
          </cell>
        </row>
        <row r="13">
          <cell r="A13">
            <v>37065</v>
          </cell>
          <cell r="C13">
            <v>-100</v>
          </cell>
        </row>
        <row r="14">
          <cell r="A14">
            <v>37430</v>
          </cell>
          <cell r="C14">
            <v>4</v>
          </cell>
        </row>
        <row r="15">
          <cell r="A15">
            <v>37795</v>
          </cell>
          <cell r="C15">
            <v>4</v>
          </cell>
        </row>
        <row r="16">
          <cell r="A16">
            <v>38161</v>
          </cell>
          <cell r="C16">
            <v>4</v>
          </cell>
        </row>
        <row r="17">
          <cell r="A17">
            <v>38526</v>
          </cell>
          <cell r="C17">
            <v>4</v>
          </cell>
        </row>
        <row r="18">
          <cell r="A18">
            <v>38891</v>
          </cell>
          <cell r="C18">
            <v>4</v>
          </cell>
        </row>
        <row r="19">
          <cell r="A19">
            <v>39256</v>
          </cell>
          <cell r="C19">
            <v>4</v>
          </cell>
        </row>
        <row r="20">
          <cell r="A20">
            <v>39622</v>
          </cell>
          <cell r="C20">
            <v>4</v>
          </cell>
        </row>
        <row r="21">
          <cell r="A21">
            <v>39987</v>
          </cell>
          <cell r="C21">
            <v>4</v>
          </cell>
        </row>
        <row r="22">
          <cell r="A22">
            <v>40352</v>
          </cell>
          <cell r="C22">
            <v>4</v>
          </cell>
        </row>
        <row r="23">
          <cell r="A23">
            <v>40717</v>
          </cell>
          <cell r="C23">
            <v>4</v>
          </cell>
        </row>
        <row r="24">
          <cell r="A24">
            <v>41083</v>
          </cell>
          <cell r="C24">
            <v>4</v>
          </cell>
        </row>
        <row r="25">
          <cell r="A25">
            <v>41448</v>
          </cell>
          <cell r="C25">
            <v>4</v>
          </cell>
        </row>
        <row r="26">
          <cell r="A26">
            <v>41813</v>
          </cell>
          <cell r="C26">
            <v>4</v>
          </cell>
        </row>
        <row r="27">
          <cell r="A27">
            <v>42178</v>
          </cell>
          <cell r="C27">
            <v>4</v>
          </cell>
        </row>
        <row r="28">
          <cell r="A28">
            <v>42544</v>
          </cell>
          <cell r="C28">
            <v>4</v>
          </cell>
        </row>
        <row r="29">
          <cell r="A29">
            <v>42909</v>
          </cell>
          <cell r="C29">
            <v>4</v>
          </cell>
        </row>
        <row r="30">
          <cell r="A30">
            <v>43274</v>
          </cell>
          <cell r="C30">
            <v>4</v>
          </cell>
        </row>
        <row r="31">
          <cell r="A31">
            <v>43639</v>
          </cell>
          <cell r="C31">
            <v>4</v>
          </cell>
        </row>
        <row r="32">
          <cell r="A32">
            <v>44005</v>
          </cell>
          <cell r="C32">
            <v>4</v>
          </cell>
        </row>
        <row r="33">
          <cell r="A33">
            <v>44370</v>
          </cell>
          <cell r="C33">
            <v>104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dora"/>
      <sheetName val="Precios Fwd"/>
      <sheetName val="Equivalentes"/>
      <sheetName val="Gestión Duración"/>
      <sheetName val="Curva"/>
      <sheetName val="Valor relativo"/>
      <sheetName val="Cost of carry"/>
      <sheetName val="CTD antes vencimiento"/>
      <sheetName val="Téorico Fut Con C"/>
      <sheetName val="Téorico Fut Sin C"/>
    </sheetNames>
    <sheetDataSet>
      <sheetData sheetId="0">
        <row r="2">
          <cell r="O2">
            <v>1</v>
          </cell>
          <cell r="P2" t="str">
            <v>SPGB 5,00 30 JUL 2012</v>
          </cell>
          <cell r="Q2">
            <v>0.05</v>
          </cell>
          <cell r="R2">
            <v>41120</v>
          </cell>
          <cell r="S2">
            <v>100.42100000000001</v>
          </cell>
        </row>
        <row r="3">
          <cell r="O3">
            <v>2</v>
          </cell>
          <cell r="P3" t="str">
            <v>SPGB 3,90 31 OCT 2012</v>
          </cell>
          <cell r="Q3">
            <v>3.9E-2</v>
          </cell>
          <cell r="R3">
            <v>41213</v>
          </cell>
          <cell r="S3">
            <v>100.502</v>
          </cell>
        </row>
        <row r="4">
          <cell r="O4">
            <v>3</v>
          </cell>
          <cell r="P4" t="str">
            <v>SPGB 6,15 31 JAN 2013</v>
          </cell>
          <cell r="Q4">
            <v>6.1499999999999999E-2</v>
          </cell>
          <cell r="R4">
            <v>41305</v>
          </cell>
          <cell r="S4">
            <v>101.601</v>
          </cell>
        </row>
        <row r="5">
          <cell r="O5">
            <v>4</v>
          </cell>
          <cell r="P5" t="str">
            <v>SPGB 2,30 30 APR 2013</v>
          </cell>
          <cell r="Q5">
            <v>2.3E-2</v>
          </cell>
          <cell r="R5">
            <v>41394</v>
          </cell>
          <cell r="S5">
            <v>98.397000000000006</v>
          </cell>
        </row>
        <row r="6">
          <cell r="O6">
            <v>5</v>
          </cell>
          <cell r="P6" t="str">
            <v>SPGB 4,20 30 JUL 2013</v>
          </cell>
          <cell r="Q6">
            <v>4.200000000000001E-2</v>
          </cell>
          <cell r="R6">
            <v>41485</v>
          </cell>
          <cell r="S6">
            <v>99.662999999999997</v>
          </cell>
        </row>
        <row r="7">
          <cell r="O7">
            <v>6</v>
          </cell>
          <cell r="P7" t="str">
            <v>SPGB 2,50 31 OCT 2013</v>
          </cell>
          <cell r="Q7">
            <v>2.5000000000000001E-2</v>
          </cell>
          <cell r="R7">
            <v>41578</v>
          </cell>
          <cell r="S7">
            <v>97.194999999999993</v>
          </cell>
        </row>
        <row r="8">
          <cell r="O8">
            <v>7</v>
          </cell>
          <cell r="P8" t="str">
            <v>SPGB 4,25 31 JAN 2014</v>
          </cell>
          <cell r="Q8">
            <v>4.2500000000000003E-2</v>
          </cell>
          <cell r="R8">
            <v>41670</v>
          </cell>
          <cell r="S8">
            <v>99.052999999999997</v>
          </cell>
        </row>
        <row r="9">
          <cell r="O9">
            <v>8</v>
          </cell>
          <cell r="P9" t="str">
            <v>SPGB 3,40 30 APR 2014</v>
          </cell>
          <cell r="Q9">
            <v>3.3999999999999996E-2</v>
          </cell>
          <cell r="R9">
            <v>41759</v>
          </cell>
          <cell r="S9">
            <v>97.263000000000005</v>
          </cell>
        </row>
        <row r="10">
          <cell r="O10">
            <v>9</v>
          </cell>
          <cell r="P10" t="str">
            <v>SPGB 4,75 30 JUL 2014</v>
          </cell>
          <cell r="Q10">
            <v>4.7500000000000001E-2</v>
          </cell>
          <cell r="R10">
            <v>41850</v>
          </cell>
          <cell r="S10">
            <v>99.293000000000006</v>
          </cell>
        </row>
        <row r="11">
          <cell r="O11">
            <v>10</v>
          </cell>
          <cell r="P11" t="str">
            <v>SPGB 3,30 31 OCT 2014</v>
          </cell>
          <cell r="Q11">
            <v>3.3000000000000002E-2</v>
          </cell>
          <cell r="R11">
            <v>41943</v>
          </cell>
          <cell r="S11">
            <v>95.900999999999996</v>
          </cell>
        </row>
        <row r="12">
          <cell r="O12">
            <v>11</v>
          </cell>
          <cell r="P12" t="str">
            <v>SPGB 4,40 31 JAN 2015</v>
          </cell>
          <cell r="Q12">
            <v>4.4000000000000004E-2</v>
          </cell>
          <cell r="R12" t="e">
            <v>#REF!</v>
          </cell>
          <cell r="S12">
            <v>97.891999999999996</v>
          </cell>
        </row>
        <row r="13">
          <cell r="O13">
            <v>14</v>
          </cell>
          <cell r="P13" t="str">
            <v>SPGB 3,00 30 APR 2015</v>
          </cell>
          <cell r="Q13">
            <v>0.03</v>
          </cell>
          <cell r="R13" t="e">
            <v>#REF!</v>
          </cell>
          <cell r="S13">
            <v>93.611000000000004</v>
          </cell>
        </row>
        <row r="14">
          <cell r="O14">
            <v>12</v>
          </cell>
          <cell r="P14" t="str">
            <v>SPGB 4,00 30 JUL 2015</v>
          </cell>
          <cell r="Q14">
            <v>0.04</v>
          </cell>
          <cell r="R14" t="e">
            <v>#REF!</v>
          </cell>
          <cell r="S14">
            <v>95.515000000000001</v>
          </cell>
        </row>
        <row r="15">
          <cell r="O15">
            <v>13</v>
          </cell>
          <cell r="P15" t="str">
            <v>SPGB 3,15 31 JAN 2016</v>
          </cell>
          <cell r="Q15">
            <v>3.15E-2</v>
          </cell>
          <cell r="R15" t="e">
            <v>#REF!</v>
          </cell>
          <cell r="S15">
            <v>91.564999999999998</v>
          </cell>
        </row>
        <row r="16">
          <cell r="O16">
            <v>15</v>
          </cell>
          <cell r="P16" t="str">
            <v>SPGB 3,25 30 APR 2016</v>
          </cell>
          <cell r="Q16">
            <v>3.2500000000000001E-2</v>
          </cell>
          <cell r="R16" t="e">
            <v>#REF!</v>
          </cell>
          <cell r="S16">
            <v>91.263000000000005</v>
          </cell>
        </row>
        <row r="17">
          <cell r="O17">
            <v>16</v>
          </cell>
          <cell r="P17" t="str">
            <v>SPGB 4,25 31 OCT 2016</v>
          </cell>
          <cell r="Q17">
            <v>4.2500000000000003E-2</v>
          </cell>
          <cell r="R17">
            <v>42674</v>
          </cell>
          <cell r="S17">
            <v>93.278999999999996</v>
          </cell>
        </row>
        <row r="18">
          <cell r="O18">
            <v>17</v>
          </cell>
          <cell r="P18" t="str">
            <v>SPGB 3,80 31 JAN 2017</v>
          </cell>
          <cell r="Q18">
            <v>3.7999999999999999E-2</v>
          </cell>
          <cell r="R18">
            <v>42766</v>
          </cell>
          <cell r="S18">
            <v>90.971000000000004</v>
          </cell>
        </row>
        <row r="19">
          <cell r="O19">
            <v>18</v>
          </cell>
          <cell r="P19" t="str">
            <v>SPGB 5,50 30 JUL 2017</v>
          </cell>
          <cell r="Q19">
            <v>5.4999999999999993E-2</v>
          </cell>
          <cell r="R19">
            <v>42946</v>
          </cell>
          <cell r="S19">
            <v>97.063999999999993</v>
          </cell>
        </row>
        <row r="20">
          <cell r="O20">
            <v>19</v>
          </cell>
          <cell r="P20" t="str">
            <v>SPGB 4,10 30 JUL 2018</v>
          </cell>
          <cell r="Q20">
            <v>4.0999999999999995E-2</v>
          </cell>
          <cell r="R20">
            <v>43311</v>
          </cell>
          <cell r="S20">
            <v>88.971999999999994</v>
          </cell>
        </row>
        <row r="21">
          <cell r="O21">
            <v>20</v>
          </cell>
          <cell r="P21" t="str">
            <v>SPGB 4,60 30 JUL 2019</v>
          </cell>
          <cell r="Q21">
            <v>4.5999999999999999E-2</v>
          </cell>
          <cell r="R21">
            <v>43676</v>
          </cell>
          <cell r="S21">
            <v>89.89</v>
          </cell>
        </row>
        <row r="22">
          <cell r="O22">
            <v>21</v>
          </cell>
          <cell r="P22" t="str">
            <v>SPGB 4,30 31 OCT 2019</v>
          </cell>
          <cell r="Q22">
            <v>4.2999999999999997E-2</v>
          </cell>
          <cell r="R22">
            <v>43769</v>
          </cell>
          <cell r="S22">
            <v>87.736999999999995</v>
          </cell>
        </row>
        <row r="23">
          <cell r="O23">
            <v>22</v>
          </cell>
          <cell r="P23" t="str">
            <v>SPGB 4,00 30 APR 2020</v>
          </cell>
          <cell r="Q23">
            <v>0.04</v>
          </cell>
          <cell r="R23">
            <v>43951</v>
          </cell>
          <cell r="S23">
            <v>85.132999999999996</v>
          </cell>
        </row>
        <row r="24">
          <cell r="O24">
            <v>23</v>
          </cell>
          <cell r="P24" t="str">
            <v>SPGB 4,85 31 OCT 2020</v>
          </cell>
          <cell r="Q24">
            <v>4.8499999999999995E-2</v>
          </cell>
          <cell r="R24">
            <v>44135</v>
          </cell>
          <cell r="S24">
            <v>89.073999999999998</v>
          </cell>
        </row>
        <row r="25">
          <cell r="O25">
            <v>24</v>
          </cell>
          <cell r="P25" t="str">
            <v>SPGB 5,50 30 APR 2021</v>
          </cell>
          <cell r="Q25">
            <v>5.4999999999999993E-2</v>
          </cell>
          <cell r="R25">
            <v>44316</v>
          </cell>
          <cell r="S25">
            <v>92.492999999999995</v>
          </cell>
        </row>
        <row r="26">
          <cell r="O26">
            <v>25</v>
          </cell>
          <cell r="P26" t="str">
            <v>SPGB 5,85 31 JAN 2022</v>
          </cell>
          <cell r="Q26">
            <v>5.8499999999999996E-2</v>
          </cell>
          <cell r="R26">
            <v>44592</v>
          </cell>
          <cell r="S26">
            <v>93.781000000000006</v>
          </cell>
        </row>
        <row r="27">
          <cell r="O27">
            <v>26</v>
          </cell>
          <cell r="P27" t="str">
            <v>SPGB 4,80 31 JAN 2024</v>
          </cell>
          <cell r="Q27">
            <v>4.7999999999999994E-2</v>
          </cell>
          <cell r="R27">
            <v>45322</v>
          </cell>
          <cell r="S27">
            <v>83.677000000000007</v>
          </cell>
        </row>
        <row r="28">
          <cell r="O28">
            <v>27</v>
          </cell>
          <cell r="P28" t="str">
            <v>SPGB 4,65 30 JUL 2025</v>
          </cell>
          <cell r="Q28">
            <v>4.6500000000000007E-2</v>
          </cell>
          <cell r="R28">
            <v>45868</v>
          </cell>
          <cell r="S28">
            <v>80.558999999999997</v>
          </cell>
        </row>
        <row r="29">
          <cell r="O29">
            <v>28</v>
          </cell>
          <cell r="P29" t="str">
            <v>SPGB 5,90 30 JUL 2026</v>
          </cell>
          <cell r="Q29">
            <v>5.9000000000000011E-2</v>
          </cell>
          <cell r="R29">
            <v>46233</v>
          </cell>
          <cell r="S29">
            <v>90.209000000000003</v>
          </cell>
        </row>
        <row r="30">
          <cell r="O30">
            <v>29</v>
          </cell>
          <cell r="P30" t="str">
            <v>SPGB 6,00 31 JAN 2029</v>
          </cell>
          <cell r="Q30">
            <v>0.06</v>
          </cell>
          <cell r="R30">
            <v>47149</v>
          </cell>
          <cell r="S30">
            <v>90.221000000000004</v>
          </cell>
        </row>
        <row r="31">
          <cell r="O31">
            <v>30</v>
          </cell>
          <cell r="P31" t="str">
            <v>SPGB 5,75 30 JUL 2032</v>
          </cell>
          <cell r="Q31">
            <v>5.7499999999999996E-2</v>
          </cell>
          <cell r="R31">
            <v>48425</v>
          </cell>
          <cell r="S31">
            <v>86.656000000000006</v>
          </cell>
        </row>
        <row r="32">
          <cell r="O32">
            <v>31</v>
          </cell>
          <cell r="P32" t="str">
            <v>SPGB 4,20 31 JAN 2037</v>
          </cell>
          <cell r="Q32">
            <v>4.200000000000001E-2</v>
          </cell>
          <cell r="R32">
            <v>50071</v>
          </cell>
          <cell r="S32">
            <v>68.126000000000005</v>
          </cell>
        </row>
        <row r="33">
          <cell r="O33">
            <v>32</v>
          </cell>
          <cell r="P33" t="str">
            <v>SPGB 4,90 30 JUL 2040</v>
          </cell>
          <cell r="Q33">
            <v>4.9000000000000009E-2</v>
          </cell>
          <cell r="R33">
            <v>51347</v>
          </cell>
          <cell r="S33">
            <v>74.741</v>
          </cell>
        </row>
        <row r="34">
          <cell r="O34">
            <v>33</v>
          </cell>
          <cell r="P34" t="str">
            <v>SPGB 4,70 30 JUL 2041</v>
          </cell>
          <cell r="Q34">
            <v>4.7E-2</v>
          </cell>
          <cell r="R34">
            <v>51712</v>
          </cell>
          <cell r="S34">
            <v>72.622</v>
          </cell>
        </row>
        <row r="35">
          <cell r="O35">
            <v>34</v>
          </cell>
          <cell r="P35" t="str">
            <v>DBR 0,75% Sep 2013</v>
          </cell>
          <cell r="Q35">
            <v>7.4999999999999997E-3</v>
          </cell>
          <cell r="R35">
            <v>41530</v>
          </cell>
          <cell r="S35">
            <v>100.85299999999999</v>
          </cell>
        </row>
        <row r="36">
          <cell r="O36">
            <v>35</v>
          </cell>
          <cell r="P36" t="str">
            <v>DBR 4% Jul 2016</v>
          </cell>
          <cell r="Q36">
            <v>0.04</v>
          </cell>
          <cell r="R36">
            <v>42555</v>
          </cell>
          <cell r="S36">
            <v>114.59399999999999</v>
          </cell>
        </row>
        <row r="37">
          <cell r="O37">
            <v>36</v>
          </cell>
          <cell r="P37" t="str">
            <v>DBR 3% Jul2020</v>
          </cell>
          <cell r="Q37">
            <v>0.03</v>
          </cell>
          <cell r="R37">
            <v>44016</v>
          </cell>
          <cell r="S37">
            <v>114.422</v>
          </cell>
        </row>
        <row r="38">
          <cell r="O38">
            <v>37</v>
          </cell>
          <cell r="P38" t="str">
            <v>DBR 4% Ene 2037</v>
          </cell>
          <cell r="Q38">
            <v>0.04</v>
          </cell>
          <cell r="R38">
            <v>50044</v>
          </cell>
          <cell r="S38">
            <v>136.1</v>
          </cell>
        </row>
        <row r="39">
          <cell r="O39">
            <v>38</v>
          </cell>
          <cell r="P39" t="str">
            <v>DBR 2,50% 01.04.21</v>
          </cell>
          <cell r="Q39">
            <v>2.5000000000000001E-2</v>
          </cell>
          <cell r="R39">
            <v>44200</v>
          </cell>
          <cell r="S39">
            <v>110.55200000000001</v>
          </cell>
        </row>
        <row r="40">
          <cell r="O40">
            <v>39</v>
          </cell>
          <cell r="P40" t="str">
            <v>DBR 2,00% 04.01.2022</v>
          </cell>
          <cell r="Q40">
            <v>0.02</v>
          </cell>
          <cell r="R40">
            <v>44565</v>
          </cell>
          <cell r="S40">
            <v>105.84</v>
          </cell>
        </row>
        <row r="41">
          <cell r="O41">
            <v>40</v>
          </cell>
          <cell r="P41" t="str">
            <v>DBR 0,00% 13.06.2014</v>
          </cell>
          <cell r="Q41">
            <v>0</v>
          </cell>
          <cell r="R41">
            <v>41803</v>
          </cell>
          <cell r="S41">
            <v>99.834999999999994</v>
          </cell>
        </row>
        <row r="42">
          <cell r="O42">
            <v>41</v>
          </cell>
          <cell r="P42" t="str">
            <v>US 0,25% 31.05.2014</v>
          </cell>
          <cell r="Q42">
            <v>2.5000000000000001E-3</v>
          </cell>
          <cell r="R42">
            <v>41790</v>
          </cell>
          <cell r="S42">
            <v>99.96875</v>
          </cell>
        </row>
        <row r="43">
          <cell r="O43">
            <v>42</v>
          </cell>
          <cell r="P43" t="str">
            <v>US 0,625% 31.05.2017</v>
          </cell>
          <cell r="Q43">
            <v>6.2500000000000003E-3</v>
          </cell>
          <cell r="R43">
            <v>42886</v>
          </cell>
          <cell r="S43">
            <v>99.5625</v>
          </cell>
        </row>
        <row r="44">
          <cell r="O44">
            <v>43</v>
          </cell>
          <cell r="P44" t="str">
            <v>US 1,75% 15.05.2022</v>
          </cell>
          <cell r="Q44">
            <v>1.7500000000000002E-2</v>
          </cell>
          <cell r="R44">
            <v>44696</v>
          </cell>
          <cell r="S44">
            <v>101.09375</v>
          </cell>
        </row>
        <row r="45">
          <cell r="O45">
            <v>44</v>
          </cell>
          <cell r="P45" t="str">
            <v>US 3,00% 15.05.2042</v>
          </cell>
          <cell r="Q45">
            <v>0.03</v>
          </cell>
          <cell r="R45">
            <v>52001</v>
          </cell>
          <cell r="S45">
            <v>105.265625</v>
          </cell>
        </row>
        <row r="46">
          <cell r="O46">
            <v>45</v>
          </cell>
          <cell r="P46" t="str">
            <v>US 2,75% 15.02.2019</v>
          </cell>
          <cell r="Q46">
            <v>2.75E-2</v>
          </cell>
          <cell r="R46">
            <v>43511</v>
          </cell>
          <cell r="S46">
            <v>111.25</v>
          </cell>
        </row>
        <row r="47">
          <cell r="O47">
            <v>46</v>
          </cell>
        </row>
        <row r="48">
          <cell r="O48">
            <v>47</v>
          </cell>
        </row>
        <row r="49">
          <cell r="O49">
            <v>48</v>
          </cell>
        </row>
        <row r="50">
          <cell r="O50">
            <v>49</v>
          </cell>
        </row>
        <row r="51">
          <cell r="O51">
            <v>50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dora"/>
      <sheetName val="Datos Bonos"/>
      <sheetName val="Cot-Px"/>
      <sheetName val="Forward"/>
      <sheetName val="CC"/>
      <sheetName val="cost of carry"/>
      <sheetName val="Precio bono"/>
      <sheetName val="Duración"/>
      <sheetName val="Duración por flujos"/>
      <sheetName val="Gestión Duración"/>
      <sheetName val="SPGB"/>
    </sheetNames>
    <sheetDataSet>
      <sheetData sheetId="0"/>
      <sheetData sheetId="1"/>
      <sheetData sheetId="2">
        <row r="4">
          <cell r="C4">
            <v>4.2000000000000003E-2</v>
          </cell>
          <cell r="H4">
            <v>41305</v>
          </cell>
        </row>
        <row r="5">
          <cell r="H5">
            <v>41670</v>
          </cell>
        </row>
        <row r="6">
          <cell r="H6">
            <v>42035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ios Fwd"/>
      <sheetName val="Calculadora"/>
      <sheetName val="CC"/>
      <sheetName val="Datos Bonos"/>
      <sheetName val="Cálculo Duración"/>
      <sheetName val="Cot-Px"/>
      <sheetName val="Gestión duración"/>
      <sheetName val="IBME-Mfia-Bonos-11May13.xls"/>
      <sheetName val="IBME-Mfia-Bonos-11May13"/>
    </sheetNames>
    <definedNames>
      <definedName name="interp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61"/>
  <sheetViews>
    <sheetView showGridLines="0" zoomScale="140" zoomScaleNormal="85" zoomScalePageLayoutView="115" workbookViewId="0">
      <pane ySplit="9" topLeftCell="A10" activePane="bottomLeft" state="frozen"/>
      <selection activeCell="K75" sqref="K75"/>
      <selection pane="bottomLeft" activeCell="O26" sqref="O26"/>
    </sheetView>
  </sheetViews>
  <sheetFormatPr baseColWidth="10" defaultColWidth="11.5" defaultRowHeight="16" x14ac:dyDescent="0.15"/>
  <cols>
    <col min="1" max="1" width="31.1640625" style="8" bestFit="1" customWidth="1"/>
    <col min="2" max="2" width="14.6640625" style="8" customWidth="1"/>
    <col min="3" max="3" width="11.6640625" style="8" bestFit="1" customWidth="1"/>
    <col min="4" max="4" width="11.1640625" style="21" bestFit="1" customWidth="1"/>
    <col min="5" max="5" width="11" style="21" bestFit="1" customWidth="1"/>
    <col min="6" max="6" width="13.6640625" style="21" bestFit="1" customWidth="1"/>
    <col min="7" max="7" width="11.1640625" style="21" bestFit="1" customWidth="1"/>
    <col min="8" max="8" width="9.5" style="21" bestFit="1" customWidth="1"/>
    <col min="9" max="9" width="15.5" style="21" bestFit="1" customWidth="1"/>
    <col min="10" max="10" width="8.5" style="21" bestFit="1" customWidth="1"/>
    <col min="11" max="11" width="14.5" style="21" bestFit="1" customWidth="1"/>
    <col min="12" max="12" width="11.5" style="21" bestFit="1" customWidth="1"/>
    <col min="13" max="13" width="19" style="21" bestFit="1" customWidth="1"/>
    <col min="14" max="14" width="11.5" style="8"/>
    <col min="15" max="15" width="47.6640625" style="8" bestFit="1" customWidth="1"/>
    <col min="16" max="16" width="17.5" style="8" bestFit="1" customWidth="1"/>
    <col min="17" max="17" width="11.5" style="8"/>
    <col min="18" max="18" width="17.33203125" style="54" bestFit="1" customWidth="1"/>
    <col min="19" max="19" width="16.6640625" style="54" bestFit="1" customWidth="1"/>
    <col min="20" max="16384" width="11.5" style="8"/>
  </cols>
  <sheetData>
    <row r="1" spans="1:19" ht="24" x14ac:dyDescent="0.15">
      <c r="A1" s="2" t="s">
        <v>15</v>
      </c>
      <c r="B1" s="3">
        <v>13</v>
      </c>
      <c r="C1" s="4"/>
      <c r="D1" s="5"/>
      <c r="E1" s="5"/>
      <c r="F1" s="5"/>
      <c r="G1" s="5"/>
      <c r="H1" s="5"/>
      <c r="I1" s="5"/>
      <c r="J1" s="5"/>
      <c r="K1" s="5"/>
      <c r="L1" s="6" t="s">
        <v>1</v>
      </c>
      <c r="M1" s="7" t="s">
        <v>16</v>
      </c>
      <c r="O1" s="133" t="s">
        <v>17</v>
      </c>
      <c r="P1" s="133"/>
      <c r="R1" s="134" t="s">
        <v>18</v>
      </c>
      <c r="S1" s="134"/>
    </row>
    <row r="2" spans="1:19" ht="23" customHeight="1" x14ac:dyDescent="0.15">
      <c r="A2" s="9" t="s">
        <v>0</v>
      </c>
      <c r="B2" s="10">
        <f>VLOOKUP(B1,basebonos,3)*100</f>
        <v>0</v>
      </c>
      <c r="C2" s="4"/>
      <c r="D2" s="5"/>
      <c r="E2" s="5"/>
      <c r="F2" s="5"/>
      <c r="G2" s="7" t="s">
        <v>19</v>
      </c>
      <c r="H2" s="7" t="s">
        <v>20</v>
      </c>
      <c r="I2" s="7" t="s">
        <v>2</v>
      </c>
      <c r="J2" s="7" t="s">
        <v>21</v>
      </c>
      <c r="K2" s="7" t="s">
        <v>22</v>
      </c>
      <c r="L2" s="11"/>
      <c r="M2" s="12" t="s">
        <v>23</v>
      </c>
      <c r="O2" s="13" t="s">
        <v>5</v>
      </c>
      <c r="P2" s="14">
        <v>47238</v>
      </c>
      <c r="R2" s="13" t="s">
        <v>5</v>
      </c>
      <c r="S2" s="14">
        <f>+P2</f>
        <v>47238</v>
      </c>
    </row>
    <row r="3" spans="1:19" ht="19" x14ac:dyDescent="0.15">
      <c r="A3" s="9" t="s">
        <v>24</v>
      </c>
      <c r="B3" s="15">
        <f>VLOOKUP(B1,basebonos,4)</f>
        <v>0</v>
      </c>
      <c r="C3" s="4"/>
      <c r="D3" s="7" t="s">
        <v>25</v>
      </c>
      <c r="E3" s="7" t="s">
        <v>26</v>
      </c>
      <c r="F3" s="7" t="s">
        <v>27</v>
      </c>
      <c r="G3" s="12" t="s">
        <v>28</v>
      </c>
      <c r="H3" s="12" t="s">
        <v>29</v>
      </c>
      <c r="I3" s="12" t="s">
        <v>30</v>
      </c>
      <c r="J3" s="12" t="s">
        <v>31</v>
      </c>
      <c r="K3" s="12" t="s">
        <v>32</v>
      </c>
      <c r="L3" s="12" t="s">
        <v>33</v>
      </c>
      <c r="M3" s="7" t="s">
        <v>34</v>
      </c>
      <c r="O3" s="13" t="s">
        <v>0</v>
      </c>
      <c r="P3" s="16">
        <v>1.4500000000000001E-2</v>
      </c>
      <c r="R3" s="13" t="s">
        <v>35</v>
      </c>
      <c r="S3" s="17">
        <f>+P3</f>
        <v>1.4500000000000001E-2</v>
      </c>
    </row>
    <row r="4" spans="1:19" x14ac:dyDescent="0.15">
      <c r="A4" s="9" t="s">
        <v>36</v>
      </c>
      <c r="B4" s="18">
        <f ca="1">TODAY()</f>
        <v>44348</v>
      </c>
      <c r="C4" s="4"/>
      <c r="D4" s="19">
        <f ca="1">+B6</f>
        <v>44350</v>
      </c>
      <c r="E4" s="20" t="e">
        <f ca="1">-B7</f>
        <v>#NUM!</v>
      </c>
      <c r="F4" s="20">
        <f>-B5</f>
        <v>0</v>
      </c>
      <c r="G4" s="20" t="e">
        <f t="shared" ref="G4:G54" ca="1" si="0">+E4+F4</f>
        <v>#NUM!</v>
      </c>
      <c r="O4" s="22" t="s">
        <v>36</v>
      </c>
      <c r="P4" s="23">
        <f ca="1">TODAY()</f>
        <v>44348</v>
      </c>
      <c r="R4" s="13" t="s">
        <v>4</v>
      </c>
      <c r="S4" s="24">
        <v>1000000</v>
      </c>
    </row>
    <row r="5" spans="1:19" x14ac:dyDescent="0.15">
      <c r="A5" s="9" t="s">
        <v>37</v>
      </c>
      <c r="B5" s="10">
        <f>VLOOKUP(B1,basebonos,5)</f>
        <v>0</v>
      </c>
      <c r="C5" s="4"/>
      <c r="D5" s="19" t="e">
        <f ca="1">+B16</f>
        <v>#NUM!</v>
      </c>
      <c r="E5" s="25" t="e">
        <f t="shared" ref="E5:E54" ca="1" si="1">+IF(D5&lt;=$B$3,$B$2,0)</f>
        <v>#NUM!</v>
      </c>
      <c r="F5" s="25" t="e">
        <f t="shared" ref="F5:F54" ca="1" si="2">+IF(D5=$B$3,100,0)</f>
        <v>#NUM!</v>
      </c>
      <c r="G5" s="25" t="e">
        <f t="shared" ca="1" si="0"/>
        <v>#NUM!</v>
      </c>
      <c r="H5" s="26" t="e">
        <f t="shared" ref="H5:H54" ca="1" si="3">+D5-$D$4</f>
        <v>#NUM!</v>
      </c>
      <c r="I5" s="27" t="e">
        <f ca="1">H5/(B14)</f>
        <v>#NUM!</v>
      </c>
      <c r="J5" s="28" t="e">
        <f ca="1">1/((1+$B$20)^I5)</f>
        <v>#NUM!</v>
      </c>
      <c r="K5" s="29" t="e">
        <f t="shared" ref="K5:K54" ca="1" si="4">+G5*J5</f>
        <v>#NUM!</v>
      </c>
      <c r="L5" s="27" t="e">
        <f t="shared" ref="L5:L54" ca="1" si="5">+I5*K5</f>
        <v>#NUM!</v>
      </c>
      <c r="M5" s="27" t="e">
        <f t="shared" ref="M5:M54" ca="1" si="6">+((G5*I5)*(1+I5))/((1+$B$20)^(I5+2))</f>
        <v>#NUM!</v>
      </c>
      <c r="O5" s="30" t="s">
        <v>37</v>
      </c>
      <c r="P5" s="31">
        <v>108.7315</v>
      </c>
      <c r="R5" s="32" t="s">
        <v>38</v>
      </c>
      <c r="S5" s="33">
        <f ca="1">+P6</f>
        <v>44350</v>
      </c>
    </row>
    <row r="6" spans="1:19" x14ac:dyDescent="0.15">
      <c r="A6" s="9" t="s">
        <v>39</v>
      </c>
      <c r="B6" s="15">
        <f ca="1">+WORKDAY(B4,2)</f>
        <v>44350</v>
      </c>
      <c r="C6" s="4"/>
      <c r="D6" s="19" t="e">
        <f ca="1">EDATE(D5,12)</f>
        <v>#NUM!</v>
      </c>
      <c r="E6" s="25" t="e">
        <f t="shared" ca="1" si="1"/>
        <v>#NUM!</v>
      </c>
      <c r="F6" s="25" t="e">
        <f t="shared" ca="1" si="2"/>
        <v>#NUM!</v>
      </c>
      <c r="G6" s="25" t="e">
        <f t="shared" ca="1" si="0"/>
        <v>#NUM!</v>
      </c>
      <c r="H6" s="26" t="e">
        <f t="shared" ca="1" si="3"/>
        <v>#NUM!</v>
      </c>
      <c r="I6" s="27" t="e">
        <f ca="1">H6/(D6-D5)</f>
        <v>#NUM!</v>
      </c>
      <c r="J6" s="28" t="e">
        <f t="shared" ref="J6:J54" ca="1" si="7">1/((1+$B$20)^I6)</f>
        <v>#NUM!</v>
      </c>
      <c r="K6" s="29" t="e">
        <f t="shared" ca="1" si="4"/>
        <v>#NUM!</v>
      </c>
      <c r="L6" s="27" t="e">
        <f t="shared" ca="1" si="5"/>
        <v>#NUM!</v>
      </c>
      <c r="M6" s="27" t="e">
        <f t="shared" ca="1" si="6"/>
        <v>#NUM!</v>
      </c>
      <c r="O6" s="22" t="s">
        <v>39</v>
      </c>
      <c r="P6" s="23">
        <f ca="1">WORKDAY(P4,2)</f>
        <v>44350</v>
      </c>
      <c r="R6" s="32" t="s">
        <v>12</v>
      </c>
      <c r="S6" s="33">
        <f ca="1">+P7</f>
        <v>44316</v>
      </c>
    </row>
    <row r="7" spans="1:19" x14ac:dyDescent="0.15">
      <c r="A7" s="9" t="s">
        <v>40</v>
      </c>
      <c r="B7" s="34" t="e">
        <f ca="1">+B17*B2</f>
        <v>#NUM!</v>
      </c>
      <c r="C7" s="4"/>
      <c r="D7" s="19" t="e">
        <f t="shared" ref="D7:D54" ca="1" si="8">EDATE(D6,12)</f>
        <v>#NUM!</v>
      </c>
      <c r="E7" s="25" t="e">
        <f t="shared" ca="1" si="1"/>
        <v>#NUM!</v>
      </c>
      <c r="F7" s="25" t="e">
        <f t="shared" ca="1" si="2"/>
        <v>#NUM!</v>
      </c>
      <c r="G7" s="25" t="e">
        <f t="shared" ca="1" si="0"/>
        <v>#NUM!</v>
      </c>
      <c r="H7" s="26" t="e">
        <f t="shared" ca="1" si="3"/>
        <v>#NUM!</v>
      </c>
      <c r="I7" s="27" t="e">
        <f t="shared" ref="I7:I54" ca="1" si="9">H7/(D7-D6)</f>
        <v>#NUM!</v>
      </c>
      <c r="J7" s="28" t="e">
        <f t="shared" ca="1" si="7"/>
        <v>#NUM!</v>
      </c>
      <c r="K7" s="29" t="e">
        <f t="shared" ca="1" si="4"/>
        <v>#NUM!</v>
      </c>
      <c r="L7" s="27" t="e">
        <f t="shared" ca="1" si="5"/>
        <v>#NUM!</v>
      </c>
      <c r="M7" s="27" t="e">
        <f t="shared" ca="1" si="6"/>
        <v>#NUM!</v>
      </c>
      <c r="O7" s="35" t="s">
        <v>41</v>
      </c>
      <c r="P7" s="14">
        <f ca="1">COUPPCD(P6,P2,1,1)</f>
        <v>44316</v>
      </c>
      <c r="R7" s="32" t="s">
        <v>13</v>
      </c>
      <c r="S7" s="33">
        <f ca="1">+P8</f>
        <v>44681</v>
      </c>
    </row>
    <row r="8" spans="1:19" x14ac:dyDescent="0.15">
      <c r="A8" s="9" t="s">
        <v>7</v>
      </c>
      <c r="B8" s="10" t="e">
        <f ca="1">+B5+B7</f>
        <v>#NUM!</v>
      </c>
      <c r="C8" s="4"/>
      <c r="D8" s="19" t="e">
        <f t="shared" ca="1" si="8"/>
        <v>#NUM!</v>
      </c>
      <c r="E8" s="25" t="e">
        <f t="shared" ca="1" si="1"/>
        <v>#NUM!</v>
      </c>
      <c r="F8" s="25" t="e">
        <f t="shared" ca="1" si="2"/>
        <v>#NUM!</v>
      </c>
      <c r="G8" s="25" t="e">
        <f t="shared" ca="1" si="0"/>
        <v>#NUM!</v>
      </c>
      <c r="H8" s="26" t="e">
        <f t="shared" ca="1" si="3"/>
        <v>#NUM!</v>
      </c>
      <c r="I8" s="27" t="e">
        <f t="shared" ca="1" si="9"/>
        <v>#NUM!</v>
      </c>
      <c r="J8" s="28" t="e">
        <f t="shared" ca="1" si="7"/>
        <v>#NUM!</v>
      </c>
      <c r="K8" s="29" t="e">
        <f t="shared" ca="1" si="4"/>
        <v>#NUM!</v>
      </c>
      <c r="L8" s="27" t="e">
        <f t="shared" ca="1" si="5"/>
        <v>#NUM!</v>
      </c>
      <c r="M8" s="27" t="e">
        <f t="shared" ca="1" si="6"/>
        <v>#NUM!</v>
      </c>
      <c r="O8" s="35" t="s">
        <v>42</v>
      </c>
      <c r="P8" s="14">
        <f ca="1">COUPNCD(P6,P2,1,1)</f>
        <v>44681</v>
      </c>
      <c r="R8" s="32" t="s">
        <v>9</v>
      </c>
      <c r="S8" s="36">
        <f ca="1">+S7-S6</f>
        <v>365</v>
      </c>
    </row>
    <row r="9" spans="1:19" x14ac:dyDescent="0.15">
      <c r="A9" s="37" t="s">
        <v>43</v>
      </c>
      <c r="B9" s="38">
        <v>1</v>
      </c>
      <c r="C9" s="4"/>
      <c r="D9" s="19" t="e">
        <f t="shared" ca="1" si="8"/>
        <v>#NUM!</v>
      </c>
      <c r="E9" s="25" t="e">
        <f t="shared" ca="1" si="1"/>
        <v>#NUM!</v>
      </c>
      <c r="F9" s="25" t="e">
        <f t="shared" ca="1" si="2"/>
        <v>#NUM!</v>
      </c>
      <c r="G9" s="25" t="e">
        <f t="shared" ca="1" si="0"/>
        <v>#NUM!</v>
      </c>
      <c r="H9" s="26" t="e">
        <f t="shared" ca="1" si="3"/>
        <v>#NUM!</v>
      </c>
      <c r="I9" s="27" t="e">
        <f t="shared" ca="1" si="9"/>
        <v>#NUM!</v>
      </c>
      <c r="J9" s="28" t="e">
        <f t="shared" ca="1" si="7"/>
        <v>#NUM!</v>
      </c>
      <c r="K9" s="29" t="e">
        <f t="shared" ca="1" si="4"/>
        <v>#NUM!</v>
      </c>
      <c r="L9" s="27" t="e">
        <f t="shared" ca="1" si="5"/>
        <v>#NUM!</v>
      </c>
      <c r="M9" s="27" t="e">
        <f t="shared" ca="1" si="6"/>
        <v>#NUM!</v>
      </c>
      <c r="O9" s="22"/>
      <c r="P9" s="39"/>
      <c r="R9" s="13" t="s">
        <v>44</v>
      </c>
      <c r="S9" s="17">
        <v>0.05</v>
      </c>
    </row>
    <row r="10" spans="1:19" x14ac:dyDescent="0.15">
      <c r="A10" s="4"/>
      <c r="B10" s="4"/>
      <c r="C10" s="4"/>
      <c r="D10" s="19" t="e">
        <f t="shared" ca="1" si="8"/>
        <v>#NUM!</v>
      </c>
      <c r="E10" s="25" t="e">
        <f t="shared" ca="1" si="1"/>
        <v>#NUM!</v>
      </c>
      <c r="F10" s="25" t="e">
        <f t="shared" ca="1" si="2"/>
        <v>#NUM!</v>
      </c>
      <c r="G10" s="25" t="e">
        <f t="shared" ca="1" si="0"/>
        <v>#NUM!</v>
      </c>
      <c r="H10" s="26" t="e">
        <f t="shared" ca="1" si="3"/>
        <v>#NUM!</v>
      </c>
      <c r="I10" s="27" t="e">
        <f t="shared" ca="1" si="9"/>
        <v>#NUM!</v>
      </c>
      <c r="J10" s="28" t="e">
        <f t="shared" ca="1" si="7"/>
        <v>#NUM!</v>
      </c>
      <c r="K10" s="29" t="e">
        <f t="shared" ca="1" si="4"/>
        <v>#NUM!</v>
      </c>
      <c r="L10" s="27" t="e">
        <f t="shared" ca="1" si="5"/>
        <v>#NUM!</v>
      </c>
      <c r="M10" s="27" t="e">
        <f t="shared" ca="1" si="6"/>
        <v>#NUM!</v>
      </c>
      <c r="O10" s="22" t="s">
        <v>45</v>
      </c>
      <c r="P10" s="39">
        <f ca="1">P6-P7</f>
        <v>34</v>
      </c>
      <c r="R10" s="32"/>
      <c r="S10" s="40"/>
    </row>
    <row r="11" spans="1:19" x14ac:dyDescent="0.15">
      <c r="A11" s="135" t="s">
        <v>46</v>
      </c>
      <c r="B11" s="136"/>
      <c r="C11" s="4"/>
      <c r="D11" s="19" t="e">
        <f t="shared" ca="1" si="8"/>
        <v>#NUM!</v>
      </c>
      <c r="E11" s="25" t="e">
        <f t="shared" ca="1" si="1"/>
        <v>#NUM!</v>
      </c>
      <c r="F11" s="25" t="e">
        <f t="shared" ca="1" si="2"/>
        <v>#NUM!</v>
      </c>
      <c r="G11" s="25" t="e">
        <f t="shared" ca="1" si="0"/>
        <v>#NUM!</v>
      </c>
      <c r="H11" s="26" t="e">
        <f t="shared" ca="1" si="3"/>
        <v>#NUM!</v>
      </c>
      <c r="I11" s="27" t="e">
        <f t="shared" ca="1" si="9"/>
        <v>#NUM!</v>
      </c>
      <c r="J11" s="28" t="e">
        <f t="shared" ca="1" si="7"/>
        <v>#NUM!</v>
      </c>
      <c r="K11" s="29" t="e">
        <f t="shared" ca="1" si="4"/>
        <v>#NUM!</v>
      </c>
      <c r="L11" s="27" t="e">
        <f t="shared" ca="1" si="5"/>
        <v>#NUM!</v>
      </c>
      <c r="M11" s="27" t="e">
        <f t="shared" ca="1" si="6"/>
        <v>#NUM!</v>
      </c>
      <c r="O11" s="22" t="s">
        <v>47</v>
      </c>
      <c r="P11" s="39">
        <f ca="1">P8-P6</f>
        <v>331</v>
      </c>
      <c r="R11" s="41" t="s">
        <v>0</v>
      </c>
      <c r="S11" s="42">
        <f ca="1">+S3/S8*S4</f>
        <v>39.726027397260275</v>
      </c>
    </row>
    <row r="12" spans="1:19" x14ac:dyDescent="0.15">
      <c r="A12" s="43" t="s">
        <v>48</v>
      </c>
      <c r="B12" s="44" t="e">
        <f ca="1">+B6-B15</f>
        <v>#NUM!</v>
      </c>
      <c r="C12" s="4"/>
      <c r="D12" s="19" t="e">
        <f t="shared" ca="1" si="8"/>
        <v>#NUM!</v>
      </c>
      <c r="E12" s="25" t="e">
        <f t="shared" ca="1" si="1"/>
        <v>#NUM!</v>
      </c>
      <c r="F12" s="25" t="e">
        <f t="shared" ca="1" si="2"/>
        <v>#NUM!</v>
      </c>
      <c r="G12" s="25" t="e">
        <f t="shared" ca="1" si="0"/>
        <v>#NUM!</v>
      </c>
      <c r="H12" s="26" t="e">
        <f t="shared" ca="1" si="3"/>
        <v>#NUM!</v>
      </c>
      <c r="I12" s="27" t="e">
        <f t="shared" ca="1" si="9"/>
        <v>#NUM!</v>
      </c>
      <c r="J12" s="28" t="e">
        <f t="shared" ca="1" si="7"/>
        <v>#NUM!</v>
      </c>
      <c r="K12" s="29" t="e">
        <f t="shared" ca="1" si="4"/>
        <v>#NUM!</v>
      </c>
      <c r="L12" s="27" t="e">
        <f t="shared" ca="1" si="5"/>
        <v>#NUM!</v>
      </c>
      <c r="M12" s="27" t="e">
        <f t="shared" ca="1" si="6"/>
        <v>#NUM!</v>
      </c>
      <c r="O12" s="22" t="s">
        <v>49</v>
      </c>
      <c r="P12" s="39">
        <f ca="1">SUM(P10:P11)</f>
        <v>365</v>
      </c>
      <c r="R12" s="41" t="s">
        <v>50</v>
      </c>
      <c r="S12" s="42">
        <f>+S9/360*S4</f>
        <v>138.88888888888889</v>
      </c>
    </row>
    <row r="13" spans="1:19" x14ac:dyDescent="0.15">
      <c r="A13" s="43" t="s">
        <v>51</v>
      </c>
      <c r="B13" s="44" t="e">
        <f ca="1">+B16-B6</f>
        <v>#NUM!</v>
      </c>
      <c r="D13" s="19" t="e">
        <f t="shared" ca="1" si="8"/>
        <v>#NUM!</v>
      </c>
      <c r="E13" s="25" t="e">
        <f t="shared" ca="1" si="1"/>
        <v>#NUM!</v>
      </c>
      <c r="F13" s="25" t="e">
        <f t="shared" ca="1" si="2"/>
        <v>#NUM!</v>
      </c>
      <c r="G13" s="25" t="e">
        <f t="shared" ca="1" si="0"/>
        <v>#NUM!</v>
      </c>
      <c r="H13" s="26" t="e">
        <f t="shared" ca="1" si="3"/>
        <v>#NUM!</v>
      </c>
      <c r="I13" s="27" t="e">
        <f t="shared" ca="1" si="9"/>
        <v>#NUM!</v>
      </c>
      <c r="J13" s="28" t="e">
        <f t="shared" ca="1" si="7"/>
        <v>#NUM!</v>
      </c>
      <c r="K13" s="29" t="e">
        <f t="shared" ca="1" si="4"/>
        <v>#NUM!</v>
      </c>
      <c r="L13" s="27" t="e">
        <f t="shared" ca="1" si="5"/>
        <v>#NUM!</v>
      </c>
      <c r="M13" s="27" t="e">
        <f t="shared" ca="1" si="6"/>
        <v>#NUM!</v>
      </c>
      <c r="O13" s="22" t="s">
        <v>52</v>
      </c>
      <c r="P13" s="45">
        <f ca="1">P10/P12</f>
        <v>9.3150684931506855E-2</v>
      </c>
      <c r="R13" s="32"/>
      <c r="S13" s="32"/>
    </row>
    <row r="14" spans="1:19" x14ac:dyDescent="0.15">
      <c r="A14" s="43" t="s">
        <v>53</v>
      </c>
      <c r="B14" s="44" t="e">
        <f ca="1">+B12+B13</f>
        <v>#NUM!</v>
      </c>
      <c r="D14" s="19" t="e">
        <f t="shared" ca="1" si="8"/>
        <v>#NUM!</v>
      </c>
      <c r="E14" s="25" t="e">
        <f t="shared" ca="1" si="1"/>
        <v>#NUM!</v>
      </c>
      <c r="F14" s="25" t="e">
        <f t="shared" ca="1" si="2"/>
        <v>#NUM!</v>
      </c>
      <c r="G14" s="25" t="e">
        <f t="shared" ca="1" si="0"/>
        <v>#NUM!</v>
      </c>
      <c r="H14" s="26" t="e">
        <f t="shared" ca="1" si="3"/>
        <v>#NUM!</v>
      </c>
      <c r="I14" s="27" t="e">
        <f t="shared" ca="1" si="9"/>
        <v>#NUM!</v>
      </c>
      <c r="J14" s="28" t="e">
        <f t="shared" ca="1" si="7"/>
        <v>#NUM!</v>
      </c>
      <c r="K14" s="29" t="e">
        <f t="shared" ca="1" si="4"/>
        <v>#NUM!</v>
      </c>
      <c r="L14" s="27" t="e">
        <f t="shared" ca="1" si="5"/>
        <v>#NUM!</v>
      </c>
      <c r="M14" s="27" t="e">
        <f t="shared" ca="1" si="6"/>
        <v>#NUM!</v>
      </c>
      <c r="R14" s="46" t="s">
        <v>54</v>
      </c>
      <c r="S14" s="137">
        <f ca="1">+S11-S12</f>
        <v>-99.162861491628604</v>
      </c>
    </row>
    <row r="15" spans="1:19" x14ac:dyDescent="0.15">
      <c r="A15" s="43" t="s">
        <v>55</v>
      </c>
      <c r="B15" s="47" t="e">
        <f ca="1">COUPPCD(B6,B3,B9,1)</f>
        <v>#NUM!</v>
      </c>
      <c r="C15" s="48"/>
      <c r="D15" s="19" t="e">
        <f t="shared" ca="1" si="8"/>
        <v>#NUM!</v>
      </c>
      <c r="E15" s="25" t="e">
        <f t="shared" ca="1" si="1"/>
        <v>#NUM!</v>
      </c>
      <c r="F15" s="25" t="e">
        <f t="shared" ca="1" si="2"/>
        <v>#NUM!</v>
      </c>
      <c r="G15" s="25" t="e">
        <f t="shared" ca="1" si="0"/>
        <v>#NUM!</v>
      </c>
      <c r="H15" s="26" t="e">
        <f t="shared" ca="1" si="3"/>
        <v>#NUM!</v>
      </c>
      <c r="I15" s="27" t="e">
        <f t="shared" ca="1" si="9"/>
        <v>#NUM!</v>
      </c>
      <c r="J15" s="28" t="e">
        <f t="shared" ca="1" si="7"/>
        <v>#NUM!</v>
      </c>
      <c r="K15" s="29" t="e">
        <f t="shared" ca="1" si="4"/>
        <v>#NUM!</v>
      </c>
      <c r="L15" s="27" t="e">
        <f t="shared" ca="1" si="5"/>
        <v>#NUM!</v>
      </c>
      <c r="M15" s="27" t="e">
        <f t="shared" ca="1" si="6"/>
        <v>#NUM!</v>
      </c>
      <c r="O15" s="46" t="s">
        <v>14</v>
      </c>
      <c r="P15" s="49">
        <f ca="1">P3*P10/P12</f>
        <v>1.3506849315068495E-3</v>
      </c>
      <c r="R15" s="46" t="str">
        <f ca="1">IF(S14&gt;0%,"Carry Positivo","Carry Negativo")</f>
        <v>Carry Negativo</v>
      </c>
      <c r="S15" s="137"/>
    </row>
    <row r="16" spans="1:19" x14ac:dyDescent="0.15">
      <c r="A16" s="43" t="s">
        <v>56</v>
      </c>
      <c r="B16" s="47" t="e">
        <f ca="1">COUPNCD(B6,B3,B9,1)</f>
        <v>#NUM!</v>
      </c>
      <c r="C16" s="48"/>
      <c r="D16" s="19" t="e">
        <f t="shared" ca="1" si="8"/>
        <v>#NUM!</v>
      </c>
      <c r="E16" s="25" t="e">
        <f t="shared" ca="1" si="1"/>
        <v>#NUM!</v>
      </c>
      <c r="F16" s="25" t="e">
        <f t="shared" ca="1" si="2"/>
        <v>#NUM!</v>
      </c>
      <c r="G16" s="25" t="e">
        <f t="shared" ca="1" si="0"/>
        <v>#NUM!</v>
      </c>
      <c r="H16" s="26" t="e">
        <f t="shared" ca="1" si="3"/>
        <v>#NUM!</v>
      </c>
      <c r="I16" s="27" t="e">
        <f t="shared" ca="1" si="9"/>
        <v>#NUM!</v>
      </c>
      <c r="J16" s="28" t="e">
        <f t="shared" ca="1" si="7"/>
        <v>#NUM!</v>
      </c>
      <c r="K16" s="29" t="e">
        <f t="shared" ca="1" si="4"/>
        <v>#NUM!</v>
      </c>
      <c r="L16" s="27" t="e">
        <f t="shared" ca="1" si="5"/>
        <v>#NUM!</v>
      </c>
      <c r="M16" s="27" t="e">
        <f t="shared" ca="1" si="6"/>
        <v>#NUM!</v>
      </c>
      <c r="O16" s="46" t="s">
        <v>57</v>
      </c>
      <c r="P16" s="49">
        <f ca="1">+P5/100+P15</f>
        <v>1.0886656849315068</v>
      </c>
      <c r="R16" s="50" t="s">
        <v>58</v>
      </c>
      <c r="S16" s="138">
        <f ca="1">+S12-S11</f>
        <v>99.162861491628604</v>
      </c>
    </row>
    <row r="17" spans="1:19" x14ac:dyDescent="0.15">
      <c r="A17" s="51" t="s">
        <v>52</v>
      </c>
      <c r="B17" s="52" t="e">
        <f ca="1">+B12/365</f>
        <v>#NUM!</v>
      </c>
      <c r="C17" s="48"/>
      <c r="D17" s="19" t="e">
        <f t="shared" ca="1" si="8"/>
        <v>#NUM!</v>
      </c>
      <c r="E17" s="25" t="e">
        <f t="shared" ca="1" si="1"/>
        <v>#NUM!</v>
      </c>
      <c r="F17" s="25" t="e">
        <f t="shared" ca="1" si="2"/>
        <v>#NUM!</v>
      </c>
      <c r="G17" s="25" t="e">
        <f t="shared" ca="1" si="0"/>
        <v>#NUM!</v>
      </c>
      <c r="H17" s="26" t="e">
        <f t="shared" ca="1" si="3"/>
        <v>#NUM!</v>
      </c>
      <c r="I17" s="27" t="e">
        <f t="shared" ca="1" si="9"/>
        <v>#NUM!</v>
      </c>
      <c r="J17" s="28" t="e">
        <f t="shared" ca="1" si="7"/>
        <v>#NUM!</v>
      </c>
      <c r="K17" s="29" t="e">
        <f t="shared" ca="1" si="4"/>
        <v>#NUM!</v>
      </c>
      <c r="L17" s="27" t="e">
        <f t="shared" ca="1" si="5"/>
        <v>#NUM!</v>
      </c>
      <c r="M17" s="27" t="e">
        <f t="shared" ca="1" si="6"/>
        <v>#NUM!</v>
      </c>
      <c r="O17" s="46" t="s">
        <v>4</v>
      </c>
      <c r="P17" s="53">
        <v>1000000</v>
      </c>
      <c r="R17" s="50" t="str">
        <f ca="1">IF(S16&gt;0%,"Carry Positivo","Carry Negativo")</f>
        <v>Carry Positivo</v>
      </c>
      <c r="S17" s="138"/>
    </row>
    <row r="18" spans="1:19" x14ac:dyDescent="0.15">
      <c r="C18" s="48"/>
      <c r="D18" s="19" t="e">
        <f t="shared" ca="1" si="8"/>
        <v>#NUM!</v>
      </c>
      <c r="E18" s="25" t="e">
        <f t="shared" ca="1" si="1"/>
        <v>#NUM!</v>
      </c>
      <c r="F18" s="25" t="e">
        <f t="shared" ca="1" si="2"/>
        <v>#NUM!</v>
      </c>
      <c r="G18" s="25" t="e">
        <f t="shared" ca="1" si="0"/>
        <v>#NUM!</v>
      </c>
      <c r="H18" s="26" t="e">
        <f t="shared" ca="1" si="3"/>
        <v>#NUM!</v>
      </c>
      <c r="I18" s="27" t="e">
        <f t="shared" ca="1" si="9"/>
        <v>#NUM!</v>
      </c>
      <c r="J18" s="28" t="e">
        <f t="shared" ca="1" si="7"/>
        <v>#NUM!</v>
      </c>
      <c r="K18" s="29" t="e">
        <f t="shared" ca="1" si="4"/>
        <v>#NUM!</v>
      </c>
      <c r="L18" s="27" t="e">
        <f t="shared" ca="1" si="5"/>
        <v>#NUM!</v>
      </c>
      <c r="M18" s="27" t="e">
        <f t="shared" ca="1" si="6"/>
        <v>#NUM!</v>
      </c>
      <c r="O18" s="46" t="s">
        <v>11</v>
      </c>
      <c r="P18" s="53">
        <f ca="1">P17*P16</f>
        <v>1088665.6849315069</v>
      </c>
    </row>
    <row r="19" spans="1:19" x14ac:dyDescent="0.15">
      <c r="A19" s="131" t="s">
        <v>59</v>
      </c>
      <c r="B19" s="132"/>
      <c r="C19" s="48"/>
      <c r="D19" s="19" t="e">
        <f t="shared" ca="1" si="8"/>
        <v>#NUM!</v>
      </c>
      <c r="E19" s="25" t="e">
        <f t="shared" ca="1" si="1"/>
        <v>#NUM!</v>
      </c>
      <c r="F19" s="25" t="e">
        <f t="shared" ca="1" si="2"/>
        <v>#NUM!</v>
      </c>
      <c r="G19" s="25" t="e">
        <f t="shared" ca="1" si="0"/>
        <v>#NUM!</v>
      </c>
      <c r="H19" s="26" t="e">
        <f t="shared" ca="1" si="3"/>
        <v>#NUM!</v>
      </c>
      <c r="I19" s="27" t="e">
        <f t="shared" ca="1" si="9"/>
        <v>#NUM!</v>
      </c>
      <c r="J19" s="28" t="e">
        <f t="shared" ca="1" si="7"/>
        <v>#NUM!</v>
      </c>
      <c r="K19" s="29" t="e">
        <f t="shared" ca="1" si="4"/>
        <v>#NUM!</v>
      </c>
      <c r="L19" s="27" t="e">
        <f t="shared" ca="1" si="5"/>
        <v>#NUM!</v>
      </c>
      <c r="M19" s="27" t="e">
        <f t="shared" ca="1" si="6"/>
        <v>#NUM!</v>
      </c>
      <c r="P19" s="55"/>
    </row>
    <row r="20" spans="1:19" x14ac:dyDescent="0.15">
      <c r="A20" s="56" t="s">
        <v>3</v>
      </c>
      <c r="B20" s="57" t="e">
        <f ca="1">XIRR(G4:G54,D4:D54)</f>
        <v>#NUM!</v>
      </c>
      <c r="C20" s="48"/>
      <c r="D20" s="19" t="e">
        <f t="shared" ca="1" si="8"/>
        <v>#NUM!</v>
      </c>
      <c r="E20" s="25" t="e">
        <f t="shared" ca="1" si="1"/>
        <v>#NUM!</v>
      </c>
      <c r="F20" s="25" t="e">
        <f t="shared" ca="1" si="2"/>
        <v>#NUM!</v>
      </c>
      <c r="G20" s="25" t="e">
        <f t="shared" ca="1" si="0"/>
        <v>#NUM!</v>
      </c>
      <c r="H20" s="26" t="e">
        <f t="shared" ca="1" si="3"/>
        <v>#NUM!</v>
      </c>
      <c r="I20" s="27" t="e">
        <f t="shared" ca="1" si="9"/>
        <v>#NUM!</v>
      </c>
      <c r="J20" s="28" t="e">
        <f t="shared" ca="1" si="7"/>
        <v>#NUM!</v>
      </c>
      <c r="K20" s="29" t="e">
        <f t="shared" ca="1" si="4"/>
        <v>#NUM!</v>
      </c>
      <c r="L20" s="27" t="e">
        <f t="shared" ca="1" si="5"/>
        <v>#NUM!</v>
      </c>
      <c r="M20" s="27" t="e">
        <f t="shared" ca="1" si="6"/>
        <v>#NUM!</v>
      </c>
    </row>
    <row r="21" spans="1:19" x14ac:dyDescent="0.15">
      <c r="A21" s="58" t="s">
        <v>60</v>
      </c>
      <c r="B21" s="59" t="e">
        <f ca="1">SUM(L5:L54)/B8</f>
        <v>#NUM!</v>
      </c>
      <c r="C21" s="48"/>
      <c r="D21" s="19" t="e">
        <f t="shared" ca="1" si="8"/>
        <v>#NUM!</v>
      </c>
      <c r="E21" s="25" t="e">
        <f t="shared" ca="1" si="1"/>
        <v>#NUM!</v>
      </c>
      <c r="F21" s="25" t="e">
        <f t="shared" ca="1" si="2"/>
        <v>#NUM!</v>
      </c>
      <c r="G21" s="25" t="e">
        <f t="shared" ca="1" si="0"/>
        <v>#NUM!</v>
      </c>
      <c r="H21" s="26" t="e">
        <f t="shared" ca="1" si="3"/>
        <v>#NUM!</v>
      </c>
      <c r="I21" s="27" t="e">
        <f t="shared" ca="1" si="9"/>
        <v>#NUM!</v>
      </c>
      <c r="J21" s="28" t="e">
        <f t="shared" ca="1" si="7"/>
        <v>#NUM!</v>
      </c>
      <c r="K21" s="29" t="e">
        <f t="shared" ca="1" si="4"/>
        <v>#NUM!</v>
      </c>
      <c r="L21" s="27" t="e">
        <f t="shared" ca="1" si="5"/>
        <v>#NUM!</v>
      </c>
      <c r="M21" s="27" t="e">
        <f t="shared" ca="1" si="6"/>
        <v>#NUM!</v>
      </c>
      <c r="O21" s="55"/>
    </row>
    <row r="22" spans="1:19" x14ac:dyDescent="0.15">
      <c r="A22" s="58" t="s">
        <v>61</v>
      </c>
      <c r="B22" s="59">
        <f ca="1">(B3-B4)/365</f>
        <v>-121.50136986301369</v>
      </c>
      <c r="D22" s="19" t="e">
        <f t="shared" ca="1" si="8"/>
        <v>#NUM!</v>
      </c>
      <c r="E22" s="25" t="e">
        <f t="shared" ca="1" si="1"/>
        <v>#NUM!</v>
      </c>
      <c r="F22" s="25" t="e">
        <f t="shared" ca="1" si="2"/>
        <v>#NUM!</v>
      </c>
      <c r="G22" s="25" t="e">
        <f t="shared" ca="1" si="0"/>
        <v>#NUM!</v>
      </c>
      <c r="H22" s="26" t="e">
        <f t="shared" ca="1" si="3"/>
        <v>#NUM!</v>
      </c>
      <c r="I22" s="27" t="e">
        <f t="shared" ca="1" si="9"/>
        <v>#NUM!</v>
      </c>
      <c r="J22" s="28" t="e">
        <f t="shared" ca="1" si="7"/>
        <v>#NUM!</v>
      </c>
      <c r="K22" s="29" t="e">
        <f t="shared" ca="1" si="4"/>
        <v>#NUM!</v>
      </c>
      <c r="L22" s="27" t="e">
        <f t="shared" ca="1" si="5"/>
        <v>#NUM!</v>
      </c>
      <c r="M22" s="27" t="e">
        <f t="shared" ca="1" si="6"/>
        <v>#NUM!</v>
      </c>
    </row>
    <row r="23" spans="1:19" x14ac:dyDescent="0.15">
      <c r="A23" s="58" t="s">
        <v>62</v>
      </c>
      <c r="B23" s="60" t="e">
        <f ca="1">+B21/(1+B20)</f>
        <v>#NUM!</v>
      </c>
      <c r="D23" s="19" t="e">
        <f t="shared" ca="1" si="8"/>
        <v>#NUM!</v>
      </c>
      <c r="E23" s="25" t="e">
        <f t="shared" ca="1" si="1"/>
        <v>#NUM!</v>
      </c>
      <c r="F23" s="25" t="e">
        <f t="shared" ca="1" si="2"/>
        <v>#NUM!</v>
      </c>
      <c r="G23" s="25" t="e">
        <f t="shared" ca="1" si="0"/>
        <v>#NUM!</v>
      </c>
      <c r="H23" s="26" t="e">
        <f t="shared" ca="1" si="3"/>
        <v>#NUM!</v>
      </c>
      <c r="I23" s="27" t="e">
        <f t="shared" ca="1" si="9"/>
        <v>#NUM!</v>
      </c>
      <c r="J23" s="28" t="e">
        <f t="shared" ca="1" si="7"/>
        <v>#NUM!</v>
      </c>
      <c r="K23" s="29" t="e">
        <f t="shared" ca="1" si="4"/>
        <v>#NUM!</v>
      </c>
      <c r="L23" s="27" t="e">
        <f t="shared" ca="1" si="5"/>
        <v>#NUM!</v>
      </c>
      <c r="M23" s="27" t="e">
        <f t="shared" ca="1" si="6"/>
        <v>#NUM!</v>
      </c>
    </row>
    <row r="24" spans="1:19" x14ac:dyDescent="0.15">
      <c r="A24" s="58" t="s">
        <v>63</v>
      </c>
      <c r="B24" s="61" t="e">
        <f ca="1">+B23*B8/100</f>
        <v>#NUM!</v>
      </c>
      <c r="D24" s="19" t="e">
        <f t="shared" ca="1" si="8"/>
        <v>#NUM!</v>
      </c>
      <c r="E24" s="25" t="e">
        <f t="shared" ca="1" si="1"/>
        <v>#NUM!</v>
      </c>
      <c r="F24" s="25" t="e">
        <f t="shared" ca="1" si="2"/>
        <v>#NUM!</v>
      </c>
      <c r="G24" s="25" t="e">
        <f t="shared" ca="1" si="0"/>
        <v>#NUM!</v>
      </c>
      <c r="H24" s="26" t="e">
        <f t="shared" ca="1" si="3"/>
        <v>#NUM!</v>
      </c>
      <c r="I24" s="27" t="e">
        <f t="shared" ca="1" si="9"/>
        <v>#NUM!</v>
      </c>
      <c r="J24" s="28" t="e">
        <f t="shared" ca="1" si="7"/>
        <v>#NUM!</v>
      </c>
      <c r="K24" s="29" t="e">
        <f t="shared" ca="1" si="4"/>
        <v>#NUM!</v>
      </c>
      <c r="L24" s="27" t="e">
        <f t="shared" ca="1" si="5"/>
        <v>#NUM!</v>
      </c>
      <c r="M24" s="27" t="e">
        <f t="shared" ca="1" si="6"/>
        <v>#NUM!</v>
      </c>
    </row>
    <row r="25" spans="1:19" x14ac:dyDescent="0.15">
      <c r="A25" s="62" t="s">
        <v>64</v>
      </c>
      <c r="B25" s="63" t="e">
        <f ca="1">(0.5)*(SUM(M5:M54)/(B8))*(0.01)^2*(B8)</f>
        <v>#NUM!</v>
      </c>
      <c r="C25" s="64"/>
      <c r="D25" s="19" t="e">
        <f t="shared" ca="1" si="8"/>
        <v>#NUM!</v>
      </c>
      <c r="E25" s="25" t="e">
        <f t="shared" ca="1" si="1"/>
        <v>#NUM!</v>
      </c>
      <c r="F25" s="25" t="e">
        <f t="shared" ca="1" si="2"/>
        <v>#NUM!</v>
      </c>
      <c r="G25" s="25" t="e">
        <f t="shared" ca="1" si="0"/>
        <v>#NUM!</v>
      </c>
      <c r="H25" s="26" t="e">
        <f t="shared" ca="1" si="3"/>
        <v>#NUM!</v>
      </c>
      <c r="I25" s="27" t="e">
        <f t="shared" ca="1" si="9"/>
        <v>#NUM!</v>
      </c>
      <c r="J25" s="28" t="e">
        <f t="shared" ca="1" si="7"/>
        <v>#NUM!</v>
      </c>
      <c r="K25" s="29" t="e">
        <f t="shared" ca="1" si="4"/>
        <v>#NUM!</v>
      </c>
      <c r="L25" s="27" t="e">
        <f t="shared" ca="1" si="5"/>
        <v>#NUM!</v>
      </c>
      <c r="M25" s="27" t="e">
        <f t="shared" ca="1" si="6"/>
        <v>#NUM!</v>
      </c>
    </row>
    <row r="26" spans="1:19" x14ac:dyDescent="0.15">
      <c r="A26" s="62" t="s">
        <v>65</v>
      </c>
      <c r="B26" s="63" t="e">
        <f ca="1">+B25+B24</f>
        <v>#NUM!</v>
      </c>
      <c r="D26" s="19" t="e">
        <f t="shared" ca="1" si="8"/>
        <v>#NUM!</v>
      </c>
      <c r="E26" s="25" t="e">
        <f t="shared" ca="1" si="1"/>
        <v>#NUM!</v>
      </c>
      <c r="F26" s="25" t="e">
        <f t="shared" ca="1" si="2"/>
        <v>#NUM!</v>
      </c>
      <c r="G26" s="25" t="e">
        <f t="shared" ca="1" si="0"/>
        <v>#NUM!</v>
      </c>
      <c r="H26" s="26" t="e">
        <f t="shared" ca="1" si="3"/>
        <v>#NUM!</v>
      </c>
      <c r="I26" s="27" t="e">
        <f t="shared" ca="1" si="9"/>
        <v>#NUM!</v>
      </c>
      <c r="J26" s="27" t="e">
        <f t="shared" ca="1" si="7"/>
        <v>#NUM!</v>
      </c>
      <c r="K26" s="29" t="e">
        <f t="shared" ca="1" si="4"/>
        <v>#NUM!</v>
      </c>
      <c r="L26" s="27" t="e">
        <f t="shared" ca="1" si="5"/>
        <v>#NUM!</v>
      </c>
      <c r="M26" s="27" t="e">
        <f t="shared" ca="1" si="6"/>
        <v>#NUM!</v>
      </c>
    </row>
    <row r="27" spans="1:19" x14ac:dyDescent="0.15">
      <c r="A27" s="58" t="s">
        <v>66</v>
      </c>
      <c r="B27" s="65" t="e">
        <f ca="1">+(B24/10000)*1000</f>
        <v>#NUM!</v>
      </c>
      <c r="D27" s="19" t="e">
        <f t="shared" ca="1" si="8"/>
        <v>#NUM!</v>
      </c>
      <c r="E27" s="25" t="e">
        <f t="shared" ca="1" si="1"/>
        <v>#NUM!</v>
      </c>
      <c r="F27" s="25" t="e">
        <f t="shared" ca="1" si="2"/>
        <v>#NUM!</v>
      </c>
      <c r="G27" s="25" t="e">
        <f t="shared" ca="1" si="0"/>
        <v>#NUM!</v>
      </c>
      <c r="H27" s="26" t="e">
        <f t="shared" ca="1" si="3"/>
        <v>#NUM!</v>
      </c>
      <c r="I27" s="27" t="e">
        <f t="shared" ca="1" si="9"/>
        <v>#NUM!</v>
      </c>
      <c r="J27" s="27" t="e">
        <f t="shared" ca="1" si="7"/>
        <v>#NUM!</v>
      </c>
      <c r="K27" s="29" t="e">
        <f t="shared" ca="1" si="4"/>
        <v>#NUM!</v>
      </c>
      <c r="L27" s="27" t="e">
        <f t="shared" ca="1" si="5"/>
        <v>#NUM!</v>
      </c>
      <c r="M27" s="27" t="e">
        <f t="shared" ca="1" si="6"/>
        <v>#NUM!</v>
      </c>
    </row>
    <row r="28" spans="1:19" x14ac:dyDescent="0.15">
      <c r="A28" s="58" t="s">
        <v>67</v>
      </c>
      <c r="B28" s="65" t="e">
        <f ca="1">+(B26/10000)*1000</f>
        <v>#NUM!</v>
      </c>
      <c r="D28" s="19" t="e">
        <f t="shared" ca="1" si="8"/>
        <v>#NUM!</v>
      </c>
      <c r="E28" s="25" t="e">
        <f t="shared" ca="1" si="1"/>
        <v>#NUM!</v>
      </c>
      <c r="F28" s="25" t="e">
        <f t="shared" ca="1" si="2"/>
        <v>#NUM!</v>
      </c>
      <c r="G28" s="25" t="e">
        <f t="shared" ca="1" si="0"/>
        <v>#NUM!</v>
      </c>
      <c r="H28" s="26" t="e">
        <f t="shared" ca="1" si="3"/>
        <v>#NUM!</v>
      </c>
      <c r="I28" s="27" t="e">
        <f t="shared" ca="1" si="9"/>
        <v>#NUM!</v>
      </c>
      <c r="J28" s="27" t="e">
        <f t="shared" ca="1" si="7"/>
        <v>#NUM!</v>
      </c>
      <c r="K28" s="29" t="e">
        <f t="shared" ca="1" si="4"/>
        <v>#NUM!</v>
      </c>
      <c r="L28" s="27" t="e">
        <f t="shared" ca="1" si="5"/>
        <v>#NUM!</v>
      </c>
      <c r="M28" s="27" t="e">
        <f t="shared" ca="1" si="6"/>
        <v>#NUM!</v>
      </c>
    </row>
    <row r="29" spans="1:19" x14ac:dyDescent="0.15">
      <c r="D29" s="19" t="e">
        <f t="shared" ca="1" si="8"/>
        <v>#NUM!</v>
      </c>
      <c r="E29" s="25" t="e">
        <f t="shared" ca="1" si="1"/>
        <v>#NUM!</v>
      </c>
      <c r="F29" s="25" t="e">
        <f t="shared" ca="1" si="2"/>
        <v>#NUM!</v>
      </c>
      <c r="G29" s="25" t="e">
        <f t="shared" ca="1" si="0"/>
        <v>#NUM!</v>
      </c>
      <c r="H29" s="26" t="e">
        <f t="shared" ca="1" si="3"/>
        <v>#NUM!</v>
      </c>
      <c r="I29" s="27" t="e">
        <f t="shared" ca="1" si="9"/>
        <v>#NUM!</v>
      </c>
      <c r="J29" s="27" t="e">
        <f t="shared" ca="1" si="7"/>
        <v>#NUM!</v>
      </c>
      <c r="K29" s="29" t="e">
        <f t="shared" ca="1" si="4"/>
        <v>#NUM!</v>
      </c>
      <c r="L29" s="27" t="e">
        <f t="shared" ca="1" si="5"/>
        <v>#NUM!</v>
      </c>
      <c r="M29" s="27" t="e">
        <f t="shared" ca="1" si="6"/>
        <v>#NUM!</v>
      </c>
    </row>
    <row r="30" spans="1:19" x14ac:dyDescent="0.15">
      <c r="D30" s="19" t="e">
        <f t="shared" ca="1" si="8"/>
        <v>#NUM!</v>
      </c>
      <c r="E30" s="25" t="e">
        <f t="shared" ca="1" si="1"/>
        <v>#NUM!</v>
      </c>
      <c r="F30" s="25" t="e">
        <f t="shared" ca="1" si="2"/>
        <v>#NUM!</v>
      </c>
      <c r="G30" s="25" t="e">
        <f t="shared" ca="1" si="0"/>
        <v>#NUM!</v>
      </c>
      <c r="H30" s="26" t="e">
        <f t="shared" ca="1" si="3"/>
        <v>#NUM!</v>
      </c>
      <c r="I30" s="27" t="e">
        <f t="shared" ca="1" si="9"/>
        <v>#NUM!</v>
      </c>
      <c r="J30" s="27" t="e">
        <f t="shared" ca="1" si="7"/>
        <v>#NUM!</v>
      </c>
      <c r="K30" s="29" t="e">
        <f t="shared" ca="1" si="4"/>
        <v>#NUM!</v>
      </c>
      <c r="L30" s="27" t="e">
        <f t="shared" ca="1" si="5"/>
        <v>#NUM!</v>
      </c>
      <c r="M30" s="27" t="e">
        <f t="shared" ca="1" si="6"/>
        <v>#NUM!</v>
      </c>
    </row>
    <row r="31" spans="1:19" x14ac:dyDescent="0.15">
      <c r="D31" s="19" t="e">
        <f t="shared" ca="1" si="8"/>
        <v>#NUM!</v>
      </c>
      <c r="E31" s="25" t="e">
        <f t="shared" ca="1" si="1"/>
        <v>#NUM!</v>
      </c>
      <c r="F31" s="25" t="e">
        <f t="shared" ca="1" si="2"/>
        <v>#NUM!</v>
      </c>
      <c r="G31" s="25" t="e">
        <f t="shared" ca="1" si="0"/>
        <v>#NUM!</v>
      </c>
      <c r="H31" s="26" t="e">
        <f t="shared" ca="1" si="3"/>
        <v>#NUM!</v>
      </c>
      <c r="I31" s="27" t="e">
        <f t="shared" ca="1" si="9"/>
        <v>#NUM!</v>
      </c>
      <c r="J31" s="27" t="e">
        <f t="shared" ca="1" si="7"/>
        <v>#NUM!</v>
      </c>
      <c r="K31" s="29" t="e">
        <f t="shared" ca="1" si="4"/>
        <v>#NUM!</v>
      </c>
      <c r="L31" s="27" t="e">
        <f t="shared" ca="1" si="5"/>
        <v>#NUM!</v>
      </c>
      <c r="M31" s="27" t="e">
        <f t="shared" ca="1" si="6"/>
        <v>#NUM!</v>
      </c>
    </row>
    <row r="32" spans="1:19" x14ac:dyDescent="0.15">
      <c r="D32" s="19" t="e">
        <f t="shared" ca="1" si="8"/>
        <v>#NUM!</v>
      </c>
      <c r="E32" s="25" t="e">
        <f t="shared" ca="1" si="1"/>
        <v>#NUM!</v>
      </c>
      <c r="F32" s="25" t="e">
        <f t="shared" ca="1" si="2"/>
        <v>#NUM!</v>
      </c>
      <c r="G32" s="25" t="e">
        <f t="shared" ca="1" si="0"/>
        <v>#NUM!</v>
      </c>
      <c r="H32" s="26" t="e">
        <f t="shared" ca="1" si="3"/>
        <v>#NUM!</v>
      </c>
      <c r="I32" s="27" t="e">
        <f t="shared" ca="1" si="9"/>
        <v>#NUM!</v>
      </c>
      <c r="J32" s="27" t="e">
        <f t="shared" ca="1" si="7"/>
        <v>#NUM!</v>
      </c>
      <c r="K32" s="29" t="e">
        <f t="shared" ca="1" si="4"/>
        <v>#NUM!</v>
      </c>
      <c r="L32" s="27" t="e">
        <f t="shared" ca="1" si="5"/>
        <v>#NUM!</v>
      </c>
      <c r="M32" s="27" t="e">
        <f t="shared" ca="1" si="6"/>
        <v>#NUM!</v>
      </c>
    </row>
    <row r="33" spans="4:13" x14ac:dyDescent="0.15">
      <c r="D33" s="19" t="e">
        <f t="shared" ca="1" si="8"/>
        <v>#NUM!</v>
      </c>
      <c r="E33" s="25" t="e">
        <f t="shared" ca="1" si="1"/>
        <v>#NUM!</v>
      </c>
      <c r="F33" s="25" t="e">
        <f t="shared" ca="1" si="2"/>
        <v>#NUM!</v>
      </c>
      <c r="G33" s="25" t="e">
        <f t="shared" ca="1" si="0"/>
        <v>#NUM!</v>
      </c>
      <c r="H33" s="26" t="e">
        <f t="shared" ca="1" si="3"/>
        <v>#NUM!</v>
      </c>
      <c r="I33" s="27" t="e">
        <f t="shared" ca="1" si="9"/>
        <v>#NUM!</v>
      </c>
      <c r="J33" s="27" t="e">
        <f t="shared" ca="1" si="7"/>
        <v>#NUM!</v>
      </c>
      <c r="K33" s="29" t="e">
        <f t="shared" ca="1" si="4"/>
        <v>#NUM!</v>
      </c>
      <c r="L33" s="27" t="e">
        <f t="shared" ca="1" si="5"/>
        <v>#NUM!</v>
      </c>
      <c r="M33" s="27" t="e">
        <f t="shared" ca="1" si="6"/>
        <v>#NUM!</v>
      </c>
    </row>
    <row r="34" spans="4:13" x14ac:dyDescent="0.15">
      <c r="D34" s="19" t="e">
        <f t="shared" ca="1" si="8"/>
        <v>#NUM!</v>
      </c>
      <c r="E34" s="25" t="e">
        <f t="shared" ca="1" si="1"/>
        <v>#NUM!</v>
      </c>
      <c r="F34" s="25" t="e">
        <f t="shared" ca="1" si="2"/>
        <v>#NUM!</v>
      </c>
      <c r="G34" s="25" t="e">
        <f t="shared" ca="1" si="0"/>
        <v>#NUM!</v>
      </c>
      <c r="H34" s="26" t="e">
        <f t="shared" ca="1" si="3"/>
        <v>#NUM!</v>
      </c>
      <c r="I34" s="27" t="e">
        <f t="shared" ca="1" si="9"/>
        <v>#NUM!</v>
      </c>
      <c r="J34" s="27" t="e">
        <f t="shared" ca="1" si="7"/>
        <v>#NUM!</v>
      </c>
      <c r="K34" s="29" t="e">
        <f t="shared" ca="1" si="4"/>
        <v>#NUM!</v>
      </c>
      <c r="L34" s="27" t="e">
        <f t="shared" ca="1" si="5"/>
        <v>#NUM!</v>
      </c>
      <c r="M34" s="27" t="e">
        <f t="shared" ca="1" si="6"/>
        <v>#NUM!</v>
      </c>
    </row>
    <row r="35" spans="4:13" x14ac:dyDescent="0.15">
      <c r="D35" s="19" t="e">
        <f t="shared" ca="1" si="8"/>
        <v>#NUM!</v>
      </c>
      <c r="E35" s="25" t="e">
        <f t="shared" ca="1" si="1"/>
        <v>#NUM!</v>
      </c>
      <c r="F35" s="25" t="e">
        <f t="shared" ca="1" si="2"/>
        <v>#NUM!</v>
      </c>
      <c r="G35" s="25" t="e">
        <f t="shared" ca="1" si="0"/>
        <v>#NUM!</v>
      </c>
      <c r="H35" s="26" t="e">
        <f t="shared" ca="1" si="3"/>
        <v>#NUM!</v>
      </c>
      <c r="I35" s="27" t="e">
        <f t="shared" ca="1" si="9"/>
        <v>#NUM!</v>
      </c>
      <c r="J35" s="27" t="e">
        <f t="shared" ca="1" si="7"/>
        <v>#NUM!</v>
      </c>
      <c r="K35" s="29" t="e">
        <f t="shared" ca="1" si="4"/>
        <v>#NUM!</v>
      </c>
      <c r="L35" s="27" t="e">
        <f t="shared" ca="1" si="5"/>
        <v>#NUM!</v>
      </c>
      <c r="M35" s="27" t="e">
        <f t="shared" ca="1" si="6"/>
        <v>#NUM!</v>
      </c>
    </row>
    <row r="36" spans="4:13" x14ac:dyDescent="0.15">
      <c r="D36" s="19" t="e">
        <f t="shared" ca="1" si="8"/>
        <v>#NUM!</v>
      </c>
      <c r="E36" s="25" t="e">
        <f t="shared" ca="1" si="1"/>
        <v>#NUM!</v>
      </c>
      <c r="F36" s="25" t="e">
        <f t="shared" ca="1" si="2"/>
        <v>#NUM!</v>
      </c>
      <c r="G36" s="25" t="e">
        <f t="shared" ca="1" si="0"/>
        <v>#NUM!</v>
      </c>
      <c r="H36" s="26" t="e">
        <f t="shared" ca="1" si="3"/>
        <v>#NUM!</v>
      </c>
      <c r="I36" s="27" t="e">
        <f t="shared" ca="1" si="9"/>
        <v>#NUM!</v>
      </c>
      <c r="J36" s="27" t="e">
        <f t="shared" ca="1" si="7"/>
        <v>#NUM!</v>
      </c>
      <c r="K36" s="29" t="e">
        <f t="shared" ca="1" si="4"/>
        <v>#NUM!</v>
      </c>
      <c r="L36" s="27" t="e">
        <f t="shared" ca="1" si="5"/>
        <v>#NUM!</v>
      </c>
      <c r="M36" s="27" t="e">
        <f t="shared" ca="1" si="6"/>
        <v>#NUM!</v>
      </c>
    </row>
    <row r="37" spans="4:13" x14ac:dyDescent="0.15">
      <c r="D37" s="19" t="e">
        <f t="shared" ca="1" si="8"/>
        <v>#NUM!</v>
      </c>
      <c r="E37" s="25" t="e">
        <f t="shared" ca="1" si="1"/>
        <v>#NUM!</v>
      </c>
      <c r="F37" s="25" t="e">
        <f t="shared" ca="1" si="2"/>
        <v>#NUM!</v>
      </c>
      <c r="G37" s="25" t="e">
        <f t="shared" ca="1" si="0"/>
        <v>#NUM!</v>
      </c>
      <c r="H37" s="26" t="e">
        <f t="shared" ca="1" si="3"/>
        <v>#NUM!</v>
      </c>
      <c r="I37" s="27" t="e">
        <f t="shared" ca="1" si="9"/>
        <v>#NUM!</v>
      </c>
      <c r="J37" s="27" t="e">
        <f t="shared" ca="1" si="7"/>
        <v>#NUM!</v>
      </c>
      <c r="K37" s="29" t="e">
        <f t="shared" ca="1" si="4"/>
        <v>#NUM!</v>
      </c>
      <c r="L37" s="27" t="e">
        <f t="shared" ca="1" si="5"/>
        <v>#NUM!</v>
      </c>
      <c r="M37" s="27" t="e">
        <f t="shared" ca="1" si="6"/>
        <v>#NUM!</v>
      </c>
    </row>
    <row r="38" spans="4:13" x14ac:dyDescent="0.15">
      <c r="D38" s="19" t="e">
        <f t="shared" ca="1" si="8"/>
        <v>#NUM!</v>
      </c>
      <c r="E38" s="25" t="e">
        <f t="shared" ca="1" si="1"/>
        <v>#NUM!</v>
      </c>
      <c r="F38" s="25" t="e">
        <f t="shared" ca="1" si="2"/>
        <v>#NUM!</v>
      </c>
      <c r="G38" s="25" t="e">
        <f t="shared" ca="1" si="0"/>
        <v>#NUM!</v>
      </c>
      <c r="H38" s="26" t="e">
        <f t="shared" ca="1" si="3"/>
        <v>#NUM!</v>
      </c>
      <c r="I38" s="27" t="e">
        <f t="shared" ca="1" si="9"/>
        <v>#NUM!</v>
      </c>
      <c r="J38" s="27" t="e">
        <f t="shared" ca="1" si="7"/>
        <v>#NUM!</v>
      </c>
      <c r="K38" s="29" t="e">
        <f t="shared" ca="1" si="4"/>
        <v>#NUM!</v>
      </c>
      <c r="L38" s="27" t="e">
        <f t="shared" ca="1" si="5"/>
        <v>#NUM!</v>
      </c>
      <c r="M38" s="27" t="e">
        <f t="shared" ca="1" si="6"/>
        <v>#NUM!</v>
      </c>
    </row>
    <row r="39" spans="4:13" x14ac:dyDescent="0.15">
      <c r="D39" s="19" t="e">
        <f t="shared" ca="1" si="8"/>
        <v>#NUM!</v>
      </c>
      <c r="E39" s="25" t="e">
        <f t="shared" ca="1" si="1"/>
        <v>#NUM!</v>
      </c>
      <c r="F39" s="25" t="e">
        <f t="shared" ca="1" si="2"/>
        <v>#NUM!</v>
      </c>
      <c r="G39" s="25" t="e">
        <f t="shared" ca="1" si="0"/>
        <v>#NUM!</v>
      </c>
      <c r="H39" s="26" t="e">
        <f t="shared" ca="1" si="3"/>
        <v>#NUM!</v>
      </c>
      <c r="I39" s="27" t="e">
        <f t="shared" ca="1" si="9"/>
        <v>#NUM!</v>
      </c>
      <c r="J39" s="27" t="e">
        <f t="shared" ca="1" si="7"/>
        <v>#NUM!</v>
      </c>
      <c r="K39" s="29" t="e">
        <f t="shared" ca="1" si="4"/>
        <v>#NUM!</v>
      </c>
      <c r="L39" s="27" t="e">
        <f t="shared" ca="1" si="5"/>
        <v>#NUM!</v>
      </c>
      <c r="M39" s="27" t="e">
        <f t="shared" ca="1" si="6"/>
        <v>#NUM!</v>
      </c>
    </row>
    <row r="40" spans="4:13" x14ac:dyDescent="0.15">
      <c r="D40" s="19" t="e">
        <f t="shared" ca="1" si="8"/>
        <v>#NUM!</v>
      </c>
      <c r="E40" s="25" t="e">
        <f t="shared" ca="1" si="1"/>
        <v>#NUM!</v>
      </c>
      <c r="F40" s="25" t="e">
        <f t="shared" ca="1" si="2"/>
        <v>#NUM!</v>
      </c>
      <c r="G40" s="25" t="e">
        <f t="shared" ca="1" si="0"/>
        <v>#NUM!</v>
      </c>
      <c r="H40" s="26" t="e">
        <f t="shared" ca="1" si="3"/>
        <v>#NUM!</v>
      </c>
      <c r="I40" s="27" t="e">
        <f t="shared" ca="1" si="9"/>
        <v>#NUM!</v>
      </c>
      <c r="J40" s="27" t="e">
        <f t="shared" ca="1" si="7"/>
        <v>#NUM!</v>
      </c>
      <c r="K40" s="29" t="e">
        <f t="shared" ca="1" si="4"/>
        <v>#NUM!</v>
      </c>
      <c r="L40" s="27" t="e">
        <f t="shared" ca="1" si="5"/>
        <v>#NUM!</v>
      </c>
      <c r="M40" s="27" t="e">
        <f t="shared" ca="1" si="6"/>
        <v>#NUM!</v>
      </c>
    </row>
    <row r="41" spans="4:13" x14ac:dyDescent="0.15">
      <c r="D41" s="19" t="e">
        <f t="shared" ca="1" si="8"/>
        <v>#NUM!</v>
      </c>
      <c r="E41" s="25" t="e">
        <f t="shared" ca="1" si="1"/>
        <v>#NUM!</v>
      </c>
      <c r="F41" s="25" t="e">
        <f t="shared" ca="1" si="2"/>
        <v>#NUM!</v>
      </c>
      <c r="G41" s="25" t="e">
        <f t="shared" ca="1" si="0"/>
        <v>#NUM!</v>
      </c>
      <c r="H41" s="26" t="e">
        <f t="shared" ca="1" si="3"/>
        <v>#NUM!</v>
      </c>
      <c r="I41" s="27" t="e">
        <f t="shared" ca="1" si="9"/>
        <v>#NUM!</v>
      </c>
      <c r="J41" s="27" t="e">
        <f t="shared" ca="1" si="7"/>
        <v>#NUM!</v>
      </c>
      <c r="K41" s="29" t="e">
        <f t="shared" ca="1" si="4"/>
        <v>#NUM!</v>
      </c>
      <c r="L41" s="27" t="e">
        <f t="shared" ca="1" si="5"/>
        <v>#NUM!</v>
      </c>
      <c r="M41" s="27" t="e">
        <f t="shared" ca="1" si="6"/>
        <v>#NUM!</v>
      </c>
    </row>
    <row r="42" spans="4:13" x14ac:dyDescent="0.15">
      <c r="D42" s="19" t="e">
        <f t="shared" ca="1" si="8"/>
        <v>#NUM!</v>
      </c>
      <c r="E42" s="25" t="e">
        <f t="shared" ca="1" si="1"/>
        <v>#NUM!</v>
      </c>
      <c r="F42" s="25" t="e">
        <f t="shared" ca="1" si="2"/>
        <v>#NUM!</v>
      </c>
      <c r="G42" s="25" t="e">
        <f t="shared" ca="1" si="0"/>
        <v>#NUM!</v>
      </c>
      <c r="H42" s="26" t="e">
        <f t="shared" ca="1" si="3"/>
        <v>#NUM!</v>
      </c>
      <c r="I42" s="27" t="e">
        <f t="shared" ca="1" si="9"/>
        <v>#NUM!</v>
      </c>
      <c r="J42" s="27" t="e">
        <f t="shared" ca="1" si="7"/>
        <v>#NUM!</v>
      </c>
      <c r="K42" s="29" t="e">
        <f t="shared" ca="1" si="4"/>
        <v>#NUM!</v>
      </c>
      <c r="L42" s="27" t="e">
        <f t="shared" ca="1" si="5"/>
        <v>#NUM!</v>
      </c>
      <c r="M42" s="27" t="e">
        <f t="shared" ca="1" si="6"/>
        <v>#NUM!</v>
      </c>
    </row>
    <row r="43" spans="4:13" x14ac:dyDescent="0.15">
      <c r="D43" s="19" t="e">
        <f t="shared" ca="1" si="8"/>
        <v>#NUM!</v>
      </c>
      <c r="E43" s="25" t="e">
        <f t="shared" ca="1" si="1"/>
        <v>#NUM!</v>
      </c>
      <c r="F43" s="25" t="e">
        <f t="shared" ca="1" si="2"/>
        <v>#NUM!</v>
      </c>
      <c r="G43" s="25" t="e">
        <f t="shared" ca="1" si="0"/>
        <v>#NUM!</v>
      </c>
      <c r="H43" s="26" t="e">
        <f t="shared" ca="1" si="3"/>
        <v>#NUM!</v>
      </c>
      <c r="I43" s="27" t="e">
        <f t="shared" ca="1" si="9"/>
        <v>#NUM!</v>
      </c>
      <c r="J43" s="27" t="e">
        <f t="shared" ca="1" si="7"/>
        <v>#NUM!</v>
      </c>
      <c r="K43" s="29" t="e">
        <f t="shared" ca="1" si="4"/>
        <v>#NUM!</v>
      </c>
      <c r="L43" s="27" t="e">
        <f t="shared" ca="1" si="5"/>
        <v>#NUM!</v>
      </c>
      <c r="M43" s="27" t="e">
        <f t="shared" ca="1" si="6"/>
        <v>#NUM!</v>
      </c>
    </row>
    <row r="44" spans="4:13" x14ac:dyDescent="0.15">
      <c r="D44" s="19" t="e">
        <f t="shared" ca="1" si="8"/>
        <v>#NUM!</v>
      </c>
      <c r="E44" s="25" t="e">
        <f t="shared" ca="1" si="1"/>
        <v>#NUM!</v>
      </c>
      <c r="F44" s="25" t="e">
        <f t="shared" ca="1" si="2"/>
        <v>#NUM!</v>
      </c>
      <c r="G44" s="25" t="e">
        <f t="shared" ca="1" si="0"/>
        <v>#NUM!</v>
      </c>
      <c r="H44" s="26" t="e">
        <f t="shared" ca="1" si="3"/>
        <v>#NUM!</v>
      </c>
      <c r="I44" s="27" t="e">
        <f t="shared" ca="1" si="9"/>
        <v>#NUM!</v>
      </c>
      <c r="J44" s="27" t="e">
        <f t="shared" ca="1" si="7"/>
        <v>#NUM!</v>
      </c>
      <c r="K44" s="29" t="e">
        <f t="shared" ca="1" si="4"/>
        <v>#NUM!</v>
      </c>
      <c r="L44" s="27" t="e">
        <f t="shared" ca="1" si="5"/>
        <v>#NUM!</v>
      </c>
      <c r="M44" s="27" t="e">
        <f t="shared" ca="1" si="6"/>
        <v>#NUM!</v>
      </c>
    </row>
    <row r="45" spans="4:13" x14ac:dyDescent="0.15">
      <c r="D45" s="19" t="e">
        <f t="shared" ca="1" si="8"/>
        <v>#NUM!</v>
      </c>
      <c r="E45" s="25" t="e">
        <f t="shared" ca="1" si="1"/>
        <v>#NUM!</v>
      </c>
      <c r="F45" s="25" t="e">
        <f t="shared" ca="1" si="2"/>
        <v>#NUM!</v>
      </c>
      <c r="G45" s="25" t="e">
        <f t="shared" ca="1" si="0"/>
        <v>#NUM!</v>
      </c>
      <c r="H45" s="26" t="e">
        <f t="shared" ca="1" si="3"/>
        <v>#NUM!</v>
      </c>
      <c r="I45" s="27" t="e">
        <f t="shared" ca="1" si="9"/>
        <v>#NUM!</v>
      </c>
      <c r="J45" s="27" t="e">
        <f t="shared" ca="1" si="7"/>
        <v>#NUM!</v>
      </c>
      <c r="K45" s="29" t="e">
        <f t="shared" ca="1" si="4"/>
        <v>#NUM!</v>
      </c>
      <c r="L45" s="27" t="e">
        <f t="shared" ca="1" si="5"/>
        <v>#NUM!</v>
      </c>
      <c r="M45" s="27" t="e">
        <f t="shared" ca="1" si="6"/>
        <v>#NUM!</v>
      </c>
    </row>
    <row r="46" spans="4:13" x14ac:dyDescent="0.15">
      <c r="D46" s="19" t="e">
        <f t="shared" ca="1" si="8"/>
        <v>#NUM!</v>
      </c>
      <c r="E46" s="25" t="e">
        <f t="shared" ca="1" si="1"/>
        <v>#NUM!</v>
      </c>
      <c r="F46" s="25" t="e">
        <f t="shared" ca="1" si="2"/>
        <v>#NUM!</v>
      </c>
      <c r="G46" s="25" t="e">
        <f t="shared" ca="1" si="0"/>
        <v>#NUM!</v>
      </c>
      <c r="H46" s="26" t="e">
        <f t="shared" ca="1" si="3"/>
        <v>#NUM!</v>
      </c>
      <c r="I46" s="27" t="e">
        <f t="shared" ca="1" si="9"/>
        <v>#NUM!</v>
      </c>
      <c r="J46" s="27" t="e">
        <f t="shared" ca="1" si="7"/>
        <v>#NUM!</v>
      </c>
      <c r="K46" s="29" t="e">
        <f t="shared" ca="1" si="4"/>
        <v>#NUM!</v>
      </c>
      <c r="L46" s="27" t="e">
        <f t="shared" ca="1" si="5"/>
        <v>#NUM!</v>
      </c>
      <c r="M46" s="27" t="e">
        <f t="shared" ca="1" si="6"/>
        <v>#NUM!</v>
      </c>
    </row>
    <row r="47" spans="4:13" x14ac:dyDescent="0.15">
      <c r="D47" s="19" t="e">
        <f t="shared" ca="1" si="8"/>
        <v>#NUM!</v>
      </c>
      <c r="E47" s="25" t="e">
        <f t="shared" ca="1" si="1"/>
        <v>#NUM!</v>
      </c>
      <c r="F47" s="25" t="e">
        <f t="shared" ca="1" si="2"/>
        <v>#NUM!</v>
      </c>
      <c r="G47" s="25" t="e">
        <f t="shared" ca="1" si="0"/>
        <v>#NUM!</v>
      </c>
      <c r="H47" s="26" t="e">
        <f t="shared" ca="1" si="3"/>
        <v>#NUM!</v>
      </c>
      <c r="I47" s="27" t="e">
        <f t="shared" ca="1" si="9"/>
        <v>#NUM!</v>
      </c>
      <c r="J47" s="27" t="e">
        <f t="shared" ca="1" si="7"/>
        <v>#NUM!</v>
      </c>
      <c r="K47" s="29" t="e">
        <f t="shared" ca="1" si="4"/>
        <v>#NUM!</v>
      </c>
      <c r="L47" s="27" t="e">
        <f t="shared" ca="1" si="5"/>
        <v>#NUM!</v>
      </c>
      <c r="M47" s="27" t="e">
        <f t="shared" ca="1" si="6"/>
        <v>#NUM!</v>
      </c>
    </row>
    <row r="48" spans="4:13" x14ac:dyDescent="0.15">
      <c r="D48" s="19" t="e">
        <f t="shared" ca="1" si="8"/>
        <v>#NUM!</v>
      </c>
      <c r="E48" s="25" t="e">
        <f t="shared" ca="1" si="1"/>
        <v>#NUM!</v>
      </c>
      <c r="F48" s="25" t="e">
        <f t="shared" ca="1" si="2"/>
        <v>#NUM!</v>
      </c>
      <c r="G48" s="25" t="e">
        <f t="shared" ca="1" si="0"/>
        <v>#NUM!</v>
      </c>
      <c r="H48" s="26" t="e">
        <f t="shared" ca="1" si="3"/>
        <v>#NUM!</v>
      </c>
      <c r="I48" s="27" t="e">
        <f t="shared" ca="1" si="9"/>
        <v>#NUM!</v>
      </c>
      <c r="J48" s="27" t="e">
        <f t="shared" ca="1" si="7"/>
        <v>#NUM!</v>
      </c>
      <c r="K48" s="29" t="e">
        <f t="shared" ca="1" si="4"/>
        <v>#NUM!</v>
      </c>
      <c r="L48" s="27" t="e">
        <f t="shared" ca="1" si="5"/>
        <v>#NUM!</v>
      </c>
      <c r="M48" s="27" t="e">
        <f t="shared" ca="1" si="6"/>
        <v>#NUM!</v>
      </c>
    </row>
    <row r="49" spans="4:19" x14ac:dyDescent="0.15">
      <c r="D49" s="19" t="e">
        <f t="shared" ca="1" si="8"/>
        <v>#NUM!</v>
      </c>
      <c r="E49" s="25" t="e">
        <f t="shared" ca="1" si="1"/>
        <v>#NUM!</v>
      </c>
      <c r="F49" s="25" t="e">
        <f t="shared" ca="1" si="2"/>
        <v>#NUM!</v>
      </c>
      <c r="G49" s="25" t="e">
        <f t="shared" ca="1" si="0"/>
        <v>#NUM!</v>
      </c>
      <c r="H49" s="26" t="e">
        <f t="shared" ca="1" si="3"/>
        <v>#NUM!</v>
      </c>
      <c r="I49" s="27" t="e">
        <f t="shared" ca="1" si="9"/>
        <v>#NUM!</v>
      </c>
      <c r="J49" s="27" t="e">
        <f t="shared" ca="1" si="7"/>
        <v>#NUM!</v>
      </c>
      <c r="K49" s="29" t="e">
        <f t="shared" ca="1" si="4"/>
        <v>#NUM!</v>
      </c>
      <c r="L49" s="27" t="e">
        <f t="shared" ca="1" si="5"/>
        <v>#NUM!</v>
      </c>
      <c r="M49" s="27" t="e">
        <f t="shared" ca="1" si="6"/>
        <v>#NUM!</v>
      </c>
    </row>
    <row r="50" spans="4:19" x14ac:dyDescent="0.15">
      <c r="D50" s="19" t="e">
        <f t="shared" ca="1" si="8"/>
        <v>#NUM!</v>
      </c>
      <c r="E50" s="25" t="e">
        <f t="shared" ca="1" si="1"/>
        <v>#NUM!</v>
      </c>
      <c r="F50" s="25" t="e">
        <f t="shared" ca="1" si="2"/>
        <v>#NUM!</v>
      </c>
      <c r="G50" s="25" t="e">
        <f t="shared" ca="1" si="0"/>
        <v>#NUM!</v>
      </c>
      <c r="H50" s="26" t="e">
        <f t="shared" ca="1" si="3"/>
        <v>#NUM!</v>
      </c>
      <c r="I50" s="27" t="e">
        <f t="shared" ca="1" si="9"/>
        <v>#NUM!</v>
      </c>
      <c r="J50" s="27" t="e">
        <f t="shared" ca="1" si="7"/>
        <v>#NUM!</v>
      </c>
      <c r="K50" s="29" t="e">
        <f t="shared" ca="1" si="4"/>
        <v>#NUM!</v>
      </c>
      <c r="L50" s="27" t="e">
        <f t="shared" ca="1" si="5"/>
        <v>#NUM!</v>
      </c>
      <c r="M50" s="27" t="e">
        <f t="shared" ca="1" si="6"/>
        <v>#NUM!</v>
      </c>
    </row>
    <row r="51" spans="4:19" x14ac:dyDescent="0.15">
      <c r="D51" s="19" t="e">
        <f t="shared" ca="1" si="8"/>
        <v>#NUM!</v>
      </c>
      <c r="E51" s="25" t="e">
        <f t="shared" ca="1" si="1"/>
        <v>#NUM!</v>
      </c>
      <c r="F51" s="25" t="e">
        <f t="shared" ca="1" si="2"/>
        <v>#NUM!</v>
      </c>
      <c r="G51" s="25" t="e">
        <f t="shared" ca="1" si="0"/>
        <v>#NUM!</v>
      </c>
      <c r="H51" s="26" t="e">
        <f t="shared" ca="1" si="3"/>
        <v>#NUM!</v>
      </c>
      <c r="I51" s="27" t="e">
        <f t="shared" ca="1" si="9"/>
        <v>#NUM!</v>
      </c>
      <c r="J51" s="27" t="e">
        <f t="shared" ca="1" si="7"/>
        <v>#NUM!</v>
      </c>
      <c r="K51" s="29" t="e">
        <f t="shared" ca="1" si="4"/>
        <v>#NUM!</v>
      </c>
      <c r="L51" s="27" t="e">
        <f t="shared" ca="1" si="5"/>
        <v>#NUM!</v>
      </c>
      <c r="M51" s="27" t="e">
        <f t="shared" ca="1" si="6"/>
        <v>#NUM!</v>
      </c>
    </row>
    <row r="52" spans="4:19" x14ac:dyDescent="0.15">
      <c r="D52" s="19" t="e">
        <f t="shared" ca="1" si="8"/>
        <v>#NUM!</v>
      </c>
      <c r="E52" s="25" t="e">
        <f t="shared" ca="1" si="1"/>
        <v>#NUM!</v>
      </c>
      <c r="F52" s="25" t="e">
        <f t="shared" ca="1" si="2"/>
        <v>#NUM!</v>
      </c>
      <c r="G52" s="25" t="e">
        <f t="shared" ca="1" si="0"/>
        <v>#NUM!</v>
      </c>
      <c r="H52" s="26" t="e">
        <f t="shared" ca="1" si="3"/>
        <v>#NUM!</v>
      </c>
      <c r="I52" s="27" t="e">
        <f t="shared" ca="1" si="9"/>
        <v>#NUM!</v>
      </c>
      <c r="J52" s="27" t="e">
        <f t="shared" ca="1" si="7"/>
        <v>#NUM!</v>
      </c>
      <c r="K52" s="29" t="e">
        <f t="shared" ca="1" si="4"/>
        <v>#NUM!</v>
      </c>
      <c r="L52" s="27" t="e">
        <f t="shared" ca="1" si="5"/>
        <v>#NUM!</v>
      </c>
      <c r="M52" s="27" t="e">
        <f t="shared" ca="1" si="6"/>
        <v>#NUM!</v>
      </c>
    </row>
    <row r="53" spans="4:19" x14ac:dyDescent="0.15">
      <c r="D53" s="19" t="e">
        <f t="shared" ca="1" si="8"/>
        <v>#NUM!</v>
      </c>
      <c r="E53" s="25" t="e">
        <f t="shared" ca="1" si="1"/>
        <v>#NUM!</v>
      </c>
      <c r="F53" s="25" t="e">
        <f t="shared" ca="1" si="2"/>
        <v>#NUM!</v>
      </c>
      <c r="G53" s="25" t="e">
        <f t="shared" ca="1" si="0"/>
        <v>#NUM!</v>
      </c>
      <c r="H53" s="26" t="e">
        <f t="shared" ca="1" si="3"/>
        <v>#NUM!</v>
      </c>
      <c r="I53" s="27" t="e">
        <f t="shared" ca="1" si="9"/>
        <v>#NUM!</v>
      </c>
      <c r="J53" s="27" t="e">
        <f t="shared" ca="1" si="7"/>
        <v>#NUM!</v>
      </c>
      <c r="K53" s="29" t="e">
        <f t="shared" ca="1" si="4"/>
        <v>#NUM!</v>
      </c>
      <c r="L53" s="27" t="e">
        <f t="shared" ca="1" si="5"/>
        <v>#NUM!</v>
      </c>
      <c r="M53" s="27" t="e">
        <f t="shared" ca="1" si="6"/>
        <v>#NUM!</v>
      </c>
    </row>
    <row r="54" spans="4:19" x14ac:dyDescent="0.15">
      <c r="D54" s="19" t="e">
        <f t="shared" ca="1" si="8"/>
        <v>#NUM!</v>
      </c>
      <c r="E54" s="25" t="e">
        <f t="shared" ca="1" si="1"/>
        <v>#NUM!</v>
      </c>
      <c r="F54" s="25" t="e">
        <f t="shared" ca="1" si="2"/>
        <v>#NUM!</v>
      </c>
      <c r="G54" s="25" t="e">
        <f t="shared" ca="1" si="0"/>
        <v>#NUM!</v>
      </c>
      <c r="H54" s="26" t="e">
        <f t="shared" ca="1" si="3"/>
        <v>#NUM!</v>
      </c>
      <c r="I54" s="27" t="e">
        <f t="shared" ca="1" si="9"/>
        <v>#NUM!</v>
      </c>
      <c r="J54" s="27" t="e">
        <f t="shared" ca="1" si="7"/>
        <v>#NUM!</v>
      </c>
      <c r="K54" s="29" t="e">
        <f t="shared" ca="1" si="4"/>
        <v>#NUM!</v>
      </c>
      <c r="L54" s="27" t="e">
        <f t="shared" ca="1" si="5"/>
        <v>#NUM!</v>
      </c>
      <c r="M54" s="27" t="e">
        <f t="shared" ca="1" si="6"/>
        <v>#NUM!</v>
      </c>
    </row>
    <row r="55" spans="4:19" x14ac:dyDescent="0.15">
      <c r="D55" s="8"/>
      <c r="E55" s="8"/>
      <c r="F55" s="8"/>
      <c r="G55" s="8"/>
      <c r="H55" s="8"/>
      <c r="I55" s="8"/>
      <c r="J55" s="8"/>
      <c r="K55" s="8"/>
      <c r="L55" s="8"/>
      <c r="M55" s="8"/>
      <c r="R55" s="8"/>
      <c r="S55" s="8"/>
    </row>
    <row r="56" spans="4:19" x14ac:dyDescent="0.15">
      <c r="D56" s="8"/>
      <c r="E56" s="8"/>
      <c r="F56" s="8"/>
      <c r="G56" s="8"/>
      <c r="H56" s="8"/>
      <c r="I56" s="8"/>
      <c r="J56" s="8"/>
      <c r="K56" s="8"/>
      <c r="L56" s="8"/>
      <c r="M56" s="8"/>
      <c r="R56" s="8"/>
      <c r="S56" s="8"/>
    </row>
    <row r="57" spans="4:19" x14ac:dyDescent="0.15">
      <c r="D57" s="8"/>
      <c r="E57" s="8"/>
      <c r="F57" s="8"/>
      <c r="G57" s="8"/>
      <c r="H57" s="8"/>
      <c r="I57" s="8"/>
      <c r="J57" s="8"/>
      <c r="K57" s="8"/>
      <c r="L57" s="8"/>
      <c r="M57" s="8"/>
      <c r="R57" s="8"/>
      <c r="S57" s="8"/>
    </row>
    <row r="58" spans="4:19" x14ac:dyDescent="0.15">
      <c r="D58" s="8"/>
      <c r="E58" s="8"/>
      <c r="F58" s="8"/>
      <c r="G58" s="8"/>
      <c r="H58" s="8"/>
      <c r="I58" s="8"/>
      <c r="J58" s="8"/>
      <c r="K58" s="8"/>
      <c r="L58" s="8"/>
      <c r="M58" s="8"/>
      <c r="R58" s="8"/>
      <c r="S58" s="8"/>
    </row>
    <row r="59" spans="4:19" x14ac:dyDescent="0.15">
      <c r="D59" s="8"/>
      <c r="E59" s="8"/>
      <c r="F59" s="8"/>
      <c r="G59" s="8"/>
      <c r="H59" s="8"/>
      <c r="I59" s="8"/>
      <c r="J59" s="8"/>
      <c r="K59" s="8"/>
      <c r="L59" s="8"/>
      <c r="M59" s="8"/>
      <c r="R59" s="8"/>
      <c r="S59" s="8"/>
    </row>
    <row r="60" spans="4:19" x14ac:dyDescent="0.15">
      <c r="D60" s="8"/>
      <c r="E60" s="8"/>
      <c r="F60" s="8"/>
      <c r="G60" s="8"/>
      <c r="H60" s="8"/>
      <c r="I60" s="8"/>
      <c r="J60" s="8"/>
      <c r="K60" s="8"/>
      <c r="L60" s="8"/>
      <c r="M60" s="8"/>
      <c r="R60" s="8"/>
      <c r="S60" s="8"/>
    </row>
    <row r="61" spans="4:19" x14ac:dyDescent="0.15">
      <c r="D61" s="8"/>
      <c r="E61" s="8"/>
      <c r="F61" s="8"/>
      <c r="G61" s="8"/>
      <c r="H61" s="8"/>
      <c r="I61" s="8"/>
      <c r="J61" s="8"/>
      <c r="K61" s="8"/>
      <c r="L61" s="8"/>
      <c r="M61" s="8"/>
      <c r="R61" s="8"/>
      <c r="S61" s="8"/>
    </row>
  </sheetData>
  <mergeCells count="6">
    <mergeCell ref="A19:B19"/>
    <mergeCell ref="O1:P1"/>
    <mergeCell ref="R1:S1"/>
    <mergeCell ref="A11:B11"/>
    <mergeCell ref="S14:S15"/>
    <mergeCell ref="S16:S17"/>
  </mergeCells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48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Drop Down 5">
              <controlPr defaultSize="0" autoFill="0" autoLine="0" autoPict="0">
                <anchor moveWithCells="1">
                  <from>
                    <xdr:col>0</xdr:col>
                    <xdr:colOff>1244600</xdr:colOff>
                    <xdr:row>0</xdr:row>
                    <xdr:rowOff>25400</xdr:rowOff>
                  </from>
                  <to>
                    <xdr:col>1</xdr:col>
                    <xdr:colOff>952500</xdr:colOff>
                    <xdr:row>0</xdr:row>
                    <xdr:rowOff>254000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5"/>
  <sheetViews>
    <sheetView showGridLines="0" tabSelected="1" topLeftCell="B1" zoomScale="183" zoomScaleNormal="100" zoomScalePageLayoutView="130" workbookViewId="0">
      <selection activeCell="C7" sqref="C7"/>
    </sheetView>
  </sheetViews>
  <sheetFormatPr baseColWidth="10" defaultColWidth="10.6640625" defaultRowHeight="14" x14ac:dyDescent="0.15"/>
  <cols>
    <col min="1" max="1" width="3.33203125" style="1" bestFit="1" customWidth="1"/>
    <col min="2" max="2" width="26.5" style="1" bestFit="1" customWidth="1"/>
    <col min="3" max="3" width="10.6640625" style="1" bestFit="1" customWidth="1"/>
    <col min="4" max="4" width="13.5" style="1" bestFit="1" customWidth="1"/>
    <col min="5" max="5" width="9" style="1" bestFit="1" customWidth="1"/>
    <col min="6" max="6" width="9" style="1" customWidth="1"/>
    <col min="7" max="7" width="9.6640625" style="1" bestFit="1" customWidth="1"/>
    <col min="8" max="8" width="10.6640625" style="1"/>
    <col min="9" max="9" width="13.5" style="1" bestFit="1" customWidth="1"/>
    <col min="10" max="10" width="13.6640625" style="1" bestFit="1" customWidth="1"/>
    <col min="11" max="16384" width="10.6640625" style="1"/>
  </cols>
  <sheetData>
    <row r="1" spans="1:7" x14ac:dyDescent="0.15">
      <c r="A1" s="66"/>
      <c r="B1" s="67" t="s">
        <v>6</v>
      </c>
      <c r="C1" s="67" t="s">
        <v>0</v>
      </c>
      <c r="D1" s="67" t="s">
        <v>5</v>
      </c>
      <c r="E1" s="67" t="s">
        <v>7</v>
      </c>
      <c r="F1" s="68" t="s">
        <v>3</v>
      </c>
    </row>
    <row r="2" spans="1:7" x14ac:dyDescent="0.15">
      <c r="A2" s="69">
        <v>1</v>
      </c>
      <c r="B2" s="70" t="s">
        <v>122</v>
      </c>
      <c r="C2" s="71">
        <v>5.8500000000000003E-2</v>
      </c>
      <c r="D2" s="72">
        <v>44592</v>
      </c>
      <c r="E2" s="73">
        <v>107.404</v>
      </c>
      <c r="F2" s="73">
        <v>-0.56100000000000005</v>
      </c>
      <c r="G2" s="127" t="str">
        <f t="shared" ref="G2:G33" ca="1" si="0">IF(D2&lt;TODAY(),"BORRAR","OK")</f>
        <v>OK</v>
      </c>
    </row>
    <row r="3" spans="1:7" x14ac:dyDescent="0.15">
      <c r="A3" s="69">
        <v>2</v>
      </c>
      <c r="B3" s="70" t="s">
        <v>111</v>
      </c>
      <c r="C3" s="71">
        <v>5.4000000000000006E-2</v>
      </c>
      <c r="D3" s="72">
        <v>44957</v>
      </c>
      <c r="E3" s="73">
        <v>112.89</v>
      </c>
      <c r="F3" s="73">
        <v>-0.54900000000000004</v>
      </c>
      <c r="G3" s="127" t="str">
        <f t="shared" ca="1" si="0"/>
        <v>OK</v>
      </c>
    </row>
    <row r="4" spans="1:7" x14ac:dyDescent="0.15">
      <c r="A4" s="69">
        <v>3</v>
      </c>
      <c r="B4" s="70" t="s">
        <v>112</v>
      </c>
      <c r="C4" s="71">
        <v>2.5000000000000001E-3</v>
      </c>
      <c r="D4" s="72">
        <v>45503</v>
      </c>
      <c r="E4" s="73">
        <v>102.773</v>
      </c>
      <c r="F4" s="73">
        <v>-0.503</v>
      </c>
      <c r="G4" s="127" t="str">
        <f t="shared" ca="1" si="0"/>
        <v>OK</v>
      </c>
    </row>
    <row r="5" spans="1:7" x14ac:dyDescent="0.15">
      <c r="A5" s="69">
        <v>4</v>
      </c>
      <c r="B5" s="70" t="s">
        <v>113</v>
      </c>
      <c r="C5" s="71">
        <v>1.6E-2</v>
      </c>
      <c r="D5" s="72">
        <v>45777</v>
      </c>
      <c r="E5" s="73">
        <v>109.102</v>
      </c>
      <c r="F5" s="73">
        <v>-0.44700000000000001</v>
      </c>
      <c r="G5" s="127" t="str">
        <f t="shared" ca="1" si="0"/>
        <v>OK</v>
      </c>
    </row>
    <row r="6" spans="1:7" x14ac:dyDescent="0.15">
      <c r="A6" s="69">
        <v>5</v>
      </c>
      <c r="B6" s="70" t="s">
        <v>114</v>
      </c>
      <c r="C6" s="71">
        <v>1.95E-2</v>
      </c>
      <c r="D6" s="72">
        <v>46142</v>
      </c>
      <c r="E6" s="73">
        <v>112.64100000000001</v>
      </c>
      <c r="F6" s="73">
        <v>-0.36699999999999999</v>
      </c>
      <c r="G6" s="127" t="str">
        <f t="shared" ca="1" si="0"/>
        <v>OK</v>
      </c>
    </row>
    <row r="7" spans="1:7" x14ac:dyDescent="0.15">
      <c r="A7" s="69">
        <v>6</v>
      </c>
      <c r="B7" s="70" t="s">
        <v>115</v>
      </c>
      <c r="C7" s="71">
        <v>1.4999999999999999E-2</v>
      </c>
      <c r="D7" s="72">
        <v>46507</v>
      </c>
      <c r="E7" s="73">
        <v>111.52500000000001</v>
      </c>
      <c r="F7" s="73">
        <v>-0.28399999999999997</v>
      </c>
      <c r="G7" s="127" t="str">
        <f t="shared" ca="1" si="0"/>
        <v>OK</v>
      </c>
    </row>
    <row r="8" spans="1:7" x14ac:dyDescent="0.15">
      <c r="A8" s="69">
        <v>7</v>
      </c>
      <c r="B8" s="70" t="s">
        <v>116</v>
      </c>
      <c r="C8" s="71">
        <v>1.4000000000000002E-2</v>
      </c>
      <c r="D8" s="72">
        <v>46873</v>
      </c>
      <c r="E8" s="73">
        <v>111.629</v>
      </c>
      <c r="F8" s="73">
        <v>-0.16200000000000001</v>
      </c>
      <c r="G8" s="127" t="str">
        <f t="shared" ca="1" si="0"/>
        <v>OK</v>
      </c>
    </row>
    <row r="9" spans="1:7" x14ac:dyDescent="0.15">
      <c r="A9" s="69">
        <v>8</v>
      </c>
      <c r="B9" s="70" t="s">
        <v>117</v>
      </c>
      <c r="C9" s="71">
        <v>6.000000000000001E-3</v>
      </c>
      <c r="D9" s="72">
        <v>47422</v>
      </c>
      <c r="E9" s="73">
        <v>105.595</v>
      </c>
      <c r="F9" s="73">
        <v>-2.9000000000000001E-2</v>
      </c>
      <c r="G9" s="127" t="str">
        <f t="shared" ca="1" si="0"/>
        <v>OK</v>
      </c>
    </row>
    <row r="10" spans="1:7" x14ac:dyDescent="0.15">
      <c r="A10" s="69">
        <v>9</v>
      </c>
      <c r="B10" s="70" t="s">
        <v>118</v>
      </c>
      <c r="C10" s="71">
        <v>1.8500000000000003E-2</v>
      </c>
      <c r="D10" s="72">
        <v>49520</v>
      </c>
      <c r="E10" s="73">
        <v>120.72499999999999</v>
      </c>
      <c r="F10" s="73">
        <v>2.4E-2</v>
      </c>
      <c r="G10" s="127" t="str">
        <f t="shared" ca="1" si="0"/>
        <v>OK</v>
      </c>
    </row>
    <row r="11" spans="1:7" x14ac:dyDescent="0.15">
      <c r="A11" s="69">
        <v>10</v>
      </c>
      <c r="B11" s="70" t="s">
        <v>119</v>
      </c>
      <c r="C11" s="71">
        <v>4.2000000000000003E-2</v>
      </c>
      <c r="D11" s="72">
        <v>50071</v>
      </c>
      <c r="E11" s="73">
        <v>158.708</v>
      </c>
      <c r="F11" s="73">
        <v>0.42899999999999999</v>
      </c>
      <c r="G11" s="127" t="str">
        <f t="shared" ca="1" si="0"/>
        <v>OK</v>
      </c>
    </row>
    <row r="12" spans="1:7" x14ac:dyDescent="0.15">
      <c r="A12" s="69">
        <v>11</v>
      </c>
      <c r="B12" s="70" t="s">
        <v>120</v>
      </c>
      <c r="C12" s="71">
        <v>5.1500000000000004E-2</v>
      </c>
      <c r="D12" s="72">
        <v>52901</v>
      </c>
      <c r="E12" s="73">
        <v>196.51</v>
      </c>
      <c r="F12" s="73">
        <v>0.73299999999999998</v>
      </c>
      <c r="G12" s="127" t="str">
        <f t="shared" ca="1" si="0"/>
        <v>OK</v>
      </c>
    </row>
    <row r="13" spans="1:7" x14ac:dyDescent="0.15">
      <c r="A13" s="69">
        <v>12</v>
      </c>
      <c r="B13" s="70" t="s">
        <v>121</v>
      </c>
      <c r="C13" s="71">
        <v>2.7000000000000003E-2</v>
      </c>
      <c r="D13" s="72">
        <v>54362</v>
      </c>
      <c r="E13" s="73">
        <v>145.98699999999999</v>
      </c>
      <c r="F13" s="73">
        <v>0.84299999999999997</v>
      </c>
      <c r="G13" s="127" t="str">
        <f t="shared" ca="1" si="0"/>
        <v>OK</v>
      </c>
    </row>
    <row r="14" spans="1:7" x14ac:dyDescent="0.15">
      <c r="A14" s="69">
        <v>13</v>
      </c>
      <c r="B14" s="70"/>
      <c r="C14" s="71"/>
      <c r="D14" s="72"/>
      <c r="E14" s="73"/>
      <c r="F14" s="73"/>
      <c r="G14" s="127" t="str">
        <f t="shared" ca="1" si="0"/>
        <v>BORRAR</v>
      </c>
    </row>
    <row r="15" spans="1:7" x14ac:dyDescent="0.15">
      <c r="A15" s="69">
        <v>14</v>
      </c>
      <c r="B15" s="70"/>
      <c r="C15" s="71"/>
      <c r="D15" s="72"/>
      <c r="E15" s="73"/>
      <c r="F15" s="73"/>
      <c r="G15" s="127" t="str">
        <f t="shared" ca="1" si="0"/>
        <v>BORRAR</v>
      </c>
    </row>
    <row r="16" spans="1:7" x14ac:dyDescent="0.15">
      <c r="A16" s="69">
        <v>15</v>
      </c>
      <c r="B16" s="70"/>
      <c r="C16" s="71"/>
      <c r="D16" s="72"/>
      <c r="E16" s="73"/>
      <c r="F16" s="73"/>
      <c r="G16" s="127" t="str">
        <f t="shared" ca="1" si="0"/>
        <v>BORRAR</v>
      </c>
    </row>
    <row r="17" spans="1:7" x14ac:dyDescent="0.15">
      <c r="A17" s="69">
        <v>16</v>
      </c>
      <c r="B17" s="70"/>
      <c r="C17" s="71"/>
      <c r="D17" s="72"/>
      <c r="E17" s="73"/>
      <c r="F17" s="73"/>
      <c r="G17" s="127" t="str">
        <f t="shared" ca="1" si="0"/>
        <v>BORRAR</v>
      </c>
    </row>
    <row r="18" spans="1:7" x14ac:dyDescent="0.15">
      <c r="A18" s="69">
        <v>17</v>
      </c>
      <c r="B18" s="70"/>
      <c r="C18" s="71"/>
      <c r="D18" s="72"/>
      <c r="E18" s="73"/>
      <c r="F18" s="73"/>
      <c r="G18" s="127" t="str">
        <f t="shared" ca="1" si="0"/>
        <v>BORRAR</v>
      </c>
    </row>
    <row r="19" spans="1:7" x14ac:dyDescent="0.15">
      <c r="A19" s="69">
        <v>18</v>
      </c>
      <c r="B19" s="70"/>
      <c r="C19" s="71"/>
      <c r="D19" s="72"/>
      <c r="E19" s="73"/>
      <c r="F19" s="73"/>
      <c r="G19" s="127" t="str">
        <f t="shared" ca="1" si="0"/>
        <v>BORRAR</v>
      </c>
    </row>
    <row r="20" spans="1:7" x14ac:dyDescent="0.15">
      <c r="A20" s="69">
        <v>19</v>
      </c>
      <c r="B20" s="70"/>
      <c r="C20" s="71"/>
      <c r="D20" s="72"/>
      <c r="E20" s="73"/>
      <c r="F20" s="73"/>
      <c r="G20" s="127" t="str">
        <f t="shared" ca="1" si="0"/>
        <v>BORRAR</v>
      </c>
    </row>
    <row r="21" spans="1:7" x14ac:dyDescent="0.15">
      <c r="A21" s="69">
        <v>20</v>
      </c>
      <c r="B21" s="70"/>
      <c r="C21" s="71"/>
      <c r="D21" s="72"/>
      <c r="E21" s="73"/>
      <c r="F21" s="73"/>
      <c r="G21" s="127" t="str">
        <f t="shared" ca="1" si="0"/>
        <v>BORRAR</v>
      </c>
    </row>
    <row r="22" spans="1:7" x14ac:dyDescent="0.15">
      <c r="A22" s="69">
        <v>21</v>
      </c>
      <c r="B22" s="70"/>
      <c r="C22" s="71"/>
      <c r="D22" s="72"/>
      <c r="E22" s="73"/>
      <c r="F22" s="73"/>
      <c r="G22" s="127" t="str">
        <f t="shared" ca="1" si="0"/>
        <v>BORRAR</v>
      </c>
    </row>
    <row r="23" spans="1:7" x14ac:dyDescent="0.15">
      <c r="A23" s="69">
        <v>22</v>
      </c>
      <c r="B23" s="70"/>
      <c r="C23" s="71"/>
      <c r="D23" s="72"/>
      <c r="E23" s="73"/>
      <c r="F23" s="73"/>
      <c r="G23" s="127" t="str">
        <f t="shared" ca="1" si="0"/>
        <v>BORRAR</v>
      </c>
    </row>
    <row r="24" spans="1:7" x14ac:dyDescent="0.15">
      <c r="A24" s="69">
        <v>23</v>
      </c>
      <c r="B24" s="70"/>
      <c r="C24" s="71"/>
      <c r="D24" s="72"/>
      <c r="E24" s="73"/>
      <c r="F24" s="73"/>
      <c r="G24" s="127" t="str">
        <f t="shared" ca="1" si="0"/>
        <v>BORRAR</v>
      </c>
    </row>
    <row r="25" spans="1:7" x14ac:dyDescent="0.15">
      <c r="A25" s="69">
        <v>24</v>
      </c>
      <c r="B25" s="70"/>
      <c r="C25" s="71"/>
      <c r="D25" s="72"/>
      <c r="E25" s="73"/>
      <c r="F25" s="73"/>
      <c r="G25" s="127" t="str">
        <f t="shared" ca="1" si="0"/>
        <v>BORRAR</v>
      </c>
    </row>
    <row r="26" spans="1:7" x14ac:dyDescent="0.15">
      <c r="A26" s="69">
        <v>25</v>
      </c>
      <c r="B26" s="70"/>
      <c r="C26" s="71"/>
      <c r="D26" s="72"/>
      <c r="E26" s="73"/>
      <c r="F26" s="73"/>
      <c r="G26" s="127" t="str">
        <f t="shared" ca="1" si="0"/>
        <v>BORRAR</v>
      </c>
    </row>
    <row r="27" spans="1:7" x14ac:dyDescent="0.15">
      <c r="A27" s="69">
        <v>26</v>
      </c>
      <c r="B27" s="70"/>
      <c r="C27" s="71"/>
      <c r="D27" s="72"/>
      <c r="E27" s="73"/>
      <c r="F27" s="73"/>
      <c r="G27" s="127" t="str">
        <f t="shared" ca="1" si="0"/>
        <v>BORRAR</v>
      </c>
    </row>
    <row r="28" spans="1:7" x14ac:dyDescent="0.15">
      <c r="A28" s="69">
        <v>27</v>
      </c>
      <c r="B28" s="70"/>
      <c r="C28" s="71"/>
      <c r="D28" s="72"/>
      <c r="E28" s="73"/>
      <c r="F28" s="73"/>
      <c r="G28" s="127" t="str">
        <f t="shared" ca="1" si="0"/>
        <v>BORRAR</v>
      </c>
    </row>
    <row r="29" spans="1:7" x14ac:dyDescent="0.15">
      <c r="A29" s="69">
        <v>28</v>
      </c>
      <c r="B29" s="70"/>
      <c r="C29" s="71"/>
      <c r="D29" s="72"/>
      <c r="E29" s="73"/>
      <c r="F29" s="73"/>
      <c r="G29" s="127" t="str">
        <f t="shared" ca="1" si="0"/>
        <v>BORRAR</v>
      </c>
    </row>
    <row r="30" spans="1:7" x14ac:dyDescent="0.15">
      <c r="A30" s="69">
        <v>29</v>
      </c>
      <c r="B30" s="70"/>
      <c r="C30" s="71"/>
      <c r="D30" s="72"/>
      <c r="E30" s="73"/>
      <c r="F30" s="73"/>
      <c r="G30" s="127" t="str">
        <f t="shared" ca="1" si="0"/>
        <v>BORRAR</v>
      </c>
    </row>
    <row r="31" spans="1:7" x14ac:dyDescent="0.15">
      <c r="A31" s="69">
        <v>30</v>
      </c>
      <c r="B31" s="70"/>
      <c r="C31" s="71"/>
      <c r="D31" s="72"/>
      <c r="E31" s="73"/>
      <c r="F31" s="73"/>
      <c r="G31" s="127" t="str">
        <f t="shared" ca="1" si="0"/>
        <v>BORRAR</v>
      </c>
    </row>
    <row r="32" spans="1:7" x14ac:dyDescent="0.15">
      <c r="A32" s="69">
        <v>31</v>
      </c>
      <c r="B32" s="70"/>
      <c r="C32" s="71"/>
      <c r="D32" s="72"/>
      <c r="E32" s="73"/>
      <c r="F32" s="73"/>
      <c r="G32" s="127" t="str">
        <f t="shared" ca="1" si="0"/>
        <v>BORRAR</v>
      </c>
    </row>
    <row r="33" spans="1:7" x14ac:dyDescent="0.15">
      <c r="A33" s="69">
        <v>32</v>
      </c>
      <c r="B33" s="70"/>
      <c r="C33" s="71"/>
      <c r="D33" s="72"/>
      <c r="E33" s="73"/>
      <c r="F33" s="73"/>
      <c r="G33" s="127" t="str">
        <f t="shared" ca="1" si="0"/>
        <v>BORRAR</v>
      </c>
    </row>
    <row r="34" spans="1:7" x14ac:dyDescent="0.15">
      <c r="A34" s="69">
        <v>33</v>
      </c>
      <c r="B34" s="70"/>
      <c r="C34" s="71"/>
      <c r="D34" s="72"/>
      <c r="E34" s="73"/>
      <c r="F34" s="73"/>
      <c r="G34" s="127" t="str">
        <f t="shared" ref="G34:G66" ca="1" si="1">IF(D34&lt;TODAY(),"BORRAR","OK")</f>
        <v>BORRAR</v>
      </c>
    </row>
    <row r="35" spans="1:7" x14ac:dyDescent="0.15">
      <c r="A35" s="69">
        <v>34</v>
      </c>
      <c r="B35" s="70"/>
      <c r="C35" s="71"/>
      <c r="D35" s="72"/>
      <c r="E35" s="73"/>
      <c r="F35" s="73"/>
      <c r="G35" s="127" t="str">
        <f t="shared" ca="1" si="1"/>
        <v>BORRAR</v>
      </c>
    </row>
    <row r="36" spans="1:7" x14ac:dyDescent="0.15">
      <c r="A36" s="69">
        <v>35</v>
      </c>
      <c r="B36" s="70"/>
      <c r="C36" s="71"/>
      <c r="D36" s="72"/>
      <c r="E36" s="73"/>
      <c r="F36" s="73"/>
      <c r="G36" s="127" t="str">
        <f t="shared" ca="1" si="1"/>
        <v>BORRAR</v>
      </c>
    </row>
    <row r="37" spans="1:7" x14ac:dyDescent="0.15">
      <c r="A37" s="69">
        <v>36</v>
      </c>
      <c r="B37" s="70"/>
      <c r="C37" s="71"/>
      <c r="D37" s="72"/>
      <c r="E37" s="73"/>
      <c r="F37" s="73"/>
      <c r="G37" s="127" t="str">
        <f t="shared" ca="1" si="1"/>
        <v>BORRAR</v>
      </c>
    </row>
    <row r="38" spans="1:7" x14ac:dyDescent="0.15">
      <c r="A38" s="69">
        <v>37</v>
      </c>
      <c r="B38" s="70"/>
      <c r="C38" s="71"/>
      <c r="D38" s="72"/>
      <c r="E38" s="73"/>
      <c r="F38" s="73"/>
      <c r="G38" s="127" t="str">
        <f t="shared" ca="1" si="1"/>
        <v>BORRAR</v>
      </c>
    </row>
    <row r="39" spans="1:7" x14ac:dyDescent="0.15">
      <c r="A39" s="69">
        <v>38</v>
      </c>
      <c r="B39" s="70"/>
      <c r="C39" s="71"/>
      <c r="D39" s="72"/>
      <c r="E39" s="73"/>
      <c r="F39" s="73"/>
      <c r="G39" s="127" t="str">
        <f t="shared" ca="1" si="1"/>
        <v>BORRAR</v>
      </c>
    </row>
    <row r="40" spans="1:7" x14ac:dyDescent="0.15">
      <c r="A40" s="69">
        <v>39</v>
      </c>
      <c r="B40" s="70"/>
      <c r="C40" s="71"/>
      <c r="D40" s="72"/>
      <c r="E40" s="73"/>
      <c r="F40" s="73"/>
      <c r="G40" s="127" t="str">
        <f t="shared" ca="1" si="1"/>
        <v>BORRAR</v>
      </c>
    </row>
    <row r="41" spans="1:7" x14ac:dyDescent="0.15">
      <c r="A41" s="69">
        <v>40</v>
      </c>
      <c r="B41" s="70"/>
      <c r="C41" s="71"/>
      <c r="D41" s="72"/>
      <c r="E41" s="73"/>
      <c r="F41" s="73"/>
      <c r="G41" s="127" t="str">
        <f t="shared" ca="1" si="1"/>
        <v>BORRAR</v>
      </c>
    </row>
    <row r="42" spans="1:7" x14ac:dyDescent="0.15">
      <c r="A42" s="69">
        <v>41</v>
      </c>
      <c r="B42" s="70"/>
      <c r="C42" s="71"/>
      <c r="D42" s="72"/>
      <c r="E42" s="73"/>
      <c r="F42" s="73"/>
      <c r="G42" s="127" t="str">
        <f t="shared" ca="1" si="1"/>
        <v>BORRAR</v>
      </c>
    </row>
    <row r="43" spans="1:7" x14ac:dyDescent="0.15">
      <c r="A43" s="69">
        <v>42</v>
      </c>
      <c r="B43" s="70"/>
      <c r="C43" s="71"/>
      <c r="D43" s="72"/>
      <c r="E43" s="73"/>
      <c r="F43" s="73"/>
      <c r="G43" s="127" t="str">
        <f t="shared" ca="1" si="1"/>
        <v>BORRAR</v>
      </c>
    </row>
    <row r="44" spans="1:7" x14ac:dyDescent="0.15">
      <c r="A44" s="69">
        <v>43</v>
      </c>
      <c r="B44" s="70"/>
      <c r="C44" s="71"/>
      <c r="D44" s="72"/>
      <c r="E44" s="73"/>
      <c r="F44" s="73"/>
      <c r="G44" s="127" t="str">
        <f t="shared" ca="1" si="1"/>
        <v>BORRAR</v>
      </c>
    </row>
    <row r="45" spans="1:7" x14ac:dyDescent="0.15">
      <c r="A45" s="69">
        <v>44</v>
      </c>
      <c r="B45" s="70"/>
      <c r="C45" s="71"/>
      <c r="D45" s="72"/>
      <c r="E45" s="73"/>
      <c r="F45" s="73"/>
      <c r="G45" s="127" t="str">
        <f t="shared" ca="1" si="1"/>
        <v>BORRAR</v>
      </c>
    </row>
    <row r="46" spans="1:7" x14ac:dyDescent="0.15">
      <c r="A46" s="69">
        <v>45</v>
      </c>
      <c r="B46" s="70"/>
      <c r="C46" s="71"/>
      <c r="D46" s="72"/>
      <c r="E46" s="73"/>
      <c r="F46" s="73"/>
      <c r="G46" s="127" t="str">
        <f t="shared" ca="1" si="1"/>
        <v>BORRAR</v>
      </c>
    </row>
    <row r="47" spans="1:7" x14ac:dyDescent="0.15">
      <c r="A47" s="69">
        <v>46</v>
      </c>
      <c r="B47" s="70"/>
      <c r="C47" s="71"/>
      <c r="D47" s="72"/>
      <c r="E47" s="73"/>
      <c r="F47" s="73"/>
      <c r="G47" s="127" t="str">
        <f t="shared" ca="1" si="1"/>
        <v>BORRAR</v>
      </c>
    </row>
    <row r="48" spans="1:7" x14ac:dyDescent="0.15">
      <c r="A48" s="69">
        <v>47</v>
      </c>
      <c r="B48" s="70"/>
      <c r="C48" s="71"/>
      <c r="D48" s="72"/>
      <c r="E48" s="73"/>
      <c r="F48" s="73"/>
      <c r="G48" s="127" t="str">
        <f t="shared" ca="1" si="1"/>
        <v>BORRAR</v>
      </c>
    </row>
    <row r="49" spans="1:7" x14ac:dyDescent="0.15">
      <c r="A49" s="69">
        <v>48</v>
      </c>
      <c r="B49" s="70"/>
      <c r="C49" s="71"/>
      <c r="D49" s="72"/>
      <c r="E49" s="73"/>
      <c r="F49" s="73"/>
      <c r="G49" s="127" t="str">
        <f t="shared" ca="1" si="1"/>
        <v>BORRAR</v>
      </c>
    </row>
    <row r="50" spans="1:7" x14ac:dyDescent="0.15">
      <c r="A50" s="69">
        <v>49</v>
      </c>
      <c r="B50" s="70"/>
      <c r="C50" s="71"/>
      <c r="D50" s="72"/>
      <c r="E50" s="73"/>
      <c r="F50" s="73"/>
      <c r="G50" s="127" t="str">
        <f t="shared" ca="1" si="1"/>
        <v>BORRAR</v>
      </c>
    </row>
    <row r="51" spans="1:7" x14ac:dyDescent="0.15">
      <c r="A51" s="69">
        <v>50</v>
      </c>
      <c r="B51" s="70"/>
      <c r="C51" s="71"/>
      <c r="D51" s="72"/>
      <c r="E51" s="73"/>
      <c r="F51" s="73"/>
      <c r="G51" s="127" t="str">
        <f t="shared" ca="1" si="1"/>
        <v>BORRAR</v>
      </c>
    </row>
    <row r="52" spans="1:7" x14ac:dyDescent="0.15">
      <c r="A52" s="69">
        <v>51</v>
      </c>
      <c r="B52" s="70"/>
      <c r="C52" s="71"/>
      <c r="D52" s="72"/>
      <c r="E52" s="73"/>
      <c r="F52" s="73"/>
      <c r="G52" s="127" t="str">
        <f t="shared" ca="1" si="1"/>
        <v>BORRAR</v>
      </c>
    </row>
    <row r="53" spans="1:7" x14ac:dyDescent="0.15">
      <c r="A53" s="69">
        <v>52</v>
      </c>
      <c r="B53" s="70"/>
      <c r="C53" s="71"/>
      <c r="D53" s="72"/>
      <c r="E53" s="73"/>
      <c r="F53" s="73"/>
      <c r="G53" s="127" t="str">
        <f t="shared" ca="1" si="1"/>
        <v>BORRAR</v>
      </c>
    </row>
    <row r="54" spans="1:7" x14ac:dyDescent="0.15">
      <c r="A54" s="69">
        <v>53</v>
      </c>
      <c r="B54" s="70"/>
      <c r="C54" s="71"/>
      <c r="D54" s="72"/>
      <c r="E54" s="73"/>
      <c r="F54" s="73"/>
      <c r="G54" s="127" t="str">
        <f t="shared" ca="1" si="1"/>
        <v>BORRAR</v>
      </c>
    </row>
    <row r="55" spans="1:7" x14ac:dyDescent="0.15">
      <c r="A55" s="69">
        <v>54</v>
      </c>
      <c r="B55" s="70"/>
      <c r="C55" s="71"/>
      <c r="D55" s="72"/>
      <c r="E55" s="73"/>
      <c r="F55" s="73"/>
      <c r="G55" s="127" t="str">
        <f t="shared" ca="1" si="1"/>
        <v>BORRAR</v>
      </c>
    </row>
    <row r="56" spans="1:7" x14ac:dyDescent="0.15">
      <c r="A56" s="69">
        <v>55</v>
      </c>
      <c r="B56" s="70"/>
      <c r="C56" s="71"/>
      <c r="D56" s="72"/>
      <c r="E56" s="73"/>
      <c r="F56" s="73"/>
      <c r="G56" s="127" t="str">
        <f t="shared" ca="1" si="1"/>
        <v>BORRAR</v>
      </c>
    </row>
    <row r="57" spans="1:7" x14ac:dyDescent="0.15">
      <c r="A57" s="69">
        <v>56</v>
      </c>
      <c r="B57" s="70"/>
      <c r="C57" s="71"/>
      <c r="D57" s="72"/>
      <c r="E57" s="73"/>
      <c r="F57" s="73"/>
      <c r="G57" s="127" t="str">
        <f t="shared" ca="1" si="1"/>
        <v>BORRAR</v>
      </c>
    </row>
    <row r="58" spans="1:7" x14ac:dyDescent="0.15">
      <c r="A58" s="69">
        <v>57</v>
      </c>
      <c r="B58" s="70"/>
      <c r="C58" s="71"/>
      <c r="D58" s="72"/>
      <c r="E58" s="73"/>
      <c r="F58" s="73"/>
      <c r="G58" s="127" t="str">
        <f t="shared" ca="1" si="1"/>
        <v>BORRAR</v>
      </c>
    </row>
    <row r="59" spans="1:7" x14ac:dyDescent="0.15">
      <c r="A59" s="69">
        <v>58</v>
      </c>
      <c r="B59" s="70"/>
      <c r="C59" s="71"/>
      <c r="D59" s="72"/>
      <c r="E59" s="73"/>
      <c r="F59" s="73"/>
      <c r="G59" s="127" t="str">
        <f t="shared" ca="1" si="1"/>
        <v>BORRAR</v>
      </c>
    </row>
    <row r="60" spans="1:7" x14ac:dyDescent="0.15">
      <c r="A60" s="69">
        <v>59</v>
      </c>
      <c r="B60" s="70"/>
      <c r="C60" s="71"/>
      <c r="D60" s="72"/>
      <c r="E60" s="73"/>
      <c r="F60" s="73"/>
      <c r="G60" s="127" t="str">
        <f t="shared" ca="1" si="1"/>
        <v>BORRAR</v>
      </c>
    </row>
    <row r="61" spans="1:7" x14ac:dyDescent="0.15">
      <c r="A61" s="69">
        <v>60</v>
      </c>
      <c r="B61" s="70"/>
      <c r="C61" s="71"/>
      <c r="D61" s="72"/>
      <c r="E61" s="73"/>
      <c r="F61" s="73"/>
      <c r="G61" s="127" t="str">
        <f t="shared" ca="1" si="1"/>
        <v>BORRAR</v>
      </c>
    </row>
    <row r="62" spans="1:7" x14ac:dyDescent="0.15">
      <c r="A62" s="69">
        <v>61</v>
      </c>
      <c r="B62" s="70"/>
      <c r="C62" s="71"/>
      <c r="D62" s="72"/>
      <c r="E62" s="73"/>
      <c r="F62" s="73"/>
      <c r="G62" s="127" t="str">
        <f t="shared" ca="1" si="1"/>
        <v>BORRAR</v>
      </c>
    </row>
    <row r="63" spans="1:7" x14ac:dyDescent="0.15">
      <c r="A63" s="69">
        <v>62</v>
      </c>
      <c r="B63" s="70"/>
      <c r="C63" s="71"/>
      <c r="D63" s="72"/>
      <c r="E63" s="73"/>
      <c r="F63" s="73"/>
      <c r="G63" s="127" t="str">
        <f t="shared" ca="1" si="1"/>
        <v>BORRAR</v>
      </c>
    </row>
    <row r="64" spans="1:7" x14ac:dyDescent="0.15">
      <c r="A64" s="69">
        <v>63</v>
      </c>
      <c r="B64" s="70"/>
      <c r="C64" s="71"/>
      <c r="D64" s="72"/>
      <c r="E64" s="73"/>
      <c r="F64" s="73"/>
      <c r="G64" s="127" t="str">
        <f t="shared" ca="1" si="1"/>
        <v>BORRAR</v>
      </c>
    </row>
    <row r="65" spans="1:7" x14ac:dyDescent="0.15">
      <c r="A65" s="69">
        <v>64</v>
      </c>
      <c r="B65" s="70"/>
      <c r="C65" s="71"/>
      <c r="D65" s="72"/>
      <c r="E65" s="73"/>
      <c r="F65" s="73"/>
      <c r="G65" s="127" t="str">
        <f t="shared" ca="1" si="1"/>
        <v>BORRAR</v>
      </c>
    </row>
    <row r="66" spans="1:7" x14ac:dyDescent="0.15">
      <c r="A66" s="69">
        <v>65</v>
      </c>
      <c r="B66" s="70"/>
      <c r="C66" s="71"/>
      <c r="D66" s="72"/>
      <c r="E66" s="73"/>
      <c r="F66" s="73"/>
      <c r="G66" s="127" t="str">
        <f t="shared" ca="1" si="1"/>
        <v>BORRAR</v>
      </c>
    </row>
    <row r="67" spans="1:7" x14ac:dyDescent="0.15">
      <c r="A67" s="69">
        <v>66</v>
      </c>
      <c r="B67" s="70"/>
      <c r="C67" s="71"/>
      <c r="D67" s="72"/>
      <c r="E67" s="73"/>
      <c r="F67" s="73"/>
      <c r="G67" s="127" t="str">
        <f t="shared" ref="G67:G91" ca="1" si="2">IF(D67&lt;TODAY(),"BORRAR","OK")</f>
        <v>BORRAR</v>
      </c>
    </row>
    <row r="68" spans="1:7" x14ac:dyDescent="0.15">
      <c r="A68" s="69">
        <v>67</v>
      </c>
      <c r="B68" s="70"/>
      <c r="C68" s="71"/>
      <c r="D68" s="72"/>
      <c r="E68" s="73"/>
      <c r="F68" s="73"/>
      <c r="G68" s="127" t="str">
        <f t="shared" ca="1" si="2"/>
        <v>BORRAR</v>
      </c>
    </row>
    <row r="69" spans="1:7" x14ac:dyDescent="0.15">
      <c r="A69" s="69">
        <v>68</v>
      </c>
      <c r="B69" s="70"/>
      <c r="C69" s="71"/>
      <c r="D69" s="72"/>
      <c r="E69" s="73"/>
      <c r="F69" s="73"/>
      <c r="G69" s="127" t="str">
        <f t="shared" ca="1" si="2"/>
        <v>BORRAR</v>
      </c>
    </row>
    <row r="70" spans="1:7" x14ac:dyDescent="0.15">
      <c r="A70" s="69">
        <v>69</v>
      </c>
      <c r="B70" s="70"/>
      <c r="C70" s="71"/>
      <c r="D70" s="72"/>
      <c r="E70" s="73"/>
      <c r="F70" s="73"/>
      <c r="G70" s="127" t="str">
        <f t="shared" ca="1" si="2"/>
        <v>BORRAR</v>
      </c>
    </row>
    <row r="71" spans="1:7" x14ac:dyDescent="0.15">
      <c r="A71" s="69">
        <v>70</v>
      </c>
      <c r="B71" s="70"/>
      <c r="C71" s="71"/>
      <c r="D71" s="72"/>
      <c r="E71" s="73"/>
      <c r="F71" s="73"/>
      <c r="G71" s="127" t="str">
        <f t="shared" ca="1" si="2"/>
        <v>BORRAR</v>
      </c>
    </row>
    <row r="72" spans="1:7" x14ac:dyDescent="0.15">
      <c r="A72" s="69">
        <v>71</v>
      </c>
      <c r="B72" s="70"/>
      <c r="C72" s="71"/>
      <c r="D72" s="72"/>
      <c r="E72" s="73"/>
      <c r="F72" s="73"/>
      <c r="G72" s="127" t="str">
        <f t="shared" ca="1" si="2"/>
        <v>BORRAR</v>
      </c>
    </row>
    <row r="73" spans="1:7" x14ac:dyDescent="0.15">
      <c r="A73" s="69">
        <v>72</v>
      </c>
      <c r="B73" s="70"/>
      <c r="C73" s="71"/>
      <c r="D73" s="72"/>
      <c r="E73" s="73"/>
      <c r="F73" s="73"/>
      <c r="G73" s="127" t="str">
        <f t="shared" ca="1" si="2"/>
        <v>BORRAR</v>
      </c>
    </row>
    <row r="74" spans="1:7" x14ac:dyDescent="0.15">
      <c r="A74" s="69">
        <v>73</v>
      </c>
      <c r="B74" s="70"/>
      <c r="C74" s="71"/>
      <c r="D74" s="72"/>
      <c r="E74" s="73"/>
      <c r="F74" s="73"/>
      <c r="G74" s="127" t="str">
        <f t="shared" ca="1" si="2"/>
        <v>BORRAR</v>
      </c>
    </row>
    <row r="75" spans="1:7" x14ac:dyDescent="0.15">
      <c r="A75" s="69">
        <v>74</v>
      </c>
      <c r="B75" s="70"/>
      <c r="C75" s="71"/>
      <c r="D75" s="72"/>
      <c r="E75" s="73"/>
      <c r="F75" s="73"/>
      <c r="G75" s="127" t="str">
        <f t="shared" ca="1" si="2"/>
        <v>BORRAR</v>
      </c>
    </row>
    <row r="76" spans="1:7" x14ac:dyDescent="0.15">
      <c r="A76" s="69">
        <v>75</v>
      </c>
      <c r="B76" s="70"/>
      <c r="C76" s="71"/>
      <c r="D76" s="72"/>
      <c r="E76" s="73"/>
      <c r="F76" s="73"/>
      <c r="G76" s="127" t="str">
        <f t="shared" ca="1" si="2"/>
        <v>BORRAR</v>
      </c>
    </row>
    <row r="77" spans="1:7" x14ac:dyDescent="0.15">
      <c r="A77" s="69">
        <v>76</v>
      </c>
      <c r="B77" s="70"/>
      <c r="C77" s="71"/>
      <c r="D77" s="72"/>
      <c r="E77" s="73"/>
      <c r="F77" s="73"/>
      <c r="G77" s="127" t="str">
        <f t="shared" ca="1" si="2"/>
        <v>BORRAR</v>
      </c>
    </row>
    <row r="78" spans="1:7" x14ac:dyDescent="0.15">
      <c r="A78" s="69">
        <v>77</v>
      </c>
      <c r="B78" s="70"/>
      <c r="C78" s="71"/>
      <c r="D78" s="72"/>
      <c r="E78" s="73"/>
      <c r="F78" s="73"/>
      <c r="G78" s="127" t="str">
        <f t="shared" ca="1" si="2"/>
        <v>BORRAR</v>
      </c>
    </row>
    <row r="79" spans="1:7" x14ac:dyDescent="0.15">
      <c r="A79" s="69">
        <v>78</v>
      </c>
      <c r="B79" s="70"/>
      <c r="C79" s="71"/>
      <c r="D79" s="72"/>
      <c r="E79" s="73"/>
      <c r="F79" s="73"/>
      <c r="G79" s="127" t="str">
        <f t="shared" ca="1" si="2"/>
        <v>BORRAR</v>
      </c>
    </row>
    <row r="80" spans="1:7" x14ac:dyDescent="0.15">
      <c r="A80" s="69">
        <v>79</v>
      </c>
      <c r="B80" s="70"/>
      <c r="C80" s="71"/>
      <c r="D80" s="72"/>
      <c r="E80" s="73"/>
      <c r="F80" s="73"/>
      <c r="G80" s="127" t="str">
        <f t="shared" ca="1" si="2"/>
        <v>BORRAR</v>
      </c>
    </row>
    <row r="81" spans="1:7" x14ac:dyDescent="0.15">
      <c r="A81" s="69">
        <v>80</v>
      </c>
      <c r="B81" s="70"/>
      <c r="C81" s="71"/>
      <c r="D81" s="72"/>
      <c r="E81" s="73"/>
      <c r="F81" s="73"/>
      <c r="G81" s="127" t="str">
        <f t="shared" ca="1" si="2"/>
        <v>BORRAR</v>
      </c>
    </row>
    <row r="82" spans="1:7" x14ac:dyDescent="0.15">
      <c r="A82" s="69">
        <v>81</v>
      </c>
      <c r="B82" s="70"/>
      <c r="C82" s="71"/>
      <c r="D82" s="72"/>
      <c r="E82" s="73"/>
      <c r="F82" s="73"/>
      <c r="G82" s="127" t="str">
        <f t="shared" ca="1" si="2"/>
        <v>BORRAR</v>
      </c>
    </row>
    <row r="83" spans="1:7" x14ac:dyDescent="0.15">
      <c r="A83" s="69">
        <v>82</v>
      </c>
      <c r="B83" s="70"/>
      <c r="C83" s="71"/>
      <c r="D83" s="72"/>
      <c r="E83" s="73"/>
      <c r="F83" s="73"/>
      <c r="G83" s="127" t="str">
        <f t="shared" ca="1" si="2"/>
        <v>BORRAR</v>
      </c>
    </row>
    <row r="84" spans="1:7" x14ac:dyDescent="0.15">
      <c r="A84" s="69">
        <v>83</v>
      </c>
      <c r="B84" s="70"/>
      <c r="C84" s="71"/>
      <c r="D84" s="72"/>
      <c r="E84" s="73"/>
      <c r="F84" s="73"/>
      <c r="G84" s="127" t="str">
        <f t="shared" ca="1" si="2"/>
        <v>BORRAR</v>
      </c>
    </row>
    <row r="85" spans="1:7" x14ac:dyDescent="0.15">
      <c r="A85" s="69">
        <v>84</v>
      </c>
      <c r="B85" s="70"/>
      <c r="C85" s="71"/>
      <c r="D85" s="72"/>
      <c r="E85" s="73"/>
      <c r="F85" s="73"/>
      <c r="G85" s="127" t="str">
        <f t="shared" ca="1" si="2"/>
        <v>BORRAR</v>
      </c>
    </row>
    <row r="86" spans="1:7" x14ac:dyDescent="0.15">
      <c r="A86" s="69">
        <v>85</v>
      </c>
      <c r="B86" s="70"/>
      <c r="C86" s="71"/>
      <c r="D86" s="72"/>
      <c r="E86" s="73"/>
      <c r="F86" s="73"/>
      <c r="G86" s="127" t="str">
        <f t="shared" ca="1" si="2"/>
        <v>BORRAR</v>
      </c>
    </row>
    <row r="87" spans="1:7" x14ac:dyDescent="0.15">
      <c r="A87" s="69">
        <v>86</v>
      </c>
      <c r="B87" s="70"/>
      <c r="C87" s="71"/>
      <c r="D87" s="72"/>
      <c r="E87" s="73"/>
      <c r="F87" s="73"/>
      <c r="G87" s="127" t="str">
        <f t="shared" ca="1" si="2"/>
        <v>BORRAR</v>
      </c>
    </row>
    <row r="88" spans="1:7" x14ac:dyDescent="0.15">
      <c r="A88" s="69">
        <v>87</v>
      </c>
      <c r="B88" s="70"/>
      <c r="C88" s="71"/>
      <c r="D88" s="72"/>
      <c r="E88" s="73"/>
      <c r="F88" s="73"/>
      <c r="G88" s="127" t="str">
        <f t="shared" ca="1" si="2"/>
        <v>BORRAR</v>
      </c>
    </row>
    <row r="89" spans="1:7" x14ac:dyDescent="0.15">
      <c r="A89" s="69">
        <v>88</v>
      </c>
      <c r="B89" s="70"/>
      <c r="C89" s="71"/>
      <c r="D89" s="72"/>
      <c r="E89" s="73"/>
      <c r="F89" s="73"/>
      <c r="G89" s="127" t="str">
        <f t="shared" ca="1" si="2"/>
        <v>BORRAR</v>
      </c>
    </row>
    <row r="90" spans="1:7" x14ac:dyDescent="0.15">
      <c r="A90" s="69">
        <v>89</v>
      </c>
      <c r="B90" s="70"/>
      <c r="C90" s="71"/>
      <c r="D90" s="72"/>
      <c r="E90" s="73"/>
      <c r="F90" s="73"/>
      <c r="G90" s="127" t="str">
        <f t="shared" ca="1" si="2"/>
        <v>BORRAR</v>
      </c>
    </row>
    <row r="91" spans="1:7" x14ac:dyDescent="0.15">
      <c r="A91" s="69">
        <v>90</v>
      </c>
      <c r="B91" s="70"/>
      <c r="C91" s="71"/>
      <c r="D91" s="72"/>
      <c r="E91" s="73"/>
      <c r="F91" s="73"/>
      <c r="G91" s="127" t="str">
        <f t="shared" ca="1" si="2"/>
        <v>BORRAR</v>
      </c>
    </row>
    <row r="92" spans="1:7" x14ac:dyDescent="0.15">
      <c r="A92" s="69">
        <v>91</v>
      </c>
      <c r="B92" s="70"/>
      <c r="C92" s="74"/>
      <c r="D92" s="72"/>
      <c r="E92" s="73"/>
      <c r="F92" s="73"/>
      <c r="G92" s="127" t="str">
        <f ca="1">IF(D92&lt;TODAY(),"BORRAR","OK")</f>
        <v>BORRAR</v>
      </c>
    </row>
    <row r="93" spans="1:7" x14ac:dyDescent="0.15">
      <c r="A93" s="69">
        <v>92</v>
      </c>
      <c r="B93" s="70"/>
      <c r="C93" s="74"/>
      <c r="D93" s="72"/>
      <c r="E93" s="73"/>
      <c r="F93" s="73"/>
      <c r="G93" s="127" t="str">
        <f ca="1">IF(D93&lt;TODAY(),"BORRAR","OK")</f>
        <v>BORRAR</v>
      </c>
    </row>
    <row r="94" spans="1:7" x14ac:dyDescent="0.15">
      <c r="A94" s="69">
        <v>93</v>
      </c>
      <c r="B94" s="70"/>
      <c r="C94" s="74"/>
      <c r="D94" s="72"/>
      <c r="E94" s="73"/>
      <c r="F94" s="73"/>
      <c r="G94" s="127" t="str">
        <f ca="1">IF(D94&lt;TODAY(),"BORRAR","OK")</f>
        <v>BORRAR</v>
      </c>
    </row>
    <row r="95" spans="1:7" x14ac:dyDescent="0.15">
      <c r="A95" s="69">
        <v>94</v>
      </c>
      <c r="B95" s="70"/>
      <c r="C95" s="74"/>
      <c r="D95" s="72"/>
      <c r="E95" s="73"/>
      <c r="F95" s="73"/>
      <c r="G95" s="127" t="str">
        <f ca="1">IF(D95&lt;TODAY(),"BORRAR","OK")</f>
        <v>BORRAR</v>
      </c>
    </row>
  </sheetData>
  <phoneticPr fontId="48" type="noConversion"/>
  <conditionalFormatting sqref="G2:G95">
    <cfRule type="cellIs" dxfId="1" priority="1" operator="equal">
      <formula>"OK"</formula>
    </cfRule>
    <cfRule type="cellIs" dxfId="0" priority="2" operator="equal">
      <formula>"BORRAR"</formula>
    </cfRule>
  </conditionalFormatting>
  <pageMargins left="0.75" right="0.75" top="1" bottom="1" header="0" footer="0"/>
  <pageSetup paperSize="9" orientation="portrait" horizontalDpi="180" verticalDpi="180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2"/>
  <sheetViews>
    <sheetView showGridLines="0" zoomScale="156" zoomScaleNormal="100" zoomScalePageLayoutView="150" workbookViewId="0">
      <selection activeCell="E32" sqref="E32"/>
    </sheetView>
  </sheetViews>
  <sheetFormatPr baseColWidth="10" defaultColWidth="11.5" defaultRowHeight="14" x14ac:dyDescent="0.15"/>
  <cols>
    <col min="1" max="1" width="43.1640625" style="75" bestFit="1" customWidth="1"/>
    <col min="2" max="2" width="16.5" style="75" bestFit="1" customWidth="1"/>
    <col min="3" max="3" width="11.5" style="75"/>
    <col min="4" max="4" width="43.1640625" style="75" bestFit="1" customWidth="1"/>
    <col min="5" max="5" width="17" style="75" bestFit="1" customWidth="1"/>
    <col min="6" max="6" width="4" style="75" bestFit="1" customWidth="1"/>
    <col min="7" max="9" width="11.5" style="75"/>
    <col min="10" max="10" width="21.6640625" style="75" bestFit="1" customWidth="1"/>
    <col min="11" max="12" width="12" style="75" bestFit="1" customWidth="1"/>
    <col min="13" max="13" width="22" style="75" bestFit="1" customWidth="1"/>
    <col min="14" max="16384" width="11.5" style="75"/>
  </cols>
  <sheetData>
    <row r="1" spans="1:15" ht="26" x14ac:dyDescent="0.15">
      <c r="A1" s="139" t="s">
        <v>68</v>
      </c>
      <c r="B1" s="139"/>
      <c r="C1" s="139"/>
      <c r="D1" s="139"/>
      <c r="E1" s="139"/>
    </row>
    <row r="3" spans="1:15" s="76" customFormat="1" ht="15" x14ac:dyDescent="0.15">
      <c r="A3" s="140" t="s">
        <v>69</v>
      </c>
      <c r="B3" s="140"/>
      <c r="C3" s="75"/>
      <c r="D3" s="140" t="s">
        <v>70</v>
      </c>
      <c r="E3" s="140"/>
    </row>
    <row r="4" spans="1:15" x14ac:dyDescent="0.15">
      <c r="A4" s="77" t="s">
        <v>5</v>
      </c>
      <c r="B4" s="78">
        <v>47238</v>
      </c>
      <c r="D4" s="77" t="s">
        <v>5</v>
      </c>
      <c r="E4" s="78">
        <f>+B4</f>
        <v>47238</v>
      </c>
    </row>
    <row r="5" spans="1:15" x14ac:dyDescent="0.15">
      <c r="A5" s="77" t="s">
        <v>0</v>
      </c>
      <c r="B5" s="79">
        <v>1.4500000000000001E-2</v>
      </c>
      <c r="D5" s="77" t="s">
        <v>0</v>
      </c>
      <c r="E5" s="79">
        <f>+B5</f>
        <v>1.4500000000000001E-2</v>
      </c>
    </row>
    <row r="6" spans="1:15" x14ac:dyDescent="0.15">
      <c r="A6" s="80" t="s">
        <v>36</v>
      </c>
      <c r="B6" s="78">
        <f ca="1">+Calculadora!B4</f>
        <v>44348</v>
      </c>
      <c r="D6" s="80" t="s">
        <v>36</v>
      </c>
      <c r="E6" s="78">
        <f ca="1">+B6</f>
        <v>44348</v>
      </c>
    </row>
    <row r="7" spans="1:15" x14ac:dyDescent="0.15">
      <c r="A7" s="81" t="s">
        <v>37</v>
      </c>
      <c r="B7" s="79">
        <v>1.08707</v>
      </c>
      <c r="D7" s="81" t="s">
        <v>37</v>
      </c>
      <c r="E7" s="79">
        <v>1.0871599999999999</v>
      </c>
    </row>
    <row r="8" spans="1:15" x14ac:dyDescent="0.15">
      <c r="A8" s="75" t="s">
        <v>39</v>
      </c>
      <c r="B8" s="82">
        <f ca="1">WORKDAY(B6,2)</f>
        <v>44350</v>
      </c>
      <c r="D8" s="75" t="s">
        <v>39</v>
      </c>
      <c r="E8" s="82">
        <f ca="1">WORKDAY(E6,2)</f>
        <v>44350</v>
      </c>
    </row>
    <row r="9" spans="1:15" ht="16" x14ac:dyDescent="0.15">
      <c r="A9" s="81" t="s">
        <v>71</v>
      </c>
      <c r="B9" s="129">
        <v>-3.02733E-3</v>
      </c>
      <c r="D9" s="81" t="s">
        <v>71</v>
      </c>
      <c r="E9" s="128">
        <v>-7.6265999999999997E-4</v>
      </c>
    </row>
    <row r="10" spans="1:15" ht="16" x14ac:dyDescent="0.15">
      <c r="A10" s="81" t="s">
        <v>72</v>
      </c>
      <c r="B10" s="81">
        <v>42</v>
      </c>
      <c r="D10" s="81" t="s">
        <v>73</v>
      </c>
      <c r="E10" s="128">
        <f>+E9</f>
        <v>-7.6265999999999997E-4</v>
      </c>
    </row>
    <row r="11" spans="1:15" x14ac:dyDescent="0.15">
      <c r="D11" s="81" t="s">
        <v>72</v>
      </c>
      <c r="E11" s="81">
        <f ca="1">+E12-E8</f>
        <v>-23</v>
      </c>
    </row>
    <row r="12" spans="1:15" x14ac:dyDescent="0.15">
      <c r="A12" s="75" t="s">
        <v>74</v>
      </c>
      <c r="B12" s="83">
        <f ca="1">+B8+B10</f>
        <v>44392</v>
      </c>
      <c r="D12" s="75" t="s">
        <v>74</v>
      </c>
      <c r="E12" s="82">
        <v>44327</v>
      </c>
    </row>
    <row r="13" spans="1:15" x14ac:dyDescent="0.15">
      <c r="O13" s="84"/>
    </row>
    <row r="14" spans="1:15" x14ac:dyDescent="0.15">
      <c r="A14" s="75" t="s">
        <v>46</v>
      </c>
      <c r="D14" s="75" t="s">
        <v>46</v>
      </c>
      <c r="O14" s="84"/>
    </row>
    <row r="15" spans="1:15" x14ac:dyDescent="0.15">
      <c r="A15" s="80" t="s">
        <v>41</v>
      </c>
      <c r="B15" s="78">
        <f ca="1">COUPPCD(B8,B4,1,1)</f>
        <v>44316</v>
      </c>
      <c r="D15" s="80" t="s">
        <v>41</v>
      </c>
      <c r="E15" s="78">
        <f ca="1">+B15</f>
        <v>44316</v>
      </c>
      <c r="O15" s="84"/>
    </row>
    <row r="16" spans="1:15" x14ac:dyDescent="0.15">
      <c r="A16" s="80" t="s">
        <v>42</v>
      </c>
      <c r="B16" s="78">
        <f ca="1">COUPNCD(B8,B4,1,1)</f>
        <v>44681</v>
      </c>
      <c r="D16" s="80" t="s">
        <v>42</v>
      </c>
      <c r="E16" s="78">
        <f ca="1">+B16</f>
        <v>44681</v>
      </c>
      <c r="N16" s="85"/>
      <c r="O16" s="84"/>
    </row>
    <row r="17" spans="1:15" ht="16" x14ac:dyDescent="0.2">
      <c r="A17" s="86" t="s">
        <v>75</v>
      </c>
      <c r="B17" s="87" t="str">
        <f ca="1">IF(B12&gt;B16,"Si","No")</f>
        <v>No</v>
      </c>
      <c r="D17" s="80" t="s">
        <v>76</v>
      </c>
      <c r="E17" s="78">
        <f ca="1">EDATE(E16,12)</f>
        <v>45046</v>
      </c>
      <c r="N17" s="85"/>
      <c r="O17" s="84"/>
    </row>
    <row r="18" spans="1:15" ht="16" x14ac:dyDescent="0.2">
      <c r="D18" s="86" t="s">
        <v>75</v>
      </c>
      <c r="E18" s="87" t="str">
        <f ca="1">IF(E12&gt;E16,"Si","No")</f>
        <v>No</v>
      </c>
      <c r="N18" s="85"/>
      <c r="O18" s="84"/>
    </row>
    <row r="19" spans="1:15" x14ac:dyDescent="0.15">
      <c r="A19" s="75" t="s">
        <v>45</v>
      </c>
      <c r="B19" s="75">
        <f ca="1">B8-B15</f>
        <v>34</v>
      </c>
      <c r="N19" s="85"/>
      <c r="O19" s="84"/>
    </row>
    <row r="20" spans="1:15" x14ac:dyDescent="0.15">
      <c r="A20" s="75" t="s">
        <v>47</v>
      </c>
      <c r="B20" s="75">
        <f ca="1">B16-B8</f>
        <v>331</v>
      </c>
      <c r="D20" s="75" t="s">
        <v>45</v>
      </c>
      <c r="E20" s="75">
        <f ca="1">E8-E15</f>
        <v>34</v>
      </c>
      <c r="O20" s="84"/>
    </row>
    <row r="21" spans="1:15" x14ac:dyDescent="0.15">
      <c r="A21" s="75" t="s">
        <v>49</v>
      </c>
      <c r="B21" s="75">
        <f ca="1">SUM(B19:B20)</f>
        <v>365</v>
      </c>
      <c r="D21" s="75" t="s">
        <v>47</v>
      </c>
      <c r="E21" s="75">
        <f ca="1">E16-E8</f>
        <v>331</v>
      </c>
      <c r="O21" s="84"/>
    </row>
    <row r="22" spans="1:15" x14ac:dyDescent="0.15">
      <c r="A22" s="75" t="s">
        <v>52</v>
      </c>
      <c r="B22" s="88">
        <f ca="1">B19/B21</f>
        <v>9.3150684931506855E-2</v>
      </c>
      <c r="D22" s="75" t="s">
        <v>49</v>
      </c>
      <c r="E22" s="75">
        <f ca="1">SUM(E20:E21)</f>
        <v>365</v>
      </c>
      <c r="O22" s="84"/>
    </row>
    <row r="23" spans="1:15" x14ac:dyDescent="0.15">
      <c r="A23" s="75" t="s">
        <v>77</v>
      </c>
      <c r="B23" s="130">
        <f ca="1">B5*B19/B21</f>
        <v>1.3506849315068495E-3</v>
      </c>
      <c r="D23" s="75" t="s">
        <v>78</v>
      </c>
      <c r="E23" s="88">
        <f ca="1">E20/E22</f>
        <v>9.3150684931506855E-2</v>
      </c>
      <c r="O23" s="84"/>
    </row>
    <row r="24" spans="1:15" x14ac:dyDescent="0.15">
      <c r="A24" s="75" t="s">
        <v>79</v>
      </c>
      <c r="B24" s="89">
        <f ca="1">B7+B23</f>
        <v>1.0884206849315068</v>
      </c>
      <c r="D24" s="75" t="s">
        <v>77</v>
      </c>
      <c r="E24" s="89">
        <f ca="1">E5*E23</f>
        <v>1.3506849315068495E-3</v>
      </c>
      <c r="O24" s="84"/>
    </row>
    <row r="25" spans="1:15" x14ac:dyDescent="0.15">
      <c r="A25" s="75" t="s">
        <v>80</v>
      </c>
      <c r="B25" s="75">
        <f ca="1">B12-B15</f>
        <v>76</v>
      </c>
      <c r="D25" s="75" t="s">
        <v>79</v>
      </c>
      <c r="E25" s="89">
        <f ca="1">E7+E24</f>
        <v>1.0885106849315067</v>
      </c>
      <c r="O25" s="84"/>
    </row>
    <row r="26" spans="1:15" x14ac:dyDescent="0.15">
      <c r="A26" s="75" t="s">
        <v>81</v>
      </c>
      <c r="B26" s="90">
        <f ca="1">B5*(B25)/B21</f>
        <v>3.0191780821917811E-3</v>
      </c>
      <c r="D26" s="75" t="s">
        <v>80</v>
      </c>
      <c r="E26" s="75">
        <f ca="1">E12-E16</f>
        <v>-354</v>
      </c>
    </row>
    <row r="27" spans="1:15" x14ac:dyDescent="0.15">
      <c r="B27" s="90"/>
      <c r="D27" s="75" t="s">
        <v>82</v>
      </c>
      <c r="E27" s="75">
        <f ca="1">E17-E12</f>
        <v>719</v>
      </c>
    </row>
    <row r="28" spans="1:15" x14ac:dyDescent="0.15">
      <c r="B28" s="90"/>
      <c r="D28" s="75" t="s">
        <v>49</v>
      </c>
      <c r="E28" s="75">
        <f ca="1">E27+E26</f>
        <v>365</v>
      </c>
    </row>
    <row r="29" spans="1:15" x14ac:dyDescent="0.15">
      <c r="B29" s="90"/>
      <c r="D29" s="75" t="s">
        <v>83</v>
      </c>
      <c r="E29" s="88">
        <f ca="1">E26/E28</f>
        <v>-0.96986301369863015</v>
      </c>
    </row>
    <row r="30" spans="1:15" x14ac:dyDescent="0.15">
      <c r="B30" s="90"/>
      <c r="D30" s="75" t="s">
        <v>81</v>
      </c>
      <c r="E30" s="89">
        <f ca="1">E5*E29</f>
        <v>-1.4063013698630137E-2</v>
      </c>
    </row>
    <row r="32" spans="1:15" ht="16" x14ac:dyDescent="0.15">
      <c r="A32" s="91" t="s">
        <v>84</v>
      </c>
      <c r="B32" s="92">
        <f ca="1">B24*(1+B9*B10/B21)-B26</f>
        <v>1.0850223551757019</v>
      </c>
      <c r="D32" s="91" t="s">
        <v>84</v>
      </c>
      <c r="E32" s="92">
        <f ca="1">E25*(1+E9*E11/E28)-E30-(E5*(1+E10*E29))</f>
        <v>1.0881152850084279</v>
      </c>
    </row>
  </sheetData>
  <mergeCells count="3">
    <mergeCell ref="A1:E1"/>
    <mergeCell ref="A3:B3"/>
    <mergeCell ref="D3:E3"/>
  </mergeCells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5"/>
  <sheetViews>
    <sheetView showGridLines="0" zoomScale="166" zoomScaleNormal="115" zoomScalePageLayoutView="150" workbookViewId="0">
      <selection activeCell="K20" sqref="K20"/>
    </sheetView>
  </sheetViews>
  <sheetFormatPr baseColWidth="10" defaultColWidth="11.5" defaultRowHeight="14" x14ac:dyDescent="0.2"/>
  <cols>
    <col min="1" max="1" width="14.83203125" style="93" bestFit="1" customWidth="1"/>
    <col min="2" max="2" width="6.6640625" style="93" bestFit="1" customWidth="1"/>
    <col min="3" max="3" width="12.5" style="93" bestFit="1" customWidth="1"/>
    <col min="4" max="4" width="13.1640625" style="93" bestFit="1" customWidth="1"/>
    <col min="5" max="5" width="9.33203125" style="93" bestFit="1" customWidth="1"/>
    <col min="6" max="7" width="7.5" style="93" bestFit="1" customWidth="1"/>
    <col min="8" max="8" width="8.33203125" style="93" bestFit="1" customWidth="1"/>
    <col min="9" max="9" width="7.33203125" style="93" bestFit="1" customWidth="1"/>
    <col min="10" max="10" width="6.1640625" style="93" bestFit="1" customWidth="1"/>
    <col min="11" max="11" width="11.6640625" style="93" bestFit="1" customWidth="1"/>
    <col min="12" max="12" width="6.1640625" style="93" bestFit="1" customWidth="1"/>
    <col min="13" max="13" width="7.83203125" style="93" bestFit="1" customWidth="1"/>
    <col min="14" max="14" width="5.33203125" style="93" bestFit="1" customWidth="1"/>
    <col min="15" max="15" width="31.6640625" style="93" bestFit="1" customWidth="1"/>
    <col min="16" max="16" width="32.5" style="93" bestFit="1" customWidth="1"/>
    <col min="17" max="16384" width="11.5" style="93"/>
  </cols>
  <sheetData>
    <row r="1" spans="1:18" ht="21" x14ac:dyDescent="0.2">
      <c r="A1" s="141" t="s">
        <v>85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</row>
    <row r="2" spans="1:18" ht="15" thickBot="1" x14ac:dyDescent="0.25"/>
    <row r="3" spans="1:18" s="95" customFormat="1" ht="16" thickBot="1" x14ac:dyDescent="0.25">
      <c r="A3" s="94"/>
      <c r="B3" s="94"/>
      <c r="C3" s="94"/>
      <c r="D3" s="94"/>
      <c r="E3" s="94"/>
      <c r="F3" s="94"/>
      <c r="G3" s="94"/>
      <c r="H3" s="94"/>
      <c r="I3" s="94"/>
      <c r="J3" s="142" t="s">
        <v>86</v>
      </c>
      <c r="K3" s="143"/>
      <c r="L3" s="144" t="s">
        <v>87</v>
      </c>
      <c r="M3" s="145"/>
    </row>
    <row r="4" spans="1:18" s="95" customFormat="1" ht="15" x14ac:dyDescent="0.2">
      <c r="A4" s="96" t="s">
        <v>88</v>
      </c>
      <c r="B4" s="96" t="s">
        <v>0</v>
      </c>
      <c r="C4" s="96" t="s">
        <v>5</v>
      </c>
      <c r="D4" s="96" t="s">
        <v>89</v>
      </c>
      <c r="E4" s="96" t="s">
        <v>90</v>
      </c>
      <c r="F4" s="97" t="s">
        <v>91</v>
      </c>
      <c r="G4" s="98" t="s">
        <v>92</v>
      </c>
      <c r="H4" s="99" t="s">
        <v>93</v>
      </c>
      <c r="I4" s="99" t="s">
        <v>94</v>
      </c>
      <c r="J4" s="100" t="s">
        <v>10</v>
      </c>
      <c r="K4" s="101" t="s">
        <v>8</v>
      </c>
      <c r="L4" s="102" t="s">
        <v>10</v>
      </c>
      <c r="M4" s="103" t="s">
        <v>8</v>
      </c>
      <c r="O4" s="104" t="s">
        <v>95</v>
      </c>
      <c r="P4" s="105" t="s">
        <v>96</v>
      </c>
      <c r="Q4"/>
      <c r="R4"/>
    </row>
    <row r="5" spans="1:18" s="95" customFormat="1" ht="15" x14ac:dyDescent="0.2">
      <c r="A5" s="106" t="s">
        <v>97</v>
      </c>
      <c r="B5" s="107">
        <v>5.5E-2</v>
      </c>
      <c r="C5" s="108">
        <v>44316</v>
      </c>
      <c r="D5" s="109">
        <v>1000000</v>
      </c>
      <c r="E5" s="109">
        <v>1000</v>
      </c>
      <c r="F5" s="107">
        <f t="shared" ref="F5:F10" si="0">+D5/$D$11</f>
        <v>0.16666666666666666</v>
      </c>
      <c r="G5" s="110">
        <f t="shared" ref="G5:G10" si="1">+E5/$E$11</f>
        <v>0.16666666666666666</v>
      </c>
      <c r="H5" s="111">
        <v>1.8616999999999999</v>
      </c>
      <c r="I5" s="111">
        <v>2.1907000000000001</v>
      </c>
      <c r="J5" s="112">
        <f t="shared" ref="J5:J10" si="2">+F5*H5</f>
        <v>0.3102833333333333</v>
      </c>
      <c r="K5" s="113">
        <f t="shared" ref="K5:K10" si="3">+I5*F5</f>
        <v>0.36511666666666664</v>
      </c>
      <c r="L5" s="114">
        <f t="shared" ref="L5:L10" si="4">+H5*G5</f>
        <v>0.3102833333333333</v>
      </c>
      <c r="M5" s="115">
        <f t="shared" ref="M5:M10" si="5">+I5*G5</f>
        <v>0.36511666666666664</v>
      </c>
      <c r="O5" s="116" t="s">
        <v>98</v>
      </c>
      <c r="P5" s="116" t="s">
        <v>98</v>
      </c>
      <c r="Q5" s="116"/>
      <c r="R5"/>
    </row>
    <row r="6" spans="1:18" s="95" customFormat="1" ht="15" x14ac:dyDescent="0.2">
      <c r="A6" s="106" t="s">
        <v>99</v>
      </c>
      <c r="B6" s="107">
        <v>3.8000000000000006E-2</v>
      </c>
      <c r="C6" s="108">
        <v>45412</v>
      </c>
      <c r="D6" s="109">
        <v>1000000</v>
      </c>
      <c r="E6" s="109">
        <v>1000</v>
      </c>
      <c r="F6" s="107">
        <f t="shared" si="0"/>
        <v>0.16666666666666666</v>
      </c>
      <c r="G6" s="110">
        <f t="shared" si="1"/>
        <v>0.16666666666666666</v>
      </c>
      <c r="H6" s="111">
        <v>4.5358000000000001</v>
      </c>
      <c r="I6" s="111">
        <v>5.5293000000000001</v>
      </c>
      <c r="J6" s="112">
        <f t="shared" si="2"/>
        <v>0.75596666666666668</v>
      </c>
      <c r="K6" s="113">
        <f t="shared" si="3"/>
        <v>0.92154999999999998</v>
      </c>
      <c r="L6" s="114">
        <f t="shared" si="4"/>
        <v>0.75596666666666668</v>
      </c>
      <c r="M6" s="115">
        <f t="shared" si="5"/>
        <v>0.92154999999999998</v>
      </c>
      <c r="O6" s="116" t="s">
        <v>100</v>
      </c>
      <c r="P6" s="116" t="s">
        <v>100</v>
      </c>
      <c r="Q6" s="116"/>
      <c r="R6"/>
    </row>
    <row r="7" spans="1:18" s="95" customFormat="1" ht="15" x14ac:dyDescent="0.2">
      <c r="A7" s="106" t="s">
        <v>101</v>
      </c>
      <c r="B7" s="107">
        <v>1.4499999999999999E-2</v>
      </c>
      <c r="C7" s="108">
        <v>47238</v>
      </c>
      <c r="D7" s="109">
        <v>1000000</v>
      </c>
      <c r="E7" s="109">
        <v>1000</v>
      </c>
      <c r="F7" s="107">
        <f t="shared" si="0"/>
        <v>0.16666666666666666</v>
      </c>
      <c r="G7" s="110">
        <f t="shared" si="1"/>
        <v>0.16666666666666666</v>
      </c>
      <c r="H7" s="111">
        <v>9.3632000000000009</v>
      </c>
      <c r="I7" s="111">
        <v>9.6888000000000005</v>
      </c>
      <c r="J7" s="112">
        <f t="shared" si="2"/>
        <v>1.5605333333333333</v>
      </c>
      <c r="K7" s="113">
        <f t="shared" si="3"/>
        <v>1.6148</v>
      </c>
      <c r="L7" s="114">
        <f t="shared" si="4"/>
        <v>1.5605333333333333</v>
      </c>
      <c r="M7" s="115">
        <f t="shared" si="5"/>
        <v>1.6148</v>
      </c>
      <c r="O7" s="104" t="s">
        <v>102</v>
      </c>
      <c r="P7" s="104" t="s">
        <v>103</v>
      </c>
      <c r="Q7"/>
      <c r="R7"/>
    </row>
    <row r="8" spans="1:18" s="95" customFormat="1" ht="15" x14ac:dyDescent="0.2">
      <c r="A8" s="106" t="s">
        <v>104</v>
      </c>
      <c r="B8" s="107">
        <v>1.8500000000000003E-2</v>
      </c>
      <c r="C8" s="108">
        <v>49520</v>
      </c>
      <c r="D8" s="109">
        <v>1000000</v>
      </c>
      <c r="E8" s="109">
        <v>1000</v>
      </c>
      <c r="F8" s="107">
        <f t="shared" si="0"/>
        <v>0.16666666666666666</v>
      </c>
      <c r="G8" s="110">
        <f t="shared" si="1"/>
        <v>0.16666666666666666</v>
      </c>
      <c r="H8" s="111">
        <v>14.166600000000001</v>
      </c>
      <c r="I8" s="111">
        <v>14.373200000000001</v>
      </c>
      <c r="J8" s="112">
        <f t="shared" si="2"/>
        <v>2.3611</v>
      </c>
      <c r="K8" s="113">
        <f t="shared" si="3"/>
        <v>2.3955333333333333</v>
      </c>
      <c r="L8" s="114">
        <f t="shared" si="4"/>
        <v>2.3611</v>
      </c>
      <c r="M8" s="115">
        <f t="shared" si="5"/>
        <v>2.3955333333333333</v>
      </c>
      <c r="O8" s="116" t="s">
        <v>105</v>
      </c>
      <c r="P8" s="116" t="s">
        <v>105</v>
      </c>
      <c r="Q8"/>
      <c r="R8" s="116"/>
    </row>
    <row r="9" spans="1:18" s="95" customFormat="1" ht="15" x14ac:dyDescent="0.2">
      <c r="A9" s="106" t="s">
        <v>106</v>
      </c>
      <c r="B9" s="107">
        <v>2.7000000000000003E-2</v>
      </c>
      <c r="C9" s="108">
        <v>54362</v>
      </c>
      <c r="D9" s="109">
        <v>1000000</v>
      </c>
      <c r="E9" s="109">
        <v>1000</v>
      </c>
      <c r="F9" s="107">
        <f t="shared" si="0"/>
        <v>0.16666666666666666</v>
      </c>
      <c r="G9" s="110">
        <f t="shared" si="1"/>
        <v>0.16666666666666666</v>
      </c>
      <c r="H9" s="111">
        <v>20.9132</v>
      </c>
      <c r="I9" s="111">
        <v>23.045400000000001</v>
      </c>
      <c r="J9" s="112">
        <f t="shared" si="2"/>
        <v>3.4855333333333332</v>
      </c>
      <c r="K9" s="113">
        <f t="shared" si="3"/>
        <v>3.8409</v>
      </c>
      <c r="L9" s="114">
        <f t="shared" si="4"/>
        <v>3.4855333333333332</v>
      </c>
      <c r="M9" s="115">
        <f t="shared" si="5"/>
        <v>3.8409</v>
      </c>
      <c r="O9" s="116" t="s">
        <v>107</v>
      </c>
      <c r="P9" s="116" t="s">
        <v>107</v>
      </c>
      <c r="Q9"/>
      <c r="R9"/>
    </row>
    <row r="10" spans="1:18" s="95" customFormat="1" ht="16" thickBot="1" x14ac:dyDescent="0.25">
      <c r="A10" s="106" t="s">
        <v>108</v>
      </c>
      <c r="B10" s="107">
        <v>3.4500000000000003E-2</v>
      </c>
      <c r="C10" s="108">
        <v>60843</v>
      </c>
      <c r="D10" s="109">
        <v>1000000</v>
      </c>
      <c r="E10" s="109">
        <v>1000</v>
      </c>
      <c r="F10" s="107">
        <f t="shared" si="0"/>
        <v>0.16666666666666666</v>
      </c>
      <c r="G10" s="110">
        <f t="shared" si="1"/>
        <v>0.16666666666666666</v>
      </c>
      <c r="H10" s="111">
        <v>25.742799999999999</v>
      </c>
      <c r="I10" s="111">
        <v>32.279200000000003</v>
      </c>
      <c r="J10" s="112">
        <f t="shared" si="2"/>
        <v>4.2904666666666662</v>
      </c>
      <c r="K10" s="113">
        <f t="shared" si="3"/>
        <v>5.3798666666666666</v>
      </c>
      <c r="L10" s="114">
        <f t="shared" si="4"/>
        <v>4.2904666666666662</v>
      </c>
      <c r="M10" s="115">
        <f t="shared" si="5"/>
        <v>5.3798666666666666</v>
      </c>
    </row>
    <row r="11" spans="1:18" s="95" customFormat="1" ht="16" thickBot="1" x14ac:dyDescent="0.25">
      <c r="A11" s="146" t="s">
        <v>109</v>
      </c>
      <c r="B11" s="146"/>
      <c r="C11" s="146"/>
      <c r="D11" s="117">
        <f>SUM(D5:D10)</f>
        <v>6000000</v>
      </c>
      <c r="E11" s="118">
        <f>SUM(E5:E10)</f>
        <v>6000</v>
      </c>
      <c r="F11" s="94"/>
      <c r="G11" s="94"/>
      <c r="H11" s="94"/>
      <c r="I11" s="94"/>
      <c r="J11" s="119">
        <f>SUM(J5:J10)</f>
        <v>12.763883333333332</v>
      </c>
      <c r="K11" s="120">
        <f>SUM(K5:K10)</f>
        <v>14.517766666666667</v>
      </c>
      <c r="L11" s="121">
        <f>SUM(L5:L10)</f>
        <v>12.763883333333332</v>
      </c>
      <c r="M11" s="122">
        <f>SUM(M5:M10)</f>
        <v>14.517766666666667</v>
      </c>
    </row>
    <row r="12" spans="1:18" s="123" customFormat="1" ht="16.5" customHeight="1" thickBot="1" x14ac:dyDescent="0.25">
      <c r="J12" s="119" t="s">
        <v>110</v>
      </c>
      <c r="K12" s="124">
        <f>+D11*K11*0.01%</f>
        <v>8710.66</v>
      </c>
      <c r="L12" s="121" t="s">
        <v>110</v>
      </c>
      <c r="M12" s="125">
        <f>+E11*M11*0.01%</f>
        <v>8.7106600000000007</v>
      </c>
    </row>
    <row r="13" spans="1:18" s="123" customFormat="1" ht="16" x14ac:dyDescent="0.2"/>
    <row r="14" spans="1:18" s="123" customFormat="1" ht="16" x14ac:dyDescent="0.2"/>
    <row r="15" spans="1:18" s="123" customFormat="1" ht="16" x14ac:dyDescent="0.2">
      <c r="D15" s="126"/>
    </row>
    <row r="16" spans="1:18" s="123" customFormat="1" ht="16" x14ac:dyDescent="0.2">
      <c r="D16" s="126"/>
    </row>
    <row r="17" spans="1:6" s="123" customFormat="1" ht="22" customHeight="1" x14ac:dyDescent="0.2">
      <c r="D17" s="126"/>
    </row>
    <row r="18" spans="1:6" s="123" customFormat="1" ht="16" x14ac:dyDescent="0.2">
      <c r="D18" s="126"/>
      <c r="F18" s="126"/>
    </row>
    <row r="19" spans="1:6" s="123" customFormat="1" ht="16" x14ac:dyDescent="0.2">
      <c r="D19" s="126"/>
      <c r="F19" s="126"/>
    </row>
    <row r="20" spans="1:6" s="123" customFormat="1" ht="16" x14ac:dyDescent="0.2">
      <c r="D20" s="126"/>
      <c r="F20" s="126"/>
    </row>
    <row r="21" spans="1:6" ht="16" x14ac:dyDescent="0.2">
      <c r="A21" s="123"/>
      <c r="B21" s="123"/>
      <c r="C21" s="123"/>
    </row>
    <row r="22" spans="1:6" ht="16" x14ac:dyDescent="0.2">
      <c r="A22" s="123"/>
      <c r="B22" s="123"/>
      <c r="C22" s="123"/>
    </row>
    <row r="23" spans="1:6" ht="16" x14ac:dyDescent="0.2">
      <c r="A23" s="123"/>
      <c r="B23" s="123"/>
      <c r="C23" s="123"/>
    </row>
    <row r="24" spans="1:6" ht="16" x14ac:dyDescent="0.2">
      <c r="A24" s="123"/>
      <c r="B24" s="123"/>
      <c r="C24" s="123"/>
    </row>
    <row r="25" spans="1:6" ht="16" x14ac:dyDescent="0.2">
      <c r="A25" s="123"/>
      <c r="B25" s="123"/>
      <c r="C25" s="123"/>
    </row>
  </sheetData>
  <mergeCells count="4">
    <mergeCell ref="A1:P1"/>
    <mergeCell ref="J3:K3"/>
    <mergeCell ref="L3:M3"/>
    <mergeCell ref="A11:C11"/>
  </mergeCells>
  <pageMargins left="0.75" right="0.75" top="1" bottom="1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Calculadora</vt:lpstr>
      <vt:lpstr>Datos Bonos</vt:lpstr>
      <vt:lpstr>Forward</vt:lpstr>
      <vt:lpstr>Gestión Duración</vt:lpstr>
      <vt:lpstr>basebonos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Gestión Carteras RF</dc:title>
  <dc:subject/>
  <dc:creator>Emilio Gamarra</dc:creator>
  <cp:keywords/>
  <dc:description/>
  <cp:lastModifiedBy>Microsoft Office User</cp:lastModifiedBy>
  <dcterms:created xsi:type="dcterms:W3CDTF">1999-11-09T13:23:56Z</dcterms:created>
  <dcterms:modified xsi:type="dcterms:W3CDTF">2021-06-01T17:58:07Z</dcterms:modified>
  <cp:category/>
</cp:coreProperties>
</file>