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rodrigo_yanguez_utp_ac_pa/Documents/Maestría en Analítica de Datos/Modelos Predictivos/Proyecto final/"/>
    </mc:Choice>
  </mc:AlternateContent>
  <xr:revisionPtr revIDLastSave="126" documentId="13_ncr:1_{284B8994-93BC-460F-9C12-16EE2CEC36D1}" xr6:coauthVersionLast="47" xr6:coauthVersionMax="47" xr10:uidLastSave="{B9BDD242-10B5-44D5-A506-1A4EA15319DB}"/>
  <bookViews>
    <workbookView xWindow="19090" yWindow="-110" windowWidth="19420" windowHeight="10420" activeTab="2" xr2:uid="{00000000-000D-0000-FFFF-FFFF00000000}"/>
  </bookViews>
  <sheets>
    <sheet name="Pronostico" sheetId="1" r:id="rId1"/>
    <sheet name="pronostico4" sheetId="12" r:id="rId2"/>
    <sheet name="SuavExpo" sheetId="2" r:id="rId3"/>
    <sheet name="Hoja1" sheetId="11" r:id="rId4"/>
    <sheet name="Holt" sheetId="3" r:id="rId5"/>
    <sheet name="regresion1" sheetId="9" r:id="rId6"/>
    <sheet name="resumen" sheetId="8" r:id="rId7"/>
  </sheets>
  <definedNames>
    <definedName name="solver_adj" localSheetId="4" hidden="1">Holt!$B$23:$B$24</definedName>
    <definedName name="solver_adj" localSheetId="2" hidden="1">SuavExpo!$B$19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1</definedName>
    <definedName name="solver_eng" localSheetId="4" hidden="1">3</definedName>
    <definedName name="solver_eng" localSheetId="2" hidden="1">3</definedName>
    <definedName name="solver_est" localSheetId="4" hidden="1">1</definedName>
    <definedName name="solver_est" localSheetId="2" hidden="1">1</definedName>
    <definedName name="solver_itr" localSheetId="4" hidden="1">2147483647</definedName>
    <definedName name="solver_itr" localSheetId="2" hidden="1">2147483647</definedName>
    <definedName name="solver_lhs1" localSheetId="4" hidden="1">Holt!$B$23</definedName>
    <definedName name="solver_lhs1" localSheetId="2" hidden="1">SuavExpo!$B$19</definedName>
    <definedName name="solver_lhs2" localSheetId="4" hidden="1">Holt!$B$24</definedName>
    <definedName name="solver_lhs2" localSheetId="2" hidden="1">SuavExpo!$B$19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0.075</definedName>
    <definedName name="solver_mrt" localSheetId="2" hidden="1">0.075</definedName>
    <definedName name="solver_msl" localSheetId="4" hidden="1">2</definedName>
    <definedName name="solver_msl" localSheetId="2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od" localSheetId="2" hidden="1">2147483647</definedName>
    <definedName name="solver_num" localSheetId="4" hidden="1">2</definedName>
    <definedName name="solver_num" localSheetId="2" hidden="1">2</definedName>
    <definedName name="solver_nwt" localSheetId="4" hidden="1">1</definedName>
    <definedName name="solver_nwt" localSheetId="2" hidden="1">1</definedName>
    <definedName name="solver_opt" localSheetId="4" hidden="1">Holt!$E$12</definedName>
    <definedName name="solver_opt" localSheetId="2" hidden="1">SuavExpo!$F$13</definedName>
    <definedName name="solver_pre" localSheetId="4" hidden="1">0.000001</definedName>
    <definedName name="solver_pre" localSheetId="2" hidden="1">0.000001</definedName>
    <definedName name="solver_rbv" localSheetId="4" hidden="1">1</definedName>
    <definedName name="solver_rbv" localSheetId="2" hidden="1">1</definedName>
    <definedName name="solver_rel1" localSheetId="4" hidden="1">1</definedName>
    <definedName name="solver_rel1" localSheetId="2" hidden="1">1</definedName>
    <definedName name="solver_rel2" localSheetId="4" hidden="1">1</definedName>
    <definedName name="solver_rel2" localSheetId="2" hidden="1">3</definedName>
    <definedName name="solver_rhs1" localSheetId="4" hidden="1">1</definedName>
    <definedName name="solver_rhs1" localSheetId="2" hidden="1">1</definedName>
    <definedName name="solver_rhs2" localSheetId="4" hidden="1">1</definedName>
    <definedName name="solver_rhs2" localSheetId="2" hidden="1">0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1</definedName>
    <definedName name="solver_scl" localSheetId="2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2147483647</definedName>
    <definedName name="solver_tim" localSheetId="2" hidden="1">2147483647</definedName>
    <definedName name="solver_tol" localSheetId="4" hidden="1">0.01</definedName>
    <definedName name="solver_tol" localSheetId="2" hidden="1">0.01</definedName>
    <definedName name="solver_typ" localSheetId="4" hidden="1">2</definedName>
    <definedName name="solver_typ" localSheetId="2" hidden="1">2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C3" i="2"/>
  <c r="C4" i="2" s="1"/>
  <c r="C5" i="2" s="1"/>
  <c r="C6" i="2" s="1"/>
  <c r="C7" i="2" s="1"/>
  <c r="C8" i="2" s="1"/>
  <c r="C9" i="2" s="1"/>
  <c r="C10" i="2" s="1"/>
  <c r="C11" i="2" s="1"/>
  <c r="F4" i="8"/>
  <c r="F6" i="8"/>
  <c r="F7" i="8"/>
  <c r="C2" i="2"/>
  <c r="C6" i="8" l="1"/>
  <c r="B6" i="8"/>
  <c r="K16" i="12"/>
  <c r="D4" i="8" s="1"/>
  <c r="K15" i="12"/>
  <c r="E4" i="8" s="1"/>
  <c r="C4" i="8"/>
  <c r="B4" i="8"/>
  <c r="B3" i="8"/>
  <c r="D3" i="8"/>
  <c r="C3" i="8"/>
  <c r="D7" i="1"/>
  <c r="D8" i="1"/>
  <c r="D9" i="1"/>
  <c r="D10" i="1"/>
  <c r="D11" i="1"/>
  <c r="D6" i="1"/>
  <c r="E4" i="3"/>
  <c r="E5" i="3"/>
  <c r="E6" i="3"/>
  <c r="E7" i="3"/>
  <c r="E8" i="3"/>
  <c r="E9" i="3"/>
  <c r="E10" i="3"/>
  <c r="E11" i="3"/>
  <c r="E12" i="3"/>
  <c r="K7" i="12"/>
  <c r="K8" i="12"/>
  <c r="K9" i="12"/>
  <c r="K10" i="12"/>
  <c r="K6" i="12"/>
  <c r="J7" i="12"/>
  <c r="J8" i="12"/>
  <c r="J9" i="12"/>
  <c r="J10" i="12"/>
  <c r="J6" i="12"/>
  <c r="I7" i="12"/>
  <c r="I8" i="12"/>
  <c r="I9" i="12"/>
  <c r="I10" i="12"/>
  <c r="I6" i="12"/>
  <c r="H7" i="12"/>
  <c r="H8" i="12"/>
  <c r="H9" i="12"/>
  <c r="H10" i="12"/>
  <c r="H6" i="12"/>
  <c r="G7" i="12"/>
  <c r="G8" i="12"/>
  <c r="G9" i="12"/>
  <c r="G10" i="12"/>
  <c r="G6" i="12"/>
  <c r="F6" i="12"/>
  <c r="F7" i="12"/>
  <c r="F8" i="12"/>
  <c r="F9" i="12"/>
  <c r="F10" i="12"/>
  <c r="E7" i="12"/>
  <c r="E8" i="12"/>
  <c r="E9" i="12"/>
  <c r="E10" i="12"/>
  <c r="E6" i="12"/>
  <c r="D7" i="12"/>
  <c r="D8" i="12"/>
  <c r="D9" i="12"/>
  <c r="D10" i="12"/>
  <c r="D6" i="12"/>
  <c r="C6" i="12"/>
  <c r="C7" i="12"/>
  <c r="C8" i="12"/>
  <c r="C9" i="12"/>
  <c r="C10" i="12"/>
  <c r="C5" i="12"/>
  <c r="K6" i="1" l="1"/>
  <c r="J6" i="1"/>
  <c r="I6" i="1"/>
  <c r="H6" i="1"/>
  <c r="G7" i="1"/>
  <c r="G6" i="1"/>
  <c r="F10" i="1"/>
  <c r="I10" i="1" s="1"/>
  <c r="F6" i="1"/>
  <c r="E7" i="1"/>
  <c r="G8" i="1" s="1"/>
  <c r="E8" i="1"/>
  <c r="F8" i="1" s="1"/>
  <c r="I8" i="1" s="1"/>
  <c r="E9" i="1"/>
  <c r="F9" i="1" s="1"/>
  <c r="I9" i="1" s="1"/>
  <c r="E10" i="1"/>
  <c r="E6" i="1"/>
  <c r="C6" i="1"/>
  <c r="C7" i="1"/>
  <c r="C8" i="1"/>
  <c r="C9" i="1"/>
  <c r="C10" i="1"/>
  <c r="C5" i="1"/>
  <c r="F7" i="1" l="1"/>
  <c r="G10" i="1"/>
  <c r="G9" i="1"/>
  <c r="D2" i="3"/>
  <c r="C2" i="3"/>
  <c r="B27" i="3"/>
  <c r="B26" i="3"/>
  <c r="I7" i="1" l="1"/>
  <c r="H9" i="1"/>
  <c r="K9" i="1" s="1"/>
  <c r="H7" i="1"/>
  <c r="K7" i="1" s="1"/>
  <c r="H8" i="1"/>
  <c r="K8" i="1" s="1"/>
  <c r="H10" i="1"/>
  <c r="K10" i="1" s="1"/>
  <c r="C3" i="3"/>
  <c r="D3" i="2"/>
  <c r="E3" i="2" s="1"/>
  <c r="J7" i="1" l="1"/>
  <c r="J10" i="1"/>
  <c r="J9" i="1"/>
  <c r="J8" i="1"/>
  <c r="E3" i="3"/>
  <c r="F3" i="3" s="1"/>
  <c r="G3" i="3" s="1"/>
  <c r="J3" i="3" s="1"/>
  <c r="K3" i="3" s="1"/>
  <c r="G3" i="2"/>
  <c r="F3" i="2"/>
  <c r="D3" i="3"/>
  <c r="C4" i="3" s="1"/>
  <c r="F4" i="3" l="1"/>
  <c r="H3" i="3"/>
  <c r="I3" i="3"/>
  <c r="L3" i="3" s="1"/>
  <c r="E4" i="2"/>
  <c r="H3" i="2"/>
  <c r="K3" i="2" s="1"/>
  <c r="I3" i="2"/>
  <c r="D4" i="3"/>
  <c r="F5" i="3" l="1"/>
  <c r="G5" i="3" s="1"/>
  <c r="J5" i="3" s="1"/>
  <c r="C5" i="3"/>
  <c r="E5" i="2"/>
  <c r="F5" i="2" s="1"/>
  <c r="I5" i="2" s="1"/>
  <c r="J3" i="2"/>
  <c r="F4" i="2"/>
  <c r="G4" i="2"/>
  <c r="F3" i="8"/>
  <c r="K15" i="1"/>
  <c r="E3" i="8" s="1"/>
  <c r="H4" i="3"/>
  <c r="G4" i="3"/>
  <c r="H5" i="3" l="1"/>
  <c r="D5" i="3"/>
  <c r="C6" i="3" s="1"/>
  <c r="I4" i="2"/>
  <c r="H5" i="2"/>
  <c r="K5" i="2" s="1"/>
  <c r="H4" i="2"/>
  <c r="K4" i="2" s="1"/>
  <c r="G5" i="2"/>
  <c r="E6" i="2"/>
  <c r="G6" i="2" s="1"/>
  <c r="K16" i="1"/>
  <c r="I4" i="3"/>
  <c r="L4" i="3" s="1"/>
  <c r="J4" i="3"/>
  <c r="I5" i="3"/>
  <c r="L5" i="3" s="1"/>
  <c r="F6" i="3" l="1"/>
  <c r="G6" i="3" s="1"/>
  <c r="J6" i="3" s="1"/>
  <c r="K6" i="3" s="1"/>
  <c r="D6" i="3"/>
  <c r="F6" i="2"/>
  <c r="E7" i="2"/>
  <c r="F7" i="2" s="1"/>
  <c r="I7" i="2" s="1"/>
  <c r="J4" i="2"/>
  <c r="J5" i="2"/>
  <c r="K5" i="3"/>
  <c r="K4" i="3"/>
  <c r="F7" i="3" l="1"/>
  <c r="G7" i="3" s="1"/>
  <c r="J7" i="3" s="1"/>
  <c r="K7" i="3" s="1"/>
  <c r="H6" i="3"/>
  <c r="I6" i="3"/>
  <c r="L6" i="3" s="1"/>
  <c r="C7" i="3"/>
  <c r="G7" i="2"/>
  <c r="I6" i="2"/>
  <c r="H7" i="2"/>
  <c r="K7" i="2" s="1"/>
  <c r="H6" i="2"/>
  <c r="K6" i="2" s="1"/>
  <c r="E8" i="2"/>
  <c r="I7" i="3" l="1"/>
  <c r="L7" i="3" s="1"/>
  <c r="D7" i="3"/>
  <c r="C8" i="3" s="1"/>
  <c r="D8" i="3" s="1"/>
  <c r="C9" i="3" s="1"/>
  <c r="H7" i="3"/>
  <c r="F8" i="2"/>
  <c r="G8" i="2"/>
  <c r="E9" i="2"/>
  <c r="F9" i="2" s="1"/>
  <c r="I9" i="2" s="1"/>
  <c r="J7" i="2"/>
  <c r="J6" i="2"/>
  <c r="F8" i="3" l="1"/>
  <c r="G8" i="3" s="1"/>
  <c r="F9" i="3"/>
  <c r="D9" i="3"/>
  <c r="G9" i="2"/>
  <c r="E10" i="2"/>
  <c r="I8" i="2"/>
  <c r="H8" i="2"/>
  <c r="K8" i="2" s="1"/>
  <c r="H9" i="2"/>
  <c r="K9" i="2" s="1"/>
  <c r="H8" i="3" l="1"/>
  <c r="F10" i="3"/>
  <c r="J8" i="3"/>
  <c r="I8" i="3"/>
  <c r="L8" i="3" s="1"/>
  <c r="G9" i="3"/>
  <c r="J9" i="3" s="1"/>
  <c r="H9" i="3"/>
  <c r="C10" i="3"/>
  <c r="F10" i="2"/>
  <c r="G10" i="2"/>
  <c r="E11" i="2"/>
  <c r="J8" i="2"/>
  <c r="J9" i="2"/>
  <c r="G10" i="3" l="1"/>
  <c r="J10" i="3" s="1"/>
  <c r="K10" i="3" s="1"/>
  <c r="H10" i="3"/>
  <c r="I9" i="3"/>
  <c r="L9" i="3" s="1"/>
  <c r="K9" i="3"/>
  <c r="K8" i="3"/>
  <c r="D10" i="3"/>
  <c r="C11" i="3" s="1"/>
  <c r="F11" i="2"/>
  <c r="G11" i="2"/>
  <c r="I10" i="2"/>
  <c r="H10" i="2"/>
  <c r="K10" i="2" s="1"/>
  <c r="I10" i="3" l="1"/>
  <c r="L10" i="3" s="1"/>
  <c r="F11" i="3"/>
  <c r="I11" i="2"/>
  <c r="J11" i="2" s="1"/>
  <c r="C5" i="8" s="1"/>
  <c r="F13" i="2"/>
  <c r="D11" i="3"/>
  <c r="H11" i="2"/>
  <c r="J10" i="2"/>
  <c r="K11" i="2" l="1"/>
  <c r="B5" i="8"/>
  <c r="F5" i="8" s="1"/>
  <c r="G11" i="3"/>
  <c r="H11" i="3"/>
  <c r="J11" i="3" l="1"/>
  <c r="I11" i="3"/>
  <c r="L11" i="3" s="1"/>
  <c r="K11" i="3" l="1"/>
  <c r="K18" i="2" l="1"/>
  <c r="D5" i="8" s="1"/>
  <c r="K17" i="2"/>
  <c r="E5" i="8" s="1"/>
  <c r="K17" i="3" l="1"/>
  <c r="E6" i="8" s="1"/>
  <c r="K18" i="3"/>
  <c r="D6" i="8" s="1"/>
</calcChain>
</file>

<file path=xl/sharedStrings.xml><?xml version="1.0" encoding="utf-8"?>
<sst xmlns="http://schemas.openxmlformats.org/spreadsheetml/2006/main" count="122" uniqueCount="58">
  <si>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</si>
  <si>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</si>
  <si>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</si>
  <si>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</si>
  <si>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</si>
  <si>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</si>
  <si>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</si>
  <si>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</si>
  <si>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</si>
  <si>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</si>
  <si>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</si>
  <si>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max</t>
  </si>
  <si>
    <t>min</t>
  </si>
  <si>
    <t>Tst</t>
  </si>
  <si>
    <t>Alfa</t>
  </si>
  <si>
    <t>Max</t>
  </si>
  <si>
    <t>Min</t>
  </si>
  <si>
    <t>Tt</t>
  </si>
  <si>
    <t>FT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</si>
  <si>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</si>
  <si>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</si>
  <si>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</si>
  <si>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</si>
  <si>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</si>
  <si>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</si>
  <si>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</si>
  <si>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</si>
  <si>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</si>
  <si>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</si>
  <si>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</si>
  <si>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</si>
  <si>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</si>
  <si>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</si>
  <si>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</si>
  <si>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</si>
  <si>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</si>
  <si>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</si>
  <si>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</si>
  <si>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</si>
  <si>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</si>
  <si>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</si>
  <si>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</si>
  <si>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</si>
  <si>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</si>
  <si>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Alpha</t>
  </si>
  <si>
    <t>Beta</t>
  </si>
  <si>
    <t>Intercepcion</t>
  </si>
  <si>
    <t>X1</t>
  </si>
  <si>
    <t>ESTIMACIONES DE ERROR DE LOS PRONÓSTICOS</t>
  </si>
  <si>
    <t>Método</t>
  </si>
  <si>
    <t>Rango TS inf</t>
  </si>
  <si>
    <t>Rango TS sup</t>
  </si>
  <si>
    <t>Desv. Est.</t>
  </si>
  <si>
    <t>Suavicación Expo</t>
  </si>
  <si>
    <t>Holt</t>
  </si>
  <si>
    <t>Promedio Movil (P=4)</t>
  </si>
  <si>
    <t>Promedio Movil (P=3)</t>
  </si>
  <si>
    <t>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</si>
</sst>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2" applyNumberFormat="1" applyFont="1"/>
    <xf numFmtId="0" fontId="0" fillId="2" borderId="1" xfId="0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Montos aprobados</a:t>
            </a:r>
            <a:r>
              <a:rPr lang="es-PA" baseline="0"/>
              <a:t> por año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4252829052106E-2"/>
                  <c:y val="-0.3101632822213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Pronostico!$A$2:$A$11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Pronostico!$B$2:$B$11</c:f>
              <c:numCache>
                <c:formatCode>General</c:formatCode>
                <c:ptCount val="10"/>
                <c:pt idx="0">
                  <c:v>219375.38</c:v>
                </c:pt>
                <c:pt idx="1">
                  <c:v>173385.60000000001</c:v>
                </c:pt>
                <c:pt idx="2">
                  <c:v>139459.28</c:v>
                </c:pt>
                <c:pt idx="3">
                  <c:v>54307.1</c:v>
                </c:pt>
                <c:pt idx="4">
                  <c:v>276454.52</c:v>
                </c:pt>
                <c:pt idx="5">
                  <c:v>199576</c:v>
                </c:pt>
                <c:pt idx="6">
                  <c:v>174310.65</c:v>
                </c:pt>
                <c:pt idx="7">
                  <c:v>174951.08000000002</c:v>
                </c:pt>
                <c:pt idx="8">
                  <c:v>64375.3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C-4AA2-A278-995E3176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7824"/>
        <c:axId val="1811018304"/>
      </c:lineChart>
      <c:catAx>
        <c:axId val="181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11018304"/>
        <c:crosses val="autoZero"/>
        <c:auto val="1"/>
        <c:lblAlgn val="ctr"/>
        <c:lblOffset val="100"/>
        <c:noMultiLvlLbl val="0"/>
      </c:catAx>
      <c:valAx>
        <c:axId val="1811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110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18</xdr:row>
      <xdr:rowOff>87630</xdr:rowOff>
    </xdr:from>
    <xdr:to>
      <xdr:col>9</xdr:col>
      <xdr:colOff>518160</xdr:colOff>
      <xdr:row>33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ACB21-8FBF-6037-A21D-DAA10568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H4" sqref="H4"/>
    </sheetView>
  </sheetViews>
  <sheetFormatPr baseColWidth="10" defaultColWidth="8.88671875" defaultRowHeight="14.4" x14ac:dyDescent="0.3"/>
  <cols>
    <col min="3" max="4" width="11" bestFit="1" customWidth="1"/>
    <col min="5" max="5" width="11.6640625" bestFit="1" customWidth="1"/>
    <col min="6" max="6" width="11" bestFit="1" customWidth="1"/>
    <col min="7" max="7" width="15.88671875" customWidth="1"/>
    <col min="8" max="8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5">
        <v>1</v>
      </c>
      <c r="B2">
        <v>219375.38</v>
      </c>
    </row>
    <row r="3" spans="1:11" x14ac:dyDescent="0.3">
      <c r="A3" s="5">
        <v>2</v>
      </c>
      <c r="B3">
        <v>173385.60000000001</v>
      </c>
    </row>
    <row r="4" spans="1:11" x14ac:dyDescent="0.3">
      <c r="A4" s="5">
        <v>3</v>
      </c>
      <c r="B4">
        <v>139459.28</v>
      </c>
    </row>
    <row r="5" spans="1:11" x14ac:dyDescent="0.3">
      <c r="A5" s="5">
        <v>4</v>
      </c>
      <c r="B5">
        <v>54307.1</v>
      </c>
      <c r="C5">
        <f>AVERAGE(B2:B4)</f>
        <v>177406.75333333333</v>
      </c>
    </row>
    <row r="6" spans="1:11" x14ac:dyDescent="0.3">
      <c r="A6" s="5">
        <v>5</v>
      </c>
      <c r="B6">
        <v>276454.52</v>
      </c>
      <c r="C6">
        <f t="shared" ref="C6:C10" si="0">AVERAGE(B3:B5)</f>
        <v>122383.99333333333</v>
      </c>
      <c r="D6">
        <f>C5</f>
        <v>177406.75333333333</v>
      </c>
      <c r="E6">
        <f>D6-B6</f>
        <v>-99047.766666666692</v>
      </c>
      <c r="F6">
        <f>ABS(E6)</f>
        <v>99047.766666666692</v>
      </c>
      <c r="G6">
        <f>+SUMSQ($E$6:E6)/(A6-4)</f>
        <v>9810460081.6544495</v>
      </c>
      <c r="H6">
        <f>+SUM($F$6:F6)/(A6-4)</f>
        <v>99047.766666666692</v>
      </c>
      <c r="I6">
        <f>+(F6/B6)*100</f>
        <v>35.827870228588296</v>
      </c>
      <c r="J6">
        <f>+AVERAGE($I$6:I6)</f>
        <v>35.827870228588296</v>
      </c>
      <c r="K6">
        <f>+SUM($E$6:E6)/H6</f>
        <v>-1</v>
      </c>
    </row>
    <row r="7" spans="1:11" x14ac:dyDescent="0.3">
      <c r="A7" s="5">
        <v>6</v>
      </c>
      <c r="B7">
        <v>199576</v>
      </c>
      <c r="C7">
        <f t="shared" si="0"/>
        <v>156740.30000000002</v>
      </c>
      <c r="D7">
        <f t="shared" ref="D7:D11" si="1">C6</f>
        <v>122383.99333333333</v>
      </c>
      <c r="E7">
        <f t="shared" ref="E7:E10" si="2">D7-B7</f>
        <v>-77192.006666666668</v>
      </c>
      <c r="F7">
        <f t="shared" ref="F7:F10" si="3">ABS(E7)</f>
        <v>77192.006666666668</v>
      </c>
      <c r="G7">
        <f>+SUMSQ($E$6:E7)/(A7-4)</f>
        <v>7884532987.4405804</v>
      </c>
      <c r="H7">
        <f>+SUM($F$6:F7)/(A7-4)</f>
        <v>88119.886666666687</v>
      </c>
      <c r="I7">
        <f t="shared" ref="I7:I10" si="4">+(F7/B7)*100</f>
        <v>38.678000694806322</v>
      </c>
      <c r="J7">
        <f>+AVERAGE($I$6:I7)</f>
        <v>37.252935461697305</v>
      </c>
      <c r="K7">
        <f>+SUM($E$6:E7)/H7</f>
        <v>-2</v>
      </c>
    </row>
    <row r="8" spans="1:11" x14ac:dyDescent="0.3">
      <c r="A8" s="5">
        <v>7</v>
      </c>
      <c r="B8">
        <v>174310.65</v>
      </c>
      <c r="C8">
        <f t="shared" si="0"/>
        <v>176779.20666666667</v>
      </c>
      <c r="D8">
        <f t="shared" si="1"/>
        <v>156740.30000000002</v>
      </c>
      <c r="E8">
        <f t="shared" si="2"/>
        <v>-17570.349999999977</v>
      </c>
      <c r="F8">
        <f t="shared" si="3"/>
        <v>17570.349999999977</v>
      </c>
      <c r="G8">
        <f>+SUMSQ($E$6:E8)/(A8-4)</f>
        <v>5359261058.0012197</v>
      </c>
      <c r="H8">
        <f>+SUM($F$6:F8)/(A8-4)</f>
        <v>64603.374444444453</v>
      </c>
      <c r="I8">
        <f t="shared" si="4"/>
        <v>10.079906190470849</v>
      </c>
      <c r="J8">
        <f>+AVERAGE($I$6:I8)</f>
        <v>28.195259037955154</v>
      </c>
      <c r="K8">
        <f>+SUM($E$6:E8)/H8</f>
        <v>-3</v>
      </c>
    </row>
    <row r="9" spans="1:11" x14ac:dyDescent="0.3">
      <c r="A9" s="5">
        <v>8</v>
      </c>
      <c r="B9">
        <v>174951.08000000002</v>
      </c>
      <c r="C9">
        <f t="shared" si="0"/>
        <v>216780.39</v>
      </c>
      <c r="D9">
        <f t="shared" si="1"/>
        <v>176779.20666666667</v>
      </c>
      <c r="E9">
        <f t="shared" si="2"/>
        <v>1828.1266666666488</v>
      </c>
      <c r="F9">
        <f t="shared" si="3"/>
        <v>1828.1266666666488</v>
      </c>
      <c r="G9">
        <f>+SUMSQ($E$6:E9)/(A9-4)</f>
        <v>4020281305.2782593</v>
      </c>
      <c r="H9">
        <f>+SUM($F$6:F9)/(A9-4)</f>
        <v>48909.5625</v>
      </c>
      <c r="I9">
        <f t="shared" si="4"/>
        <v>1.0449359138947005</v>
      </c>
      <c r="J9">
        <f>+AVERAGE($I$6:I9)</f>
        <v>21.407678256940041</v>
      </c>
      <c r="K9">
        <f>+SUM($E$6:E9)/H9</f>
        <v>-3.9252446117600561</v>
      </c>
    </row>
    <row r="10" spans="1:11" x14ac:dyDescent="0.3">
      <c r="A10" s="5">
        <v>9</v>
      </c>
      <c r="B10">
        <v>64375.3</v>
      </c>
      <c r="C10">
        <f t="shared" si="0"/>
        <v>182945.91</v>
      </c>
      <c r="D10">
        <f t="shared" si="1"/>
        <v>216780.39</v>
      </c>
      <c r="E10">
        <f t="shared" si="2"/>
        <v>152405.09000000003</v>
      </c>
      <c r="F10">
        <f t="shared" si="3"/>
        <v>152405.09000000003</v>
      </c>
      <c r="G10">
        <f>+SUMSQ($E$6:E10)/(A10-4)</f>
        <v>7861687335.8042297</v>
      </c>
      <c r="H10">
        <f>+SUM($F$6:F10)/(A10-4)</f>
        <v>69608.668000000005</v>
      </c>
      <c r="I10">
        <f t="shared" si="4"/>
        <v>236.74466759766563</v>
      </c>
      <c r="J10">
        <f>+AVERAGE($I$6:I10)</f>
        <v>64.475076125085167</v>
      </c>
      <c r="K10">
        <f>+SUM($E$6:E10)/H10</f>
        <v>-0.56856290751988925</v>
      </c>
    </row>
    <row r="11" spans="1:11" x14ac:dyDescent="0.3">
      <c r="D11">
        <f t="shared" si="1"/>
        <v>182945.91</v>
      </c>
    </row>
    <row r="15" spans="1:11" x14ac:dyDescent="0.3">
      <c r="J15" t="s">
        <v>11</v>
      </c>
      <c r="K15">
        <f>MAX(K6:K11)</f>
        <v>-0.56856290751988925</v>
      </c>
    </row>
    <row r="16" spans="1:11" x14ac:dyDescent="0.3">
      <c r="J16" t="s">
        <v>12</v>
      </c>
      <c r="K16">
        <f>MIN(K6:K11)</f>
        <v>-3.9252446117600561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87AA-044B-452B-BBB9-D471777D8CB6}">
  <dimension ref="A1:K16"/>
  <sheetViews>
    <sheetView workbookViewId="0">
      <selection activeCell="O3" sqref="O3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5">
        <v>1</v>
      </c>
      <c r="B2">
        <v>219375.38</v>
      </c>
    </row>
    <row r="3" spans="1:11" x14ac:dyDescent="0.3">
      <c r="A3" s="5">
        <v>2</v>
      </c>
      <c r="B3">
        <v>173385.60000000001</v>
      </c>
    </row>
    <row r="4" spans="1:11" x14ac:dyDescent="0.3">
      <c r="A4" s="5">
        <v>3</v>
      </c>
      <c r="B4">
        <v>139459.28</v>
      </c>
    </row>
    <row r="5" spans="1:11" x14ac:dyDescent="0.3">
      <c r="A5" s="5">
        <v>4</v>
      </c>
      <c r="B5">
        <v>54307.1</v>
      </c>
      <c r="C5">
        <f>AVERAGE(B2:B5)</f>
        <v>146631.84</v>
      </c>
    </row>
    <row r="6" spans="1:11" x14ac:dyDescent="0.3">
      <c r="A6" s="5">
        <v>5</v>
      </c>
      <c r="B6">
        <v>276454.52</v>
      </c>
      <c r="C6">
        <f t="shared" ref="C6:C10" si="0">AVERAGE(B3:B6)</f>
        <v>160901.625</v>
      </c>
      <c r="D6">
        <f>C5</f>
        <v>146631.84</v>
      </c>
      <c r="E6">
        <f>D6-B6</f>
        <v>-129822.68000000002</v>
      </c>
      <c r="F6">
        <f>ABS(E6)</f>
        <v>129822.68000000002</v>
      </c>
      <c r="G6">
        <f>+SUMSQ($E$6:E6)/(A6-4)</f>
        <v>16853928242.382406</v>
      </c>
      <c r="H6">
        <f>+SUM($F$6:F6)/(A6-4)</f>
        <v>129822.68000000002</v>
      </c>
      <c r="I6">
        <f>+(F6/B6)*100</f>
        <v>46.959868842079345</v>
      </c>
      <c r="J6">
        <f>+AVERAGE($I$6:I6)</f>
        <v>46.959868842079345</v>
      </c>
      <c r="K6">
        <f>+SUM($E$6:E6)/H6</f>
        <v>-1</v>
      </c>
    </row>
    <row r="7" spans="1:11" x14ac:dyDescent="0.3">
      <c r="A7" s="5">
        <v>6</v>
      </c>
      <c r="B7">
        <v>199576</v>
      </c>
      <c r="C7">
        <f t="shared" si="0"/>
        <v>167449.22500000001</v>
      </c>
      <c r="D7">
        <f t="shared" ref="D7:D10" si="1">C6</f>
        <v>160901.625</v>
      </c>
      <c r="E7">
        <f t="shared" ref="E7:E10" si="2">D7-B7</f>
        <v>-38674.375</v>
      </c>
      <c r="F7">
        <f t="shared" ref="F7:F10" si="3">ABS(E7)</f>
        <v>38674.375</v>
      </c>
      <c r="G7">
        <f>+SUMSQ($E$6:E7)/(A7-4)</f>
        <v>9174817762.0115166</v>
      </c>
      <c r="H7">
        <f>+SUM($F$6:F7)/(A7-4)</f>
        <v>84248.527500000011</v>
      </c>
      <c r="I7">
        <f t="shared" ref="I7:I10" si="4">+(F7/B7)*100</f>
        <v>19.378269431194131</v>
      </c>
      <c r="J7">
        <f>+AVERAGE($I$6:I7)</f>
        <v>33.169069136636736</v>
      </c>
      <c r="K7">
        <f>+SUM($E$6:E7)/H7</f>
        <v>-2</v>
      </c>
    </row>
    <row r="8" spans="1:11" x14ac:dyDescent="0.3">
      <c r="A8" s="5">
        <v>7</v>
      </c>
      <c r="B8">
        <v>174310.65</v>
      </c>
      <c r="C8">
        <f t="shared" si="0"/>
        <v>176162.0675</v>
      </c>
      <c r="D8">
        <f t="shared" si="1"/>
        <v>167449.22500000001</v>
      </c>
      <c r="E8">
        <f t="shared" si="2"/>
        <v>-6861.4249999999884</v>
      </c>
      <c r="F8">
        <f t="shared" si="3"/>
        <v>6861.4249999999884</v>
      </c>
      <c r="G8">
        <f>+SUMSQ($E$6:E8)/(A8-4)</f>
        <v>6132238225.6845522</v>
      </c>
      <c r="H8">
        <f>+SUM($F$6:F8)/(A8-4)</f>
        <v>58452.826666666668</v>
      </c>
      <c r="I8">
        <f t="shared" si="4"/>
        <v>3.9363200125752438</v>
      </c>
      <c r="J8">
        <f>+AVERAGE($I$6:I8)</f>
        <v>23.424819428616235</v>
      </c>
      <c r="K8">
        <f>+SUM($E$6:E8)/H8</f>
        <v>-3</v>
      </c>
    </row>
    <row r="9" spans="1:11" x14ac:dyDescent="0.3">
      <c r="A9" s="5">
        <v>8</v>
      </c>
      <c r="B9">
        <v>174951.08000000002</v>
      </c>
      <c r="C9">
        <f t="shared" si="0"/>
        <v>206323.0625</v>
      </c>
      <c r="D9">
        <f t="shared" si="1"/>
        <v>176162.0675</v>
      </c>
      <c r="E9">
        <f t="shared" si="2"/>
        <v>1210.9874999999884</v>
      </c>
      <c r="F9">
        <f t="shared" si="3"/>
        <v>1210.9874999999884</v>
      </c>
      <c r="G9">
        <f>+SUMSQ($E$6:E9)/(A9-4)</f>
        <v>4599545291.9447031</v>
      </c>
      <c r="H9">
        <f>+SUM($F$6:F9)/(A9-4)</f>
        <v>44142.366875</v>
      </c>
      <c r="I9">
        <f t="shared" si="4"/>
        <v>0.69218635289361352</v>
      </c>
      <c r="J9">
        <f>+AVERAGE($I$6:I9)</f>
        <v>17.741661159685581</v>
      </c>
      <c r="K9">
        <f>+SUM($E$6:E9)/H9</f>
        <v>-3.9451326430488334</v>
      </c>
    </row>
    <row r="10" spans="1:11" x14ac:dyDescent="0.3">
      <c r="A10" s="5">
        <v>9</v>
      </c>
      <c r="B10">
        <v>64375.3</v>
      </c>
      <c r="C10">
        <f t="shared" si="0"/>
        <v>153303.25750000001</v>
      </c>
      <c r="D10">
        <f t="shared" si="1"/>
        <v>206323.0625</v>
      </c>
      <c r="E10">
        <f t="shared" si="2"/>
        <v>141947.76250000001</v>
      </c>
      <c r="F10">
        <f t="shared" si="3"/>
        <v>141947.76250000001</v>
      </c>
      <c r="G10">
        <f>+SUMSQ($E$6:E10)/(A10-4)</f>
        <v>7709469689.3070431</v>
      </c>
      <c r="H10">
        <f>+SUM($F$6:F10)/(A10-4)</f>
        <v>63703.445999999996</v>
      </c>
      <c r="I10">
        <f t="shared" si="4"/>
        <v>220.50035106632512</v>
      </c>
      <c r="J10">
        <f>+AVERAGE($I$6:I10)</f>
        <v>58.293399141013495</v>
      </c>
      <c r="K10">
        <f>+SUM($E$6:E10)/H10</f>
        <v>-0.50546292268082349</v>
      </c>
    </row>
    <row r="15" spans="1:11" x14ac:dyDescent="0.3">
      <c r="J15" t="s">
        <v>11</v>
      </c>
      <c r="K15">
        <f>MAX(K6:K10)</f>
        <v>-0.50546292268082349</v>
      </c>
    </row>
    <row r="16" spans="1:11" x14ac:dyDescent="0.3">
      <c r="J16" t="s">
        <v>12</v>
      </c>
      <c r="K16">
        <f>MIN(K6:K10)</f>
        <v>-3.9451326430488334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1ED1-CA71-40ED-9512-5354738DE289}">
  <dimension ref="A1:K19"/>
  <sheetViews>
    <sheetView tabSelected="1" workbookViewId="0">
      <selection activeCell="D13" sqref="D13"/>
    </sheetView>
  </sheetViews>
  <sheetFormatPr baseColWidth="10" defaultRowHeight="14.4" x14ac:dyDescent="0.3"/>
  <cols>
    <col min="3" max="3" width="12" bestFit="1" customWidth="1"/>
    <col min="7" max="7" width="12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x14ac:dyDescent="0.3">
      <c r="C2">
        <f>+AVERAGE(B3:B11)</f>
        <v>164021.65666666665</v>
      </c>
    </row>
    <row r="3" spans="1:11" x14ac:dyDescent="0.3">
      <c r="A3">
        <v>1</v>
      </c>
      <c r="B3">
        <v>219375.38</v>
      </c>
      <c r="C3">
        <f>+($B$19*B3)+((1-$B$19)*C2)</f>
        <v>172324.71516666666</v>
      </c>
      <c r="D3">
        <f>+C2</f>
        <v>164021.65666666665</v>
      </c>
      <c r="E3">
        <f>+D3-B3</f>
        <v>-55353.723333333357</v>
      </c>
      <c r="F3">
        <f>ABS(E3)</f>
        <v>55353.723333333357</v>
      </c>
      <c r="G3">
        <f>+SUMSQ($E$3:E3)/A3</f>
        <v>3064034686.8632135</v>
      </c>
      <c r="H3">
        <f>+SUM($F$3:F3)/A3</f>
        <v>55353.723333333357</v>
      </c>
      <c r="I3">
        <f>+(F3/B3)*100</f>
        <v>25.232422769288586</v>
      </c>
      <c r="J3">
        <f>+AVERAGE($I$3:I3)</f>
        <v>25.232422769288586</v>
      </c>
      <c r="K3">
        <f>+SUM($E$3:E3)/H3</f>
        <v>-1</v>
      </c>
    </row>
    <row r="4" spans="1:11" x14ac:dyDescent="0.3">
      <c r="A4">
        <v>2</v>
      </c>
      <c r="B4">
        <v>173385.60000000001</v>
      </c>
      <c r="C4">
        <f t="shared" ref="C4:C11" si="0">+($B$19*B4)+((1-$B$19)*C3)</f>
        <v>172483.84789166666</v>
      </c>
      <c r="D4">
        <f t="shared" ref="D4:D12" si="1">+C3</f>
        <v>172324.71516666666</v>
      </c>
      <c r="E4">
        <f t="shared" ref="E4:E11" si="2">+D4-B4</f>
        <v>-1060.8848333333444</v>
      </c>
      <c r="F4">
        <f t="shared" ref="F4:F11" si="3">ABS(E4)</f>
        <v>1060.8848333333444</v>
      </c>
      <c r="G4">
        <f>+SUMSQ($E$3:E4)/A4</f>
        <v>1532580081.7464051</v>
      </c>
      <c r="H4">
        <f>+SUM($F$3:F4)/A4</f>
        <v>28207.304083333351</v>
      </c>
      <c r="I4">
        <f t="shared" ref="I4:I11" si="4">+(F4/B4)*100</f>
        <v>0.61186444164529485</v>
      </c>
      <c r="J4">
        <f>+AVERAGE($I$3:I4)</f>
        <v>12.922143605466941</v>
      </c>
      <c r="K4">
        <f>+SUM($E$3:E4)/H4</f>
        <v>-2</v>
      </c>
    </row>
    <row r="5" spans="1:11" x14ac:dyDescent="0.3">
      <c r="A5">
        <v>3</v>
      </c>
      <c r="B5">
        <v>139459.28</v>
      </c>
      <c r="C5">
        <f t="shared" si="0"/>
        <v>167530.16270791666</v>
      </c>
      <c r="D5">
        <f t="shared" si="1"/>
        <v>172483.84789166666</v>
      </c>
      <c r="E5">
        <f t="shared" si="2"/>
        <v>33024.567891666666</v>
      </c>
      <c r="F5">
        <f t="shared" si="3"/>
        <v>33024.567891666666</v>
      </c>
      <c r="G5">
        <f>+SUMSQ($E$3:E5)/A5</f>
        <v>1385260749.308037</v>
      </c>
      <c r="H5">
        <f>+SUM($F$3:F5)/A5</f>
        <v>29813.058686111122</v>
      </c>
      <c r="I5">
        <f t="shared" si="4"/>
        <v>23.680437681642029</v>
      </c>
      <c r="J5">
        <f>+AVERAGE($I$3:I5)</f>
        <v>16.508241630858638</v>
      </c>
      <c r="K5">
        <f>+SUM($E$3:E5)/H5</f>
        <v>-0.78455687895910697</v>
      </c>
    </row>
    <row r="6" spans="1:11" x14ac:dyDescent="0.3">
      <c r="A6">
        <v>4</v>
      </c>
      <c r="B6">
        <v>54307.1</v>
      </c>
      <c r="C6">
        <f t="shared" si="0"/>
        <v>150546.70330172917</v>
      </c>
      <c r="D6">
        <f t="shared" si="1"/>
        <v>167530.16270791666</v>
      </c>
      <c r="E6">
        <f t="shared" si="2"/>
        <v>113223.06270791666</v>
      </c>
      <c r="F6">
        <f t="shared" si="3"/>
        <v>113223.06270791666</v>
      </c>
      <c r="G6">
        <f>+SUMSQ($E$3:E6)/A6</f>
        <v>4243811044.2212353</v>
      </c>
      <c r="H6">
        <f>+SUM($F$3:F6)/A6</f>
        <v>50665.559691562506</v>
      </c>
      <c r="I6">
        <f t="shared" si="4"/>
        <v>208.48666695131328</v>
      </c>
      <c r="J6">
        <f>+AVERAGE($I$3:I6)</f>
        <v>64.502847960972304</v>
      </c>
      <c r="K6">
        <f>+SUM($E$3:E6)/H6</f>
        <v>1.7730589177301992</v>
      </c>
    </row>
    <row r="7" spans="1:11" x14ac:dyDescent="0.3">
      <c r="A7">
        <v>5</v>
      </c>
      <c r="B7">
        <v>276454.52</v>
      </c>
      <c r="C7">
        <f t="shared" si="0"/>
        <v>169432.87580646979</v>
      </c>
      <c r="D7">
        <f t="shared" si="1"/>
        <v>150546.70330172917</v>
      </c>
      <c r="E7">
        <f t="shared" si="2"/>
        <v>-125907.81669827085</v>
      </c>
      <c r="F7">
        <f t="shared" si="3"/>
        <v>125907.81669827085</v>
      </c>
      <c r="G7">
        <f>+SUMSQ($E$3:E7)/A7</f>
        <v>6565604496.5220623</v>
      </c>
      <c r="H7">
        <f>+SUM($F$3:F7)/A7</f>
        <v>65714.011092904169</v>
      </c>
      <c r="I7">
        <f t="shared" si="4"/>
        <v>45.543772154013197</v>
      </c>
      <c r="J7">
        <f>+AVERAGE($I$3:I7)</f>
        <v>60.711032799580479</v>
      </c>
      <c r="K7">
        <f>+SUM($E$3:E7)/H7</f>
        <v>-0.54896655470251154</v>
      </c>
    </row>
    <row r="8" spans="1:11" x14ac:dyDescent="0.3">
      <c r="A8">
        <v>6</v>
      </c>
      <c r="B8">
        <v>199576</v>
      </c>
      <c r="C8">
        <f t="shared" si="0"/>
        <v>173954.34443549931</v>
      </c>
      <c r="D8">
        <f t="shared" si="1"/>
        <v>169432.87580646979</v>
      </c>
      <c r="E8">
        <f t="shared" si="2"/>
        <v>-30143.12419353021</v>
      </c>
      <c r="F8">
        <f t="shared" si="3"/>
        <v>30143.12419353021</v>
      </c>
      <c r="G8">
        <f>+SUMSQ($E$3:E8)/A8</f>
        <v>5622771736.4594831</v>
      </c>
      <c r="H8">
        <f>+SUM($F$3:F8)/A8</f>
        <v>59785.529943008522</v>
      </c>
      <c r="I8">
        <f t="shared" si="4"/>
        <v>15.103581689947795</v>
      </c>
      <c r="J8">
        <f>+AVERAGE($I$3:I8)</f>
        <v>53.109790947975036</v>
      </c>
      <c r="K8">
        <f>+SUM($E$3:E8)/H8</f>
        <v>-1.1075910596093685</v>
      </c>
    </row>
    <row r="9" spans="1:11" x14ac:dyDescent="0.3">
      <c r="A9">
        <v>7</v>
      </c>
      <c r="B9">
        <v>174310.65</v>
      </c>
      <c r="C9">
        <f t="shared" si="0"/>
        <v>174007.79027017442</v>
      </c>
      <c r="D9">
        <f t="shared" si="1"/>
        <v>173954.34443549931</v>
      </c>
      <c r="E9">
        <f t="shared" si="2"/>
        <v>-356.30556450068252</v>
      </c>
      <c r="F9">
        <f t="shared" si="3"/>
        <v>356.30556450068252</v>
      </c>
      <c r="G9">
        <f>+SUMSQ($E$3:E9)/A9</f>
        <v>4819536767.4874563</v>
      </c>
      <c r="H9">
        <f>+SUM($F$3:F9)/A9</f>
        <v>51295.640746078825</v>
      </c>
      <c r="I9">
        <f t="shared" si="4"/>
        <v>0.20440837349908486</v>
      </c>
      <c r="J9">
        <f>+AVERAGE($I$3:I9)</f>
        <v>45.551879151621328</v>
      </c>
      <c r="K9">
        <f>+SUM($E$3:E9)/H9</f>
        <v>-1.2978534443684522</v>
      </c>
    </row>
    <row r="10" spans="1:11" x14ac:dyDescent="0.3">
      <c r="A10">
        <v>8</v>
      </c>
      <c r="B10">
        <v>174951.08000000002</v>
      </c>
      <c r="C10">
        <f t="shared" si="0"/>
        <v>174149.28372964828</v>
      </c>
      <c r="D10">
        <f t="shared" si="1"/>
        <v>174007.79027017442</v>
      </c>
      <c r="E10">
        <f t="shared" si="2"/>
        <v>-943.28972982559935</v>
      </c>
      <c r="F10">
        <f t="shared" si="3"/>
        <v>943.28972982559935</v>
      </c>
      <c r="G10">
        <f>+SUMSQ($E$3:E10)/A10</f>
        <v>4217205895.9908233</v>
      </c>
      <c r="H10">
        <f>+SUM($F$3:F10)/A10</f>
        <v>45001.596869047178</v>
      </c>
      <c r="I10">
        <f t="shared" si="4"/>
        <v>0.5391734248371598</v>
      </c>
      <c r="J10">
        <f>+AVERAGE($I$3:I10)</f>
        <v>39.925290935773305</v>
      </c>
      <c r="K10">
        <f>+SUM($E$3:E10)/H10</f>
        <v>-1.5003359536259111</v>
      </c>
    </row>
    <row r="11" spans="1:11" x14ac:dyDescent="0.3">
      <c r="A11">
        <v>9</v>
      </c>
      <c r="B11">
        <v>64375.3</v>
      </c>
      <c r="C11">
        <f t="shared" si="0"/>
        <v>157683.18617020105</v>
      </c>
      <c r="D11">
        <f t="shared" si="1"/>
        <v>174149.28372964828</v>
      </c>
      <c r="E11">
        <f t="shared" si="2"/>
        <v>109773.98372964827</v>
      </c>
      <c r="F11">
        <f t="shared" si="3"/>
        <v>109773.98372964827</v>
      </c>
      <c r="G11">
        <f>+SUMSQ($E$3:E11)/A11</f>
        <v>5087552741.3115187</v>
      </c>
      <c r="H11">
        <f>+SUM($F$3:F11)/A11</f>
        <v>52198.528742447299</v>
      </c>
      <c r="I11">
        <f t="shared" si="4"/>
        <v>170.52189850711105</v>
      </c>
      <c r="J11">
        <f>+AVERAGE($I$3:I11)</f>
        <v>54.436025110366387</v>
      </c>
      <c r="K11">
        <f>+SUM($E$3:E11)/H11</f>
        <v>0.80953373580575716</v>
      </c>
    </row>
    <row r="13" spans="1:11" x14ac:dyDescent="0.3">
      <c r="F13">
        <f>AVERAGE(F3:F11)</f>
        <v>52198.528742447299</v>
      </c>
    </row>
    <row r="17" spans="1:11" x14ac:dyDescent="0.3">
      <c r="J17" t="s">
        <v>15</v>
      </c>
      <c r="K17">
        <f>MAX(K3:K13)</f>
        <v>1.7730589177301992</v>
      </c>
    </row>
    <row r="18" spans="1:11" x14ac:dyDescent="0.3">
      <c r="J18" t="s">
        <v>16</v>
      </c>
      <c r="K18">
        <f>MIN(K3:K13)</f>
        <v>-2</v>
      </c>
    </row>
    <row r="19" spans="1:11" x14ac:dyDescent="0.3">
      <c r="A19" t="s">
        <v>14</v>
      </c>
      <c r="B19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2D9D-5A0B-4E31-9FFD-C8BE27B7B704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8" t="s">
        <v>20</v>
      </c>
      <c r="B3" s="8"/>
    </row>
    <row r="4" spans="1:9" x14ac:dyDescent="0.3">
      <c r="A4" t="s">
        <v>21</v>
      </c>
      <c r="B4">
        <v>0.25889182082671169</v>
      </c>
    </row>
    <row r="5" spans="1:9" x14ac:dyDescent="0.3">
      <c r="A5" t="s">
        <v>22</v>
      </c>
      <c r="B5">
        <v>6.7024974890970201E-2</v>
      </c>
    </row>
    <row r="6" spans="1:9" x14ac:dyDescent="0.3">
      <c r="A6" t="s">
        <v>23</v>
      </c>
      <c r="B6">
        <v>-6.6257171553176911E-2</v>
      </c>
    </row>
    <row r="7" spans="1:9" x14ac:dyDescent="0.3">
      <c r="A7" t="s">
        <v>24</v>
      </c>
      <c r="B7">
        <v>72880.71095288347</v>
      </c>
    </row>
    <row r="8" spans="1:9" ht="15" thickBot="1" x14ac:dyDescent="0.35">
      <c r="A8" s="6" t="s">
        <v>25</v>
      </c>
      <c r="B8" s="6">
        <v>9</v>
      </c>
    </row>
    <row r="10" spans="1:9" ht="15" thickBot="1" x14ac:dyDescent="0.35">
      <c r="A10" t="s">
        <v>26</v>
      </c>
    </row>
    <row r="11" spans="1:9" x14ac:dyDescent="0.3">
      <c r="A11" s="7"/>
      <c r="B11" s="7" t="s">
        <v>31</v>
      </c>
      <c r="C11" s="7" t="s">
        <v>32</v>
      </c>
      <c r="D11" s="7" t="s">
        <v>33</v>
      </c>
      <c r="E11" s="7" t="s">
        <v>34</v>
      </c>
      <c r="F11" s="7" t="s">
        <v>35</v>
      </c>
    </row>
    <row r="12" spans="1:9" x14ac:dyDescent="0.3">
      <c r="A12" t="s">
        <v>27</v>
      </c>
      <c r="B12">
        <v>1</v>
      </c>
      <c r="C12">
        <v>2671098373.0569611</v>
      </c>
      <c r="D12">
        <v>2671098373.0569611</v>
      </c>
      <c r="E12">
        <v>0.50288036829492033</v>
      </c>
      <c r="F12">
        <v>0.50116659872235525</v>
      </c>
    </row>
    <row r="13" spans="1:9" x14ac:dyDescent="0.3">
      <c r="A13" t="s">
        <v>28</v>
      </c>
      <c r="B13">
        <v>7</v>
      </c>
      <c r="C13">
        <v>37181186202.984245</v>
      </c>
      <c r="D13">
        <v>5311598028.9977493</v>
      </c>
    </row>
    <row r="14" spans="1:9" ht="15" thickBot="1" x14ac:dyDescent="0.35">
      <c r="A14" s="6" t="s">
        <v>29</v>
      </c>
      <c r="B14" s="6">
        <v>8</v>
      </c>
      <c r="C14" s="6">
        <v>39852284576.041206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36</v>
      </c>
      <c r="C16" s="7" t="s">
        <v>24</v>
      </c>
      <c r="D16" s="7" t="s">
        <v>37</v>
      </c>
      <c r="E16" s="7" t="s">
        <v>38</v>
      </c>
      <c r="F16" s="7" t="s">
        <v>39</v>
      </c>
      <c r="G16" s="7" t="s">
        <v>40</v>
      </c>
      <c r="H16" s="7" t="s">
        <v>41</v>
      </c>
      <c r="I16" s="7" t="s">
        <v>42</v>
      </c>
    </row>
    <row r="17" spans="1:9" x14ac:dyDescent="0.3">
      <c r="A17" t="s">
        <v>30</v>
      </c>
      <c r="B17">
        <v>197382.67666666664</v>
      </c>
      <c r="C17">
        <v>52946.608996169496</v>
      </c>
      <c r="D17">
        <v>3.7279569061910385</v>
      </c>
      <c r="E17">
        <v>7.3785065715250234E-3</v>
      </c>
      <c r="F17">
        <v>72183.840994723534</v>
      </c>
      <c r="G17">
        <v>322581.51233860973</v>
      </c>
      <c r="H17">
        <v>72183.840994723534</v>
      </c>
      <c r="I17">
        <v>322581.51233860973</v>
      </c>
    </row>
    <row r="18" spans="1:9" ht="15" thickBot="1" x14ac:dyDescent="0.35">
      <c r="A18" s="6" t="s">
        <v>43</v>
      </c>
      <c r="B18" s="6">
        <v>-6672.2039999999988</v>
      </c>
      <c r="C18" s="6">
        <v>9408.8593260091384</v>
      </c>
      <c r="D18" s="6">
        <v>-0.70914058429546967</v>
      </c>
      <c r="E18" s="6">
        <v>0.50116659872235536</v>
      </c>
      <c r="F18" s="6">
        <v>-28920.62094210615</v>
      </c>
      <c r="G18" s="6">
        <v>15576.212942106155</v>
      </c>
      <c r="H18" s="6">
        <v>-28920.62094210615</v>
      </c>
      <c r="I18" s="6">
        <v>15576.212942106155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DCF-196D-44AD-98F2-9D561103BBD5}">
  <dimension ref="A1:L27"/>
  <sheetViews>
    <sheetView zoomScaleNormal="100" workbookViewId="0">
      <selection activeCell="F16" sqref="F16"/>
    </sheetView>
  </sheetViews>
  <sheetFormatPr baseColWidth="10" defaultRowHeight="14.4" x14ac:dyDescent="0.3"/>
  <cols>
    <col min="2" max="2" width="20.77734375" customWidth="1"/>
    <col min="8" max="8" width="12" bestFit="1" customWidth="1"/>
  </cols>
  <sheetData>
    <row r="1" spans="1:12" s="3" customFormat="1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C2">
        <f>regresion1!B17</f>
        <v>197382.67666666664</v>
      </c>
      <c r="D2">
        <f>regresion1!B18</f>
        <v>-6672.2039999999988</v>
      </c>
    </row>
    <row r="3" spans="1:12" x14ac:dyDescent="0.3">
      <c r="A3">
        <v>1</v>
      </c>
      <c r="B3">
        <v>219375.38</v>
      </c>
      <c r="C3">
        <f>+($B$23*B3)+((1-$B$23)*(C2+D2))</f>
        <v>193576.96339999998</v>
      </c>
      <c r="D3">
        <f>+($B$24*(C3-C2)+((1-$B$24)*D2))</f>
        <v>-6242.230389999997</v>
      </c>
      <c r="E3">
        <f>+C2+D2</f>
        <v>190710.47266666664</v>
      </c>
      <c r="F3">
        <f>+E3-B3</f>
        <v>-28664.907333333365</v>
      </c>
      <c r="G3">
        <f>ABS(F3)</f>
        <v>28664.907333333365</v>
      </c>
      <c r="H3">
        <f>+SUMSQ($F$3:F3)/A3</f>
        <v>821676912.42858899</v>
      </c>
      <c r="I3">
        <f>+SUM($G$3:G3)/A3</f>
        <v>28664.907333333365</v>
      </c>
      <c r="J3">
        <f>+(G3/B3)*100</f>
        <v>13.066601791565382</v>
      </c>
      <c r="K3">
        <f>+AVERAGE($J$3:J3)</f>
        <v>13.066601791565382</v>
      </c>
      <c r="L3">
        <f>+SUM($F$3:F3)/I3</f>
        <v>-1</v>
      </c>
    </row>
    <row r="4" spans="1:12" x14ac:dyDescent="0.3">
      <c r="A4">
        <v>2</v>
      </c>
      <c r="B4">
        <v>173385.60000000001</v>
      </c>
      <c r="C4">
        <f t="shared" ref="C4:C11" si="0">+($B$23*B4)+((1-$B$23)*(C3+D3))</f>
        <v>185939.81970899997</v>
      </c>
      <c r="D4">
        <f t="shared" ref="D4:D11" si="1">+($B$24*(C4-C3)+((1-$B$24)*D3))</f>
        <v>-6451.4673851499974</v>
      </c>
      <c r="E4">
        <f t="shared" ref="E4:E12" si="2">+C3+D3</f>
        <v>187334.73300999997</v>
      </c>
      <c r="F4">
        <f t="shared" ref="F4:F11" si="3">+E4-B4</f>
        <v>13949.133009999961</v>
      </c>
      <c r="G4">
        <f t="shared" ref="G4:G11" si="4">ABS(F4)</f>
        <v>13949.133009999961</v>
      </c>
      <c r="H4">
        <f>+SUMSQ($F$3:F4)/A4</f>
        <v>508127612.07962978</v>
      </c>
      <c r="I4">
        <f>+SUM($G$3:G4)/A4</f>
        <v>21307.020171666663</v>
      </c>
      <c r="J4">
        <f t="shared" ref="J4:J11" si="5">+(G4/B4)*100</f>
        <v>8.0451508141390988</v>
      </c>
      <c r="K4">
        <f>+AVERAGE($J$3:J4)</f>
        <v>10.555876302852241</v>
      </c>
      <c r="L4">
        <f>+SUM($F$3:F4)/I4</f>
        <v>-0.69065379413785555</v>
      </c>
    </row>
    <row r="5" spans="1:12" x14ac:dyDescent="0.3">
      <c r="A5">
        <v>3</v>
      </c>
      <c r="B5">
        <v>139459.28</v>
      </c>
      <c r="C5">
        <f t="shared" si="0"/>
        <v>175485.44509146496</v>
      </c>
      <c r="D5">
        <f t="shared" si="1"/>
        <v>-7051.9034700077491</v>
      </c>
      <c r="E5">
        <f t="shared" si="2"/>
        <v>179488.35232384998</v>
      </c>
      <c r="F5">
        <f t="shared" si="3"/>
        <v>40029.072323849978</v>
      </c>
      <c r="G5">
        <f t="shared" si="4"/>
        <v>40029.072323849978</v>
      </c>
      <c r="H5">
        <f>+SUMSQ($F$3:F5)/A5</f>
        <v>872860618.42242396</v>
      </c>
      <c r="I5">
        <f>+SUM($G$3:G5)/A5</f>
        <v>27547.704222394434</v>
      </c>
      <c r="J5">
        <f t="shared" si="5"/>
        <v>28.70305391211684</v>
      </c>
      <c r="K5">
        <f>+AVERAGE($J$3:J5)</f>
        <v>16.604935505940443</v>
      </c>
      <c r="L5">
        <f>+SUM($F$3:F5)/I5</f>
        <v>0.91888956684595746</v>
      </c>
    </row>
    <row r="6" spans="1:12" x14ac:dyDescent="0.3">
      <c r="A6">
        <v>4</v>
      </c>
      <c r="B6">
        <v>54307.1</v>
      </c>
      <c r="C6">
        <f t="shared" si="0"/>
        <v>157020.89745931147</v>
      </c>
      <c r="D6">
        <f t="shared" si="1"/>
        <v>-8763.8000943296101</v>
      </c>
      <c r="E6">
        <f t="shared" si="2"/>
        <v>168433.5416214572</v>
      </c>
      <c r="F6">
        <f t="shared" si="3"/>
        <v>114126.4416214572</v>
      </c>
      <c r="G6">
        <f t="shared" si="4"/>
        <v>114126.4416214572</v>
      </c>
      <c r="H6">
        <f>+SUMSQ($F$3:F6)/A6</f>
        <v>3910856633.1107874</v>
      </c>
      <c r="I6">
        <f>+SUM($G$3:G6)/A6</f>
        <v>49192.388572160125</v>
      </c>
      <c r="J6">
        <f t="shared" si="5"/>
        <v>210.15013068541165</v>
      </c>
      <c r="K6">
        <f>+AVERAGE($J$3:J6)</f>
        <v>64.991234300808244</v>
      </c>
      <c r="L6">
        <f>+SUM($F$3:F6)/I6</f>
        <v>2.8345795695086071</v>
      </c>
    </row>
    <row r="7" spans="1:12" x14ac:dyDescent="0.3">
      <c r="A7">
        <v>5</v>
      </c>
      <c r="B7">
        <v>276454.52</v>
      </c>
      <c r="C7">
        <f t="shared" si="0"/>
        <v>161076.83962848369</v>
      </c>
      <c r="D7">
        <f t="shared" si="1"/>
        <v>-6840.8387548043347</v>
      </c>
      <c r="E7">
        <f t="shared" si="2"/>
        <v>148257.09736498186</v>
      </c>
      <c r="F7">
        <f t="shared" si="3"/>
        <v>-128197.42263501816</v>
      </c>
      <c r="G7">
        <f t="shared" si="4"/>
        <v>128197.42263501816</v>
      </c>
      <c r="H7">
        <f>+SUMSQ($F$3:F7)/A7</f>
        <v>6415601140.5409222</v>
      </c>
      <c r="I7">
        <f>+SUM($G$3:G7)/A7</f>
        <v>64993.395384731724</v>
      </c>
      <c r="J7">
        <f t="shared" si="5"/>
        <v>46.371975627317703</v>
      </c>
      <c r="K7">
        <f>+AVERAGE($J$3:J7)</f>
        <v>61.267382566110129</v>
      </c>
      <c r="L7">
        <f>+SUM($F$3:F7)/I7</f>
        <v>0.17297629890554486</v>
      </c>
    </row>
    <row r="8" spans="1:12" x14ac:dyDescent="0.3">
      <c r="A8">
        <v>6</v>
      </c>
      <c r="B8">
        <v>199576</v>
      </c>
      <c r="C8">
        <f t="shared" si="0"/>
        <v>158770.00078631143</v>
      </c>
      <c r="D8">
        <f t="shared" si="1"/>
        <v>-6160.7387679095236</v>
      </c>
      <c r="E8">
        <f t="shared" si="2"/>
        <v>154236.00087367935</v>
      </c>
      <c r="F8">
        <f t="shared" si="3"/>
        <v>-45339.999126320647</v>
      </c>
      <c r="G8">
        <f t="shared" si="4"/>
        <v>45339.999126320647</v>
      </c>
      <c r="H8">
        <f>+SUMSQ($F$3:F8)/A8</f>
        <v>5688953537.246562</v>
      </c>
      <c r="I8">
        <f>+SUM($G$3:G8)/A8</f>
        <v>61717.829341663215</v>
      </c>
      <c r="J8">
        <f t="shared" si="5"/>
        <v>22.718162066741815</v>
      </c>
      <c r="K8">
        <f>+AVERAGE($J$3:J8)</f>
        <v>54.842512482882078</v>
      </c>
      <c r="L8">
        <f>+SUM($F$3:F8)/I8</f>
        <v>-0.55247701520097148</v>
      </c>
    </row>
    <row r="9" spans="1:12" x14ac:dyDescent="0.3">
      <c r="A9">
        <v>7</v>
      </c>
      <c r="B9">
        <v>174310.65</v>
      </c>
      <c r="C9">
        <f t="shared" si="0"/>
        <v>154779.40081656171</v>
      </c>
      <c r="D9">
        <f t="shared" si="1"/>
        <v>-5835.2179481855519</v>
      </c>
      <c r="E9">
        <f t="shared" si="2"/>
        <v>152609.2620184019</v>
      </c>
      <c r="F9">
        <f t="shared" si="3"/>
        <v>-21701.387981598091</v>
      </c>
      <c r="G9">
        <f t="shared" si="4"/>
        <v>21701.387981598091</v>
      </c>
      <c r="H9">
        <f>+SUMSQ($F$3:F9)/A9</f>
        <v>4943524494.8296032</v>
      </c>
      <c r="I9">
        <f>+SUM($G$3:G9)/A9</f>
        <v>56001.194861653908</v>
      </c>
      <c r="J9">
        <f t="shared" si="5"/>
        <v>12.449834810207001</v>
      </c>
      <c r="K9">
        <f>+AVERAGE($J$3:J9)</f>
        <v>48.786415672499921</v>
      </c>
      <c r="L9">
        <f>+SUM($F$3:F9)/I9</f>
        <v>-0.99639070664134721</v>
      </c>
    </row>
    <row r="10" spans="1:12" x14ac:dyDescent="0.3">
      <c r="A10">
        <v>8</v>
      </c>
      <c r="B10">
        <v>174951.08000000002</v>
      </c>
      <c r="C10">
        <f t="shared" si="0"/>
        <v>151544.87258153857</v>
      </c>
      <c r="D10">
        <f t="shared" si="1"/>
        <v>-5445.1144912111904</v>
      </c>
      <c r="E10">
        <f t="shared" si="2"/>
        <v>148944.18286837617</v>
      </c>
      <c r="F10">
        <f t="shared" si="3"/>
        <v>-26006.897131623846</v>
      </c>
      <c r="G10">
        <f t="shared" si="4"/>
        <v>26006.897131623846</v>
      </c>
      <c r="H10">
        <f>+SUMSQ($F$3:F10)/A10</f>
        <v>4410128770.2777605</v>
      </c>
      <c r="I10">
        <f>+SUM($G$3:G10)/A10</f>
        <v>52251.907645400148</v>
      </c>
      <c r="J10">
        <f t="shared" si="5"/>
        <v>14.865239546748635</v>
      </c>
      <c r="K10">
        <f>+AVERAGE($J$3:J10)</f>
        <v>44.54626865678101</v>
      </c>
      <c r="L10">
        <f>+SUM($F$3:F10)/I10</f>
        <v>-1.5656072847665405</v>
      </c>
    </row>
    <row r="11" spans="1:12" x14ac:dyDescent="0.3">
      <c r="A11">
        <v>9</v>
      </c>
      <c r="B11">
        <v>64375.3</v>
      </c>
      <c r="C11">
        <f t="shared" si="0"/>
        <v>137927.31228129464</v>
      </c>
      <c r="D11">
        <f t="shared" si="1"/>
        <v>-6670.9813625661018</v>
      </c>
      <c r="E11">
        <f t="shared" si="2"/>
        <v>146099.75809032738</v>
      </c>
      <c r="F11">
        <f t="shared" si="3"/>
        <v>81724.458090327375</v>
      </c>
      <c r="G11">
        <f t="shared" si="4"/>
        <v>81724.458090327375</v>
      </c>
      <c r="H11">
        <f>+SUMSQ($F$3:F11)/A11</f>
        <v>4662213023.5977516</v>
      </c>
      <c r="I11">
        <f>+SUM($G$3:G11)/A11</f>
        <v>55526.635472614289</v>
      </c>
      <c r="J11">
        <f t="shared" si="5"/>
        <v>126.95002289748921</v>
      </c>
      <c r="K11">
        <f>+AVERAGE($J$3:J11)</f>
        <v>53.702241350193027</v>
      </c>
      <c r="L11">
        <f>+SUM($F$3:F11)/I11</f>
        <v>-1.4679290680198697E-3</v>
      </c>
    </row>
    <row r="12" spans="1:12" x14ac:dyDescent="0.3">
      <c r="A12">
        <v>10</v>
      </c>
      <c r="E12">
        <f t="shared" si="2"/>
        <v>131256.33091872855</v>
      </c>
    </row>
    <row r="17" spans="1:11" x14ac:dyDescent="0.3">
      <c r="J17" t="s">
        <v>15</v>
      </c>
      <c r="K17">
        <f>MAX(L3:L13)</f>
        <v>2.8345795695086071</v>
      </c>
    </row>
    <row r="18" spans="1:11" x14ac:dyDescent="0.3">
      <c r="J18" t="s">
        <v>16</v>
      </c>
      <c r="K18">
        <f>MIN(L3:L13)</f>
        <v>-1.5656072847665405</v>
      </c>
    </row>
    <row r="23" spans="1:11" x14ac:dyDescent="0.3">
      <c r="A23" t="s">
        <v>44</v>
      </c>
      <c r="B23">
        <v>0.1</v>
      </c>
    </row>
    <row r="24" spans="1:11" x14ac:dyDescent="0.3">
      <c r="A24" t="s">
        <v>45</v>
      </c>
      <c r="B24" s="9">
        <v>0.15</v>
      </c>
    </row>
    <row r="26" spans="1:11" x14ac:dyDescent="0.3">
      <c r="A26" t="s">
        <v>46</v>
      </c>
      <c r="B26">
        <f>regresion1!B17</f>
        <v>197382.67666666664</v>
      </c>
    </row>
    <row r="27" spans="1:11" x14ac:dyDescent="0.3">
      <c r="A27" t="s">
        <v>47</v>
      </c>
      <c r="B27">
        <f>regresion1!B18</f>
        <v>-6672.2039999999988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491D-4C6D-442A-9D15-F065509A49D0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8" t="s">
        <v>20</v>
      </c>
      <c r="B3" s="8"/>
    </row>
    <row r="4" spans="1:9" x14ac:dyDescent="0.3">
      <c r="A4" t="s">
        <v>21</v>
      </c>
      <c r="B4">
        <v>0.25889182082671169</v>
      </c>
    </row>
    <row r="5" spans="1:9" x14ac:dyDescent="0.3">
      <c r="A5" t="s">
        <v>22</v>
      </c>
      <c r="B5">
        <v>6.7024974890970201E-2</v>
      </c>
    </row>
    <row r="6" spans="1:9" x14ac:dyDescent="0.3">
      <c r="A6" t="s">
        <v>23</v>
      </c>
      <c r="B6">
        <v>-6.6257171553176911E-2</v>
      </c>
    </row>
    <row r="7" spans="1:9" x14ac:dyDescent="0.3">
      <c r="A7" t="s">
        <v>24</v>
      </c>
      <c r="B7">
        <v>72880.71095288347</v>
      </c>
    </row>
    <row r="8" spans="1:9" ht="15" thickBot="1" x14ac:dyDescent="0.35">
      <c r="A8" s="6" t="s">
        <v>25</v>
      </c>
      <c r="B8" s="6">
        <v>9</v>
      </c>
    </row>
    <row r="10" spans="1:9" ht="15" thickBot="1" x14ac:dyDescent="0.35">
      <c r="A10" t="s">
        <v>26</v>
      </c>
    </row>
    <row r="11" spans="1:9" x14ac:dyDescent="0.3">
      <c r="A11" s="7"/>
      <c r="B11" s="7" t="s">
        <v>31</v>
      </c>
      <c r="C11" s="7" t="s">
        <v>32</v>
      </c>
      <c r="D11" s="7" t="s">
        <v>33</v>
      </c>
      <c r="E11" s="7" t="s">
        <v>34</v>
      </c>
      <c r="F11" s="7" t="s">
        <v>35</v>
      </c>
    </row>
    <row r="12" spans="1:9" x14ac:dyDescent="0.3">
      <c r="A12" t="s">
        <v>27</v>
      </c>
      <c r="B12">
        <v>1</v>
      </c>
      <c r="C12">
        <v>2671098373.0569611</v>
      </c>
      <c r="D12">
        <v>2671098373.0569611</v>
      </c>
      <c r="E12">
        <v>0.50288036829492033</v>
      </c>
      <c r="F12">
        <v>0.50116659872235525</v>
      </c>
    </row>
    <row r="13" spans="1:9" x14ac:dyDescent="0.3">
      <c r="A13" t="s">
        <v>28</v>
      </c>
      <c r="B13">
        <v>7</v>
      </c>
      <c r="C13">
        <v>37181186202.984245</v>
      </c>
      <c r="D13">
        <v>5311598028.9977493</v>
      </c>
    </row>
    <row r="14" spans="1:9" ht="15" thickBot="1" x14ac:dyDescent="0.35">
      <c r="A14" s="6" t="s">
        <v>29</v>
      </c>
      <c r="B14" s="6">
        <v>8</v>
      </c>
      <c r="C14" s="6">
        <v>39852284576.041206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36</v>
      </c>
      <c r="C16" s="7" t="s">
        <v>24</v>
      </c>
      <c r="D16" s="7" t="s">
        <v>37</v>
      </c>
      <c r="E16" s="7" t="s">
        <v>38</v>
      </c>
      <c r="F16" s="7" t="s">
        <v>39</v>
      </c>
      <c r="G16" s="7" t="s">
        <v>40</v>
      </c>
      <c r="H16" s="7" t="s">
        <v>41</v>
      </c>
      <c r="I16" s="7" t="s">
        <v>42</v>
      </c>
    </row>
    <row r="17" spans="1:9" x14ac:dyDescent="0.3">
      <c r="A17" t="s">
        <v>30</v>
      </c>
      <c r="B17">
        <v>197382.67666666664</v>
      </c>
      <c r="C17">
        <v>52946.608996169496</v>
      </c>
      <c r="D17">
        <v>3.7279569061910385</v>
      </c>
      <c r="E17">
        <v>7.3785065715250234E-3</v>
      </c>
      <c r="F17">
        <v>72183.840994723534</v>
      </c>
      <c r="G17">
        <v>322581.51233860973</v>
      </c>
      <c r="H17">
        <v>72183.840994723534</v>
      </c>
      <c r="I17">
        <v>322581.51233860973</v>
      </c>
    </row>
    <row r="18" spans="1:9" ht="15" thickBot="1" x14ac:dyDescent="0.35">
      <c r="A18" s="6" t="s">
        <v>43</v>
      </c>
      <c r="B18" s="6">
        <v>-6672.2039999999988</v>
      </c>
      <c r="C18" s="6">
        <v>9408.8593260091384</v>
      </c>
      <c r="D18" s="6">
        <v>-0.70914058429546967</v>
      </c>
      <c r="E18" s="6">
        <v>0.50116659872235536</v>
      </c>
      <c r="F18" s="6">
        <v>-28920.62094210615</v>
      </c>
      <c r="G18" s="6">
        <v>15576.212942106155</v>
      </c>
      <c r="H18" s="6">
        <v>-28920.62094210615</v>
      </c>
      <c r="I18" s="6">
        <v>15576.212942106155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9652-E16F-42F3-B8AB-C523EE92AF9E}">
  <dimension ref="A1:F7"/>
  <sheetViews>
    <sheetView workbookViewId="0">
      <selection activeCell="L1" sqref="L1"/>
    </sheetView>
  </sheetViews>
  <sheetFormatPr baseColWidth="10" defaultRowHeight="14.4" x14ac:dyDescent="0.3"/>
  <cols>
    <col min="1" max="1" width="23.5546875" customWidth="1"/>
    <col min="2" max="2" width="12" bestFit="1" customWidth="1"/>
    <col min="3" max="3" width="15.44140625" customWidth="1"/>
    <col min="4" max="5" width="11.6640625" bestFit="1" customWidth="1"/>
  </cols>
  <sheetData>
    <row r="1" spans="1:6" x14ac:dyDescent="0.3">
      <c r="A1" s="14" t="s">
        <v>48</v>
      </c>
      <c r="B1" s="14"/>
      <c r="C1" s="14"/>
      <c r="D1" s="14"/>
      <c r="E1" s="14"/>
      <c r="F1" s="3"/>
    </row>
    <row r="2" spans="1:6" x14ac:dyDescent="0.3">
      <c r="A2" s="4" t="s">
        <v>49</v>
      </c>
      <c r="B2" s="4" t="s">
        <v>7</v>
      </c>
      <c r="C2" s="4" t="s">
        <v>9</v>
      </c>
      <c r="D2" s="4" t="s">
        <v>50</v>
      </c>
      <c r="E2" s="4" t="s">
        <v>51</v>
      </c>
      <c r="F2" s="4" t="s">
        <v>52</v>
      </c>
    </row>
    <row r="3" spans="1:6" x14ac:dyDescent="0.3">
      <c r="A3" s="4" t="s">
        <v>56</v>
      </c>
      <c r="B3" s="10">
        <f>Pronostico!H10</f>
        <v>69608.668000000005</v>
      </c>
      <c r="C3" s="10">
        <f>Pronostico!I10</f>
        <v>236.74466759766563</v>
      </c>
      <c r="D3" s="10">
        <f>Pronostico!K16</f>
        <v>-3.9252446117600561</v>
      </c>
      <c r="E3" s="10">
        <f>Pronostico!K15</f>
        <v>-0.56856290751988925</v>
      </c>
      <c r="F3" s="11">
        <f>1.25*B3</f>
        <v>87010.835000000006</v>
      </c>
    </row>
    <row r="4" spans="1:6" x14ac:dyDescent="0.3">
      <c r="A4" s="4" t="s">
        <v>55</v>
      </c>
      <c r="B4" s="10">
        <f>pronostico4!H10</f>
        <v>63703.445999999996</v>
      </c>
      <c r="C4" s="10">
        <f>pronostico4!I10</f>
        <v>220.50035106632512</v>
      </c>
      <c r="D4" s="10">
        <f>pronostico4!K16</f>
        <v>-3.9451326430488334</v>
      </c>
      <c r="E4" s="10">
        <f>pronostico4!K15</f>
        <v>-0.50546292268082349</v>
      </c>
      <c r="F4" s="11">
        <f t="shared" ref="F4:F7" si="0">1.25*B4</f>
        <v>79629.307499999995</v>
      </c>
    </row>
    <row r="5" spans="1:6" x14ac:dyDescent="0.3">
      <c r="A5" s="4" t="s">
        <v>53</v>
      </c>
      <c r="B5" s="10">
        <f>SuavExpo!H11</f>
        <v>52198.528742447299</v>
      </c>
      <c r="C5" s="10">
        <f>SuavExpo!J11</f>
        <v>54.436025110366387</v>
      </c>
      <c r="D5" s="10">
        <f>SuavExpo!K18</f>
        <v>-2</v>
      </c>
      <c r="E5" s="10">
        <f>SuavExpo!K17</f>
        <v>1.7730589177301992</v>
      </c>
      <c r="F5" s="11">
        <f t="shared" si="0"/>
        <v>65248.160928059122</v>
      </c>
    </row>
    <row r="6" spans="1:6" x14ac:dyDescent="0.3">
      <c r="A6" s="4" t="s">
        <v>54</v>
      </c>
      <c r="B6" s="10">
        <f>Holt!I11</f>
        <v>55526.635472614289</v>
      </c>
      <c r="C6" s="10">
        <f>Holt!K11</f>
        <v>53.702241350193027</v>
      </c>
      <c r="D6" s="10">
        <f>Holt!K18</f>
        <v>-1.5656072847665405</v>
      </c>
      <c r="E6" s="10">
        <f>Holt!K17</f>
        <v>2.8345795695086071</v>
      </c>
      <c r="F6" s="11">
        <f t="shared" si="0"/>
        <v>69408.294340767869</v>
      </c>
    </row>
    <row r="7" spans="1:6" x14ac:dyDescent="0.3">
      <c r="A7" s="12" t="s">
        <v>57</v>
      </c>
      <c r="B7" s="13">
        <v>61877.001343427401</v>
      </c>
      <c r="C7" s="13">
        <v>54.893129022242299</v>
      </c>
      <c r="D7" s="13">
        <v>-0.148872</v>
      </c>
      <c r="E7" s="13">
        <v>3.938415</v>
      </c>
      <c r="F7" s="11">
        <f t="shared" si="0"/>
        <v>77346.251679284251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Pronostico</vt:lpstr>
      <vt:lpstr>pronostico4</vt:lpstr>
      <vt:lpstr>SuavExpo</vt:lpstr>
      <vt:lpstr>Hoja1</vt:lpstr>
      <vt:lpstr>Holt</vt:lpstr>
      <vt:lpstr>regresion1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Yanguez</cp:lastModifiedBy>
  <dcterms:created xsi:type="dcterms:W3CDTF">2015-06-05T18:19:34Z</dcterms:created>
  <dcterms:modified xsi:type="dcterms:W3CDTF">2024-09-07T20:38:07Z</dcterms:modified>
</cp:coreProperties>
</file>