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imoes/Documents/Católica Lisbon/3º Ano/PCG/"/>
    </mc:Choice>
  </mc:AlternateContent>
  <xr:revisionPtr revIDLastSave="0" documentId="8_{8DC63AD3-5FE0-FC46-9B8C-EAF9BC6410FE}" xr6:coauthVersionLast="45" xr6:coauthVersionMax="45" xr10:uidLastSave="{00000000-0000-0000-0000-000000000000}"/>
  <bookViews>
    <workbookView xWindow="0" yWindow="500" windowWidth="33600" windowHeight="19300" tabRatio="834" activeTab="1" xr2:uid="{6B3E5642-CDDE-4660-B33C-E6A5C65F8B5E}"/>
  </bookViews>
  <sheets>
    <sheet name="Procura" sheetId="1" r:id="rId1"/>
    <sheet name="Gastos Pessoal" sheetId="3" r:id="rId2"/>
    <sheet name="Pagamentos" sheetId="16" r:id="rId3"/>
    <sheet name="Recebimentos" sheetId="13" r:id="rId4"/>
    <sheet name="EOEP _ IVA" sheetId="17" r:id="rId5"/>
    <sheet name="MD+Fase de Produção+Compras" sheetId="7" r:id="rId6"/>
    <sheet name="AFT" sheetId="6" r:id="rId7"/>
    <sheet name="FSE" sheetId="5" r:id="rId8"/>
    <sheet name="Inventário" sheetId="8" r:id="rId9"/>
    <sheet name="BEP + MC" sheetId="12" r:id="rId10"/>
    <sheet name="CF&amp;CV" sheetId="11" r:id="rId11"/>
    <sheet name="CMVMC" sheetId="10" r:id="rId12"/>
    <sheet name="Balanço + DR" sheetId="9" r:id="rId13"/>
    <sheet name="Financiamento" sheetId="18" r:id="rId14"/>
    <sheet name="Análise Financeira" sheetId="23" r:id="rId15"/>
    <sheet name="Orçamento tesouraria" sheetId="15" r:id="rId16"/>
    <sheet name="Orçamento Financeiro" sheetId="19" r:id="rId17"/>
    <sheet name="Análise Sensibilidade" sheetId="24" r:id="rId18"/>
  </sheets>
  <definedNames>
    <definedName name="_xlnm.Print_Area" localSheetId="11">CMVMC!$A$1:$W$40</definedName>
    <definedName name="_xlnm.Print_Area" localSheetId="5">'MD+Fase de Produção+Compras'!$A$1:$X$82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8" l="1"/>
  <c r="H6" i="23" l="1"/>
  <c r="I6" i="23"/>
  <c r="G6" i="23"/>
  <c r="E11" i="13" l="1"/>
  <c r="D32" i="11"/>
  <c r="L17" i="24" l="1"/>
  <c r="L16" i="24"/>
  <c r="L14" i="24"/>
  <c r="L13" i="24"/>
  <c r="K17" i="24"/>
  <c r="K16" i="24"/>
  <c r="K14" i="24"/>
  <c r="K13" i="24"/>
  <c r="J17" i="24"/>
  <c r="J16" i="24"/>
  <c r="J14" i="24"/>
  <c r="J13" i="24"/>
  <c r="L15" i="24"/>
  <c r="K15" i="24"/>
  <c r="J15" i="24"/>
  <c r="I27" i="13"/>
  <c r="I19" i="13"/>
  <c r="I11" i="13"/>
  <c r="F17" i="24"/>
  <c r="E17" i="24"/>
  <c r="D17" i="24"/>
  <c r="F16" i="24"/>
  <c r="E16" i="24"/>
  <c r="D16" i="24"/>
  <c r="F13" i="24"/>
  <c r="E13" i="24"/>
  <c r="D13" i="24"/>
  <c r="F14" i="24"/>
  <c r="E14" i="24"/>
  <c r="D14" i="24"/>
  <c r="V8" i="24"/>
  <c r="U8" i="24"/>
  <c r="T8" i="24"/>
  <c r="V7" i="24"/>
  <c r="U7" i="24"/>
  <c r="T7" i="24"/>
  <c r="V6" i="24"/>
  <c r="U6" i="24"/>
  <c r="T6" i="24"/>
  <c r="V5" i="24"/>
  <c r="U5" i="24"/>
  <c r="T5" i="24"/>
  <c r="V4" i="24"/>
  <c r="U4" i="24"/>
  <c r="T4" i="24"/>
  <c r="P8" i="24"/>
  <c r="O8" i="24"/>
  <c r="N8" i="24"/>
  <c r="P7" i="24"/>
  <c r="O7" i="24"/>
  <c r="N7" i="24"/>
  <c r="P6" i="24"/>
  <c r="O6" i="24"/>
  <c r="N6" i="24"/>
  <c r="P5" i="24"/>
  <c r="O5" i="24"/>
  <c r="N5" i="24"/>
  <c r="P4" i="24"/>
  <c r="O4" i="24"/>
  <c r="N4" i="24"/>
  <c r="I8" i="24"/>
  <c r="I7" i="24"/>
  <c r="I6" i="24"/>
  <c r="I5" i="24"/>
  <c r="I4" i="24"/>
  <c r="H8" i="24"/>
  <c r="H7" i="24"/>
  <c r="H6" i="24"/>
  <c r="H5" i="24"/>
  <c r="H4" i="24"/>
  <c r="J8" i="24"/>
  <c r="J7" i="24"/>
  <c r="J6" i="24"/>
  <c r="J5" i="24"/>
  <c r="J4" i="24"/>
  <c r="B4" i="24"/>
  <c r="D6" i="24" s="1"/>
  <c r="D5" i="24" l="1"/>
  <c r="D8" i="24"/>
  <c r="D7" i="24"/>
  <c r="D4" i="24"/>
  <c r="J3" i="12"/>
  <c r="P19" i="5" l="1"/>
  <c r="P18" i="5"/>
  <c r="P17" i="5"/>
  <c r="P16" i="5"/>
  <c r="P15" i="5"/>
  <c r="P14" i="5"/>
  <c r="P13" i="5"/>
  <c r="P12" i="5"/>
  <c r="P11" i="5"/>
  <c r="P10" i="5"/>
  <c r="P9" i="5"/>
  <c r="P8" i="5"/>
  <c r="P7" i="5"/>
  <c r="E5" i="5"/>
  <c r="F5" i="5"/>
  <c r="G5" i="5"/>
  <c r="H5" i="5"/>
  <c r="E6" i="5"/>
  <c r="F6" i="5"/>
  <c r="G6" i="5"/>
  <c r="H6" i="5"/>
  <c r="E8" i="5"/>
  <c r="F8" i="5"/>
  <c r="G8" i="5"/>
  <c r="H8" i="5"/>
  <c r="E15" i="5"/>
  <c r="F15" i="5"/>
  <c r="H15" i="5"/>
  <c r="F16" i="8" l="1"/>
  <c r="F15" i="8"/>
  <c r="F14" i="8"/>
  <c r="F13" i="8"/>
  <c r="F12" i="8"/>
  <c r="F11" i="8"/>
  <c r="F10" i="8"/>
  <c r="F8" i="8"/>
  <c r="C8" i="13" l="1"/>
  <c r="E11" i="16" l="1"/>
  <c r="V11" i="7" l="1"/>
  <c r="U11" i="7"/>
  <c r="W10" i="7"/>
  <c r="W9" i="7"/>
  <c r="W8" i="7"/>
  <c r="W7" i="7"/>
  <c r="W6" i="7"/>
  <c r="W11" i="7" l="1"/>
  <c r="D9" i="8" l="1"/>
  <c r="F9" i="8" s="1"/>
  <c r="D28" i="7"/>
  <c r="C6" i="18"/>
  <c r="I14" i="15"/>
  <c r="I31" i="19" l="1"/>
  <c r="I18" i="19"/>
  <c r="C13" i="18"/>
  <c r="C16" i="18" s="1"/>
  <c r="C15" i="18"/>
  <c r="C5" i="18"/>
  <c r="C3" i="18"/>
  <c r="D14" i="9"/>
  <c r="C7" i="18" l="1"/>
  <c r="C17" i="18"/>
  <c r="E20" i="9" l="1"/>
  <c r="E21" i="9" s="1"/>
  <c r="D20" i="9"/>
  <c r="C20" i="9"/>
  <c r="D20" i="17"/>
  <c r="E15" i="16" s="1"/>
  <c r="E6" i="13"/>
  <c r="I22" i="15" l="1"/>
  <c r="E14" i="9" s="1"/>
  <c r="I6" i="15"/>
  <c r="I3" i="15"/>
  <c r="F3" i="15"/>
  <c r="E5" i="16"/>
  <c r="C14" i="9" l="1"/>
  <c r="E19" i="15"/>
  <c r="I19" i="15" s="1"/>
  <c r="E11" i="15"/>
  <c r="I11" i="15" s="1"/>
  <c r="E53" i="5"/>
  <c r="J4" i="12" l="1"/>
  <c r="D14" i="12" s="1"/>
  <c r="G19" i="13"/>
  <c r="G20" i="13" s="1"/>
  <c r="E27" i="13"/>
  <c r="E28" i="13" s="1"/>
  <c r="E19" i="13"/>
  <c r="E20" i="13" s="1"/>
  <c r="D27" i="17" s="1"/>
  <c r="F27" i="13"/>
  <c r="F28" i="13" s="1"/>
  <c r="G27" i="13"/>
  <c r="G28" i="13" s="1"/>
  <c r="F19" i="13"/>
  <c r="F20" i="13" s="1"/>
  <c r="G70" i="12" l="1"/>
  <c r="C14" i="12"/>
  <c r="G33" i="12"/>
  <c r="E14" i="12"/>
  <c r="G29" i="13"/>
  <c r="G31" i="13" s="1"/>
  <c r="F41" i="17"/>
  <c r="G21" i="13"/>
  <c r="G23" i="13" s="1"/>
  <c r="F27" i="17"/>
  <c r="F29" i="13"/>
  <c r="F31" i="13" s="1"/>
  <c r="E41" i="17"/>
  <c r="F21" i="13"/>
  <c r="F23" i="13" s="1"/>
  <c r="E27" i="17"/>
  <c r="D28" i="17"/>
  <c r="E29" i="13"/>
  <c r="E31" i="13" s="1"/>
  <c r="F30" i="13" s="1"/>
  <c r="F20" i="15" s="1"/>
  <c r="D41" i="17"/>
  <c r="G51" i="12"/>
  <c r="E21" i="13"/>
  <c r="E23" i="13" s="1"/>
  <c r="G22" i="13" l="1"/>
  <c r="G12" i="15" s="1"/>
  <c r="G30" i="13"/>
  <c r="G20" i="15" s="1"/>
  <c r="D42" i="17"/>
  <c r="E42" i="17"/>
  <c r="F28" i="17"/>
  <c r="F42" i="17"/>
  <c r="E28" i="17"/>
  <c r="F22" i="13"/>
  <c r="F12" i="15" s="1"/>
  <c r="W80" i="8"/>
  <c r="W89" i="8" s="1"/>
  <c r="F27" i="10" s="1"/>
  <c r="X80" i="8"/>
  <c r="X89" i="8" s="1"/>
  <c r="G27" i="10" s="1"/>
  <c r="X62" i="8"/>
  <c r="X71" i="8" s="1"/>
  <c r="G26" i="10" s="1"/>
  <c r="X44" i="8"/>
  <c r="X53" i="8" s="1"/>
  <c r="G25" i="10" s="1"/>
  <c r="Y44" i="8"/>
  <c r="W23" i="8"/>
  <c r="W35" i="8" s="1"/>
  <c r="F24" i="10" s="1"/>
  <c r="X23" i="8"/>
  <c r="X35" i="8" s="1"/>
  <c r="G24" i="10" s="1"/>
  <c r="V23" i="8"/>
  <c r="V35" i="8" s="1"/>
  <c r="E24" i="10" s="1"/>
  <c r="N23" i="8"/>
  <c r="O23" i="8"/>
  <c r="M23" i="8"/>
  <c r="M35" i="8" s="1"/>
  <c r="E16" i="10" s="1"/>
  <c r="Y53" i="8" l="1"/>
  <c r="H25" i="10" s="1"/>
  <c r="C29" i="1" l="1"/>
  <c r="D36" i="1"/>
  <c r="E36" i="1"/>
  <c r="C36" i="1"/>
  <c r="D29" i="1"/>
  <c r="E29" i="1"/>
  <c r="C13" i="1"/>
  <c r="E12" i="13" s="1"/>
  <c r="G13" i="7"/>
  <c r="F34" i="7"/>
  <c r="E13" i="13" l="1"/>
  <c r="E14" i="13" s="1"/>
  <c r="D13" i="17"/>
  <c r="D14" i="17" s="1"/>
  <c r="D23" i="8"/>
  <c r="H52" i="5" l="1"/>
  <c r="G52" i="5"/>
  <c r="F52" i="5"/>
  <c r="E52" i="5"/>
  <c r="H51" i="5"/>
  <c r="F51" i="5"/>
  <c r="E51" i="5"/>
  <c r="I47" i="5"/>
  <c r="F10" i="11" s="1"/>
  <c r="I46" i="5"/>
  <c r="F9" i="11" s="1"/>
  <c r="H45" i="5"/>
  <c r="G45" i="5"/>
  <c r="F45" i="5"/>
  <c r="E45" i="5"/>
  <c r="H43" i="5"/>
  <c r="G43" i="5"/>
  <c r="F43" i="5"/>
  <c r="E43" i="5"/>
  <c r="H42" i="5"/>
  <c r="G42" i="5"/>
  <c r="F42" i="5"/>
  <c r="E42" i="5"/>
  <c r="H34" i="5"/>
  <c r="G34" i="5"/>
  <c r="F34" i="5"/>
  <c r="E34" i="5"/>
  <c r="H33" i="5"/>
  <c r="F33" i="5"/>
  <c r="E33" i="5"/>
  <c r="I29" i="5"/>
  <c r="E10" i="11" s="1"/>
  <c r="I28" i="5"/>
  <c r="E9" i="11" s="1"/>
  <c r="H27" i="5"/>
  <c r="G27" i="5"/>
  <c r="F27" i="5"/>
  <c r="E27" i="5"/>
  <c r="H25" i="5"/>
  <c r="G25" i="5"/>
  <c r="F25" i="5"/>
  <c r="E25" i="5"/>
  <c r="H24" i="5"/>
  <c r="G24" i="5"/>
  <c r="F24" i="5"/>
  <c r="E24" i="5"/>
  <c r="H16" i="5"/>
  <c r="G16" i="5"/>
  <c r="F16" i="5"/>
  <c r="E16" i="5"/>
  <c r="R29" i="6"/>
  <c r="S29" i="6" s="1"/>
  <c r="O17" i="6"/>
  <c r="O29" i="6" s="1"/>
  <c r="O41" i="6" s="1"/>
  <c r="O16" i="6"/>
  <c r="R17" i="6"/>
  <c r="Q17" i="6"/>
  <c r="Q29" i="6" s="1"/>
  <c r="Q41" i="6" s="1"/>
  <c r="P17" i="6"/>
  <c r="P29" i="6" s="1"/>
  <c r="P41" i="6" s="1"/>
  <c r="R16" i="6"/>
  <c r="H13" i="5" s="1"/>
  <c r="Q16" i="6"/>
  <c r="P16" i="6"/>
  <c r="P11" i="6"/>
  <c r="P10" i="6"/>
  <c r="P9" i="6"/>
  <c r="P8" i="6"/>
  <c r="P7" i="6"/>
  <c r="P6" i="6"/>
  <c r="P5" i="6"/>
  <c r="I9" i="5"/>
  <c r="D9" i="11" s="1"/>
  <c r="I10" i="5"/>
  <c r="D10" i="11" s="1"/>
  <c r="I14" i="5"/>
  <c r="D14" i="11" s="1"/>
  <c r="P28" i="6" l="1"/>
  <c r="P40" i="6" s="1"/>
  <c r="F50" i="5" s="1"/>
  <c r="F13" i="5"/>
  <c r="Q28" i="6"/>
  <c r="Q40" i="6" s="1"/>
  <c r="G50" i="5" s="1"/>
  <c r="G13" i="5"/>
  <c r="E13" i="5"/>
  <c r="E15" i="13"/>
  <c r="I6" i="5"/>
  <c r="I15" i="5"/>
  <c r="I33" i="5"/>
  <c r="E15" i="11" s="1"/>
  <c r="E4" i="15"/>
  <c r="I16" i="5"/>
  <c r="D16" i="11" s="1"/>
  <c r="I52" i="5"/>
  <c r="F16" i="11" s="1"/>
  <c r="I51" i="5"/>
  <c r="F15" i="11" s="1"/>
  <c r="I45" i="5"/>
  <c r="F8" i="11" s="1"/>
  <c r="I34" i="5"/>
  <c r="E16" i="11" s="1"/>
  <c r="I43" i="5"/>
  <c r="I8" i="5"/>
  <c r="D8" i="11" s="1"/>
  <c r="I42" i="5"/>
  <c r="F6" i="11" s="1"/>
  <c r="I27" i="5"/>
  <c r="E8" i="11" s="1"/>
  <c r="I25" i="5"/>
  <c r="I24" i="5"/>
  <c r="O28" i="6"/>
  <c r="R28" i="6"/>
  <c r="R41" i="6"/>
  <c r="S41" i="6" s="1"/>
  <c r="I5" i="5"/>
  <c r="D6" i="11" s="1"/>
  <c r="E13" i="6"/>
  <c r="G20" i="6"/>
  <c r="G21" i="6" s="1"/>
  <c r="F15" i="17" s="1"/>
  <c r="H20" i="6"/>
  <c r="H21" i="6" s="1"/>
  <c r="G15" i="17" s="1"/>
  <c r="F14" i="6"/>
  <c r="I14" i="6" s="1"/>
  <c r="F15" i="6"/>
  <c r="I15" i="6" s="1"/>
  <c r="E16" i="6"/>
  <c r="I16" i="6" s="1"/>
  <c r="E17" i="6"/>
  <c r="I17" i="6" s="1"/>
  <c r="E18" i="6"/>
  <c r="I18" i="6" s="1"/>
  <c r="E19" i="6"/>
  <c r="I19" i="6" s="1"/>
  <c r="F35" i="6"/>
  <c r="I35" i="6" s="1"/>
  <c r="F34" i="6"/>
  <c r="I34" i="6" s="1"/>
  <c r="H36" i="6"/>
  <c r="H37" i="6" s="1"/>
  <c r="G36" i="6"/>
  <c r="G37" i="6" s="1"/>
  <c r="E36" i="6"/>
  <c r="F27" i="6"/>
  <c r="I27" i="6" s="1"/>
  <c r="F26" i="6"/>
  <c r="I26" i="6" s="1"/>
  <c r="H28" i="6"/>
  <c r="H29" i="6" s="1"/>
  <c r="G28" i="6"/>
  <c r="G29" i="6" s="1"/>
  <c r="G30" i="6" l="1"/>
  <c r="G28" i="16" s="1"/>
  <c r="F29" i="17"/>
  <c r="F32" i="5"/>
  <c r="H38" i="6"/>
  <c r="H40" i="16" s="1"/>
  <c r="G43" i="17"/>
  <c r="G32" i="5"/>
  <c r="H30" i="6"/>
  <c r="H28" i="16" s="1"/>
  <c r="G29" i="17"/>
  <c r="G38" i="6"/>
  <c r="G40" i="16" s="1"/>
  <c r="F43" i="17"/>
  <c r="I13" i="6"/>
  <c r="O15" i="6"/>
  <c r="E20" i="6"/>
  <c r="E21" i="6" s="1"/>
  <c r="D15" i="17" s="1"/>
  <c r="E6" i="11"/>
  <c r="D15" i="11"/>
  <c r="F7" i="11"/>
  <c r="D7" i="11"/>
  <c r="E7" i="11"/>
  <c r="O40" i="6"/>
  <c r="E50" i="5" s="1"/>
  <c r="E32" i="5"/>
  <c r="R40" i="6"/>
  <c r="H32" i="5"/>
  <c r="E37" i="6"/>
  <c r="I13" i="5"/>
  <c r="D13" i="11" s="1"/>
  <c r="S28" i="6"/>
  <c r="P21" i="6"/>
  <c r="P33" i="6" s="1"/>
  <c r="P45" i="6" s="1"/>
  <c r="Q21" i="6"/>
  <c r="Q33" i="6" s="1"/>
  <c r="Q45" i="6" s="1"/>
  <c r="R21" i="6"/>
  <c r="O21" i="6"/>
  <c r="O33" i="6" s="1"/>
  <c r="O45" i="6" s="1"/>
  <c r="Q18" i="6"/>
  <c r="Q30" i="6" s="1"/>
  <c r="Q42" i="6" s="1"/>
  <c r="P18" i="6"/>
  <c r="P30" i="6" s="1"/>
  <c r="P42" i="6" s="1"/>
  <c r="O18" i="6"/>
  <c r="O30" i="6" s="1"/>
  <c r="O42" i="6" s="1"/>
  <c r="R18" i="6"/>
  <c r="S17" i="6"/>
  <c r="S16" i="6"/>
  <c r="Q15" i="6"/>
  <c r="G11" i="5" s="1"/>
  <c r="R15" i="6"/>
  <c r="H11" i="5" s="1"/>
  <c r="P15" i="6"/>
  <c r="F11" i="5" s="1"/>
  <c r="P20" i="6"/>
  <c r="P32" i="6" s="1"/>
  <c r="P44" i="6" s="1"/>
  <c r="O20" i="6"/>
  <c r="O32" i="6" s="1"/>
  <c r="O44" i="6" s="1"/>
  <c r="Q20" i="6"/>
  <c r="Q32" i="6" s="1"/>
  <c r="Q44" i="6" s="1"/>
  <c r="R20" i="6"/>
  <c r="Q19" i="6"/>
  <c r="Q31" i="6" s="1"/>
  <c r="Q43" i="6" s="1"/>
  <c r="R19" i="6"/>
  <c r="O19" i="6"/>
  <c r="O31" i="6" s="1"/>
  <c r="O43" i="6" s="1"/>
  <c r="P19" i="6"/>
  <c r="P31" i="6" s="1"/>
  <c r="P43" i="6" s="1"/>
  <c r="F20" i="6"/>
  <c r="F21" i="6" s="1"/>
  <c r="E15" i="17" s="1"/>
  <c r="G22" i="6"/>
  <c r="G14" i="16" s="1"/>
  <c r="F36" i="6"/>
  <c r="F37" i="6" s="1"/>
  <c r="H22" i="6"/>
  <c r="H14" i="16" s="1"/>
  <c r="F28" i="6"/>
  <c r="E28" i="6"/>
  <c r="I28" i="6" s="1"/>
  <c r="E38" i="6" l="1"/>
  <c r="E40" i="16" s="1"/>
  <c r="D43" i="17"/>
  <c r="F38" i="6"/>
  <c r="F40" i="16" s="1"/>
  <c r="E43" i="17"/>
  <c r="E11" i="5"/>
  <c r="I11" i="5" s="1"/>
  <c r="D12" i="11" s="1"/>
  <c r="O27" i="6"/>
  <c r="E30" i="5" s="1"/>
  <c r="I40" i="16"/>
  <c r="I20" i="6"/>
  <c r="I36" i="6"/>
  <c r="S40" i="6"/>
  <c r="H50" i="5"/>
  <c r="I50" i="5" s="1"/>
  <c r="F13" i="11" s="1"/>
  <c r="I32" i="5"/>
  <c r="E13" i="11" s="1"/>
  <c r="S19" i="6"/>
  <c r="R31" i="6"/>
  <c r="S21" i="6"/>
  <c r="R33" i="6"/>
  <c r="S34" i="6" s="1"/>
  <c r="S20" i="6"/>
  <c r="R32" i="6"/>
  <c r="R27" i="6"/>
  <c r="R22" i="6"/>
  <c r="S18" i="6"/>
  <c r="R30" i="6"/>
  <c r="P27" i="6"/>
  <c r="F30" i="5" s="1"/>
  <c r="P22" i="6"/>
  <c r="O22" i="6"/>
  <c r="O23" i="6" s="1"/>
  <c r="P23" i="6" s="1"/>
  <c r="Q22" i="6"/>
  <c r="Q27" i="6"/>
  <c r="G30" i="5" s="1"/>
  <c r="S15" i="6"/>
  <c r="S22" i="6"/>
  <c r="E22" i="6"/>
  <c r="E14" i="16" s="1"/>
  <c r="I37" i="6"/>
  <c r="E29" i="6"/>
  <c r="F29" i="6"/>
  <c r="F22" i="6"/>
  <c r="F14" i="16" s="1"/>
  <c r="I38" i="6" l="1"/>
  <c r="H43" i="17"/>
  <c r="F30" i="6"/>
  <c r="F28" i="16" s="1"/>
  <c r="E29" i="17"/>
  <c r="E30" i="6"/>
  <c r="E28" i="16" s="1"/>
  <c r="I28" i="16" s="1"/>
  <c r="D29" i="17"/>
  <c r="I14" i="16"/>
  <c r="E18" i="11"/>
  <c r="J11" i="9"/>
  <c r="D18" i="11"/>
  <c r="I11" i="9"/>
  <c r="R39" i="6"/>
  <c r="H48" i="5" s="1"/>
  <c r="H30" i="5"/>
  <c r="I29" i="6"/>
  <c r="I21" i="6"/>
  <c r="H15" i="17" s="1"/>
  <c r="P34" i="6"/>
  <c r="P39" i="6"/>
  <c r="S30" i="6"/>
  <c r="R42" i="6"/>
  <c r="S42" i="6" s="1"/>
  <c r="R45" i="6"/>
  <c r="S33" i="6"/>
  <c r="Q34" i="6"/>
  <c r="Q39" i="6"/>
  <c r="Q23" i="6"/>
  <c r="R23" i="6" s="1"/>
  <c r="S23" i="6" s="1"/>
  <c r="C6" i="9" s="1"/>
  <c r="C8" i="9" s="1"/>
  <c r="R44" i="6"/>
  <c r="S44" i="6" s="1"/>
  <c r="S32" i="6"/>
  <c r="R43" i="6"/>
  <c r="S43" i="6" s="1"/>
  <c r="S31" i="6"/>
  <c r="O34" i="6"/>
  <c r="O35" i="6" s="1"/>
  <c r="O39" i="6"/>
  <c r="S27" i="6"/>
  <c r="R34" i="6"/>
  <c r="I30" i="6" l="1"/>
  <c r="H29" i="17"/>
  <c r="I30" i="5"/>
  <c r="E12" i="11" s="1"/>
  <c r="P46" i="6"/>
  <c r="F48" i="5"/>
  <c r="S39" i="6"/>
  <c r="O46" i="6"/>
  <c r="O47" i="6" s="1"/>
  <c r="P47" i="6" s="1"/>
  <c r="E48" i="5"/>
  <c r="Q46" i="6"/>
  <c r="G48" i="5"/>
  <c r="P35" i="6"/>
  <c r="Q35" i="6" s="1"/>
  <c r="R35" i="6" s="1"/>
  <c r="S35" i="6" s="1"/>
  <c r="D6" i="9" s="1"/>
  <c r="D8" i="9" s="1"/>
  <c r="I22" i="6"/>
  <c r="S45" i="6"/>
  <c r="S46" i="6"/>
  <c r="R46" i="6"/>
  <c r="Q47" i="6" l="1"/>
  <c r="R47" i="6" s="1"/>
  <c r="S47" i="6" s="1"/>
  <c r="E6" i="9" s="1"/>
  <c r="E8" i="9" s="1"/>
  <c r="I48" i="5"/>
  <c r="F18" i="11"/>
  <c r="K11" i="9"/>
  <c r="E9" i="7"/>
  <c r="F9" i="7"/>
  <c r="G9" i="7"/>
  <c r="D9" i="7"/>
  <c r="F11" i="7"/>
  <c r="L9" i="7" l="1"/>
  <c r="F12" i="11"/>
  <c r="M9" i="7"/>
  <c r="M10" i="7" s="1"/>
  <c r="O9" i="7"/>
  <c r="O10" i="7" s="1"/>
  <c r="I13" i="7"/>
  <c r="N9" i="7"/>
  <c r="N10" i="7" s="1"/>
  <c r="N14" i="1"/>
  <c r="M14" i="1"/>
  <c r="L14" i="1"/>
  <c r="O14" i="1"/>
  <c r="W22" i="8" l="1"/>
  <c r="F44" i="5" s="1"/>
  <c r="Y22" i="8"/>
  <c r="H44" i="5" s="1"/>
  <c r="X22" i="8"/>
  <c r="G44" i="5" s="1"/>
  <c r="W79" i="8"/>
  <c r="W88" i="8" s="1"/>
  <c r="W34" i="8"/>
  <c r="W61" i="8"/>
  <c r="W70" i="8" s="1"/>
  <c r="W43" i="8"/>
  <c r="W52" i="8" s="1"/>
  <c r="Y61" i="8"/>
  <c r="Y70" i="8" s="1"/>
  <c r="Y79" i="8"/>
  <c r="Y88" i="8" s="1"/>
  <c r="Y34" i="8"/>
  <c r="Y43" i="8"/>
  <c r="Y52" i="8" s="1"/>
  <c r="Y24" i="8"/>
  <c r="X24" i="8"/>
  <c r="X61" i="8"/>
  <c r="X70" i="8" s="1"/>
  <c r="X43" i="8"/>
  <c r="X52" i="8" s="1"/>
  <c r="X79" i="8"/>
  <c r="X88" i="8" s="1"/>
  <c r="X34" i="8"/>
  <c r="I72" i="7"/>
  <c r="I52" i="7"/>
  <c r="G72" i="7"/>
  <c r="G52" i="7"/>
  <c r="E52" i="7"/>
  <c r="E72" i="7"/>
  <c r="P14" i="1"/>
  <c r="O13" i="1" s="1"/>
  <c r="R33" i="7"/>
  <c r="N33" i="7"/>
  <c r="P33" i="7"/>
  <c r="P9" i="7"/>
  <c r="L10" i="7"/>
  <c r="E22" i="8"/>
  <c r="F7" i="5" s="1"/>
  <c r="N22" i="8"/>
  <c r="F26" i="5" s="1"/>
  <c r="O22" i="8"/>
  <c r="G26" i="5" s="1"/>
  <c r="F22" i="8"/>
  <c r="G7" i="5" s="1"/>
  <c r="P22" i="8"/>
  <c r="H26" i="5" s="1"/>
  <c r="G22" i="8"/>
  <c r="H7" i="5" s="1"/>
  <c r="J21" i="3"/>
  <c r="J22" i="3"/>
  <c r="J23" i="3"/>
  <c r="J24" i="3"/>
  <c r="J20" i="3"/>
  <c r="J19" i="3"/>
  <c r="J18" i="3"/>
  <c r="J25" i="3" l="1"/>
  <c r="M36" i="7"/>
  <c r="N38" i="7" s="1"/>
  <c r="F11" i="16" s="1"/>
  <c r="L13" i="1"/>
  <c r="N13" i="1"/>
  <c r="E61" i="8"/>
  <c r="E70" i="8" s="1"/>
  <c r="G61" i="8"/>
  <c r="F61" i="8"/>
  <c r="F70" i="8" s="1"/>
  <c r="M13" i="1"/>
  <c r="V22" i="8"/>
  <c r="E44" i="5" s="1"/>
  <c r="X36" i="8"/>
  <c r="X81" i="8"/>
  <c r="X90" i="8" s="1"/>
  <c r="X45" i="8"/>
  <c r="X54" i="8" s="1"/>
  <c r="X63" i="8"/>
  <c r="X72" i="8" s="1"/>
  <c r="Y63" i="8"/>
  <c r="Y72" i="8" s="1"/>
  <c r="Y36" i="8"/>
  <c r="Y45" i="8"/>
  <c r="Y54" i="8" s="1"/>
  <c r="Y81" i="8"/>
  <c r="Y90" i="8" s="1"/>
  <c r="O24" i="8"/>
  <c r="O36" i="8" s="1"/>
  <c r="O61" i="8"/>
  <c r="O43" i="8"/>
  <c r="O79" i="8"/>
  <c r="N43" i="8"/>
  <c r="N79" i="8"/>
  <c r="N61" i="8"/>
  <c r="P24" i="8"/>
  <c r="P36" i="8" s="1"/>
  <c r="P43" i="8"/>
  <c r="P79" i="8"/>
  <c r="P61" i="8"/>
  <c r="F24" i="8"/>
  <c r="F79" i="8"/>
  <c r="F88" i="8" s="1"/>
  <c r="F43" i="8"/>
  <c r="F52" i="8" s="1"/>
  <c r="G24" i="8"/>
  <c r="G79" i="8"/>
  <c r="G88" i="8" s="1"/>
  <c r="G43" i="8"/>
  <c r="G52" i="8" s="1"/>
  <c r="G70" i="8"/>
  <c r="E79" i="8"/>
  <c r="E88" i="8" s="1"/>
  <c r="E43" i="8"/>
  <c r="E52" i="8" s="1"/>
  <c r="D72" i="7"/>
  <c r="K72" i="7" s="1"/>
  <c r="D52" i="7"/>
  <c r="K52" i="7" s="1"/>
  <c r="F34" i="8"/>
  <c r="N34" i="8"/>
  <c r="P34" i="8"/>
  <c r="O34" i="8"/>
  <c r="E34" i="8"/>
  <c r="G34" i="8"/>
  <c r="M22" i="8"/>
  <c r="E26" i="5" s="1"/>
  <c r="M33" i="7"/>
  <c r="T33" i="7" s="1"/>
  <c r="P10" i="7"/>
  <c r="D22" i="8"/>
  <c r="E7" i="5" s="1"/>
  <c r="J11" i="3"/>
  <c r="F10" i="3"/>
  <c r="K10" i="3" s="1"/>
  <c r="E10" i="3"/>
  <c r="G10" i="3" s="1"/>
  <c r="L10" i="3" s="1"/>
  <c r="C24" i="3" s="1"/>
  <c r="F9" i="3"/>
  <c r="K9" i="3" s="1"/>
  <c r="E9" i="3"/>
  <c r="G9" i="3" s="1"/>
  <c r="L9" i="3" s="1"/>
  <c r="C23" i="3" s="1"/>
  <c r="F8" i="3"/>
  <c r="K8" i="3" s="1"/>
  <c r="E8" i="3"/>
  <c r="G8" i="3" s="1"/>
  <c r="L8" i="3" s="1"/>
  <c r="C22" i="3" s="1"/>
  <c r="F7" i="3"/>
  <c r="K7" i="3" s="1"/>
  <c r="E7" i="3"/>
  <c r="G7" i="3" s="1"/>
  <c r="L7" i="3" s="1"/>
  <c r="C21" i="3" s="1"/>
  <c r="F6" i="3"/>
  <c r="K6" i="3" s="1"/>
  <c r="E6" i="3"/>
  <c r="G6" i="3" s="1"/>
  <c r="L6" i="3" s="1"/>
  <c r="C20" i="3" s="1"/>
  <c r="F5" i="3"/>
  <c r="K5" i="3" s="1"/>
  <c r="E5" i="3"/>
  <c r="G5" i="3" s="1"/>
  <c r="L5" i="3" s="1"/>
  <c r="C19" i="3" s="1"/>
  <c r="F4" i="3"/>
  <c r="K4" i="3" s="1"/>
  <c r="E4" i="3"/>
  <c r="G4" i="3" s="1"/>
  <c r="L4" i="3" s="1"/>
  <c r="F33" i="7"/>
  <c r="G21" i="3" l="1"/>
  <c r="E55" i="5"/>
  <c r="E41" i="3"/>
  <c r="G41" i="3" s="1"/>
  <c r="E35" i="3"/>
  <c r="G35" i="3" s="1"/>
  <c r="V35" i="7"/>
  <c r="H22" i="8"/>
  <c r="I71" i="7"/>
  <c r="R32" i="7"/>
  <c r="I51" i="7"/>
  <c r="G71" i="7"/>
  <c r="E51" i="7"/>
  <c r="N32" i="7"/>
  <c r="E71" i="7"/>
  <c r="G51" i="7"/>
  <c r="P32" i="7"/>
  <c r="D71" i="7"/>
  <c r="F27" i="7"/>
  <c r="M25" i="7" s="1"/>
  <c r="W24" i="8"/>
  <c r="V79" i="8"/>
  <c r="V61" i="8"/>
  <c r="Z22" i="8"/>
  <c r="V34" i="8"/>
  <c r="Z34" i="8" s="1"/>
  <c r="V24" i="8"/>
  <c r="V43" i="8"/>
  <c r="F32" i="7"/>
  <c r="F31" i="7"/>
  <c r="F30" i="7"/>
  <c r="M32" i="7"/>
  <c r="F29" i="7"/>
  <c r="D51" i="7"/>
  <c r="P45" i="8"/>
  <c r="P81" i="8"/>
  <c r="P63" i="8"/>
  <c r="M79" i="8"/>
  <c r="M61" i="8"/>
  <c r="M24" i="8"/>
  <c r="M43" i="8"/>
  <c r="Q22" i="8"/>
  <c r="O45" i="8"/>
  <c r="O63" i="8"/>
  <c r="O81" i="8"/>
  <c r="G36" i="8"/>
  <c r="G45" i="8"/>
  <c r="G54" i="8" s="1"/>
  <c r="F36" i="8"/>
  <c r="F45" i="8"/>
  <c r="F54" i="8" s="1"/>
  <c r="D79" i="8"/>
  <c r="D61" i="8"/>
  <c r="H61" i="8" s="1"/>
  <c r="D43" i="8"/>
  <c r="G63" i="8"/>
  <c r="G72" i="8" s="1"/>
  <c r="G81" i="8"/>
  <c r="G90" i="8" s="1"/>
  <c r="F63" i="8"/>
  <c r="F72" i="8" s="1"/>
  <c r="F81" i="8"/>
  <c r="F90" i="8" s="1"/>
  <c r="N24" i="8"/>
  <c r="D24" i="8"/>
  <c r="E24" i="8"/>
  <c r="E81" i="8" s="1"/>
  <c r="D34" i="8"/>
  <c r="H34" i="8" s="1"/>
  <c r="M34" i="8"/>
  <c r="Q34" i="8" s="1"/>
  <c r="I23" i="3"/>
  <c r="M23" i="3" s="1"/>
  <c r="G23" i="3"/>
  <c r="F23" i="3"/>
  <c r="F20" i="3"/>
  <c r="I20" i="3"/>
  <c r="M20" i="3" s="1"/>
  <c r="G20" i="3"/>
  <c r="I24" i="3"/>
  <c r="M24" i="3" s="1"/>
  <c r="F24" i="3"/>
  <c r="E43" i="3" s="1"/>
  <c r="G43" i="3" s="1"/>
  <c r="G24" i="3"/>
  <c r="F21" i="3"/>
  <c r="E37" i="3" s="1"/>
  <c r="G37" i="3" s="1"/>
  <c r="I21" i="3"/>
  <c r="M21" i="3" s="1"/>
  <c r="G22" i="3"/>
  <c r="F22" i="3"/>
  <c r="E39" i="3" s="1"/>
  <c r="G39" i="3" s="1"/>
  <c r="I22" i="3"/>
  <c r="M22" i="3" s="1"/>
  <c r="F19" i="3"/>
  <c r="E33" i="3" s="1"/>
  <c r="G19" i="3"/>
  <c r="I19" i="3"/>
  <c r="M19" i="3" s="1"/>
  <c r="L11" i="3"/>
  <c r="C25" i="3" s="1"/>
  <c r="C18" i="3"/>
  <c r="K11" i="3"/>
  <c r="G33" i="3" l="1"/>
  <c r="D45" i="17"/>
  <c r="K24" i="3"/>
  <c r="K19" i="3"/>
  <c r="T32" i="7"/>
  <c r="F35" i="7"/>
  <c r="E75" i="7"/>
  <c r="I75" i="7"/>
  <c r="P36" i="7"/>
  <c r="G75" i="7"/>
  <c r="I55" i="7"/>
  <c r="G55" i="7"/>
  <c r="E55" i="7"/>
  <c r="N36" i="7"/>
  <c r="R36" i="7"/>
  <c r="D75" i="7"/>
  <c r="D55" i="7"/>
  <c r="Z43" i="8"/>
  <c r="V52" i="8"/>
  <c r="Z52" i="8" s="1"/>
  <c r="K21" i="3"/>
  <c r="I67" i="7"/>
  <c r="E47" i="7"/>
  <c r="R28" i="7"/>
  <c r="P28" i="7"/>
  <c r="E67" i="7"/>
  <c r="I47" i="7"/>
  <c r="G47" i="7"/>
  <c r="N28" i="7"/>
  <c r="G67" i="7"/>
  <c r="D67" i="7"/>
  <c r="D47" i="7"/>
  <c r="M28" i="7"/>
  <c r="V45" i="8"/>
  <c r="V36" i="8"/>
  <c r="Z24" i="8"/>
  <c r="V81" i="8"/>
  <c r="V63" i="8"/>
  <c r="E64" i="7"/>
  <c r="G44" i="7"/>
  <c r="R25" i="7"/>
  <c r="N25" i="7"/>
  <c r="G64" i="7"/>
  <c r="P25" i="7"/>
  <c r="I64" i="7"/>
  <c r="I44" i="7"/>
  <c r="E44" i="7"/>
  <c r="D44" i="7"/>
  <c r="D64" i="7"/>
  <c r="K51" i="7"/>
  <c r="G46" i="7"/>
  <c r="E66" i="7"/>
  <c r="P27" i="7"/>
  <c r="G66" i="7"/>
  <c r="I66" i="7"/>
  <c r="I46" i="7"/>
  <c r="E46" i="7"/>
  <c r="N27" i="7"/>
  <c r="R27" i="7"/>
  <c r="M27" i="7"/>
  <c r="D66" i="7"/>
  <c r="D46" i="7"/>
  <c r="R29" i="7"/>
  <c r="P29" i="7"/>
  <c r="I48" i="7"/>
  <c r="N29" i="7"/>
  <c r="E68" i="7"/>
  <c r="I68" i="7"/>
  <c r="G48" i="7"/>
  <c r="E48" i="7"/>
  <c r="G68" i="7"/>
  <c r="D68" i="7"/>
  <c r="M29" i="7"/>
  <c r="D48" i="7"/>
  <c r="Z61" i="8"/>
  <c r="V70" i="8"/>
  <c r="Z70" i="8" s="1"/>
  <c r="K71" i="7"/>
  <c r="F28" i="7"/>
  <c r="G49" i="7"/>
  <c r="E69" i="7"/>
  <c r="E49" i="7"/>
  <c r="I69" i="7"/>
  <c r="I49" i="7"/>
  <c r="N30" i="7"/>
  <c r="P30" i="7"/>
  <c r="R30" i="7"/>
  <c r="G69" i="7"/>
  <c r="D69" i="7"/>
  <c r="D49" i="7"/>
  <c r="M30" i="7"/>
  <c r="Z79" i="8"/>
  <c r="V88" i="8"/>
  <c r="Z88" i="8" s="1"/>
  <c r="K23" i="3"/>
  <c r="W63" i="8"/>
  <c r="W72" i="8" s="1"/>
  <c r="W45" i="8"/>
  <c r="W54" i="8" s="1"/>
  <c r="W81" i="8"/>
  <c r="W90" i="8" s="1"/>
  <c r="W36" i="8"/>
  <c r="N63" i="8"/>
  <c r="N81" i="8"/>
  <c r="M45" i="8"/>
  <c r="M63" i="8"/>
  <c r="M81" i="8"/>
  <c r="N36" i="8"/>
  <c r="N45" i="8"/>
  <c r="Q24" i="8"/>
  <c r="D81" i="8"/>
  <c r="H81" i="8" s="1"/>
  <c r="D88" i="8"/>
  <c r="H88" i="8" s="1"/>
  <c r="H79" i="8"/>
  <c r="D70" i="8"/>
  <c r="H70" i="8" s="1"/>
  <c r="D52" i="8"/>
  <c r="H52" i="8" s="1"/>
  <c r="H43" i="8"/>
  <c r="H24" i="8"/>
  <c r="K22" i="3"/>
  <c r="K20" i="3"/>
  <c r="D63" i="8"/>
  <c r="D45" i="8"/>
  <c r="D36" i="8"/>
  <c r="E36" i="8"/>
  <c r="E90" i="8"/>
  <c r="E45" i="8"/>
  <c r="E54" i="8" s="1"/>
  <c r="E63" i="8"/>
  <c r="E72" i="8" s="1"/>
  <c r="M36" i="8"/>
  <c r="L24" i="3"/>
  <c r="G18" i="3"/>
  <c r="G25" i="3" s="1"/>
  <c r="I18" i="3"/>
  <c r="F18" i="3"/>
  <c r="E31" i="3" s="1"/>
  <c r="L21" i="3"/>
  <c r="L20" i="3"/>
  <c r="L23" i="3"/>
  <c r="L22" i="3"/>
  <c r="L19" i="3"/>
  <c r="P13" i="1"/>
  <c r="M10" i="1"/>
  <c r="L20" i="1" s="1"/>
  <c r="G13" i="1" s="1"/>
  <c r="H6" i="1"/>
  <c r="H7" i="1"/>
  <c r="H8" i="1"/>
  <c r="H9" i="1"/>
  <c r="H5" i="1"/>
  <c r="G14" i="1" l="1"/>
  <c r="G15" i="1"/>
  <c r="F31" i="3"/>
  <c r="G31" i="3" s="1"/>
  <c r="D34" i="3"/>
  <c r="F34" i="3"/>
  <c r="E34" i="3"/>
  <c r="C34" i="3"/>
  <c r="F38" i="3"/>
  <c r="E38" i="3"/>
  <c r="D38" i="3"/>
  <c r="C38" i="3"/>
  <c r="E42" i="3"/>
  <c r="C42" i="3"/>
  <c r="G42" i="3" s="1"/>
  <c r="F42" i="3"/>
  <c r="D42" i="3"/>
  <c r="D46" i="3"/>
  <c r="F46" i="3"/>
  <c r="E46" i="3"/>
  <c r="F25" i="3"/>
  <c r="C46" i="3"/>
  <c r="M18" i="3"/>
  <c r="M25" i="3" s="1"/>
  <c r="F47" i="3"/>
  <c r="E47" i="3"/>
  <c r="D47" i="3"/>
  <c r="C47" i="3"/>
  <c r="I25" i="3"/>
  <c r="J30" i="3" s="1"/>
  <c r="D90" i="8"/>
  <c r="C40" i="3"/>
  <c r="F40" i="3"/>
  <c r="E40" i="3"/>
  <c r="D40" i="3"/>
  <c r="F36" i="3"/>
  <c r="D36" i="3"/>
  <c r="C36" i="3"/>
  <c r="E36" i="3"/>
  <c r="F32" i="3"/>
  <c r="E32" i="3"/>
  <c r="D32" i="3"/>
  <c r="C32" i="3"/>
  <c r="K48" i="7"/>
  <c r="K68" i="7"/>
  <c r="P38" i="7"/>
  <c r="G11" i="16" s="1"/>
  <c r="I77" i="7"/>
  <c r="H37" i="16" s="1"/>
  <c r="K49" i="7"/>
  <c r="K46" i="7"/>
  <c r="G57" i="7"/>
  <c r="G25" i="16" s="1"/>
  <c r="R38" i="7"/>
  <c r="H11" i="16" s="1"/>
  <c r="K69" i="7"/>
  <c r="Z81" i="8"/>
  <c r="V90" i="8"/>
  <c r="Z90" i="8" s="1"/>
  <c r="T29" i="7"/>
  <c r="I57" i="7"/>
  <c r="H25" i="16" s="1"/>
  <c r="Z36" i="8"/>
  <c r="E45" i="7"/>
  <c r="E50" i="7" s="1"/>
  <c r="E53" i="7" s="1"/>
  <c r="E54" i="7" s="1"/>
  <c r="E65" i="7"/>
  <c r="E70" i="7" s="1"/>
  <c r="E73" i="7" s="1"/>
  <c r="I65" i="7"/>
  <c r="I70" i="7" s="1"/>
  <c r="I73" i="7" s="1"/>
  <c r="G45" i="7"/>
  <c r="R26" i="7"/>
  <c r="R31" i="7" s="1"/>
  <c r="R34" i="7" s="1"/>
  <c r="R35" i="7" s="1"/>
  <c r="N26" i="7"/>
  <c r="N31" i="7" s="1"/>
  <c r="N34" i="7" s="1"/>
  <c r="N35" i="7" s="1"/>
  <c r="P26" i="7"/>
  <c r="P31" i="7" s="1"/>
  <c r="P34" i="7" s="1"/>
  <c r="P35" i="7" s="1"/>
  <c r="G65" i="7"/>
  <c r="G70" i="7" s="1"/>
  <c r="G73" i="7" s="1"/>
  <c r="G74" i="7" s="1"/>
  <c r="I45" i="7"/>
  <c r="I50" i="7" s="1"/>
  <c r="I53" i="7" s="1"/>
  <c r="I54" i="7" s="1"/>
  <c r="D45" i="7"/>
  <c r="M26" i="7"/>
  <c r="M31" i="7" s="1"/>
  <c r="D65" i="7"/>
  <c r="T25" i="7"/>
  <c r="V54" i="8"/>
  <c r="Z54" i="8" s="1"/>
  <c r="Z45" i="8"/>
  <c r="M39" i="7"/>
  <c r="T36" i="7"/>
  <c r="K64" i="7"/>
  <c r="D70" i="7"/>
  <c r="T28" i="7"/>
  <c r="E57" i="7"/>
  <c r="F25" i="16" s="1"/>
  <c r="K55" i="7"/>
  <c r="K66" i="7"/>
  <c r="K44" i="7"/>
  <c r="G50" i="7"/>
  <c r="G53" i="7" s="1"/>
  <c r="G54" i="7" s="1"/>
  <c r="F30" i="17" s="1"/>
  <c r="K47" i="7"/>
  <c r="K75" i="7"/>
  <c r="E77" i="7"/>
  <c r="F37" i="16" s="1"/>
  <c r="T27" i="7"/>
  <c r="K67" i="7"/>
  <c r="G77" i="7"/>
  <c r="G37" i="16" s="1"/>
  <c r="T30" i="7"/>
  <c r="V72" i="8"/>
  <c r="Z72" i="8" s="1"/>
  <c r="Z63" i="8"/>
  <c r="Q36" i="8"/>
  <c r="H90" i="8"/>
  <c r="D72" i="8"/>
  <c r="H72" i="8" s="1"/>
  <c r="H63" i="8"/>
  <c r="H45" i="8"/>
  <c r="D54" i="8"/>
  <c r="H54" i="8" s="1"/>
  <c r="H36" i="8"/>
  <c r="L18" i="3"/>
  <c r="L25" i="3" s="1"/>
  <c r="D13" i="1"/>
  <c r="E13" i="1"/>
  <c r="F13" i="1"/>
  <c r="H10" i="1"/>
  <c r="K18" i="3"/>
  <c r="G32" i="3" l="1"/>
  <c r="G34" i="3"/>
  <c r="F45" i="3"/>
  <c r="E45" i="3"/>
  <c r="D45" i="3"/>
  <c r="C45" i="3"/>
  <c r="K25" i="3"/>
  <c r="F30" i="3"/>
  <c r="F44" i="3" s="1"/>
  <c r="E30" i="3"/>
  <c r="E44" i="3" s="1"/>
  <c r="D30" i="3"/>
  <c r="D44" i="3" s="1"/>
  <c r="C30" i="3"/>
  <c r="G40" i="3"/>
  <c r="G46" i="3"/>
  <c r="J32" i="3"/>
  <c r="J33" i="3"/>
  <c r="G38" i="3"/>
  <c r="G36" i="3"/>
  <c r="N36" i="3"/>
  <c r="M36" i="3"/>
  <c r="L36" i="3"/>
  <c r="K36" i="3"/>
  <c r="J29" i="3"/>
  <c r="G47" i="3"/>
  <c r="K45" i="7"/>
  <c r="E56" i="7"/>
  <c r="E30" i="17"/>
  <c r="N37" i="7"/>
  <c r="E16" i="17"/>
  <c r="R37" i="7"/>
  <c r="G16" i="17"/>
  <c r="I56" i="7"/>
  <c r="G30" i="17"/>
  <c r="G76" i="7"/>
  <c r="F44" i="17"/>
  <c r="P37" i="7"/>
  <c r="F16" i="17"/>
  <c r="E74" i="7"/>
  <c r="E44" i="17" s="1"/>
  <c r="K77" i="7"/>
  <c r="I11" i="16"/>
  <c r="I74" i="7"/>
  <c r="F11" i="13"/>
  <c r="K57" i="7"/>
  <c r="C15" i="12"/>
  <c r="C7" i="12"/>
  <c r="D73" i="7"/>
  <c r="K70" i="7"/>
  <c r="G11" i="13"/>
  <c r="D50" i="7"/>
  <c r="T31" i="7"/>
  <c r="M34" i="7"/>
  <c r="M35" i="7" s="1"/>
  <c r="K65" i="7"/>
  <c r="H11" i="13"/>
  <c r="F14" i="1"/>
  <c r="T38" i="7"/>
  <c r="N39" i="7"/>
  <c r="P39" i="7" s="1"/>
  <c r="R39" i="7" s="1"/>
  <c r="T39" i="7" s="1"/>
  <c r="T26" i="7"/>
  <c r="G56" i="7"/>
  <c r="G22" i="1"/>
  <c r="G36" i="1"/>
  <c r="F15" i="1"/>
  <c r="F20" i="1"/>
  <c r="H17" i="5"/>
  <c r="F17" i="5"/>
  <c r="G17" i="5"/>
  <c r="E17" i="5"/>
  <c r="E23" i="8"/>
  <c r="G23" i="8"/>
  <c r="G35" i="8" s="1"/>
  <c r="H7" i="10" s="1"/>
  <c r="F23" i="8"/>
  <c r="F35" i="8" s="1"/>
  <c r="G7" i="10" s="1"/>
  <c r="D35" i="8"/>
  <c r="E7" i="10" s="1"/>
  <c r="C8" i="1"/>
  <c r="K33" i="3" l="1"/>
  <c r="C33" i="9"/>
  <c r="E33" i="9"/>
  <c r="D33" i="9"/>
  <c r="O36" i="3"/>
  <c r="J31" i="3" s="1"/>
  <c r="G45" i="3"/>
  <c r="C44" i="3"/>
  <c r="G44" i="3" s="1"/>
  <c r="G30" i="3"/>
  <c r="E76" i="7"/>
  <c r="G19" i="5"/>
  <c r="F17" i="17" s="1"/>
  <c r="F18" i="17" s="1"/>
  <c r="F19" i="5"/>
  <c r="E17" i="17" s="1"/>
  <c r="E18" i="17" s="1"/>
  <c r="H19" i="5"/>
  <c r="G17" i="17" s="1"/>
  <c r="G18" i="17" s="1"/>
  <c r="E19" i="5"/>
  <c r="D17" i="17" s="1"/>
  <c r="I76" i="7"/>
  <c r="G44" i="17"/>
  <c r="D57" i="7"/>
  <c r="G12" i="13"/>
  <c r="F13" i="17" s="1"/>
  <c r="D53" i="7"/>
  <c r="K50" i="7"/>
  <c r="H19" i="13"/>
  <c r="P23" i="8"/>
  <c r="Q23" i="8" s="1"/>
  <c r="F29" i="1"/>
  <c r="F12" i="13"/>
  <c r="I4" i="9"/>
  <c r="I5" i="9" s="1"/>
  <c r="F34" i="1"/>
  <c r="Y62" i="8" s="1"/>
  <c r="F27" i="1"/>
  <c r="P62" i="8" s="1"/>
  <c r="P71" i="8" s="1"/>
  <c r="H18" i="10" s="1"/>
  <c r="E15" i="12"/>
  <c r="E7" i="12"/>
  <c r="G33" i="1"/>
  <c r="H12" i="13"/>
  <c r="K73" i="7"/>
  <c r="D74" i="7"/>
  <c r="D7" i="12"/>
  <c r="D15" i="12"/>
  <c r="G29" i="1"/>
  <c r="V39" i="7"/>
  <c r="H27" i="13"/>
  <c r="Y23" i="8"/>
  <c r="F36" i="1"/>
  <c r="D76" i="7"/>
  <c r="T34" i="7"/>
  <c r="V34" i="7" s="1"/>
  <c r="D16" i="17"/>
  <c r="E35" i="8"/>
  <c r="H23" i="8"/>
  <c r="G62" i="8"/>
  <c r="G71" i="8" s="1"/>
  <c r="H9" i="10" s="1"/>
  <c r="D7" i="1"/>
  <c r="D6" i="1"/>
  <c r="D5" i="1"/>
  <c r="H35" i="5"/>
  <c r="H37" i="5" s="1"/>
  <c r="G31" i="17" s="1"/>
  <c r="G32" i="17" s="1"/>
  <c r="E35" i="5"/>
  <c r="E37" i="5" s="1"/>
  <c r="D31" i="17" s="1"/>
  <c r="D25" i="8"/>
  <c r="G35" i="5"/>
  <c r="G37" i="5" s="1"/>
  <c r="F31" i="17" s="1"/>
  <c r="F32" i="17" s="1"/>
  <c r="F33" i="17" s="1"/>
  <c r="G34" i="17" s="1"/>
  <c r="F35" i="5"/>
  <c r="F37" i="5" s="1"/>
  <c r="E31" i="17" s="1"/>
  <c r="E32" i="17" s="1"/>
  <c r="E33" i="17" s="1"/>
  <c r="F34" i="17" s="1"/>
  <c r="I7" i="5"/>
  <c r="I17" i="5"/>
  <c r="D30" i="11" s="1"/>
  <c r="C49" i="3"/>
  <c r="D58" i="7" l="1"/>
  <c r="E58" i="7" s="1"/>
  <c r="G58" i="7" s="1"/>
  <c r="I58" i="7" s="1"/>
  <c r="K58" i="7" s="1"/>
  <c r="M58" i="7" s="1"/>
  <c r="E25" i="16"/>
  <c r="I25" i="16" s="1"/>
  <c r="D18" i="17"/>
  <c r="D19" i="17" s="1"/>
  <c r="D21" i="17" s="1"/>
  <c r="I19" i="5"/>
  <c r="H17" i="17" s="1"/>
  <c r="I37" i="5"/>
  <c r="H31" i="17" s="1"/>
  <c r="D28" i="11"/>
  <c r="K74" i="7"/>
  <c r="H44" i="17" s="1"/>
  <c r="D44" i="17"/>
  <c r="D46" i="17" s="1"/>
  <c r="D47" i="17" s="1"/>
  <c r="E48" i="17" s="1"/>
  <c r="G13" i="13"/>
  <c r="G15" i="13" s="1"/>
  <c r="H13" i="13"/>
  <c r="G13" i="17"/>
  <c r="F13" i="13"/>
  <c r="F14" i="13" s="1"/>
  <c r="F4" i="15" s="1"/>
  <c r="E13" i="17"/>
  <c r="E19" i="17" s="1"/>
  <c r="F14" i="17"/>
  <c r="F19" i="17"/>
  <c r="D77" i="7"/>
  <c r="T35" i="7"/>
  <c r="M37" i="7"/>
  <c r="D28" i="1"/>
  <c r="N80" i="8" s="1"/>
  <c r="N89" i="8" s="1"/>
  <c r="F19" i="10" s="1"/>
  <c r="C21" i="1"/>
  <c r="Y35" i="8"/>
  <c r="Z23" i="8"/>
  <c r="J4" i="9"/>
  <c r="J5" i="9" s="1"/>
  <c r="H20" i="13"/>
  <c r="G27" i="17" s="1"/>
  <c r="H28" i="13"/>
  <c r="K4" i="9"/>
  <c r="K5" i="9" s="1"/>
  <c r="M73" i="7"/>
  <c r="H35" i="8"/>
  <c r="I7" i="10" s="1"/>
  <c r="F7" i="10"/>
  <c r="D27" i="1"/>
  <c r="N62" i="8" s="1"/>
  <c r="N71" i="8" s="1"/>
  <c r="F18" i="10" s="1"/>
  <c r="C27" i="1"/>
  <c r="D20" i="1"/>
  <c r="C26" i="1"/>
  <c r="C19" i="1"/>
  <c r="C33" i="1" s="1"/>
  <c r="E19" i="1"/>
  <c r="F44" i="8" s="1"/>
  <c r="F53" i="8" s="1"/>
  <c r="G8" i="10" s="1"/>
  <c r="I12" i="13"/>
  <c r="H13" i="17" s="1"/>
  <c r="Y71" i="8"/>
  <c r="H26" i="10" s="1"/>
  <c r="D54" i="7"/>
  <c r="K53" i="7"/>
  <c r="D37" i="8"/>
  <c r="N35" i="8"/>
  <c r="F16" i="10" s="1"/>
  <c r="N70" i="8"/>
  <c r="N52" i="8"/>
  <c r="N88" i="8"/>
  <c r="O35" i="8"/>
  <c r="G16" i="10" s="1"/>
  <c r="O88" i="8"/>
  <c r="O70" i="8"/>
  <c r="O52" i="8"/>
  <c r="P35" i="8"/>
  <c r="H16" i="10" s="1"/>
  <c r="P52" i="8"/>
  <c r="P70" i="8"/>
  <c r="P88" i="8"/>
  <c r="C28" i="1"/>
  <c r="D21" i="1"/>
  <c r="E80" i="8" s="1"/>
  <c r="E21" i="8"/>
  <c r="E25" i="8" s="1"/>
  <c r="E20" i="1"/>
  <c r="C20" i="1"/>
  <c r="C34" i="1" s="1"/>
  <c r="D26" i="1"/>
  <c r="D8" i="1"/>
  <c r="D19" i="1"/>
  <c r="I26" i="5"/>
  <c r="I35" i="5"/>
  <c r="E30" i="11" s="1"/>
  <c r="F21" i="1"/>
  <c r="F28" i="1" s="1"/>
  <c r="P80" i="8" s="1"/>
  <c r="P89" i="8" s="1"/>
  <c r="H19" i="10" s="1"/>
  <c r="E21" i="1"/>
  <c r="F19" i="1"/>
  <c r="D78" i="7" l="1"/>
  <c r="E78" i="7" s="1"/>
  <c r="G78" i="7" s="1"/>
  <c r="I78" i="7" s="1"/>
  <c r="K78" i="7" s="1"/>
  <c r="E37" i="16"/>
  <c r="I37" i="16" s="1"/>
  <c r="F15" i="13"/>
  <c r="G14" i="13" s="1"/>
  <c r="G4" i="15" s="1"/>
  <c r="E28" i="11"/>
  <c r="E20" i="17"/>
  <c r="F15" i="16" s="1"/>
  <c r="H14" i="13"/>
  <c r="H4" i="15" s="1"/>
  <c r="T37" i="7"/>
  <c r="H16" i="17"/>
  <c r="H18" i="17" s="1"/>
  <c r="H19" i="17" s="1"/>
  <c r="K54" i="7"/>
  <c r="H30" i="17" s="1"/>
  <c r="H32" i="17" s="1"/>
  <c r="D30" i="17"/>
  <c r="D32" i="17" s="1"/>
  <c r="D33" i="17" s="1"/>
  <c r="E34" i="17" s="1"/>
  <c r="K76" i="7"/>
  <c r="D56" i="7"/>
  <c r="H14" i="17"/>
  <c r="E14" i="17"/>
  <c r="I28" i="13"/>
  <c r="H41" i="17" s="1"/>
  <c r="G41" i="17"/>
  <c r="I13" i="13"/>
  <c r="G33" i="17"/>
  <c r="G28" i="17"/>
  <c r="G14" i="17"/>
  <c r="G19" i="17"/>
  <c r="H15" i="13"/>
  <c r="I15" i="13" s="1"/>
  <c r="M78" i="7"/>
  <c r="D44" i="8"/>
  <c r="D46" i="8" s="1"/>
  <c r="D22" i="1"/>
  <c r="D34" i="1"/>
  <c r="W62" i="8" s="1"/>
  <c r="W71" i="8" s="1"/>
  <c r="F26" i="10" s="1"/>
  <c r="H21" i="13"/>
  <c r="I20" i="13"/>
  <c r="H27" i="17" s="1"/>
  <c r="M62" i="8"/>
  <c r="M80" i="8"/>
  <c r="V62" i="8"/>
  <c r="F62" i="8"/>
  <c r="F71" i="8" s="1"/>
  <c r="G9" i="10" s="1"/>
  <c r="E27" i="1"/>
  <c r="O62" i="8" s="1"/>
  <c r="O71" i="8" s="1"/>
  <c r="G18" i="10" s="1"/>
  <c r="E22" i="1"/>
  <c r="E26" i="1"/>
  <c r="H24" i="10"/>
  <c r="Z35" i="8"/>
  <c r="E44" i="8"/>
  <c r="E53" i="8" s="1"/>
  <c r="F8" i="10" s="1"/>
  <c r="D33" i="1"/>
  <c r="N44" i="8"/>
  <c r="N53" i="8" s="1"/>
  <c r="F17" i="10" s="1"/>
  <c r="E62" i="8"/>
  <c r="E71" i="8" s="1"/>
  <c r="F9" i="10" s="1"/>
  <c r="M53" i="7"/>
  <c r="V44" i="8"/>
  <c r="E30" i="10"/>
  <c r="F80" i="8"/>
  <c r="F89" i="8" s="1"/>
  <c r="G10" i="10" s="1"/>
  <c r="E28" i="1"/>
  <c r="O80" i="8" s="1"/>
  <c r="O89" i="8" s="1"/>
  <c r="G19" i="10" s="1"/>
  <c r="G44" i="8"/>
  <c r="G53" i="8" s="1"/>
  <c r="H8" i="10" s="1"/>
  <c r="F26" i="1"/>
  <c r="M44" i="8"/>
  <c r="H29" i="13"/>
  <c r="C22" i="1"/>
  <c r="D80" i="8"/>
  <c r="C35" i="1"/>
  <c r="Q35" i="8"/>
  <c r="E89" i="8"/>
  <c r="F10" i="10" s="1"/>
  <c r="Q79" i="8"/>
  <c r="M88" i="8"/>
  <c r="Q88" i="8" s="1"/>
  <c r="Q43" i="8"/>
  <c r="M52" i="8"/>
  <c r="Q52" i="8" s="1"/>
  <c r="Q61" i="8"/>
  <c r="M70" i="8"/>
  <c r="Q70" i="8" s="1"/>
  <c r="G80" i="8"/>
  <c r="G89" i="8" s="1"/>
  <c r="H10" i="10" s="1"/>
  <c r="E33" i="8"/>
  <c r="G20" i="1"/>
  <c r="D62" i="8"/>
  <c r="F21" i="8"/>
  <c r="E37" i="8"/>
  <c r="F35" i="1"/>
  <c r="F22" i="1"/>
  <c r="G21" i="1"/>
  <c r="G19" i="1"/>
  <c r="G34" i="1" l="1"/>
  <c r="G26" i="1"/>
  <c r="D53" i="8"/>
  <c r="I14" i="13"/>
  <c r="E21" i="17"/>
  <c r="K56" i="7"/>
  <c r="E22" i="13"/>
  <c r="E12" i="15" s="1"/>
  <c r="C12" i="9"/>
  <c r="H42" i="17"/>
  <c r="G42" i="17"/>
  <c r="H28" i="17"/>
  <c r="H33" i="17"/>
  <c r="H31" i="13"/>
  <c r="I31" i="13" s="1"/>
  <c r="E12" i="9" s="1"/>
  <c r="H30" i="13"/>
  <c r="H20" i="15" s="1"/>
  <c r="D24" i="11"/>
  <c r="I6" i="9"/>
  <c r="H22" i="13"/>
  <c r="H12" i="15" s="1"/>
  <c r="H23" i="13"/>
  <c r="I23" i="13" s="1"/>
  <c r="G27" i="1"/>
  <c r="M53" i="8"/>
  <c r="W44" i="8"/>
  <c r="W53" i="8" s="1"/>
  <c r="F25" i="10" s="1"/>
  <c r="M71" i="8"/>
  <c r="Q62" i="8"/>
  <c r="I29" i="13"/>
  <c r="H62" i="8"/>
  <c r="H44" i="8"/>
  <c r="I16" i="10"/>
  <c r="P44" i="8"/>
  <c r="P53" i="8" s="1"/>
  <c r="H17" i="10" s="1"/>
  <c r="I24" i="10"/>
  <c r="V71" i="8"/>
  <c r="Z62" i="8"/>
  <c r="I21" i="13"/>
  <c r="H53" i="8"/>
  <c r="I8" i="10" s="1"/>
  <c r="E8" i="10"/>
  <c r="Y80" i="8"/>
  <c r="V53" i="8"/>
  <c r="G35" i="1"/>
  <c r="V80" i="8"/>
  <c r="V89" i="8" s="1"/>
  <c r="O44" i="8"/>
  <c r="O53" i="8" s="1"/>
  <c r="G17" i="10" s="1"/>
  <c r="M89" i="8"/>
  <c r="Q80" i="8"/>
  <c r="H80" i="8"/>
  <c r="D82" i="8"/>
  <c r="D89" i="8"/>
  <c r="D71" i="8"/>
  <c r="D64" i="8"/>
  <c r="E42" i="8"/>
  <c r="D55" i="8"/>
  <c r="F25" i="8"/>
  <c r="F33" i="8"/>
  <c r="F20" i="17" l="1"/>
  <c r="G15" i="16" s="1"/>
  <c r="I12" i="15"/>
  <c r="I22" i="13"/>
  <c r="Z44" i="8"/>
  <c r="E30" i="13"/>
  <c r="D12" i="9"/>
  <c r="H71" i="8"/>
  <c r="E9" i="10"/>
  <c r="H89" i="8"/>
  <c r="I10" i="10" s="1"/>
  <c r="E10" i="10"/>
  <c r="Z80" i="8"/>
  <c r="Y89" i="8"/>
  <c r="H27" i="10" s="1"/>
  <c r="G30" i="10"/>
  <c r="Q44" i="8"/>
  <c r="E17" i="10"/>
  <c r="Q53" i="8"/>
  <c r="E19" i="10"/>
  <c r="Q89" i="8"/>
  <c r="I19" i="10" s="1"/>
  <c r="E27" i="10"/>
  <c r="F30" i="10"/>
  <c r="Z71" i="8"/>
  <c r="I26" i="10" s="1"/>
  <c r="E26" i="10"/>
  <c r="Z53" i="8"/>
  <c r="E25" i="10"/>
  <c r="E18" i="10"/>
  <c r="Q71" i="8"/>
  <c r="I18" i="10" s="1"/>
  <c r="E60" i="8"/>
  <c r="D73" i="8"/>
  <c r="E46" i="8"/>
  <c r="E51" i="8"/>
  <c r="D91" i="8"/>
  <c r="E78" i="8"/>
  <c r="G53" i="5"/>
  <c r="G55" i="5" s="1"/>
  <c r="F45" i="17" s="1"/>
  <c r="F46" i="17" s="1"/>
  <c r="F47" i="17" s="1"/>
  <c r="G48" i="17" s="1"/>
  <c r="F53" i="5"/>
  <c r="F55" i="5" s="1"/>
  <c r="H53" i="5"/>
  <c r="H55" i="5" s="1"/>
  <c r="G45" i="17" s="1"/>
  <c r="G46" i="17" s="1"/>
  <c r="G47" i="17" s="1"/>
  <c r="G21" i="8"/>
  <c r="G25" i="8" s="1"/>
  <c r="C27" i="8" s="1"/>
  <c r="F37" i="8"/>
  <c r="E12" i="5" l="1"/>
  <c r="E18" i="5" s="1"/>
  <c r="F12" i="5"/>
  <c r="F18" i="5" s="1"/>
  <c r="G12" i="5"/>
  <c r="G18" i="5" s="1"/>
  <c r="H12" i="5"/>
  <c r="H18" i="5" s="1"/>
  <c r="E45" i="17"/>
  <c r="E46" i="17" s="1"/>
  <c r="E47" i="17" s="1"/>
  <c r="F48" i="17" s="1"/>
  <c r="I55" i="5"/>
  <c r="H45" i="17" s="1"/>
  <c r="H46" i="17" s="1"/>
  <c r="Z89" i="8"/>
  <c r="I27" i="10" s="1"/>
  <c r="F21" i="17"/>
  <c r="E24" i="11"/>
  <c r="J6" i="9"/>
  <c r="F24" i="11"/>
  <c r="K6" i="9"/>
  <c r="E20" i="15"/>
  <c r="I30" i="13"/>
  <c r="I17" i="10"/>
  <c r="I25" i="10"/>
  <c r="I9" i="10"/>
  <c r="F42" i="8"/>
  <c r="E55" i="8"/>
  <c r="E82" i="8"/>
  <c r="E87" i="8"/>
  <c r="E69" i="8"/>
  <c r="E64" i="8"/>
  <c r="I53" i="5"/>
  <c r="F30" i="11" s="1"/>
  <c r="G33" i="8"/>
  <c r="I44" i="5"/>
  <c r="H47" i="17" l="1"/>
  <c r="H13" i="16"/>
  <c r="H20" i="5"/>
  <c r="G13" i="16"/>
  <c r="G20" i="5"/>
  <c r="F13" i="16"/>
  <c r="F20" i="5"/>
  <c r="E13" i="16"/>
  <c r="E20" i="5"/>
  <c r="F28" i="11"/>
  <c r="G20" i="17"/>
  <c r="I20" i="15"/>
  <c r="F78" i="8"/>
  <c r="E91" i="8"/>
  <c r="F60" i="8"/>
  <c r="E73" i="8"/>
  <c r="F46" i="8"/>
  <c r="F51" i="8"/>
  <c r="M21" i="8"/>
  <c r="M25" i="8" s="1"/>
  <c r="G37" i="8"/>
  <c r="M33" i="8" s="1"/>
  <c r="I20" i="5" l="1"/>
  <c r="I7" i="9" s="1"/>
  <c r="E17" i="16"/>
  <c r="I13" i="16"/>
  <c r="H15" i="16"/>
  <c r="I15" i="16" s="1"/>
  <c r="H20" i="17"/>
  <c r="G21" i="17"/>
  <c r="M37" i="8"/>
  <c r="N33" i="8" s="1"/>
  <c r="N37" i="8" s="1"/>
  <c r="O33" i="8" s="1"/>
  <c r="O37" i="8" s="1"/>
  <c r="P33" i="8" s="1"/>
  <c r="P37" i="8" s="1"/>
  <c r="V33" i="8" s="1"/>
  <c r="V37" i="8" s="1"/>
  <c r="W33" i="8" s="1"/>
  <c r="W37" i="8" s="1"/>
  <c r="X33" i="8" s="1"/>
  <c r="X37" i="8" s="1"/>
  <c r="Y33" i="8" s="1"/>
  <c r="Y37" i="8" s="1"/>
  <c r="C11" i="9"/>
  <c r="F64" i="8"/>
  <c r="F69" i="8"/>
  <c r="F55" i="8"/>
  <c r="G42" i="8"/>
  <c r="F82" i="8"/>
  <c r="F87" i="8"/>
  <c r="N21" i="8"/>
  <c r="N25" i="8" s="1"/>
  <c r="D34" i="17" l="1"/>
  <c r="H21" i="17"/>
  <c r="G17" i="16"/>
  <c r="G20" i="16" s="1"/>
  <c r="H17" i="16"/>
  <c r="H20" i="16" s="1"/>
  <c r="F17" i="16"/>
  <c r="F20" i="16" s="1"/>
  <c r="M90" i="8"/>
  <c r="M54" i="8"/>
  <c r="O21" i="8"/>
  <c r="O25" i="8" s="1"/>
  <c r="N72" i="8"/>
  <c r="N54" i="8"/>
  <c r="N90" i="8"/>
  <c r="M72" i="8"/>
  <c r="E11" i="9"/>
  <c r="D11" i="9"/>
  <c r="G46" i="8"/>
  <c r="G51" i="8"/>
  <c r="G78" i="8"/>
  <c r="F91" i="8"/>
  <c r="G60" i="8"/>
  <c r="F73" i="8"/>
  <c r="I12" i="5"/>
  <c r="I18" i="5" s="1"/>
  <c r="C32" i="9" l="1"/>
  <c r="D35" i="17"/>
  <c r="E35" i="17" s="1"/>
  <c r="F35" i="17" s="1"/>
  <c r="G35" i="17" s="1"/>
  <c r="H34" i="17"/>
  <c r="I20" i="16"/>
  <c r="C31" i="9" s="1"/>
  <c r="D29" i="11"/>
  <c r="C8" i="12" s="1"/>
  <c r="C16" i="12" s="1"/>
  <c r="G55" i="8"/>
  <c r="M42" i="8"/>
  <c r="P21" i="8"/>
  <c r="P25" i="8" s="1"/>
  <c r="V21" i="8" s="1"/>
  <c r="V25" i="8" s="1"/>
  <c r="O90" i="8"/>
  <c r="O72" i="8"/>
  <c r="G82" i="8"/>
  <c r="G87" i="8"/>
  <c r="G69" i="8"/>
  <c r="G64" i="8"/>
  <c r="C36" i="9" l="1"/>
  <c r="G11" i="23" s="1"/>
  <c r="D48" i="17"/>
  <c r="H48" i="17" s="1"/>
  <c r="H35" i="17"/>
  <c r="E20" i="16"/>
  <c r="I17" i="16"/>
  <c r="L27" i="8"/>
  <c r="C33" i="12"/>
  <c r="C17" i="12"/>
  <c r="C9" i="12"/>
  <c r="W21" i="8"/>
  <c r="W25" i="8" s="1"/>
  <c r="X21" i="8" s="1"/>
  <c r="X25" i="8" s="1"/>
  <c r="Y21" i="8" s="1"/>
  <c r="Y25" i="8" s="1"/>
  <c r="G73" i="8"/>
  <c r="M60" i="8"/>
  <c r="M51" i="8"/>
  <c r="M46" i="8"/>
  <c r="G91" i="8"/>
  <c r="M78" i="8"/>
  <c r="P72" i="8"/>
  <c r="Q72" i="8" s="1"/>
  <c r="P54" i="8"/>
  <c r="P90" i="8"/>
  <c r="Q90" i="8" s="1"/>
  <c r="O54" i="8"/>
  <c r="D32" i="9" l="1"/>
  <c r="C10" i="12"/>
  <c r="G12" i="23"/>
  <c r="D49" i="17"/>
  <c r="E49" i="17" s="1"/>
  <c r="F49" i="17" s="1"/>
  <c r="G49" i="17" s="1"/>
  <c r="H49" i="17" s="1"/>
  <c r="U27" i="8"/>
  <c r="F33" i="12"/>
  <c r="M87" i="8"/>
  <c r="M82" i="8"/>
  <c r="M55" i="8"/>
  <c r="N42" i="8"/>
  <c r="M69" i="8"/>
  <c r="M64" i="8"/>
  <c r="Q45" i="8"/>
  <c r="H31" i="5"/>
  <c r="H36" i="5" s="1"/>
  <c r="H27" i="16" s="1"/>
  <c r="E31" i="5"/>
  <c r="G31" i="5"/>
  <c r="G36" i="5" s="1"/>
  <c r="G27" i="16" s="1"/>
  <c r="F31" i="5"/>
  <c r="F36" i="5" s="1"/>
  <c r="F27" i="16" s="1"/>
  <c r="Q63" i="8"/>
  <c r="Q54" i="8"/>
  <c r="Q81" i="8"/>
  <c r="E36" i="5" l="1"/>
  <c r="E27" i="16" s="1"/>
  <c r="E32" i="9"/>
  <c r="G38" i="5"/>
  <c r="F38" i="5"/>
  <c r="H38" i="5"/>
  <c r="F29" i="16"/>
  <c r="F32" i="16" s="1"/>
  <c r="G29" i="16"/>
  <c r="G32" i="16" s="1"/>
  <c r="H29" i="16"/>
  <c r="H32" i="16" s="1"/>
  <c r="E49" i="5"/>
  <c r="F49" i="5"/>
  <c r="H49" i="5"/>
  <c r="G49" i="5"/>
  <c r="N51" i="8"/>
  <c r="N46" i="8"/>
  <c r="N60" i="8"/>
  <c r="M73" i="8"/>
  <c r="N78" i="8"/>
  <c r="M91" i="8"/>
  <c r="E29" i="16"/>
  <c r="I31" i="5"/>
  <c r="I36" i="5" s="1"/>
  <c r="G54" i="5" l="1"/>
  <c r="G56" i="5" s="1"/>
  <c r="H54" i="5"/>
  <c r="H56" i="5" s="1"/>
  <c r="F54" i="5"/>
  <c r="F56" i="5" s="1"/>
  <c r="E54" i="5"/>
  <c r="E56" i="5" s="1"/>
  <c r="E38" i="5"/>
  <c r="I38" i="5"/>
  <c r="J7" i="9" s="1"/>
  <c r="E32" i="16"/>
  <c r="I29" i="16"/>
  <c r="I32" i="16"/>
  <c r="D31" i="9" s="1"/>
  <c r="D36" i="9" s="1"/>
  <c r="H11" i="23" s="1"/>
  <c r="I49" i="5"/>
  <c r="I54" i="5" s="1"/>
  <c r="I27" i="16"/>
  <c r="E29" i="11"/>
  <c r="E32" i="11" s="1"/>
  <c r="N69" i="8"/>
  <c r="N64" i="8"/>
  <c r="N55" i="8"/>
  <c r="O42" i="8"/>
  <c r="N82" i="8"/>
  <c r="N87" i="8"/>
  <c r="I56" i="5" l="1"/>
  <c r="K7" i="9" s="1"/>
  <c r="H39" i="16"/>
  <c r="H41" i="16" s="1"/>
  <c r="H44" i="16" s="1"/>
  <c r="F39" i="16"/>
  <c r="F41" i="16" s="1"/>
  <c r="F44" i="16" s="1"/>
  <c r="E39" i="16"/>
  <c r="G39" i="16"/>
  <c r="G41" i="16" s="1"/>
  <c r="G44" i="16" s="1"/>
  <c r="I44" i="16"/>
  <c r="E31" i="9" s="1"/>
  <c r="E36" i="9" s="1"/>
  <c r="I11" i="23" s="1"/>
  <c r="F29" i="11"/>
  <c r="F32" i="11" s="1"/>
  <c r="E8" i="12" s="1"/>
  <c r="E16" i="12" s="1"/>
  <c r="E17" i="12" s="1"/>
  <c r="D8" i="12"/>
  <c r="D16" i="12" s="1"/>
  <c r="O60" i="8"/>
  <c r="N73" i="8"/>
  <c r="O46" i="8"/>
  <c r="O51" i="8"/>
  <c r="N91" i="8"/>
  <c r="O78" i="8"/>
  <c r="E41" i="16" l="1"/>
  <c r="I39" i="16"/>
  <c r="E9" i="12"/>
  <c r="D9" i="12"/>
  <c r="D17" i="12"/>
  <c r="C51" i="12"/>
  <c r="C70" i="12"/>
  <c r="O82" i="8"/>
  <c r="O87" i="8"/>
  <c r="O55" i="8"/>
  <c r="P42" i="8"/>
  <c r="O69" i="8"/>
  <c r="O64" i="8"/>
  <c r="E44" i="16" l="1"/>
  <c r="I41" i="16"/>
  <c r="D10" i="12"/>
  <c r="H12" i="23"/>
  <c r="E10" i="12"/>
  <c r="I12" i="23"/>
  <c r="F51" i="12"/>
  <c r="F70" i="12"/>
  <c r="P46" i="8"/>
  <c r="P51" i="8"/>
  <c r="P60" i="8"/>
  <c r="O73" i="8"/>
  <c r="O91" i="8"/>
  <c r="P78" i="8"/>
  <c r="P82" i="8" l="1"/>
  <c r="P87" i="8"/>
  <c r="P64" i="8"/>
  <c r="P69" i="8"/>
  <c r="P55" i="8"/>
  <c r="V42" i="8"/>
  <c r="P73" i="8" l="1"/>
  <c r="V60" i="8"/>
  <c r="V51" i="8"/>
  <c r="V46" i="8"/>
  <c r="P91" i="8"/>
  <c r="V78" i="8"/>
  <c r="V69" i="8" l="1"/>
  <c r="V64" i="8"/>
  <c r="W42" i="8"/>
  <c r="V55" i="8"/>
  <c r="V87" i="8"/>
  <c r="V82" i="8"/>
  <c r="V91" i="8" l="1"/>
  <c r="W78" i="8"/>
  <c r="W51" i="8"/>
  <c r="W46" i="8"/>
  <c r="W60" i="8"/>
  <c r="V73" i="8"/>
  <c r="W87" i="8" l="1"/>
  <c r="W82" i="8"/>
  <c r="W55" i="8"/>
  <c r="X42" i="8"/>
  <c r="W69" i="8"/>
  <c r="W64" i="8"/>
  <c r="W73" i="8" l="1"/>
  <c r="X60" i="8"/>
  <c r="W91" i="8"/>
  <c r="X78" i="8"/>
  <c r="X46" i="8"/>
  <c r="X51" i="8"/>
  <c r="X69" i="8" l="1"/>
  <c r="X64" i="8"/>
  <c r="X87" i="8"/>
  <c r="X82" i="8"/>
  <c r="X55" i="8"/>
  <c r="Y42" i="8"/>
  <c r="X91" i="8" l="1"/>
  <c r="Y78" i="8"/>
  <c r="Y51" i="8"/>
  <c r="Y46" i="8"/>
  <c r="Y55" i="8" s="1"/>
  <c r="Y60" i="8"/>
  <c r="X73" i="8"/>
  <c r="Y87" i="8" l="1"/>
  <c r="Y82" i="8"/>
  <c r="Y91" i="8" s="1"/>
  <c r="Y69" i="8"/>
  <c r="Y64" i="8"/>
  <c r="Y73" i="8" s="1"/>
  <c r="I4" i="15" l="1"/>
  <c r="H12" i="16" l="1"/>
  <c r="H18" i="16" s="1"/>
  <c r="G38" i="16"/>
  <c r="G42" i="16" s="1"/>
  <c r="K8" i="9"/>
  <c r="K9" i="9" s="1"/>
  <c r="K10" i="9" s="1"/>
  <c r="K12" i="9" s="1"/>
  <c r="G26" i="16"/>
  <c r="G30" i="16" s="1"/>
  <c r="F38" i="16"/>
  <c r="F42" i="16" s="1"/>
  <c r="F43" i="16"/>
  <c r="F21" i="15" s="1"/>
  <c r="F23" i="15" s="1"/>
  <c r="F29" i="19" s="1"/>
  <c r="D17" i="11"/>
  <c r="E17" i="11"/>
  <c r="F17" i="11"/>
  <c r="F12" i="16"/>
  <c r="F19" i="16" s="1"/>
  <c r="F5" i="15" s="1"/>
  <c r="F7" i="15" s="1"/>
  <c r="F3" i="19" s="1"/>
  <c r="F18" i="16"/>
  <c r="I8" i="9"/>
  <c r="I9" i="9" s="1"/>
  <c r="I10" i="9" s="1"/>
  <c r="I12" i="9" s="1"/>
  <c r="E38" i="16"/>
  <c r="G12" i="16"/>
  <c r="G19" i="16" s="1"/>
  <c r="G5" i="15" s="1"/>
  <c r="G7" i="15" s="1"/>
  <c r="G3" i="19" s="1"/>
  <c r="H38" i="16"/>
  <c r="H43" i="16" s="1"/>
  <c r="H21" i="15" s="1"/>
  <c r="H23" i="15" s="1"/>
  <c r="H29" i="19" s="1"/>
  <c r="J8" i="9"/>
  <c r="J9" i="9" s="1"/>
  <c r="J10" i="9" s="1"/>
  <c r="J12" i="9" s="1"/>
  <c r="F26" i="16"/>
  <c r="F31" i="16" s="1"/>
  <c r="F13" i="15" s="1"/>
  <c r="F15" i="15" s="1"/>
  <c r="F16" i="19" s="1"/>
  <c r="E26" i="16"/>
  <c r="E30" i="16" s="1"/>
  <c r="H26" i="16"/>
  <c r="H31" i="16" s="1"/>
  <c r="H13" i="15" s="1"/>
  <c r="H15" i="15" s="1"/>
  <c r="H16" i="19" s="1"/>
  <c r="C4" i="18"/>
  <c r="C8" i="18" s="1"/>
  <c r="E12" i="16"/>
  <c r="E19" i="16" s="1"/>
  <c r="E5" i="15" s="1"/>
  <c r="E7" i="15" s="1"/>
  <c r="E3" i="19" s="1"/>
  <c r="C9" i="18" l="1"/>
  <c r="C19" i="18" s="1"/>
  <c r="K18" i="18" s="1"/>
  <c r="H19" i="16"/>
  <c r="H5" i="15" s="1"/>
  <c r="H7" i="15" s="1"/>
  <c r="H3" i="19" s="1"/>
  <c r="I3" i="19" s="1"/>
  <c r="I12" i="16"/>
  <c r="H30" i="16"/>
  <c r="F30" i="16"/>
  <c r="H42" i="16"/>
  <c r="E18" i="16"/>
  <c r="G31" i="16"/>
  <c r="G13" i="15" s="1"/>
  <c r="G15" i="15" s="1"/>
  <c r="G16" i="19" s="1"/>
  <c r="E11" i="11"/>
  <c r="E19" i="11" s="1"/>
  <c r="D11" i="12" s="1"/>
  <c r="D11" i="11"/>
  <c r="D19" i="11" s="1"/>
  <c r="C11" i="12" s="1"/>
  <c r="F11" i="11"/>
  <c r="F19" i="11" s="1"/>
  <c r="E11" i="12" s="1"/>
  <c r="I19" i="16"/>
  <c r="G43" i="16"/>
  <c r="G21" i="15" s="1"/>
  <c r="G23" i="15" s="1"/>
  <c r="G29" i="19" s="1"/>
  <c r="E42" i="16"/>
  <c r="E43" i="16"/>
  <c r="I38" i="16"/>
  <c r="G18" i="16"/>
  <c r="E31" i="16"/>
  <c r="I26" i="16"/>
  <c r="K8" i="18" l="1"/>
  <c r="M8" i="18" s="1"/>
  <c r="J18" i="18"/>
  <c r="I7" i="18"/>
  <c r="I9" i="18" s="1"/>
  <c r="I10" i="18" s="1"/>
  <c r="I11" i="18" s="1"/>
  <c r="J7" i="18" s="1"/>
  <c r="L18" i="18"/>
  <c r="K28" i="18"/>
  <c r="I8" i="18"/>
  <c r="E5" i="19"/>
  <c r="I28" i="18"/>
  <c r="E34" i="19" s="1"/>
  <c r="L8" i="18"/>
  <c r="H8" i="19" s="1"/>
  <c r="J8" i="18"/>
  <c r="I18" i="18"/>
  <c r="F21" i="19" s="1"/>
  <c r="J28" i="18"/>
  <c r="L28" i="18"/>
  <c r="H34" i="19" s="1"/>
  <c r="I30" i="16"/>
  <c r="I42" i="16"/>
  <c r="I5" i="15"/>
  <c r="I7" i="15"/>
  <c r="C13" i="9" s="1"/>
  <c r="C16" i="9" s="1"/>
  <c r="I18" i="16"/>
  <c r="D78" i="12"/>
  <c r="D73" i="12"/>
  <c r="D76" i="12"/>
  <c r="E12" i="12"/>
  <c r="D70" i="12"/>
  <c r="E70" i="12" s="1"/>
  <c r="D79" i="12"/>
  <c r="D72" i="12"/>
  <c r="D75" i="12"/>
  <c r="D77" i="12"/>
  <c r="D74" i="12"/>
  <c r="E19" i="12"/>
  <c r="D71" i="12"/>
  <c r="M7" i="18"/>
  <c r="D58" i="12"/>
  <c r="D53" i="12"/>
  <c r="D60" i="12"/>
  <c r="D55" i="12"/>
  <c r="D12" i="12"/>
  <c r="D57" i="12"/>
  <c r="D56" i="12"/>
  <c r="D19" i="12"/>
  <c r="D52" i="12"/>
  <c r="D51" i="12"/>
  <c r="E51" i="12" s="1"/>
  <c r="D54" i="12"/>
  <c r="D59" i="12"/>
  <c r="I5" i="19"/>
  <c r="E8" i="19"/>
  <c r="G21" i="19"/>
  <c r="M18" i="18"/>
  <c r="D34" i="12"/>
  <c r="D36" i="12"/>
  <c r="D37" i="12"/>
  <c r="D41" i="12"/>
  <c r="D39" i="12"/>
  <c r="D33" i="12"/>
  <c r="E33" i="12" s="1"/>
  <c r="D35" i="12"/>
  <c r="C12" i="12"/>
  <c r="C19" i="12"/>
  <c r="D40" i="12"/>
  <c r="D38" i="12"/>
  <c r="E13" i="15"/>
  <c r="I31" i="16"/>
  <c r="I43" i="16"/>
  <c r="E21" i="15"/>
  <c r="F8" i="19"/>
  <c r="F34" i="19"/>
  <c r="M28" i="18" l="1"/>
  <c r="G34" i="19"/>
  <c r="G8" i="19"/>
  <c r="I8" i="19" s="1"/>
  <c r="H21" i="19"/>
  <c r="E21" i="19"/>
  <c r="I21" i="19" s="1"/>
  <c r="J44" i="16"/>
  <c r="J9" i="18"/>
  <c r="I21" i="15"/>
  <c r="E23" i="15"/>
  <c r="I34" i="19"/>
  <c r="C20" i="12"/>
  <c r="B34" i="12"/>
  <c r="E20" i="12"/>
  <c r="B71" i="12"/>
  <c r="D20" i="12"/>
  <c r="B52" i="12"/>
  <c r="I13" i="15"/>
  <c r="E15" i="15"/>
  <c r="E9" i="19"/>
  <c r="B72" i="12" l="1"/>
  <c r="F71" i="12"/>
  <c r="G71" i="12"/>
  <c r="C71" i="12"/>
  <c r="E71" i="12" s="1"/>
  <c r="E29" i="19"/>
  <c r="I23" i="15"/>
  <c r="E11" i="19"/>
  <c r="I15" i="15"/>
  <c r="D13" i="9" s="1"/>
  <c r="D16" i="9" s="1"/>
  <c r="E16" i="19"/>
  <c r="C52" i="12"/>
  <c r="E52" i="12" s="1"/>
  <c r="G52" i="12"/>
  <c r="F52" i="12"/>
  <c r="B53" i="12"/>
  <c r="C34" i="12"/>
  <c r="E34" i="12" s="1"/>
  <c r="F34" i="12"/>
  <c r="B35" i="12"/>
  <c r="G34" i="12"/>
  <c r="F9" i="19"/>
  <c r="J10" i="18"/>
  <c r="D17" i="9" l="1"/>
  <c r="E13" i="9"/>
  <c r="E16" i="9" s="1"/>
  <c r="E12" i="19"/>
  <c r="F35" i="12"/>
  <c r="C35" i="12"/>
  <c r="E35" i="12" s="1"/>
  <c r="B36" i="12"/>
  <c r="G35" i="12"/>
  <c r="I16" i="19"/>
  <c r="F53" i="12"/>
  <c r="B54" i="12"/>
  <c r="C53" i="12"/>
  <c r="E53" i="12" s="1"/>
  <c r="G53" i="12"/>
  <c r="J11" i="18"/>
  <c r="K7" i="18" s="1"/>
  <c r="I29" i="19"/>
  <c r="C72" i="12"/>
  <c r="E72" i="12" s="1"/>
  <c r="B73" i="12"/>
  <c r="G72" i="12"/>
  <c r="F72" i="12"/>
  <c r="E17" i="9" l="1"/>
  <c r="K9" i="18"/>
  <c r="F36" i="12"/>
  <c r="B37" i="12"/>
  <c r="C36" i="12"/>
  <c r="E36" i="12" s="1"/>
  <c r="G36" i="12"/>
  <c r="B74" i="12"/>
  <c r="F73" i="12"/>
  <c r="C73" i="12"/>
  <c r="E73" i="12" s="1"/>
  <c r="G73" i="12"/>
  <c r="F54" i="12"/>
  <c r="G54" i="12"/>
  <c r="C54" i="12"/>
  <c r="E54" i="12" s="1"/>
  <c r="B55" i="12"/>
  <c r="F10" i="19"/>
  <c r="F6" i="19"/>
  <c r="B56" i="12" l="1"/>
  <c r="G55" i="12"/>
  <c r="C55" i="12"/>
  <c r="E55" i="12" s="1"/>
  <c r="F55" i="12"/>
  <c r="F11" i="19"/>
  <c r="G9" i="19"/>
  <c r="K10" i="18"/>
  <c r="F74" i="12"/>
  <c r="B75" i="12"/>
  <c r="G74" i="12"/>
  <c r="C74" i="12"/>
  <c r="E74" i="12" s="1"/>
  <c r="C37" i="12"/>
  <c r="E37" i="12" s="1"/>
  <c r="B38" i="12"/>
  <c r="G37" i="12"/>
  <c r="F37" i="12"/>
  <c r="F38" i="12" l="1"/>
  <c r="G38" i="12"/>
  <c r="C38" i="12"/>
  <c r="E38" i="12" s="1"/>
  <c r="B39" i="12"/>
  <c r="K11" i="18"/>
  <c r="L7" i="18" s="1"/>
  <c r="F12" i="19"/>
  <c r="G75" i="12"/>
  <c r="C75" i="12"/>
  <c r="E75" i="12" s="1"/>
  <c r="B76" i="12"/>
  <c r="F75" i="12"/>
  <c r="C56" i="12"/>
  <c r="E56" i="12" s="1"/>
  <c r="B57" i="12"/>
  <c r="G56" i="12"/>
  <c r="F56" i="12"/>
  <c r="L9" i="18" l="1"/>
  <c r="G6" i="19"/>
  <c r="G10" i="19"/>
  <c r="C57" i="12"/>
  <c r="E57" i="12" s="1"/>
  <c r="F57" i="12"/>
  <c r="B58" i="12"/>
  <c r="G57" i="12"/>
  <c r="G76" i="12"/>
  <c r="B77" i="12"/>
  <c r="F76" i="12"/>
  <c r="C76" i="12"/>
  <c r="E76" i="12" s="1"/>
  <c r="G39" i="12"/>
  <c r="C39" i="12"/>
  <c r="E39" i="12" s="1"/>
  <c r="F39" i="12"/>
  <c r="B40" i="12"/>
  <c r="G11" i="19" l="1"/>
  <c r="C58" i="12"/>
  <c r="E58" i="12" s="1"/>
  <c r="B59" i="12"/>
  <c r="G58" i="12"/>
  <c r="F58" i="12"/>
  <c r="C77" i="12"/>
  <c r="E77" i="12" s="1"/>
  <c r="B78" i="12"/>
  <c r="F77" i="12"/>
  <c r="G77" i="12"/>
  <c r="B41" i="12"/>
  <c r="C40" i="12"/>
  <c r="E40" i="12" s="1"/>
  <c r="F40" i="12"/>
  <c r="G40" i="12"/>
  <c r="H9" i="19"/>
  <c r="I9" i="19" s="1"/>
  <c r="L10" i="18"/>
  <c r="M9" i="18"/>
  <c r="C41" i="12" l="1"/>
  <c r="E41" i="12" s="1"/>
  <c r="F41" i="12"/>
  <c r="G41" i="12"/>
  <c r="B60" i="12"/>
  <c r="C59" i="12"/>
  <c r="E59" i="12" s="1"/>
  <c r="F59" i="12"/>
  <c r="G59" i="12"/>
  <c r="M10" i="18"/>
  <c r="L11" i="18"/>
  <c r="M11" i="18" s="1"/>
  <c r="G78" i="12"/>
  <c r="C78" i="12"/>
  <c r="E78" i="12" s="1"/>
  <c r="B79" i="12"/>
  <c r="F78" i="12"/>
  <c r="G12" i="19"/>
  <c r="I17" i="18" l="1"/>
  <c r="I19" i="18" s="1"/>
  <c r="C28" i="9"/>
  <c r="C29" i="9" s="1"/>
  <c r="C37" i="9" s="1"/>
  <c r="F60" i="12"/>
  <c r="C60" i="12"/>
  <c r="E60" i="12" s="1"/>
  <c r="G60" i="12"/>
  <c r="F79" i="12"/>
  <c r="C79" i="12"/>
  <c r="E79" i="12" s="1"/>
  <c r="G79" i="12"/>
  <c r="H10" i="19"/>
  <c r="I10" i="19" s="1"/>
  <c r="H6" i="19"/>
  <c r="M17" i="18" l="1"/>
  <c r="H11" i="19"/>
  <c r="I6" i="19"/>
  <c r="I7" i="19"/>
  <c r="I14" i="9"/>
  <c r="H22" i="19"/>
  <c r="E22" i="19"/>
  <c r="G22" i="19"/>
  <c r="F22" i="19"/>
  <c r="I20" i="18"/>
  <c r="I22" i="19" l="1"/>
  <c r="I13" i="9"/>
  <c r="I15" i="9" s="1"/>
  <c r="I16" i="9" s="1"/>
  <c r="I17" i="9" s="1"/>
  <c r="I4" i="19"/>
  <c r="I21" i="18"/>
  <c r="J17" i="18" s="1"/>
  <c r="I11" i="19"/>
  <c r="H12" i="19"/>
  <c r="I18" i="9" l="1"/>
  <c r="I12" i="19"/>
  <c r="E19" i="19"/>
  <c r="E23" i="19"/>
  <c r="J19" i="18"/>
  <c r="C23" i="9" l="1"/>
  <c r="C24" i="9" s="1"/>
  <c r="G7" i="23"/>
  <c r="G8" i="23"/>
  <c r="D22" i="9"/>
  <c r="J20" i="18"/>
  <c r="E24" i="19"/>
  <c r="G9" i="23" l="1"/>
  <c r="G10" i="23"/>
  <c r="C39" i="9"/>
  <c r="J21" i="18"/>
  <c r="K17" i="18" s="1"/>
  <c r="E25" i="19"/>
  <c r="F19" i="19" l="1"/>
  <c r="F23" i="19"/>
  <c r="K19" i="18"/>
  <c r="K20" i="18" l="1"/>
  <c r="F24" i="19"/>
  <c r="K21" i="18" l="1"/>
  <c r="L17" i="18" s="1"/>
  <c r="F25" i="19"/>
  <c r="L19" i="18" l="1"/>
  <c r="G19" i="19"/>
  <c r="G23" i="19"/>
  <c r="G24" i="19" l="1"/>
  <c r="L20" i="18"/>
  <c r="M19" i="18"/>
  <c r="M20" i="18" l="1"/>
  <c r="L21" i="18"/>
  <c r="M21" i="18" s="1"/>
  <c r="G25" i="19"/>
  <c r="I27" i="18" l="1"/>
  <c r="I29" i="18" s="1"/>
  <c r="D28" i="9"/>
  <c r="D29" i="9" s="1"/>
  <c r="D37" i="9" s="1"/>
  <c r="H23" i="19"/>
  <c r="I23" i="19" s="1"/>
  <c r="H19" i="19"/>
  <c r="M27" i="18" l="1"/>
  <c r="H24" i="19"/>
  <c r="I19" i="19"/>
  <c r="I20" i="19"/>
  <c r="J14" i="9"/>
  <c r="E35" i="19"/>
  <c r="I30" i="18"/>
  <c r="J13" i="9" l="1"/>
  <c r="J15" i="9" s="1"/>
  <c r="J16" i="9" s="1"/>
  <c r="J17" i="9" s="1"/>
  <c r="I17" i="19"/>
  <c r="I31" i="18"/>
  <c r="J27" i="18" s="1"/>
  <c r="I24" i="19"/>
  <c r="H25" i="19"/>
  <c r="J18" i="9" l="1"/>
  <c r="J29" i="18"/>
  <c r="E36" i="19"/>
  <c r="I25" i="19"/>
  <c r="E32" i="19"/>
  <c r="D23" i="9" l="1"/>
  <c r="E22" i="9" s="1"/>
  <c r="H8" i="23"/>
  <c r="H7" i="23"/>
  <c r="D24" i="9"/>
  <c r="H9" i="23" s="1"/>
  <c r="E37" i="19"/>
  <c r="F35" i="19"/>
  <c r="J30" i="18"/>
  <c r="D39" i="9" l="1"/>
  <c r="H10" i="23"/>
  <c r="E38" i="19"/>
  <c r="J31" i="18"/>
  <c r="K27" i="18" s="1"/>
  <c r="D40" i="9" l="1"/>
  <c r="D35" i="9" s="1"/>
  <c r="K29" i="18"/>
  <c r="F32" i="19"/>
  <c r="F36" i="19"/>
  <c r="D15" i="9" l="1"/>
  <c r="D41" i="9" s="1"/>
  <c r="G35" i="19"/>
  <c r="K30" i="18"/>
  <c r="F37" i="19"/>
  <c r="F38" i="19" l="1"/>
  <c r="K31" i="18"/>
  <c r="L27" i="18" s="1"/>
  <c r="L29" i="18" l="1"/>
  <c r="G32" i="19"/>
  <c r="G36" i="19"/>
  <c r="G37" i="19" l="1"/>
  <c r="H35" i="19"/>
  <c r="I35" i="19" s="1"/>
  <c r="L30" i="18"/>
  <c r="M29" i="18"/>
  <c r="G38" i="19" l="1"/>
  <c r="M30" i="18"/>
  <c r="L31" i="18"/>
  <c r="M31" i="18" s="1"/>
  <c r="E28" i="9" s="1"/>
  <c r="E29" i="9" s="1"/>
  <c r="E37" i="9" s="1"/>
  <c r="H32" i="19" l="1"/>
  <c r="H36" i="19"/>
  <c r="I36" i="19" s="1"/>
  <c r="K14" i="9" l="1"/>
  <c r="I33" i="19"/>
  <c r="H37" i="19"/>
  <c r="I32" i="19"/>
  <c r="I30" i="19" l="1"/>
  <c r="K13" i="9"/>
  <c r="K15" i="9" s="1"/>
  <c r="K16" i="9" s="1"/>
  <c r="K17" i="9" s="1"/>
  <c r="I37" i="19"/>
  <c r="H38" i="19"/>
  <c r="I38" i="19" s="1"/>
  <c r="K18" i="9" l="1"/>
  <c r="E23" i="9" l="1"/>
  <c r="E24" i="9" s="1"/>
  <c r="E39" i="9" s="1"/>
  <c r="E40" i="9" s="1"/>
  <c r="I8" i="23"/>
  <c r="I7" i="23"/>
  <c r="I9" i="23" l="1"/>
  <c r="I10" i="23"/>
  <c r="E15" i="9"/>
  <c r="E35" i="9" l="1"/>
  <c r="E41" i="9" s="1"/>
  <c r="C17" i="9" l="1"/>
  <c r="C40" i="9" l="1"/>
  <c r="C35" i="9" s="1"/>
  <c r="C15" i="9" l="1"/>
  <c r="C41" i="9" s="1"/>
</calcChain>
</file>

<file path=xl/sharedStrings.xml><?xml version="1.0" encoding="utf-8"?>
<sst xmlns="http://schemas.openxmlformats.org/spreadsheetml/2006/main" count="1340" uniqueCount="441">
  <si>
    <t>Preferências - Sabores</t>
  </si>
  <si>
    <t>Menta</t>
  </si>
  <si>
    <t>Morango</t>
  </si>
  <si>
    <t>Café</t>
  </si>
  <si>
    <t>%</t>
  </si>
  <si>
    <t xml:space="preserve">Qt. </t>
  </si>
  <si>
    <t>1º Trimestre</t>
  </si>
  <si>
    <t>2º Trimestre</t>
  </si>
  <si>
    <t>3º Trimestre</t>
  </si>
  <si>
    <t>4º Trimestre</t>
  </si>
  <si>
    <t>Total</t>
  </si>
  <si>
    <t>Motivo</t>
  </si>
  <si>
    <t>Nº</t>
  </si>
  <si>
    <t xml:space="preserve">60% com motivos favoráveis </t>
  </si>
  <si>
    <t>80% dos portugueses ingerem cafeína diariamente</t>
  </si>
  <si>
    <t>77 mil alunos universitários em Lisboa</t>
  </si>
  <si>
    <t>Quantidade de alunos interessados</t>
  </si>
  <si>
    <t>65% potencialmente interessados (survey)</t>
  </si>
  <si>
    <t>Distribuição das vendas anuais por trimestre</t>
  </si>
  <si>
    <t>Quantidade Procurada - Sabor</t>
  </si>
  <si>
    <t>Ano 1</t>
  </si>
  <si>
    <t>Ano 2</t>
  </si>
  <si>
    <t>Ano 3</t>
  </si>
  <si>
    <t xml:space="preserve">Ano 3 </t>
  </si>
  <si>
    <t>1 rebuçado</t>
  </si>
  <si>
    <t>10 rebuçados</t>
  </si>
  <si>
    <t>Cafeína</t>
  </si>
  <si>
    <t>Vitaminas</t>
  </si>
  <si>
    <t>Cloreto de Magnésio 6H2O</t>
  </si>
  <si>
    <t>Gluconato de Ferro (II)</t>
  </si>
  <si>
    <t>Base caramelo/rebuçado</t>
  </si>
  <si>
    <t>Vitamina B2 (Riboflavina)</t>
  </si>
  <si>
    <t>Vitamina B3 (Niacina)</t>
  </si>
  <si>
    <t>Vitamina B5 (Ácido Pantoténico)</t>
  </si>
  <si>
    <t>Vitamina B6 (Piridoxina)</t>
  </si>
  <si>
    <t>Vitamina B12 (Cianocobolamina)</t>
  </si>
  <si>
    <t>Plástico (revestimento)</t>
  </si>
  <si>
    <t>Por trabalhador</t>
  </si>
  <si>
    <t>Remuneração bruta por hora</t>
  </si>
  <si>
    <t>Horas de trabalho</t>
  </si>
  <si>
    <t>Salário Bruto</t>
  </si>
  <si>
    <t>Total Empresa</t>
  </si>
  <si>
    <t>Número trabalhadores</t>
  </si>
  <si>
    <t>Semanais</t>
  </si>
  <si>
    <t>Trimestrais</t>
  </si>
  <si>
    <t>Semanal</t>
  </si>
  <si>
    <t>Trimestral</t>
  </si>
  <si>
    <t>Trabalhador produção full-time</t>
  </si>
  <si>
    <t>Trabalhador produção part-time</t>
  </si>
  <si>
    <t>Trabalhador manutenção</t>
  </si>
  <si>
    <t>Trabalhador marketing</t>
  </si>
  <si>
    <t>Trabalhador controlo de qualidade</t>
  </si>
  <si>
    <t>Trabalhador contabilidade</t>
  </si>
  <si>
    <t>Trabalhador vendas</t>
  </si>
  <si>
    <t>Contribuição Segurança Social Empresa</t>
  </si>
  <si>
    <t>Contribuição Segurança Social Trabalhador</t>
  </si>
  <si>
    <t>Ordenado</t>
  </si>
  <si>
    <t>Taxas Trabalhador (%)</t>
  </si>
  <si>
    <t>Descontos Trabalhador (valor)</t>
  </si>
  <si>
    <t>Valor Bruto</t>
  </si>
  <si>
    <t>SS</t>
  </si>
  <si>
    <t>IRS</t>
  </si>
  <si>
    <t>EOEP</t>
  </si>
  <si>
    <t>Taxa empresa</t>
  </si>
  <si>
    <t>Descontos Empresa</t>
  </si>
  <si>
    <t>Subsídio de alimentação</t>
  </si>
  <si>
    <t>Valor</t>
  </si>
  <si>
    <t>Subídio de alimentação (euros/dia)</t>
  </si>
  <si>
    <t>Ordenado Líquido</t>
  </si>
  <si>
    <t>Sabor</t>
  </si>
  <si>
    <t>Rotina</t>
  </si>
  <si>
    <t>Melhor performance física</t>
  </si>
  <si>
    <t>Produtividade melhorada</t>
  </si>
  <si>
    <t>Outros</t>
  </si>
  <si>
    <t>Nº semanas por trimestre</t>
  </si>
  <si>
    <t>Nº médio caixas vendidas por consumidor</t>
  </si>
  <si>
    <t>Variação da Procura face ao ano 1</t>
  </si>
  <si>
    <t>Cartão Caixa</t>
  </si>
  <si>
    <t>Compra de linha de produção 1</t>
  </si>
  <si>
    <t>Compra de linha de produção 2</t>
  </si>
  <si>
    <t>Compra de forno</t>
  </si>
  <si>
    <t>Forno</t>
  </si>
  <si>
    <t>Armazém</t>
  </si>
  <si>
    <t>Compra de máquina de revestimento</t>
  </si>
  <si>
    <t>Compra de 3 máquinas de aromas</t>
  </si>
  <si>
    <t>Compra de máquina de acabamentos</t>
  </si>
  <si>
    <t>Ativos Fixos Tangíveis</t>
  </si>
  <si>
    <t>IVA</t>
  </si>
  <si>
    <t>Tipo pagamento</t>
  </si>
  <si>
    <t>Processo de Produção</t>
  </si>
  <si>
    <t>Horas disponíveis:</t>
  </si>
  <si>
    <t>10 horas por dia, 5 dias por semana</t>
  </si>
  <si>
    <t>caixas</t>
  </si>
  <si>
    <t>barras</t>
  </si>
  <si>
    <t>Quantidade Produzida:</t>
  </si>
  <si>
    <t>Forno 1h</t>
  </si>
  <si>
    <t>Máquina de revestimento (aplicar base de caramelo) 0.2h</t>
  </si>
  <si>
    <t>Linha de acabamentos 0.25h</t>
  </si>
  <si>
    <t xml:space="preserve">Capacidade produtiva de cada processo: </t>
  </si>
  <si>
    <t>Total duração do processo:</t>
  </si>
  <si>
    <t>Stock Inicial</t>
  </si>
  <si>
    <t>Produção</t>
  </si>
  <si>
    <t>Vendas</t>
  </si>
  <si>
    <t>Stock Final</t>
  </si>
  <si>
    <t>Por cada trimestre</t>
  </si>
  <si>
    <t>Barras</t>
  </si>
  <si>
    <t>Caixas</t>
  </si>
  <si>
    <t>1º</t>
  </si>
  <si>
    <t>2º</t>
  </si>
  <si>
    <t>3º</t>
  </si>
  <si>
    <t>4º</t>
  </si>
  <si>
    <t>Nota: 2 semanas de férias - Sem produção no 3º Trimestre</t>
  </si>
  <si>
    <t>Quantidade Procurada Estimada Anual (caixas)</t>
  </si>
  <si>
    <t>Quantidades: caixas</t>
  </si>
  <si>
    <t>Nota: 4º Trimestre - produção 60% capacidade máxima</t>
  </si>
  <si>
    <t>Subsidios (férias + natal)</t>
  </si>
  <si>
    <t>Total Anual</t>
  </si>
  <si>
    <t>Ordenado - Ano X (idêntico nos 3 anos)</t>
  </si>
  <si>
    <t>SS+IRS Trabalhadores</t>
  </si>
  <si>
    <t>SS Empresa</t>
  </si>
  <si>
    <t>Total EOEP</t>
  </si>
  <si>
    <t>Total Ordenado Líquido</t>
  </si>
  <si>
    <t>Gastos c/ pessoal</t>
  </si>
  <si>
    <t>Mensal</t>
  </si>
  <si>
    <t>Custo</t>
  </si>
  <si>
    <t>a pronto</t>
  </si>
  <si>
    <t>a prazo</t>
  </si>
  <si>
    <t>Depreciações</t>
  </si>
  <si>
    <t>Linha de produção 1</t>
  </si>
  <si>
    <t>Linha de produção 2</t>
  </si>
  <si>
    <t>Máquina de revestimento</t>
  </si>
  <si>
    <t>Máquinas de aromas</t>
  </si>
  <si>
    <t>Máquina de acabamentos</t>
  </si>
  <si>
    <t>Total s/ IVA</t>
  </si>
  <si>
    <t>Total c/ IVA</t>
  </si>
  <si>
    <r>
      <rPr>
        <b/>
        <sz val="11"/>
        <color theme="1"/>
        <rFont val="Calibri"/>
        <family val="2"/>
        <scheme val="minor"/>
      </rPr>
      <t>Taxas de depreciação</t>
    </r>
    <r>
      <rPr>
        <sz val="11"/>
        <color theme="1"/>
        <rFont val="Calibri"/>
        <family val="2"/>
        <scheme val="minor"/>
      </rPr>
      <t xml:space="preserve"> www.pwc.pt/pt/pwcinforfisco/codigos/rda/dr-25-2009.html#tabela2	</t>
    </r>
  </si>
  <si>
    <t>AFT líquido</t>
  </si>
  <si>
    <t>Custos estimados para os primeiros 3 anos</t>
  </si>
  <si>
    <t>Anual</t>
  </si>
  <si>
    <t>Eletricidade</t>
  </si>
  <si>
    <t>Água</t>
  </si>
  <si>
    <t>Ferramentas (manutenção)</t>
  </si>
  <si>
    <t>Material escritório</t>
  </si>
  <si>
    <t>Renda (fábrica)</t>
  </si>
  <si>
    <t>Seguro acidentes trabalho</t>
  </si>
  <si>
    <t>Marketing e publicidade</t>
  </si>
  <si>
    <t>Seguro multi-riscos linhas de produção</t>
  </si>
  <si>
    <t>Software de gestão de stocks</t>
  </si>
  <si>
    <t>Corrente</t>
  </si>
  <si>
    <t>Relacionada com produção</t>
  </si>
  <si>
    <t>Estimativas (valores mensais)</t>
  </si>
  <si>
    <t>Investimento anual 500€</t>
  </si>
  <si>
    <t>Investimento anual 150€</t>
  </si>
  <si>
    <t>Trabalhadores produção full-time</t>
  </si>
  <si>
    <t>Trabalhadores produção part-time</t>
  </si>
  <si>
    <t>Trabalhadores manutenção</t>
  </si>
  <si>
    <t>Trabalhadores marketing</t>
  </si>
  <si>
    <t>Trabalhadores controlo de qualidade</t>
  </si>
  <si>
    <t>Trabalhadores contabilidade</t>
  </si>
  <si>
    <t>Trabalhadores vendas</t>
  </si>
  <si>
    <t>Total Gastos c/ pessoal</t>
  </si>
  <si>
    <t>Contabilidade</t>
  </si>
  <si>
    <t>Subcontratação empresa transportes</t>
  </si>
  <si>
    <t>Stocks</t>
  </si>
  <si>
    <t>Seguros armazém</t>
  </si>
  <si>
    <t>Instalações (multi-riscos)</t>
  </si>
  <si>
    <t>Prémio anual fixo - 2% massa salarial - pago mensalmente</t>
  </si>
  <si>
    <t>Prémio anual fixo - 0,5% valor armazém - pago mensalmente</t>
  </si>
  <si>
    <t>Prémio anual fixo - 0,5% valor stocks - pago mensalmente</t>
  </si>
  <si>
    <t>Prémio anual fixo - 0,5% valor linhas de produção - pago mensalmente</t>
  </si>
  <si>
    <t>Valores AFT - Ano 1</t>
  </si>
  <si>
    <t>Valores AFT - Ano 2</t>
  </si>
  <si>
    <t>Valores AFT - Ano 3</t>
  </si>
  <si>
    <t>Stock Médio</t>
  </si>
  <si>
    <t>Custo de 5000€ pago na totalidade</t>
  </si>
  <si>
    <t>Marketing e Publicidade (1º, 2º e 4º trimestre)</t>
  </si>
  <si>
    <r>
      <t xml:space="preserve">Campanhas </t>
    </r>
    <r>
      <rPr>
        <b/>
        <sz val="11"/>
        <color theme="1"/>
        <rFont val="Calibri"/>
        <family val="2"/>
        <scheme val="minor"/>
      </rPr>
      <t>trimestrais</t>
    </r>
    <r>
      <rPr>
        <sz val="11"/>
        <color theme="1"/>
        <rFont val="Calibri"/>
        <family val="2"/>
        <scheme val="minor"/>
      </rPr>
      <t xml:space="preserve"> televisão</t>
    </r>
  </si>
  <si>
    <t>Anúncio 20 segundos na RTP, 4 semanas no ar</t>
  </si>
  <si>
    <t xml:space="preserve">https://www.zaask.pt/quanto-custa/design-outdoors </t>
  </si>
  <si>
    <t xml:space="preserve">https://www.zaask.pt/quanto-custa/anuncio-televisao </t>
  </si>
  <si>
    <r>
      <t xml:space="preserve">Publicidade em outdoors (valor </t>
    </r>
    <r>
      <rPr>
        <b/>
        <sz val="11"/>
        <color theme="1"/>
        <rFont val="Calibri"/>
        <family val="2"/>
        <scheme val="minor"/>
      </rPr>
      <t>trimestral</t>
    </r>
    <r>
      <rPr>
        <sz val="11"/>
        <color theme="1"/>
        <rFont val="Calibri"/>
        <family val="2"/>
        <scheme val="minor"/>
      </rPr>
      <t>)</t>
    </r>
  </si>
  <si>
    <t>custo médio - 0,05€ / caixa</t>
  </si>
  <si>
    <t>Fornecimentos e serviços externos - Ano 2</t>
  </si>
  <si>
    <t>Fornecimentos e serviços externos - Ano 3</t>
  </si>
  <si>
    <t>Pagamentos AFT - Ano 1</t>
  </si>
  <si>
    <t>Pagamentos AFT - Ano 2</t>
  </si>
  <si>
    <t>Pagamentos AFT - Ano 3</t>
  </si>
  <si>
    <t>Valor s/IVA</t>
  </si>
  <si>
    <t>Componentes do Inventário:</t>
  </si>
  <si>
    <t>horas</t>
  </si>
  <si>
    <t>Aromas</t>
  </si>
  <si>
    <t>Materiais Diretos:</t>
  </si>
  <si>
    <t>IVA (%)</t>
  </si>
  <si>
    <t>Custo s/IVA (€)</t>
  </si>
  <si>
    <t>Custo (€) - Caixa</t>
  </si>
  <si>
    <t>Valor Materiais Diretos</t>
  </si>
  <si>
    <t>Custo total</t>
  </si>
  <si>
    <t>Materiais Diretos - MP - Caixa:</t>
  </si>
  <si>
    <t>Total a pagar</t>
  </si>
  <si>
    <t>IVA dedutível</t>
  </si>
  <si>
    <t>Cartão caixa</t>
  </si>
  <si>
    <t>Pagamento a Fornecedores</t>
  </si>
  <si>
    <t>Fornecedores - Passivo</t>
  </si>
  <si>
    <t>Check</t>
  </si>
  <si>
    <t>Compras a Fornecedores - PMP</t>
  </si>
  <si>
    <t>90 dias</t>
  </si>
  <si>
    <t>Custo total final - Compras</t>
  </si>
  <si>
    <t>check</t>
  </si>
  <si>
    <t>2 Linhas de produção (massa concentrada +   corte em rebuçado) 0.35h</t>
  </si>
  <si>
    <t>3 Máquinas de aromas   0.2h</t>
  </si>
  <si>
    <t>INVENTÁRIO</t>
  </si>
  <si>
    <t>Quantidade: caixas</t>
  </si>
  <si>
    <t>Procura</t>
  </si>
  <si>
    <t>Quantidade Total - Caixas</t>
  </si>
  <si>
    <t>Ano 2 - Caixas</t>
  </si>
  <si>
    <t>Ano 3 - Caixas</t>
  </si>
  <si>
    <t>Perdas de Inventário (+-1,5%)</t>
  </si>
  <si>
    <t>ATIVO</t>
  </si>
  <si>
    <t>Ativo Não Corrente</t>
  </si>
  <si>
    <t>Outras contas a receber</t>
  </si>
  <si>
    <t>Total do Ativo Não Corrente</t>
  </si>
  <si>
    <t>Ativo Corrente</t>
  </si>
  <si>
    <t>Inventários</t>
  </si>
  <si>
    <t>Aplicações financeiras</t>
  </si>
  <si>
    <t>Caixa e depósitos bancários</t>
  </si>
  <si>
    <t>Total do Ativo Corrente</t>
  </si>
  <si>
    <t>TOTAL ATIVO</t>
  </si>
  <si>
    <t>CAPITAL PRÓPRIO</t>
  </si>
  <si>
    <t>Capital social</t>
  </si>
  <si>
    <t>Resultados transitados</t>
  </si>
  <si>
    <t>Resultado líquido do período</t>
  </si>
  <si>
    <t>TOTAL CAPITAL PRÓPRIO</t>
  </si>
  <si>
    <t>PASSIVO</t>
  </si>
  <si>
    <t>Passivo Não Corrente</t>
  </si>
  <si>
    <t>Financiamento obtidos</t>
  </si>
  <si>
    <t>Total do Passivo Não Corrente</t>
  </si>
  <si>
    <t>Passivo Corrente</t>
  </si>
  <si>
    <t>Fornecedores</t>
  </si>
  <si>
    <t>Acréscimo de Gastos c/ Pessoal</t>
  </si>
  <si>
    <t>Total do Passivo Corrente</t>
  </si>
  <si>
    <t>TOTAL PASSIVO</t>
  </si>
  <si>
    <t>TOTAL PASSIVO + CAPITAL PRÓPRIO</t>
  </si>
  <si>
    <t>Total Rendimentos Operacionais</t>
  </si>
  <si>
    <t>CMVMC</t>
  </si>
  <si>
    <t>FSE</t>
  </si>
  <si>
    <t>Gastos c/ Pessoal</t>
  </si>
  <si>
    <t>Total Gastos Operacionais</t>
  </si>
  <si>
    <t xml:space="preserve">EBITDA </t>
  </si>
  <si>
    <t>EBIT  (Resultado Operacional)</t>
  </si>
  <si>
    <t>Rendimentos Financeiros</t>
  </si>
  <si>
    <t>Gastos Financeiros</t>
  </si>
  <si>
    <t>Resultado Financeiro</t>
  </si>
  <si>
    <t>RESULTADO ANTES DE IMPOSTOS</t>
  </si>
  <si>
    <t>RESULTADO LÍQUIDO DO PERÍODO</t>
  </si>
  <si>
    <t xml:space="preserve">BALANÇO </t>
  </si>
  <si>
    <t>Imposto sobre o rendimento do período (IRC)</t>
  </si>
  <si>
    <t>1º  Trimestre</t>
  </si>
  <si>
    <t>2º  Trimestre</t>
  </si>
  <si>
    <t>3º  Trimestre</t>
  </si>
  <si>
    <t>4º  Trimestre</t>
  </si>
  <si>
    <t>Vendas Totais</t>
  </si>
  <si>
    <t>Vendas - Menta (50%)</t>
  </si>
  <si>
    <t>Vendas - Morango (30%)</t>
  </si>
  <si>
    <t>Vendas - Café (20%)</t>
  </si>
  <si>
    <t>Consumo de Materias Diretos nas:</t>
  </si>
  <si>
    <t>Total CMVMC</t>
  </si>
  <si>
    <t>Seguros Armazéns - Stocks</t>
  </si>
  <si>
    <t>Electricidade relacionada com a produção</t>
  </si>
  <si>
    <t>FSEs variáveis:</t>
  </si>
  <si>
    <t xml:space="preserve"> </t>
  </si>
  <si>
    <t>Custos variáveis</t>
  </si>
  <si>
    <t>Total CF</t>
  </si>
  <si>
    <t>Gastos c/Pessoal</t>
  </si>
  <si>
    <t>Seguros Armazém Instalações</t>
  </si>
  <si>
    <t>Material Escritório</t>
  </si>
  <si>
    <t>Ferramentas (Manutenção)</t>
  </si>
  <si>
    <t>Electricidade Corrente</t>
  </si>
  <si>
    <t>Renda (Fábrica)</t>
  </si>
  <si>
    <t>FSEs Fixos:</t>
  </si>
  <si>
    <t>Custos Fixos</t>
  </si>
  <si>
    <t>Depreçiações</t>
  </si>
  <si>
    <t>Preço venda c/IVA</t>
  </si>
  <si>
    <t>Preço venda s/IVA</t>
  </si>
  <si>
    <t>Custos fixos</t>
  </si>
  <si>
    <t>MC bruta %</t>
  </si>
  <si>
    <t>MC bruta €</t>
  </si>
  <si>
    <t>Custos variáveis unitários</t>
  </si>
  <si>
    <t>Preço Venda unitário</t>
  </si>
  <si>
    <t>Q vendida</t>
  </si>
  <si>
    <t>MC unitária</t>
  </si>
  <si>
    <t>BEP (Q)</t>
  </si>
  <si>
    <t>BEP (€)</t>
  </si>
  <si>
    <t>Recebimentos</t>
  </si>
  <si>
    <t>PMR</t>
  </si>
  <si>
    <t>Preço Venda c/IVA por un</t>
  </si>
  <si>
    <t>Preço Venda s/IVA por un</t>
  </si>
  <si>
    <t>1ºT</t>
  </si>
  <si>
    <t>3ºT</t>
  </si>
  <si>
    <t>4ºT</t>
  </si>
  <si>
    <t>Total a receber</t>
  </si>
  <si>
    <t>Clientes</t>
  </si>
  <si>
    <t>Saldo Inicial Caixa</t>
  </si>
  <si>
    <t>Pagamentos</t>
  </si>
  <si>
    <t>Saldo Final de Caixa</t>
  </si>
  <si>
    <t>Saldo Tesouraria</t>
  </si>
  <si>
    <t>Saldo final de caixa do ano = 1000€</t>
  </si>
  <si>
    <t>Saldo de caixa constante durante o ano = 0€</t>
  </si>
  <si>
    <t xml:space="preserve">DEMONSTRAÇÃO DE RESULTADOS </t>
  </si>
  <si>
    <t>Ponto de Equilíbrio</t>
  </si>
  <si>
    <t>BEP - Gráficos e Valores</t>
  </si>
  <si>
    <t>Quantidade</t>
  </si>
  <si>
    <t>Total Custos</t>
  </si>
  <si>
    <t>MC Total</t>
  </si>
  <si>
    <t>Break Even Point</t>
  </si>
  <si>
    <t>Devido a economias de escala a produção fica mais barata por unidade</t>
  </si>
  <si>
    <t>30 dias</t>
  </si>
  <si>
    <t>1-PMR</t>
  </si>
  <si>
    <t>PMP</t>
  </si>
  <si>
    <t>1-PMP</t>
  </si>
  <si>
    <t>Fornecedores MD (c/IVA)</t>
  </si>
  <si>
    <t>AFT c/IVA</t>
  </si>
  <si>
    <t>FSEs c/IVA</t>
  </si>
  <si>
    <t>Total a Pagar</t>
  </si>
  <si>
    <t>Pagamentos em Divida</t>
  </si>
  <si>
    <t>2ºT</t>
  </si>
  <si>
    <t>Saldo final de caixa de 10 000€ para compensar valor dos pagamentos</t>
  </si>
  <si>
    <t xml:space="preserve">perdas c/inventario </t>
  </si>
  <si>
    <t>perdas por imparidade - dr</t>
  </si>
  <si>
    <t>Questionário</t>
  </si>
  <si>
    <t>IVA Vendas</t>
  </si>
  <si>
    <t>IVA CMVMC</t>
  </si>
  <si>
    <t>IVA FSE</t>
  </si>
  <si>
    <t>IVA AFT</t>
  </si>
  <si>
    <t>(%)</t>
  </si>
  <si>
    <t>IVA Liquidado</t>
  </si>
  <si>
    <t>IVA Compras</t>
  </si>
  <si>
    <t>IVA Dedutível</t>
  </si>
  <si>
    <t>IVA Final</t>
  </si>
  <si>
    <t>Pagamento IVA</t>
  </si>
  <si>
    <t>EOEP - IVA</t>
  </si>
  <si>
    <t>Total a Pagar sujeito a PMP</t>
  </si>
  <si>
    <t>Saldo tesouraria</t>
  </si>
  <si>
    <t>Entradas</t>
  </si>
  <si>
    <t>Saídas</t>
  </si>
  <si>
    <t>Empréstimo</t>
  </si>
  <si>
    <t>Capital Social</t>
  </si>
  <si>
    <t>participação Redbull</t>
  </si>
  <si>
    <t>nº acionistas particulares</t>
  </si>
  <si>
    <t>participação acionistas particulares</t>
  </si>
  <si>
    <t>valor quota acionistas particulares</t>
  </si>
  <si>
    <t>CS acionistas particulares</t>
  </si>
  <si>
    <t>CS Redbull</t>
  </si>
  <si>
    <t>PAGAMENTOS - ANO 1</t>
  </si>
  <si>
    <t>Maturidade (anos)</t>
  </si>
  <si>
    <t>Pagamentos (meses)</t>
  </si>
  <si>
    <t>Nº pagamentos</t>
  </si>
  <si>
    <t>Tipologia pagamentos</t>
  </si>
  <si>
    <t>Pagamentos do empréstimo - Ano 1</t>
  </si>
  <si>
    <t>Saldo inicial empréstimo</t>
  </si>
  <si>
    <t>Amortização capital</t>
  </si>
  <si>
    <t>Juros</t>
  </si>
  <si>
    <t>Total prestação</t>
  </si>
  <si>
    <t>Saldo final empréstimo</t>
  </si>
  <si>
    <t>TAEG</t>
  </si>
  <si>
    <t>Pagamentos do empréstimo - Ano 2</t>
  </si>
  <si>
    <t>Pagamentos do empréstimo - Ano 3</t>
  </si>
  <si>
    <t>Excesso (+) / Necessidade (-)</t>
  </si>
  <si>
    <t>Juros descoberto</t>
  </si>
  <si>
    <t>Juros aplicações</t>
  </si>
  <si>
    <t>Aplicações (+) / Descoberto (-)</t>
  </si>
  <si>
    <t>Estimativas                    (valores mensais)</t>
  </si>
  <si>
    <t>Instalações              (multi-riscos)</t>
  </si>
  <si>
    <t>Seguro multi-riscos         linhas de produção</t>
  </si>
  <si>
    <t>Total a Pagar s/IVA</t>
  </si>
  <si>
    <t>IVA a Pagar</t>
  </si>
  <si>
    <t>Q (mg)</t>
  </si>
  <si>
    <t>Taxa IVA</t>
  </si>
  <si>
    <t>Total Gastos c/ pessoal (inclui seguro)</t>
  </si>
  <si>
    <t>Vendas s/IVA</t>
  </si>
  <si>
    <t>6 e 23</t>
  </si>
  <si>
    <t>Análise Financeira</t>
  </si>
  <si>
    <t>Indicadores Económico - Financeiros</t>
  </si>
  <si>
    <t>Return On Investment (ROI)</t>
  </si>
  <si>
    <t>Rendibilidade do Ativo</t>
  </si>
  <si>
    <t>Rendibilidade dos Capitais Próprios (ROE)</t>
  </si>
  <si>
    <t>Autonomia Financeira</t>
  </si>
  <si>
    <t>Liquidez Geral</t>
  </si>
  <si>
    <t>Margem Bruta</t>
  </si>
  <si>
    <t>Margem de Contribuição</t>
  </si>
  <si>
    <t>Reservas legais*</t>
  </si>
  <si>
    <t>* "A reserva legal consiste em reservar 5% dos lucros até perfazer 20% do capital social da sociedade."</t>
  </si>
  <si>
    <t>Fornecimentos e Serviços Externos - Ano 1</t>
  </si>
  <si>
    <t>Fornecimentos e Serviços Externos</t>
  </si>
  <si>
    <t>Total a Pagar c/IVA</t>
  </si>
  <si>
    <t>PMP = 90 dias</t>
  </si>
  <si>
    <t>EOEP - IRS e SS</t>
  </si>
  <si>
    <t>Total Subsídios Líquido</t>
  </si>
  <si>
    <t>Pagamentos EOEP</t>
  </si>
  <si>
    <t>EOEP - IRS &amp; SS - Passivo</t>
  </si>
  <si>
    <t>Estado e outros entes públicos - IVA</t>
  </si>
  <si>
    <t>Subsidio Boa Performance</t>
  </si>
  <si>
    <t>Erros contabilisticos</t>
  </si>
  <si>
    <t>Análise de sensibilidade - Preço</t>
  </si>
  <si>
    <t>Preço inicial</t>
  </si>
  <si>
    <t>Variação preço</t>
  </si>
  <si>
    <t>Preço atualizado</t>
  </si>
  <si>
    <t>+10%</t>
  </si>
  <si>
    <t>+5%</t>
  </si>
  <si>
    <t>-5%</t>
  </si>
  <si>
    <t>-10%</t>
  </si>
  <si>
    <t>Taxa de IRC (lucros tributáveis)</t>
  </si>
  <si>
    <t>Resultado Liquido</t>
  </si>
  <si>
    <t>Variação do RL</t>
  </si>
  <si>
    <t>Variação MC</t>
  </si>
  <si>
    <t>Variação BEP</t>
  </si>
  <si>
    <t>Análise de sensibilidade - Procura</t>
  </si>
  <si>
    <t>Quantidade Procurada</t>
  </si>
  <si>
    <t>Variação Procura</t>
  </si>
  <si>
    <t>Ano 1 - Menta</t>
  </si>
  <si>
    <t>Ano 1 - Morango</t>
  </si>
  <si>
    <t>Ano 1 - Café</t>
  </si>
  <si>
    <t>Ano 2 - Café</t>
  </si>
  <si>
    <t>Ano 2 - Morango</t>
  </si>
  <si>
    <t>Ano 2 - Menta</t>
  </si>
  <si>
    <t>Ano 3 - Menta</t>
  </si>
  <si>
    <t>Ano 3 - Morango</t>
  </si>
  <si>
    <t>Ano 3 - Café</t>
  </si>
  <si>
    <t>Ano 1 - Caixas</t>
  </si>
  <si>
    <t>Notas:</t>
  </si>
  <si>
    <t>IVA paga-se 2 meses após o trimestre</t>
  </si>
  <si>
    <t>ANO</t>
  </si>
  <si>
    <t xml:space="preserve">Ano </t>
  </si>
  <si>
    <t>EBIT/ATIVO</t>
  </si>
  <si>
    <t>RL/ATIVO</t>
  </si>
  <si>
    <t>RL/CP</t>
  </si>
  <si>
    <t>CP/ATIVO</t>
  </si>
  <si>
    <t>AC/PC</t>
  </si>
  <si>
    <t>Vendas- CV</t>
  </si>
  <si>
    <t>Rentabilidade Líquida</t>
  </si>
  <si>
    <t>RL/VENDAS</t>
  </si>
  <si>
    <t>0,01€ /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</si>
</sst>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.0000\ &quot;€&quot;"/>
    <numFmt numFmtId="166" formatCode="#,##0.000\ &quot;€&quot;"/>
    <numFmt numFmtId="167" formatCode="&quot;€&quot;#,##0"/>
    <numFmt numFmtId="168" formatCode="&quot;€&quot;#,##0.00"/>
    <numFmt numFmtId="169" formatCode="0.0"/>
    <numFmt numFmtId="170" formatCode="0.0%"/>
    <numFmt numFmtId="171" formatCode="#,##0\ [$€-1];[Red]\-#,##0\ [$€-1]"/>
    <numFmt numFmtId="172" formatCode="_-* #,##0.00\ [$€-816]_-;\-* #,##0.00\ [$€-816]_-;_-* &quot;-&quot;??\ [$€-816]_-;_-@_-"/>
    <numFmt numFmtId="173" formatCode="_-* #,##0.0000\ [$€-816]_-;\-* #,##0.0000\ [$€-816]_-;_-* &quot;-&quot;??\ [$€-816]_-;_-@_-"/>
    <numFmt numFmtId="174" formatCode="_-* #,##0.00000\ [$€-816]_-;\-* #,##0.00000\ [$€-816]_-;_-* &quot;-&quot;??\ [$€-816]_-;_-@_-"/>
    <numFmt numFmtId="175" formatCode="#,##0.00\ [$€-816];\-#,##0.00\ [$€-816]"/>
    <numFmt numFmtId="176" formatCode="_-* #,##0.00\ [$€-816]_-;\-* #,##0.00\ [$€-816]_-;_-* &quot;-&quot;????\ [$€-816]_-;_-@_-"/>
    <numFmt numFmtId="177" formatCode="#,##0.00\ [$€-1]"/>
    <numFmt numFmtId="178" formatCode="#,##0.00\ [$€-816]"/>
    <numFmt numFmtId="179" formatCode="#,##0.00\ [$€-1];[Red]\-#,##0.00\ [$€-1]"/>
    <numFmt numFmtId="180" formatCode="#,##0.00\ [$€-1]_);[Red]\(#,##0.00\ [$€-1]\)"/>
    <numFmt numFmtId="181" formatCode="#,##0.00\ [$€-1];[Red]#,##0.00\ [$€-1]"/>
    <numFmt numFmtId="182" formatCode="#,##0\ [$€-1];[Red]#,##0\ [$€-1]"/>
  </numFmts>
  <fonts count="2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Inherit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rgb="FFFCE5CD"/>
      </patternFill>
    </fill>
    <fill>
      <patternFill patternType="solid">
        <fgColor theme="9"/>
        <bgColor rgb="FFFCE5CD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9" tint="-0.249977111117893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F4652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medium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indexed="64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-0.499984740745262"/>
      </bottom>
      <diagonal/>
    </border>
    <border>
      <left/>
      <right/>
      <top style="medium">
        <color indexed="64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indexed="64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indexed="64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indexed="64"/>
      </right>
      <top style="medium">
        <color indexed="64"/>
      </top>
      <bottom style="thin">
        <color theme="9" tint="-0.499984740745262"/>
      </bottom>
      <diagonal/>
    </border>
    <border>
      <left style="medium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indexed="64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/>
      <top style="thin">
        <color theme="9" tint="-0.499984740745262"/>
      </top>
      <bottom style="medium">
        <color indexed="64"/>
      </bottom>
      <diagonal/>
    </border>
    <border>
      <left style="thin">
        <color theme="9" tint="-0.499984740745262"/>
      </left>
      <right style="medium">
        <color indexed="64"/>
      </right>
      <top style="thin">
        <color theme="9" tint="-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indexed="64"/>
      </right>
      <top/>
      <bottom style="thin">
        <color theme="9" tint="-0.499984740745262"/>
      </bottom>
      <diagonal/>
    </border>
    <border>
      <left style="medium">
        <color indexed="64"/>
      </left>
      <right/>
      <top style="medium">
        <color theme="9" tint="-0.499984740745262"/>
      </top>
      <bottom style="medium">
        <color indexed="64"/>
      </bottom>
      <diagonal/>
    </border>
    <border>
      <left/>
      <right/>
      <top style="medium">
        <color theme="9" tint="-0.499984740745262"/>
      </top>
      <bottom style="medium">
        <color indexed="64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indexed="64"/>
      </bottom>
      <diagonal/>
    </border>
    <border>
      <left style="thin">
        <color theme="9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rgb="FF000000"/>
      </bottom>
      <diagonal/>
    </border>
    <border>
      <left/>
      <right/>
      <top style="medium">
        <color theme="9" tint="-0.499984740745262"/>
      </top>
      <bottom style="thin">
        <color rgb="FF000000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rgb="FF000000"/>
      </bottom>
      <diagonal/>
    </border>
    <border>
      <left style="medium">
        <color theme="9" tint="-0.49998474074526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9" tint="-0.49998474074526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9" tint="-0.499984740745262"/>
      </right>
      <top/>
      <bottom style="thin">
        <color rgb="FF000000"/>
      </bottom>
      <diagonal/>
    </border>
    <border>
      <left style="medium">
        <color theme="9" tint="-0.499984740745262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9" tint="-0.499984740745262"/>
      </right>
      <top style="double">
        <color rgb="FF000000"/>
      </top>
      <bottom style="thin">
        <color rgb="FF000000"/>
      </bottom>
      <diagonal/>
    </border>
    <border>
      <left style="medium">
        <color theme="9" tint="-0.499984740745262"/>
      </left>
      <right/>
      <top/>
      <bottom style="thin">
        <color rgb="FF000000"/>
      </bottom>
      <diagonal/>
    </border>
    <border>
      <left style="medium">
        <color theme="9" tint="-0.499984740745262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theme="9" tint="-0.499984740745262"/>
      </right>
      <top style="double">
        <color rgb="FF000000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thin">
        <color rgb="FF000000"/>
      </top>
      <bottom style="thin">
        <color rgb="FF000000"/>
      </bottom>
      <diagonal/>
    </border>
    <border>
      <left style="medium">
        <color theme="9" tint="-0.499984740745262"/>
      </left>
      <right style="thin">
        <color rgb="FF000000"/>
      </right>
      <top/>
      <bottom style="thin">
        <color rgb="FF000000"/>
      </bottom>
      <diagonal/>
    </border>
    <border>
      <left style="medium">
        <color theme="9" tint="-0.499984740745262"/>
      </left>
      <right style="thin">
        <color rgb="FF000000"/>
      </right>
      <top style="medium">
        <color rgb="FF000000"/>
      </top>
      <bottom style="medium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theme="9" tint="-0.499984740745262"/>
      </bottom>
      <diagonal/>
    </border>
    <border>
      <left style="thin">
        <color rgb="FF000000"/>
      </left>
      <right style="medium">
        <color theme="9" tint="-0.499984740745262"/>
      </right>
      <top style="medium">
        <color rgb="FF000000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theme="9" tint="-0.499984740745262"/>
      </right>
      <top style="thin">
        <color rgb="FF000000"/>
      </top>
      <bottom/>
      <diagonal/>
    </border>
    <border>
      <left style="medium">
        <color theme="9" tint="-0.499984740745262"/>
      </left>
      <right/>
      <top style="thin">
        <color rgb="FF000000"/>
      </top>
      <bottom style="medium">
        <color theme="9" tint="-0.499984740745262"/>
      </bottom>
      <diagonal/>
    </border>
    <border>
      <left style="thin">
        <color rgb="FF000000"/>
      </left>
      <right/>
      <top style="thin">
        <color rgb="FF000000"/>
      </top>
      <bottom style="medium">
        <color theme="9" tint="-0.499984740745262"/>
      </bottom>
      <diagonal/>
    </border>
    <border>
      <left style="thin">
        <color rgb="FF000000"/>
      </left>
      <right style="medium">
        <color theme="9" tint="-0.499984740745262"/>
      </right>
      <top style="thin">
        <color rgb="FF000000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indexed="64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000000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theme="9" tint="-0.499984740745262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rgb="FF000000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4">
    <xf numFmtId="0" fontId="0" fillId="0" borderId="0"/>
    <xf numFmtId="0" fontId="7" fillId="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41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</cellStyleXfs>
  <cellXfs count="587">
    <xf numFmtId="0" fontId="0" fillId="0" borderId="0" xfId="0"/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/>
    <xf numFmtId="0" fontId="1" fillId="0" borderId="1" xfId="0" applyFont="1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Fill="1"/>
    <xf numFmtId="0" fontId="0" fillId="4" borderId="6" xfId="0" applyFill="1" applyBorder="1" applyAlignment="1">
      <alignment horizontal="left" vertical="center"/>
    </xf>
    <xf numFmtId="10" fontId="0" fillId="0" borderId="1" xfId="0" applyNumberFormat="1" applyBorder="1" applyAlignment="1">
      <alignment horizontal="center"/>
    </xf>
    <xf numFmtId="0" fontId="10" fillId="0" borderId="0" xfId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Border="1"/>
    <xf numFmtId="0" fontId="0" fillId="3" borderId="16" xfId="0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0" borderId="1" xfId="0" applyFill="1" applyBorder="1"/>
    <xf numFmtId="9" fontId="0" fillId="2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2" fillId="4" borderId="1" xfId="0" applyFont="1" applyFill="1" applyBorder="1"/>
    <xf numFmtId="0" fontId="0" fillId="4" borderId="1" xfId="0" applyFill="1" applyBorder="1"/>
    <xf numFmtId="2" fontId="0" fillId="0" borderId="1" xfId="0" applyNumberFormat="1" applyFill="1" applyBorder="1"/>
    <xf numFmtId="0" fontId="0" fillId="3" borderId="0" xfId="0" applyFill="1"/>
    <xf numFmtId="0" fontId="0" fillId="2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12" fillId="4" borderId="10" xfId="0" applyFont="1" applyFill="1" applyBorder="1" applyAlignment="1">
      <alignment horizontal="left" vertical="center"/>
    </xf>
    <xf numFmtId="0" fontId="12" fillId="0" borderId="17" xfId="0" applyFont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67" fontId="0" fillId="2" borderId="7" xfId="0" applyNumberFormat="1" applyFill="1" applyBorder="1" applyAlignment="1">
      <alignment horizontal="center" vertical="center"/>
    </xf>
    <xf numFmtId="167" fontId="0" fillId="2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9" fontId="0" fillId="2" borderId="17" xfId="0" applyNumberFormat="1" applyFill="1" applyBorder="1" applyAlignment="1">
      <alignment horizontal="center" vertical="center"/>
    </xf>
    <xf numFmtId="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8" fontId="0" fillId="2" borderId="9" xfId="8" applyNumberFormat="1" applyFont="1" applyFill="1" applyBorder="1" applyAlignment="1">
      <alignment horizontal="center" vertical="center"/>
    </xf>
    <xf numFmtId="168" fontId="0" fillId="2" borderId="7" xfId="8" applyNumberFormat="1" applyFont="1" applyFill="1" applyBorder="1" applyAlignment="1">
      <alignment horizontal="center" vertical="center"/>
    </xf>
    <xf numFmtId="168" fontId="0" fillId="2" borderId="17" xfId="8" applyNumberFormat="1" applyFont="1" applyFill="1" applyBorder="1" applyAlignment="1">
      <alignment horizontal="center" vertical="center"/>
    </xf>
    <xf numFmtId="168" fontId="0" fillId="2" borderId="18" xfId="8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168" fontId="0" fillId="0" borderId="0" xfId="0" applyNumberFormat="1"/>
    <xf numFmtId="0" fontId="12" fillId="0" borderId="0" xfId="0" applyFont="1" applyFill="1" applyBorder="1" applyAlignment="1">
      <alignment horizontal="center"/>
    </xf>
    <xf numFmtId="168" fontId="0" fillId="0" borderId="0" xfId="8" applyNumberFormat="1" applyFont="1" applyFill="1" applyBorder="1" applyAlignment="1">
      <alignment horizontal="center" vertical="center"/>
    </xf>
    <xf numFmtId="167" fontId="0" fillId="2" borderId="7" xfId="8" applyNumberFormat="1" applyFont="1" applyFill="1" applyBorder="1" applyAlignment="1">
      <alignment horizontal="center" vertical="center"/>
    </xf>
    <xf numFmtId="168" fontId="0" fillId="2" borderId="36" xfId="8" applyNumberFormat="1" applyFont="1" applyFill="1" applyBorder="1" applyAlignment="1">
      <alignment horizontal="center" vertical="center"/>
    </xf>
    <xf numFmtId="168" fontId="0" fillId="2" borderId="37" xfId="8" applyNumberFormat="1" applyFont="1" applyFill="1" applyBorder="1" applyAlignment="1">
      <alignment horizontal="center" vertical="center"/>
    </xf>
    <xf numFmtId="167" fontId="0" fillId="2" borderId="36" xfId="8" applyNumberFormat="1" applyFont="1" applyFill="1" applyBorder="1" applyAlignment="1">
      <alignment horizontal="center" vertical="center"/>
    </xf>
    <xf numFmtId="167" fontId="0" fillId="2" borderId="37" xfId="8" applyNumberFormat="1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/>
    </xf>
    <xf numFmtId="167" fontId="0" fillId="0" borderId="39" xfId="8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167" fontId="0" fillId="0" borderId="11" xfId="8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/>
    <xf numFmtId="0" fontId="0" fillId="0" borderId="0" xfId="0" applyAlignment="1"/>
    <xf numFmtId="9" fontId="0" fillId="2" borderId="7" xfId="0" applyNumberFormat="1" applyFill="1" applyBorder="1"/>
    <xf numFmtId="9" fontId="0" fillId="2" borderId="7" xfId="0" applyNumberFormat="1" applyFont="1" applyFill="1" applyBorder="1"/>
    <xf numFmtId="9" fontId="0" fillId="2" borderId="17" xfId="0" applyNumberFormat="1" applyFill="1" applyBorder="1"/>
    <xf numFmtId="0" fontId="0" fillId="8" borderId="6" xfId="0" applyFill="1" applyBorder="1" applyAlignment="1">
      <alignment horizontal="center" vertical="top" wrapText="1"/>
    </xf>
    <xf numFmtId="0" fontId="0" fillId="8" borderId="7" xfId="0" applyFill="1" applyBorder="1" applyAlignment="1">
      <alignment horizontal="center" vertical="top" wrapText="1"/>
    </xf>
    <xf numFmtId="10" fontId="0" fillId="2" borderId="9" xfId="0" applyNumberFormat="1" applyFill="1" applyBorder="1"/>
    <xf numFmtId="10" fontId="0" fillId="2" borderId="18" xfId="0" applyNumberFormat="1" applyFill="1" applyBorder="1"/>
    <xf numFmtId="168" fontId="0" fillId="2" borderId="48" xfId="8" applyNumberFormat="1" applyFont="1" applyFill="1" applyBorder="1" applyAlignment="1">
      <alignment horizontal="center" vertical="center"/>
    </xf>
    <xf numFmtId="168" fontId="0" fillId="2" borderId="51" xfId="8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7" xfId="0" applyFill="1" applyBorder="1" applyAlignment="1">
      <alignment vertical="center"/>
    </xf>
    <xf numFmtId="171" fontId="0" fillId="2" borderId="7" xfId="0" applyNumberFormat="1" applyFill="1" applyBorder="1" applyAlignment="1">
      <alignment horizontal="center" vertical="center" wrapText="1"/>
    </xf>
    <xf numFmtId="167" fontId="0" fillId="2" borderId="7" xfId="0" applyNumberFormat="1" applyFill="1" applyBorder="1" applyAlignment="1">
      <alignment horizontal="center" vertical="center" wrapText="1"/>
    </xf>
    <xf numFmtId="167" fontId="0" fillId="2" borderId="9" xfId="0" applyNumberFormat="1" applyFill="1" applyBorder="1" applyAlignment="1">
      <alignment horizontal="center" vertical="center" wrapText="1"/>
    </xf>
    <xf numFmtId="0" fontId="14" fillId="0" borderId="0" xfId="9" applyAlignment="1">
      <alignment vertical="center"/>
    </xf>
    <xf numFmtId="0" fontId="14" fillId="0" borderId="0" xfId="9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167" fontId="0" fillId="2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wrapText="1"/>
    </xf>
    <xf numFmtId="167" fontId="0" fillId="2" borderId="18" xfId="0" applyNumberFormat="1" applyFill="1" applyBorder="1" applyAlignment="1">
      <alignment horizontal="center" vertical="center"/>
    </xf>
    <xf numFmtId="168" fontId="0" fillId="2" borderId="9" xfId="0" applyNumberFormat="1" applyFill="1" applyBorder="1" applyAlignment="1">
      <alignment horizontal="center" vertical="center" wrapText="1"/>
    </xf>
    <xf numFmtId="168" fontId="0" fillId="2" borderId="7" xfId="0" applyNumberFormat="1" applyFill="1" applyBorder="1" applyAlignment="1">
      <alignment horizontal="center" vertical="center"/>
    </xf>
    <xf numFmtId="172" fontId="0" fillId="0" borderId="1" xfId="0" applyNumberFormat="1" applyBorder="1"/>
    <xf numFmtId="9" fontId="0" fillId="0" borderId="1" xfId="11" applyNumberFormat="1" applyFont="1" applyBorder="1"/>
    <xf numFmtId="173" fontId="0" fillId="0" borderId="1" xfId="8" applyNumberFormat="1" applyFont="1" applyBorder="1"/>
    <xf numFmtId="0" fontId="15" fillId="0" borderId="0" xfId="0" applyNumberFormat="1" applyFont="1"/>
    <xf numFmtId="1" fontId="15" fillId="0" borderId="1" xfId="0" applyNumberFormat="1" applyFont="1" applyBorder="1" applyAlignment="1">
      <alignment horizontal="right"/>
    </xf>
    <xf numFmtId="0" fontId="0" fillId="0" borderId="0" xfId="0" applyBorder="1"/>
    <xf numFmtId="172" fontId="0" fillId="0" borderId="1" xfId="0" applyNumberFormat="1" applyBorder="1" applyAlignment="1">
      <alignment horizontal="left" vertical="center"/>
    </xf>
    <xf numFmtId="1" fontId="15" fillId="0" borderId="1" xfId="0" applyNumberFormat="1" applyFont="1" applyBorder="1" applyAlignment="1">
      <alignment horizontal="left" vertical="center"/>
    </xf>
    <xf numFmtId="0" fontId="17" fillId="0" borderId="0" xfId="0" applyFont="1"/>
    <xf numFmtId="175" fontId="0" fillId="0" borderId="1" xfId="10" applyNumberFormat="1" applyFont="1" applyBorder="1"/>
    <xf numFmtId="1" fontId="0" fillId="0" borderId="54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/>
    <xf numFmtId="176" fontId="0" fillId="0" borderId="1" xfId="0" applyNumberFormat="1" applyBorder="1"/>
    <xf numFmtId="174" fontId="0" fillId="0" borderId="1" xfId="10" applyNumberFormat="1" applyFont="1" applyBorder="1"/>
    <xf numFmtId="2" fontId="15" fillId="0" borderId="0" xfId="0" applyNumberFormat="1" applyFont="1"/>
    <xf numFmtId="177" fontId="1" fillId="0" borderId="58" xfId="0" applyNumberFormat="1" applyFont="1" applyBorder="1"/>
    <xf numFmtId="177" fontId="1" fillId="0" borderId="60" xfId="0" applyNumberFormat="1" applyFont="1" applyBorder="1"/>
    <xf numFmtId="0" fontId="0" fillId="0" borderId="0" xfId="0"/>
    <xf numFmtId="0" fontId="18" fillId="0" borderId="0" xfId="0" applyFont="1" applyAlignment="1">
      <alignment horizontal="right"/>
    </xf>
    <xf numFmtId="0" fontId="18" fillId="9" borderId="56" xfId="0" applyFont="1" applyFill="1" applyBorder="1" applyAlignment="1">
      <alignment horizontal="center"/>
    </xf>
    <xf numFmtId="0" fontId="18" fillId="10" borderId="56" xfId="0" applyFont="1" applyFill="1" applyBorder="1" applyAlignment="1">
      <alignment horizontal="center"/>
    </xf>
    <xf numFmtId="0" fontId="18" fillId="11" borderId="56" xfId="0" applyFont="1" applyFill="1" applyBorder="1" applyAlignment="1">
      <alignment horizontal="left"/>
    </xf>
    <xf numFmtId="177" fontId="18" fillId="0" borderId="56" xfId="0" applyNumberFormat="1" applyFont="1" applyBorder="1"/>
    <xf numFmtId="177" fontId="18" fillId="0" borderId="55" xfId="0" applyNumberFormat="1" applyFont="1" applyBorder="1"/>
    <xf numFmtId="0" fontId="18" fillId="12" borderId="59" xfId="0" applyFont="1" applyFill="1" applyBorder="1" applyAlignment="1">
      <alignment horizontal="center"/>
    </xf>
    <xf numFmtId="0" fontId="0" fillId="0" borderId="0" xfId="0"/>
    <xf numFmtId="2" fontId="0" fillId="2" borderId="1" xfId="0" applyNumberFormat="1" applyFill="1" applyBorder="1"/>
    <xf numFmtId="2" fontId="0" fillId="3" borderId="1" xfId="0" applyNumberFormat="1" applyFill="1" applyBorder="1" applyAlignment="1">
      <alignment horizontal="center"/>
    </xf>
    <xf numFmtId="2" fontId="0" fillId="0" borderId="15" xfId="0" applyNumberFormat="1" applyBorder="1"/>
    <xf numFmtId="0" fontId="15" fillId="0" borderId="0" xfId="0" applyFont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0" fontId="15" fillId="0" borderId="0" xfId="0" applyFont="1"/>
    <xf numFmtId="178" fontId="15" fillId="0" borderId="0" xfId="8" applyNumberFormat="1" applyFont="1"/>
    <xf numFmtId="176" fontId="0" fillId="0" borderId="0" xfId="0" applyNumberFormat="1" applyBorder="1"/>
    <xf numFmtId="178" fontId="15" fillId="0" borderId="0" xfId="11" applyNumberFormat="1" applyFont="1"/>
    <xf numFmtId="0" fontId="0" fillId="0" borderId="0" xfId="0" applyBorder="1" applyAlignment="1">
      <alignment horizontal="center" vertical="center"/>
    </xf>
    <xf numFmtId="0" fontId="15" fillId="0" borderId="0" xfId="0" applyFont="1" applyBorder="1"/>
    <xf numFmtId="178" fontId="15" fillId="0" borderId="0" xfId="0" applyNumberFormat="1" applyFont="1" applyBorder="1"/>
    <xf numFmtId="0" fontId="15" fillId="0" borderId="0" xfId="0" applyFont="1" applyFill="1" applyBorder="1"/>
    <xf numFmtId="0" fontId="0" fillId="0" borderId="0" xfId="0"/>
    <xf numFmtId="177" fontId="0" fillId="0" borderId="0" xfId="0" applyNumberFormat="1"/>
    <xf numFmtId="0" fontId="0" fillId="4" borderId="0" xfId="0" applyFill="1"/>
    <xf numFmtId="172" fontId="0" fillId="0" borderId="1" xfId="0" applyNumberFormat="1" applyBorder="1" applyAlignment="1">
      <alignment horizontal="left" vertical="center"/>
    </xf>
    <xf numFmtId="0" fontId="0" fillId="0" borderId="0" xfId="0"/>
    <xf numFmtId="180" fontId="0" fillId="0" borderId="0" xfId="0" applyNumberFormat="1"/>
    <xf numFmtId="168" fontId="15" fillId="0" borderId="0" xfId="0" applyNumberFormat="1" applyFont="1"/>
    <xf numFmtId="0" fontId="0" fillId="0" borderId="0" xfId="0"/>
    <xf numFmtId="0" fontId="0" fillId="0" borderId="0" xfId="0"/>
    <xf numFmtId="180" fontId="15" fillId="0" borderId="0" xfId="0" applyNumberFormat="1" applyFont="1"/>
    <xf numFmtId="180" fontId="0" fillId="0" borderId="0" xfId="0" applyNumberFormat="1" applyFill="1"/>
    <xf numFmtId="179" fontId="0" fillId="0" borderId="0" xfId="0" applyNumberFormat="1" applyFill="1"/>
    <xf numFmtId="172" fontId="0" fillId="0" borderId="0" xfId="0" applyNumberFormat="1"/>
    <xf numFmtId="167" fontId="0" fillId="2" borderId="8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0" xfId="0"/>
    <xf numFmtId="167" fontId="0" fillId="0" borderId="0" xfId="0" applyNumberFormat="1"/>
    <xf numFmtId="0" fontId="0" fillId="0" borderId="0" xfId="0" applyFill="1" applyAlignment="1">
      <alignment wrapText="1"/>
    </xf>
    <xf numFmtId="168" fontId="0" fillId="2" borderId="65" xfId="8" applyNumberFormat="1" applyFont="1" applyFill="1" applyBorder="1" applyAlignment="1">
      <alignment horizontal="center" vertical="center"/>
    </xf>
    <xf numFmtId="168" fontId="0" fillId="2" borderId="68" xfId="8" applyNumberFormat="1" applyFont="1" applyFill="1" applyBorder="1" applyAlignment="1">
      <alignment horizontal="center" vertical="center"/>
    </xf>
    <xf numFmtId="0" fontId="0" fillId="4" borderId="72" xfId="0" applyFill="1" applyBorder="1"/>
    <xf numFmtId="0" fontId="12" fillId="4" borderId="73" xfId="0" applyFont="1" applyFill="1" applyBorder="1" applyAlignment="1">
      <alignment horizontal="center"/>
    </xf>
    <xf numFmtId="168" fontId="0" fillId="2" borderId="75" xfId="8" applyNumberFormat="1" applyFont="1" applyFill="1" applyBorder="1" applyAlignment="1">
      <alignment horizontal="center" vertical="center"/>
    </xf>
    <xf numFmtId="168" fontId="0" fillId="2" borderId="77" xfId="8" applyNumberFormat="1" applyFont="1" applyFill="1" applyBorder="1" applyAlignment="1">
      <alignment horizontal="center" vertical="center"/>
    </xf>
    <xf numFmtId="168" fontId="0" fillId="2" borderId="79" xfId="8" applyNumberFormat="1" applyFont="1" applyFill="1" applyBorder="1" applyAlignment="1">
      <alignment horizontal="center" vertical="center"/>
    </xf>
    <xf numFmtId="168" fontId="0" fillId="2" borderId="83" xfId="8" applyNumberFormat="1" applyFont="1" applyFill="1" applyBorder="1" applyAlignment="1">
      <alignment horizontal="center" vertical="center"/>
    </xf>
    <xf numFmtId="168" fontId="0" fillId="2" borderId="84" xfId="8" applyNumberFormat="1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0" fillId="4" borderId="15" xfId="0" applyFill="1" applyBorder="1"/>
    <xf numFmtId="0" fontId="0" fillId="15" borderId="1" xfId="0" applyFill="1" applyBorder="1"/>
    <xf numFmtId="0" fontId="0" fillId="4" borderId="54" xfId="0" applyFill="1" applyBorder="1"/>
    <xf numFmtId="0" fontId="0" fillId="3" borderId="30" xfId="0" applyFill="1" applyBorder="1"/>
    <xf numFmtId="43" fontId="11" fillId="3" borderId="1" xfId="3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8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86" xfId="0" applyFill="1" applyBorder="1" applyAlignment="1">
      <alignment horizontal="center" vertical="center"/>
    </xf>
    <xf numFmtId="0" fontId="0" fillId="4" borderId="87" xfId="0" applyFill="1" applyBorder="1" applyAlignment="1">
      <alignment horizontal="left" vertical="center"/>
    </xf>
    <xf numFmtId="0" fontId="0" fillId="4" borderId="49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48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0" fontId="3" fillId="0" borderId="1" xfId="5" applyNumberFormat="1" applyFont="1" applyBorder="1" applyAlignment="1">
      <alignment horizontal="right" vertical="center"/>
    </xf>
    <xf numFmtId="9" fontId="3" fillId="0" borderId="1" xfId="5" applyFont="1" applyBorder="1" applyAlignment="1">
      <alignment horizontal="right" vertical="center"/>
    </xf>
    <xf numFmtId="10" fontId="0" fillId="0" borderId="1" xfId="0" applyNumberFormat="1" applyFont="1" applyBorder="1"/>
    <xf numFmtId="180" fontId="0" fillId="0" borderId="1" xfId="0" applyNumberFormat="1" applyBorder="1"/>
    <xf numFmtId="0" fontId="0" fillId="15" borderId="1" xfId="0" applyFill="1" applyBorder="1" applyAlignment="1">
      <alignment horizontal="right"/>
    </xf>
    <xf numFmtId="9" fontId="0" fillId="15" borderId="1" xfId="0" applyNumberFormat="1" applyFill="1" applyBorder="1"/>
    <xf numFmtId="179" fontId="0" fillId="15" borderId="1" xfId="0" applyNumberFormat="1" applyFill="1" applyBorder="1"/>
    <xf numFmtId="180" fontId="0" fillId="15" borderId="1" xfId="0" applyNumberFormat="1" applyFill="1" applyBorder="1"/>
    <xf numFmtId="0" fontId="0" fillId="2" borderId="1" xfId="0" applyFill="1" applyBorder="1"/>
    <xf numFmtId="2" fontId="0" fillId="15" borderId="1" xfId="0" applyNumberFormat="1" applyFill="1" applyBorder="1"/>
    <xf numFmtId="175" fontId="0" fillId="0" borderId="7" xfId="0" applyNumberFormat="1" applyBorder="1" applyAlignment="1">
      <alignment horizontal="center"/>
    </xf>
    <xf numFmtId="175" fontId="12" fillId="0" borderId="17" xfId="0" applyNumberFormat="1" applyFont="1" applyBorder="1" applyAlignment="1">
      <alignment horizontal="center"/>
    </xf>
    <xf numFmtId="175" fontId="0" fillId="0" borderId="7" xfId="0" applyNumberFormat="1" applyBorder="1"/>
    <xf numFmtId="175" fontId="3" fillId="0" borderId="7" xfId="0" applyNumberFormat="1" applyFont="1" applyBorder="1"/>
    <xf numFmtId="175" fontId="3" fillId="0" borderId="9" xfId="0" applyNumberFormat="1" applyFont="1" applyBorder="1"/>
    <xf numFmtId="175" fontId="12" fillId="0" borderId="17" xfId="0" applyNumberFormat="1" applyFont="1" applyBorder="1"/>
    <xf numFmtId="175" fontId="12" fillId="0" borderId="18" xfId="0" applyNumberFormat="1" applyFont="1" applyBorder="1"/>
    <xf numFmtId="0" fontId="0" fillId="0" borderId="0" xfId="0" applyFont="1"/>
    <xf numFmtId="0" fontId="0" fillId="0" borderId="1" xfId="0" applyFont="1" applyBorder="1"/>
    <xf numFmtId="172" fontId="0" fillId="0" borderId="1" xfId="0" applyNumberFormat="1" applyFont="1" applyBorder="1"/>
    <xf numFmtId="0" fontId="0" fillId="0" borderId="0" xfId="0"/>
    <xf numFmtId="175" fontId="0" fillId="0" borderId="0" xfId="0" applyNumberFormat="1"/>
    <xf numFmtId="168" fontId="0" fillId="0" borderId="1" xfId="0" applyNumberFormat="1" applyBorder="1"/>
    <xf numFmtId="168" fontId="0" fillId="4" borderId="1" xfId="0" applyNumberFormat="1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0" xfId="0"/>
    <xf numFmtId="9" fontId="0" fillId="0" borderId="0" xfId="0" applyNumberFormat="1"/>
    <xf numFmtId="0" fontId="0" fillId="0" borderId="0" xfId="0" applyFill="1" applyBorder="1" applyAlignment="1">
      <alignment horizontal="left" vertical="center" wrapText="1"/>
    </xf>
    <xf numFmtId="9" fontId="0" fillId="0" borderId="0" xfId="1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5" fillId="0" borderId="22" xfId="0" applyFont="1" applyFill="1" applyBorder="1"/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0" borderId="0" xfId="0"/>
    <xf numFmtId="175" fontId="0" fillId="0" borderId="1" xfId="0" applyNumberFormat="1" applyBorder="1"/>
    <xf numFmtId="4" fontId="0" fillId="0" borderId="0" xfId="0" applyNumberFormat="1"/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168" fontId="0" fillId="0" borderId="0" xfId="0" applyNumberFormat="1" applyAlignment="1">
      <alignment vertical="center"/>
    </xf>
    <xf numFmtId="181" fontId="0" fillId="0" borderId="0" xfId="0" applyNumberFormat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9" fontId="0" fillId="2" borderId="7" xfId="0" quotePrefix="1" applyNumberFormat="1" applyFill="1" applyBorder="1" applyAlignment="1">
      <alignment horizontal="center" vertical="center"/>
    </xf>
    <xf numFmtId="9" fontId="0" fillId="2" borderId="17" xfId="0" quotePrefix="1" applyNumberFormat="1" applyFill="1" applyBorder="1" applyAlignment="1">
      <alignment horizontal="center" vertical="center"/>
    </xf>
    <xf numFmtId="0" fontId="18" fillId="9" borderId="91" xfId="0" applyFont="1" applyFill="1" applyBorder="1"/>
    <xf numFmtId="0" fontId="18" fillId="9" borderId="92" xfId="0" applyFont="1" applyFill="1" applyBorder="1" applyAlignment="1">
      <alignment horizontal="center"/>
    </xf>
    <xf numFmtId="0" fontId="18" fillId="10" borderId="91" xfId="0" applyFont="1" applyFill="1" applyBorder="1" applyAlignment="1">
      <alignment horizontal="center"/>
    </xf>
    <xf numFmtId="0" fontId="18" fillId="10" borderId="92" xfId="0" applyFont="1" applyFill="1" applyBorder="1" applyAlignment="1">
      <alignment horizontal="center"/>
    </xf>
    <xf numFmtId="0" fontId="18" fillId="11" borderId="91" xfId="0" applyFont="1" applyFill="1" applyBorder="1" applyAlignment="1">
      <alignment horizontal="left"/>
    </xf>
    <xf numFmtId="0" fontId="18" fillId="11" borderId="92" xfId="0" applyFont="1" applyFill="1" applyBorder="1" applyAlignment="1">
      <alignment horizontal="left"/>
    </xf>
    <xf numFmtId="0" fontId="18" fillId="0" borderId="94" xfId="0" applyFont="1" applyBorder="1"/>
    <xf numFmtId="177" fontId="1" fillId="0" borderId="95" xfId="0" applyNumberFormat="1" applyFont="1" applyBorder="1"/>
    <xf numFmtId="0" fontId="18" fillId="0" borderId="99" xfId="0" applyFont="1" applyBorder="1"/>
    <xf numFmtId="177" fontId="1" fillId="0" borderId="100" xfId="0" applyNumberFormat="1" applyFont="1" applyBorder="1"/>
    <xf numFmtId="0" fontId="18" fillId="0" borderId="105" xfId="0" applyFont="1" applyBorder="1" applyAlignment="1">
      <alignment horizontal="center"/>
    </xf>
    <xf numFmtId="177" fontId="18" fillId="0" borderId="106" xfId="0" applyNumberFormat="1" applyFont="1" applyBorder="1"/>
    <xf numFmtId="177" fontId="18" fillId="0" borderId="107" xfId="0" applyNumberFormat="1" applyFont="1" applyBorder="1"/>
    <xf numFmtId="0" fontId="18" fillId="12" borderId="96" xfId="0" applyFont="1" applyFill="1" applyBorder="1"/>
    <xf numFmtId="0" fontId="18" fillId="12" borderId="93" xfId="0" applyFont="1" applyFill="1" applyBorder="1" applyAlignment="1">
      <alignment horizontal="center"/>
    </xf>
    <xf numFmtId="0" fontId="18" fillId="0" borderId="91" xfId="0" applyFont="1" applyBorder="1"/>
    <xf numFmtId="177" fontId="18" fillId="0" borderId="92" xfId="0" applyNumberFormat="1" applyFont="1" applyBorder="1"/>
    <xf numFmtId="0" fontId="18" fillId="0" borderId="103" xfId="0" applyFont="1" applyBorder="1"/>
    <xf numFmtId="0" fontId="18" fillId="0" borderId="110" xfId="0" applyFont="1" applyBorder="1"/>
    <xf numFmtId="177" fontId="18" fillId="0" borderId="111" xfId="0" applyNumberFormat="1" applyFont="1" applyBorder="1"/>
    <xf numFmtId="177" fontId="18" fillId="0" borderId="112" xfId="0" applyNumberFormat="1" applyFont="1" applyBorder="1"/>
    <xf numFmtId="0" fontId="1" fillId="2" borderId="91" xfId="0" applyFont="1" applyFill="1" applyBorder="1" applyAlignment="1">
      <alignment horizontal="left"/>
    </xf>
    <xf numFmtId="177" fontId="1" fillId="2" borderId="56" xfId="0" applyNumberFormat="1" applyFont="1" applyFill="1" applyBorder="1"/>
    <xf numFmtId="177" fontId="1" fillId="2" borderId="92" xfId="0" applyNumberFormat="1" applyFont="1" applyFill="1" applyBorder="1"/>
    <xf numFmtId="177" fontId="1" fillId="2" borderId="57" xfId="0" applyNumberFormat="1" applyFont="1" applyFill="1" applyBorder="1"/>
    <xf numFmtId="177" fontId="1" fillId="2" borderId="93" xfId="0" applyNumberFormat="1" applyFont="1" applyFill="1" applyBorder="1"/>
    <xf numFmtId="0" fontId="1" fillId="2" borderId="97" xfId="0" applyFont="1" applyFill="1" applyBorder="1" applyAlignment="1">
      <alignment horizontal="left"/>
    </xf>
    <xf numFmtId="177" fontId="1" fillId="2" borderId="63" xfId="0" applyNumberFormat="1" applyFont="1" applyFill="1" applyBorder="1"/>
    <xf numFmtId="177" fontId="1" fillId="2" borderId="98" xfId="0" applyNumberFormat="1" applyFont="1" applyFill="1" applyBorder="1"/>
    <xf numFmtId="0" fontId="18" fillId="2" borderId="99" xfId="0" applyFont="1" applyFill="1" applyBorder="1"/>
    <xf numFmtId="177" fontId="1" fillId="2" borderId="60" xfId="0" applyNumberFormat="1" applyFont="1" applyFill="1" applyBorder="1"/>
    <xf numFmtId="177" fontId="1" fillId="2" borderId="100" xfId="0" applyNumberFormat="1" applyFont="1" applyFill="1" applyBorder="1"/>
    <xf numFmtId="177" fontId="1" fillId="2" borderId="56" xfId="0" applyNumberFormat="1" applyFont="1" applyFill="1" applyBorder="1" applyAlignment="1">
      <alignment horizontal="right"/>
    </xf>
    <xf numFmtId="0" fontId="1" fillId="2" borderId="104" xfId="0" applyFont="1" applyFill="1" applyBorder="1" applyAlignment="1">
      <alignment horizontal="left"/>
    </xf>
    <xf numFmtId="0" fontId="0" fillId="2" borderId="108" xfId="0" applyFill="1" applyBorder="1"/>
    <xf numFmtId="177" fontId="0" fillId="2" borderId="61" xfId="0" applyNumberFormat="1" applyFill="1" applyBorder="1"/>
    <xf numFmtId="177" fontId="0" fillId="2" borderId="109" xfId="0" applyNumberFormat="1" applyFill="1" applyBorder="1"/>
    <xf numFmtId="0" fontId="0" fillId="2" borderId="91" xfId="0" applyFill="1" applyBorder="1"/>
    <xf numFmtId="177" fontId="0" fillId="2" borderId="56" xfId="0" applyNumberFormat="1" applyFill="1" applyBorder="1"/>
    <xf numFmtId="177" fontId="0" fillId="2" borderId="92" xfId="0" applyNumberFormat="1" applyFill="1" applyBorder="1"/>
    <xf numFmtId="0" fontId="0" fillId="2" borderId="101" xfId="0" applyFill="1" applyBorder="1" applyAlignment="1">
      <alignment horizontal="left"/>
    </xf>
    <xf numFmtId="177" fontId="0" fillId="2" borderId="62" xfId="0" applyNumberFormat="1" applyFill="1" applyBorder="1"/>
    <xf numFmtId="177" fontId="0" fillId="2" borderId="98" xfId="0" applyNumberFormat="1" applyFill="1" applyBorder="1"/>
    <xf numFmtId="177" fontId="0" fillId="2" borderId="93" xfId="0" applyNumberFormat="1" applyFill="1" applyBorder="1"/>
    <xf numFmtId="0" fontId="0" fillId="2" borderId="101" xfId="0" applyFill="1" applyBorder="1"/>
    <xf numFmtId="0" fontId="0" fillId="2" borderId="103" xfId="0" applyFill="1" applyBorder="1"/>
    <xf numFmtId="177" fontId="0" fillId="2" borderId="55" xfId="0" applyNumberFormat="1" applyFill="1" applyBorder="1"/>
    <xf numFmtId="0" fontId="23" fillId="2" borderId="113" xfId="0" applyFont="1" applyFill="1" applyBorder="1"/>
    <xf numFmtId="9" fontId="0" fillId="0" borderId="114" xfId="11" applyFont="1" applyBorder="1"/>
    <xf numFmtId="0" fontId="18" fillId="0" borderId="115" xfId="0" applyFont="1" applyBorder="1" applyAlignment="1">
      <alignment horizontal="center"/>
    </xf>
    <xf numFmtId="177" fontId="18" fillId="0" borderId="116" xfId="0" applyNumberFormat="1" applyFont="1" applyBorder="1"/>
    <xf numFmtId="177" fontId="18" fillId="0" borderId="117" xfId="0" applyNumberFormat="1" applyFont="1" applyBorder="1"/>
    <xf numFmtId="0" fontId="18" fillId="11" borderId="104" xfId="0" applyFont="1" applyFill="1" applyBorder="1" applyAlignment="1">
      <alignment horizontal="left"/>
    </xf>
    <xf numFmtId="0" fontId="18" fillId="11" borderId="57" xfId="0" applyFont="1" applyFill="1" applyBorder="1" applyAlignment="1">
      <alignment horizontal="left"/>
    </xf>
    <xf numFmtId="0" fontId="18" fillId="11" borderId="93" xfId="0" applyFont="1" applyFill="1" applyBorder="1" applyAlignment="1">
      <alignment horizontal="left"/>
    </xf>
    <xf numFmtId="0" fontId="18" fillId="10" borderId="104" xfId="0" applyFont="1" applyFill="1" applyBorder="1" applyAlignment="1">
      <alignment horizontal="center"/>
    </xf>
    <xf numFmtId="0" fontId="18" fillId="10" borderId="57" xfId="0" applyFont="1" applyFill="1" applyBorder="1" applyAlignment="1">
      <alignment horizontal="center"/>
    </xf>
    <xf numFmtId="0" fontId="18" fillId="10" borderId="93" xfId="0" applyFont="1" applyFill="1" applyBorder="1" applyAlignment="1">
      <alignment horizontal="center"/>
    </xf>
    <xf numFmtId="0" fontId="18" fillId="0" borderId="113" xfId="0" applyFont="1" applyBorder="1" applyAlignment="1">
      <alignment horizontal="right"/>
    </xf>
    <xf numFmtId="177" fontId="20" fillId="0" borderId="118" xfId="0" applyNumberFormat="1" applyFont="1" applyBorder="1"/>
    <xf numFmtId="177" fontId="20" fillId="0" borderId="119" xfId="0" applyNumberFormat="1" applyFont="1" applyBorder="1"/>
    <xf numFmtId="0" fontId="18" fillId="0" borderId="120" xfId="0" applyFont="1" applyBorder="1" applyAlignment="1">
      <alignment horizontal="center"/>
    </xf>
    <xf numFmtId="177" fontId="18" fillId="0" borderId="121" xfId="0" applyNumberFormat="1" applyFont="1" applyBorder="1"/>
    <xf numFmtId="177" fontId="18" fillId="0" borderId="114" xfId="0" applyNumberFormat="1" applyFont="1" applyBorder="1"/>
    <xf numFmtId="0" fontId="0" fillId="3" borderId="122" xfId="0" applyFill="1" applyBorder="1"/>
    <xf numFmtId="0" fontId="0" fillId="4" borderId="123" xfId="0" applyFill="1" applyBorder="1"/>
    <xf numFmtId="0" fontId="0" fillId="4" borderId="101" xfId="0" applyFill="1" applyBorder="1"/>
    <xf numFmtId="180" fontId="0" fillId="2" borderId="102" xfId="0" applyNumberFormat="1" applyFill="1" applyBorder="1"/>
    <xf numFmtId="0" fontId="0" fillId="4" borderId="124" xfId="0" applyFill="1" applyBorder="1"/>
    <xf numFmtId="180" fontId="0" fillId="2" borderId="125" xfId="0" applyNumberFormat="1" applyFill="1" applyBorder="1"/>
    <xf numFmtId="0" fontId="0" fillId="4" borderId="122" xfId="0" applyFill="1" applyBorder="1"/>
    <xf numFmtId="0" fontId="0" fillId="2" borderId="123" xfId="0" applyNumberFormat="1" applyFill="1" applyBorder="1"/>
    <xf numFmtId="0" fontId="0" fillId="4" borderId="101" xfId="0" applyFill="1" applyBorder="1" applyAlignment="1">
      <alignment wrapText="1"/>
    </xf>
    <xf numFmtId="9" fontId="0" fillId="2" borderId="102" xfId="11" applyFont="1" applyFill="1" applyBorder="1"/>
    <xf numFmtId="167" fontId="0" fillId="2" borderId="102" xfId="0" applyNumberFormat="1" applyFill="1" applyBorder="1"/>
    <xf numFmtId="0" fontId="0" fillId="4" borderId="124" xfId="0" applyFill="1" applyBorder="1" applyAlignment="1">
      <alignment wrapText="1"/>
    </xf>
    <xf numFmtId="167" fontId="0" fillId="2" borderId="125" xfId="0" applyNumberFormat="1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6" xfId="0" applyFill="1" applyBorder="1"/>
    <xf numFmtId="182" fontId="0" fillId="2" borderId="7" xfId="0" applyNumberFormat="1" applyFill="1" applyBorder="1"/>
    <xf numFmtId="0" fontId="0" fillId="2" borderId="7" xfId="0" applyFill="1" applyBorder="1"/>
    <xf numFmtId="2" fontId="0" fillId="2" borderId="7" xfId="0" applyNumberFormat="1" applyFill="1" applyBorder="1"/>
    <xf numFmtId="182" fontId="0" fillId="2" borderId="9" xfId="0" applyNumberFormat="1" applyFill="1" applyBorder="1"/>
    <xf numFmtId="181" fontId="0" fillId="2" borderId="7" xfId="0" applyNumberFormat="1" applyFill="1" applyBorder="1"/>
    <xf numFmtId="181" fontId="0" fillId="2" borderId="9" xfId="0" applyNumberFormat="1" applyFill="1" applyBorder="1"/>
    <xf numFmtId="0" fontId="0" fillId="4" borderId="10" xfId="0" applyFill="1" applyBorder="1"/>
    <xf numFmtId="182" fontId="0" fillId="2" borderId="17" xfId="0" applyNumberFormat="1" applyFill="1" applyBorder="1"/>
    <xf numFmtId="181" fontId="0" fillId="2" borderId="17" xfId="0" applyNumberFormat="1" applyFill="1" applyBorder="1"/>
    <xf numFmtId="181" fontId="0" fillId="2" borderId="18" xfId="0" applyNumberFormat="1" applyFill="1" applyBorder="1"/>
    <xf numFmtId="0" fontId="0" fillId="4" borderId="122" xfId="0" applyFill="1" applyBorder="1" applyAlignment="1">
      <alignment wrapText="1"/>
    </xf>
    <xf numFmtId="182" fontId="0" fillId="2" borderId="123" xfId="0" applyNumberFormat="1" applyFill="1" applyBorder="1"/>
    <xf numFmtId="0" fontId="0" fillId="2" borderId="102" xfId="0" applyFill="1" applyBorder="1"/>
    <xf numFmtId="0" fontId="0" fillId="4" borderId="124" xfId="0" applyFont="1" applyFill="1" applyBorder="1"/>
    <xf numFmtId="9" fontId="0" fillId="2" borderId="125" xfId="11" applyFont="1" applyFill="1" applyBorder="1"/>
    <xf numFmtId="0" fontId="0" fillId="4" borderId="5" xfId="0" applyFill="1" applyBorder="1" applyAlignment="1">
      <alignment vertical="center" wrapText="1"/>
    </xf>
    <xf numFmtId="9" fontId="0" fillId="2" borderId="7" xfId="11" applyFont="1" applyFill="1" applyBorder="1" applyAlignment="1">
      <alignment horizontal="center" vertical="center" wrapText="1"/>
    </xf>
    <xf numFmtId="9" fontId="0" fillId="2" borderId="17" xfId="1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8" borderId="7" xfId="0" applyFill="1" applyBorder="1"/>
    <xf numFmtId="168" fontId="0" fillId="2" borderId="9" xfId="0" applyNumberFormat="1" applyFill="1" applyBorder="1" applyAlignment="1">
      <alignment horizontal="center" vertical="center"/>
    </xf>
    <xf numFmtId="0" fontId="0" fillId="8" borderId="17" xfId="0" applyFill="1" applyBorder="1"/>
    <xf numFmtId="168" fontId="0" fillId="2" borderId="17" xfId="0" applyNumberFormat="1" applyFill="1" applyBorder="1" applyAlignment="1">
      <alignment horizontal="center" vertical="center"/>
    </xf>
    <xf numFmtId="168" fontId="0" fillId="2" borderId="18" xfId="0" applyNumberFormat="1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2" borderId="7" xfId="11" applyNumberFormat="1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0" fontId="0" fillId="2" borderId="9" xfId="11" applyNumberFormat="1" applyFont="1" applyFill="1" applyBorder="1" applyAlignment="1">
      <alignment horizontal="center" vertical="center"/>
    </xf>
    <xf numFmtId="9" fontId="0" fillId="2" borderId="7" xfId="11" applyNumberFormat="1" applyFont="1" applyFill="1" applyBorder="1" applyAlignment="1">
      <alignment horizontal="center" vertical="center"/>
    </xf>
    <xf numFmtId="9" fontId="0" fillId="2" borderId="9" xfId="11" applyNumberFormat="1" applyFont="1" applyFill="1" applyBorder="1" applyAlignment="1">
      <alignment horizontal="center" vertical="center"/>
    </xf>
    <xf numFmtId="10" fontId="0" fillId="2" borderId="17" xfId="11" applyNumberFormat="1" applyFont="1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10" fontId="0" fillId="2" borderId="18" xfId="11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7" fontId="0" fillId="0" borderId="1" xfId="0" applyNumberFormat="1" applyBorder="1"/>
    <xf numFmtId="177" fontId="0" fillId="0" borderId="1" xfId="0" quotePrefix="1" applyNumberFormat="1" applyBorder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0" fontId="12" fillId="14" borderId="0" xfId="0" applyFont="1" applyFill="1" applyAlignment="1">
      <alignment horizontal="center"/>
    </xf>
    <xf numFmtId="1" fontId="0" fillId="14" borderId="1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17" borderId="1" xfId="0" applyFill="1" applyBorder="1"/>
    <xf numFmtId="0" fontId="0" fillId="15" borderId="0" xfId="0" applyFill="1"/>
    <xf numFmtId="0" fontId="0" fillId="4" borderId="1" xfId="0" applyFill="1" applyBorder="1" applyAlignment="1">
      <alignment horizontal="left" vertical="center"/>
    </xf>
    <xf numFmtId="172" fontId="0" fillId="0" borderId="1" xfId="0" applyNumberFormat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18" borderId="1" xfId="0" applyFill="1" applyBorder="1"/>
    <xf numFmtId="0" fontId="0" fillId="4" borderId="1" xfId="0" applyFill="1" applyBorder="1" applyAlignment="1">
      <alignment wrapText="1"/>
    </xf>
    <xf numFmtId="172" fontId="0" fillId="0" borderId="1" xfId="0" applyNumberFormat="1" applyBorder="1" applyAlignment="1">
      <alignment wrapText="1"/>
    </xf>
    <xf numFmtId="2" fontId="0" fillId="0" borderId="1" xfId="0" applyNumberFormat="1" applyFont="1" applyBorder="1"/>
    <xf numFmtId="9" fontId="0" fillId="0" borderId="1" xfId="11" applyFont="1" applyBorder="1"/>
    <xf numFmtId="0" fontId="0" fillId="2" borderId="1" xfId="0" applyFont="1" applyFill="1" applyBorder="1"/>
    <xf numFmtId="0" fontId="0" fillId="5" borderId="1" xfId="0" applyFont="1" applyFill="1" applyBorder="1"/>
    <xf numFmtId="0" fontId="0" fillId="0" borderId="1" xfId="0" applyFont="1" applyFill="1" applyBorder="1"/>
    <xf numFmtId="1" fontId="0" fillId="2" borderId="102" xfId="0" applyNumberFormat="1" applyFill="1" applyBorder="1"/>
    <xf numFmtId="0" fontId="17" fillId="0" borderId="0" xfId="0" applyNumberFormat="1" applyFont="1"/>
    <xf numFmtId="0" fontId="15" fillId="4" borderId="0" xfId="0" applyFont="1" applyFill="1"/>
    <xf numFmtId="0" fontId="0" fillId="3" borderId="52" xfId="0" applyFill="1" applyBorder="1"/>
    <xf numFmtId="0" fontId="0" fillId="3" borderId="52" xfId="0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172" fontId="0" fillId="14" borderId="1" xfId="0" applyNumberFormat="1" applyFill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75" fontId="0" fillId="14" borderId="1" xfId="0" applyNumberFormat="1" applyFill="1" applyBorder="1" applyAlignment="1">
      <alignment horizontal="center"/>
    </xf>
    <xf numFmtId="172" fontId="0" fillId="0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29" xfId="0" applyBorder="1" applyAlignment="1">
      <alignment horizontal="right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72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/>
    </xf>
    <xf numFmtId="172" fontId="0" fillId="0" borderId="1" xfId="0" applyNumberFormat="1" applyBorder="1" applyAlignment="1">
      <alignment horizontal="left" vertical="center"/>
    </xf>
    <xf numFmtId="172" fontId="0" fillId="0" borderId="2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172" fontId="0" fillId="0" borderId="2" xfId="0" applyNumberFormat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3" borderId="5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1" fontId="15" fillId="0" borderId="1" xfId="0" applyNumberFormat="1" applyFont="1" applyBorder="1" applyAlignment="1">
      <alignment horizontal="right"/>
    </xf>
    <xf numFmtId="172" fontId="0" fillId="0" borderId="2" xfId="0" applyNumberFormat="1" applyBorder="1" applyAlignment="1">
      <alignment horizontal="left" vertical="center"/>
    </xf>
    <xf numFmtId="172" fontId="0" fillId="0" borderId="15" xfId="0" applyNumberFormat="1" applyBorder="1" applyAlignment="1">
      <alignment horizontal="left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" fontId="15" fillId="0" borderId="1" xfId="0" applyNumberFormat="1" applyFont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44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2" fillId="4" borderId="47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12" fillId="4" borderId="10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1" fontId="0" fillId="4" borderId="2" xfId="0" applyNumberFormat="1" applyFill="1" applyBorder="1" applyAlignment="1">
      <alignment horizontal="left" vertical="center"/>
    </xf>
    <xf numFmtId="1" fontId="0" fillId="4" borderId="14" xfId="0" applyNumberFormat="1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center"/>
    </xf>
    <xf numFmtId="0" fontId="16" fillId="3" borderId="0" xfId="0" applyFont="1" applyFill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14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9" borderId="88" xfId="0" applyFont="1" applyFill="1" applyBorder="1" applyAlignment="1">
      <alignment horizontal="center" vertical="center"/>
    </xf>
    <xf numFmtId="0" fontId="19" fillId="3" borderId="89" xfId="0" applyFont="1" applyFill="1" applyBorder="1" applyAlignment="1">
      <alignment vertical="center"/>
    </xf>
    <xf numFmtId="0" fontId="19" fillId="3" borderId="90" xfId="0" applyFont="1" applyFill="1" applyBorder="1" applyAlignment="1">
      <alignment vertical="center"/>
    </xf>
    <xf numFmtId="0" fontId="18" fillId="0" borderId="38" xfId="0" applyFont="1" applyBorder="1" applyAlignment="1">
      <alignment horizontal="left"/>
    </xf>
    <xf numFmtId="0" fontId="19" fillId="0" borderId="38" xfId="0" applyFont="1" applyBorder="1"/>
    <xf numFmtId="0" fontId="0" fillId="0" borderId="38" xfId="0" applyBorder="1"/>
    <xf numFmtId="0" fontId="1" fillId="0" borderId="38" xfId="0" applyFont="1" applyBorder="1"/>
    <xf numFmtId="0" fontId="18" fillId="12" borderId="8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101" xfId="0" applyFill="1" applyBorder="1" applyAlignment="1">
      <alignment horizontal="center" vertical="center"/>
    </xf>
    <xf numFmtId="0" fontId="0" fillId="4" borderId="10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21" fillId="16" borderId="2" xfId="0" applyFont="1" applyFill="1" applyBorder="1" applyAlignment="1">
      <alignment horizontal="left" vertical="center"/>
    </xf>
    <xf numFmtId="0" fontId="21" fillId="16" borderId="14" xfId="0" applyFont="1" applyFill="1" applyBorder="1" applyAlignment="1">
      <alignment horizontal="left" vertical="center"/>
    </xf>
    <xf numFmtId="0" fontId="21" fillId="16" borderId="1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top"/>
    </xf>
    <xf numFmtId="0" fontId="0" fillId="13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4" borderId="74" xfId="0" applyFill="1" applyBorder="1" applyAlignment="1">
      <alignment horizontal="center"/>
    </xf>
    <xf numFmtId="0" fontId="12" fillId="5" borderId="69" xfId="0" applyFont="1" applyFill="1" applyBorder="1" applyAlignment="1">
      <alignment horizontal="center"/>
    </xf>
    <xf numFmtId="0" fontId="12" fillId="5" borderId="70" xfId="0" applyFont="1" applyFill="1" applyBorder="1" applyAlignment="1">
      <alignment horizontal="center"/>
    </xf>
    <xf numFmtId="0" fontId="12" fillId="5" borderId="71" xfId="0" applyFont="1" applyFill="1" applyBorder="1" applyAlignment="1">
      <alignment horizontal="center"/>
    </xf>
    <xf numFmtId="0" fontId="12" fillId="4" borderId="74" xfId="0" applyFont="1" applyFill="1" applyBorder="1" applyAlignment="1">
      <alignment horizontal="left"/>
    </xf>
    <xf numFmtId="0" fontId="12" fillId="4" borderId="40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/>
    </xf>
    <xf numFmtId="0" fontId="0" fillId="4" borderId="76" xfId="0" applyFill="1" applyBorder="1" applyAlignment="1">
      <alignment horizontal="center"/>
    </xf>
    <xf numFmtId="0" fontId="0" fillId="4" borderId="6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7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12" fillId="4" borderId="80" xfId="0" applyFont="1" applyFill="1" applyBorder="1" applyAlignment="1">
      <alignment horizontal="center"/>
    </xf>
    <xf numFmtId="0" fontId="12" fillId="4" borderId="81" xfId="0" applyFont="1" applyFill="1" applyBorder="1" applyAlignment="1">
      <alignment horizontal="center"/>
    </xf>
    <xf numFmtId="0" fontId="12" fillId="4" borderId="82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8" fontId="0" fillId="2" borderId="10" xfId="0" applyNumberForma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</cellXfs>
  <cellStyles count="14">
    <cellStyle name="Accent3" xfId="1" builtinId="37"/>
    <cellStyle name="Bad 2" xfId="6" xr:uid="{85269951-A059-4F6F-A906-E4855E70062E}"/>
    <cellStyle name="Comma" xfId="10" builtinId="3"/>
    <cellStyle name="Comma [0] 2" xfId="7" xr:uid="{55939282-A43F-43B5-8570-EFFB7D30A932}"/>
    <cellStyle name="Comma 2" xfId="3" xr:uid="{160F52B8-913D-4C27-8153-84ECEA269DF9}"/>
    <cellStyle name="Currency" xfId="8" builtinId="4"/>
    <cellStyle name="Currency 2" xfId="4" xr:uid="{1F944A02-1E9A-4D05-A927-AE51F03DF40C}"/>
    <cellStyle name="Hyperlink" xfId="9" builtinId="8"/>
    <cellStyle name="Hyperlink 2" xfId="13" xr:uid="{793248F9-C465-48D3-9350-FC4430FB8B80}"/>
    <cellStyle name="Normal" xfId="0" builtinId="0"/>
    <cellStyle name="Normal 2" xfId="2" xr:uid="{27D9F3EB-A9DC-4675-AEE3-EB5E5F8B4FDE}"/>
    <cellStyle name="Normal 3" xfId="12" xr:uid="{E98A3141-6665-4CD2-ABB6-CF57BE50F41B}"/>
    <cellStyle name="Per cent" xfId="11" builtinId="5"/>
    <cellStyle name="Percent 2" xfId="5" xr:uid="{3185FA5B-7FF6-416C-852E-C16FAD269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BEP</a:t>
            </a:r>
            <a:r>
              <a:rPr lang="en-GB" baseline="0"/>
              <a:t> Ano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'BEP + MC'!$C$32</c:f>
              <c:strCache>
                <c:ptCount val="1"/>
                <c:pt idx="0">
                  <c:v>Custos variáveis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'BEP + MC'!$B$33:$B$41</c:f>
              <c:numCache>
                <c:formatCode>0</c:formatCode>
                <c:ptCount val="9"/>
                <c:pt idx="0">
                  <c:v>0</c:v>
                </c:pt>
                <c:pt idx="1">
                  <c:v>172453.78389858778</c:v>
                </c:pt>
                <c:pt idx="2">
                  <c:v>344907.56779717555</c:v>
                </c:pt>
                <c:pt idx="3">
                  <c:v>517361.3516957633</c:v>
                </c:pt>
                <c:pt idx="4">
                  <c:v>689815.1355943511</c:v>
                </c:pt>
                <c:pt idx="5">
                  <c:v>862268.91949293891</c:v>
                </c:pt>
                <c:pt idx="6">
                  <c:v>1034722.7033915267</c:v>
                </c:pt>
                <c:pt idx="7">
                  <c:v>1207176.4872901144</c:v>
                </c:pt>
                <c:pt idx="8">
                  <c:v>1379630.2711887022</c:v>
                </c:pt>
              </c:numCache>
            </c:numRef>
          </c:cat>
          <c:val>
            <c:numRef>
              <c:f>'BEP + MC'!$C$33:$C$41</c:f>
              <c:numCache>
                <c:formatCode>#\ ##0.00\ [$€-816];\-#\ ##0.00\ [$€-816]</c:formatCode>
                <c:ptCount val="9"/>
                <c:pt idx="0">
                  <c:v>0</c:v>
                </c:pt>
                <c:pt idx="1">
                  <c:v>48137.690185499276</c:v>
                </c:pt>
                <c:pt idx="2">
                  <c:v>96275.380370998551</c:v>
                </c:pt>
                <c:pt idx="3">
                  <c:v>144413.07055649781</c:v>
                </c:pt>
                <c:pt idx="4">
                  <c:v>192550.7607419971</c:v>
                </c:pt>
                <c:pt idx="5">
                  <c:v>240688.45092749639</c:v>
                </c:pt>
                <c:pt idx="6">
                  <c:v>288826.14111299568</c:v>
                </c:pt>
                <c:pt idx="7">
                  <c:v>336963.83129849494</c:v>
                </c:pt>
                <c:pt idx="8">
                  <c:v>385101.52148399421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6D-D24B-B083-05544F13C1EF}"/>
            </c:ext>
          </c:extLst>
        </c:ser>
        <c:ser>
          <c:idx val="2"/>
          <c:order val="1"/>
          <c:tx>
            <c:strRef>
              <c:f>'BEP + MC'!$D$32</c:f>
              <c:strCache>
                <c:ptCount val="1"/>
                <c:pt idx="0">
                  <c:v>Custos Fixos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'BEP + MC'!$B$33:$B$41</c:f>
              <c:numCache>
                <c:formatCode>0</c:formatCode>
                <c:ptCount val="9"/>
                <c:pt idx="0">
                  <c:v>0</c:v>
                </c:pt>
                <c:pt idx="1">
                  <c:v>172453.78389858778</c:v>
                </c:pt>
                <c:pt idx="2">
                  <c:v>344907.56779717555</c:v>
                </c:pt>
                <c:pt idx="3">
                  <c:v>517361.3516957633</c:v>
                </c:pt>
                <c:pt idx="4">
                  <c:v>689815.1355943511</c:v>
                </c:pt>
                <c:pt idx="5">
                  <c:v>862268.91949293891</c:v>
                </c:pt>
                <c:pt idx="6">
                  <c:v>1034722.7033915267</c:v>
                </c:pt>
                <c:pt idx="7">
                  <c:v>1207176.4872901144</c:v>
                </c:pt>
                <c:pt idx="8">
                  <c:v>1379630.2711887022</c:v>
                </c:pt>
              </c:numCache>
            </c:numRef>
          </c:cat>
          <c:val>
            <c:numRef>
              <c:f>'BEP + MC'!$D$33:$D$41</c:f>
              <c:numCache>
                <c:formatCode>#\ ##0.00\ [$€-816];\-#\ ##0.00\ [$€-816]</c:formatCode>
                <c:ptCount val="9"/>
                <c:pt idx="0">
                  <c:v>670652.68349593494</c:v>
                </c:pt>
                <c:pt idx="1">
                  <c:v>670652.68349593494</c:v>
                </c:pt>
                <c:pt idx="2">
                  <c:v>670652.68349593494</c:v>
                </c:pt>
                <c:pt idx="3">
                  <c:v>670652.68349593494</c:v>
                </c:pt>
                <c:pt idx="4">
                  <c:v>670652.68349593494</c:v>
                </c:pt>
                <c:pt idx="5">
                  <c:v>670652.68349593494</c:v>
                </c:pt>
                <c:pt idx="6">
                  <c:v>670652.68349593494</c:v>
                </c:pt>
                <c:pt idx="7">
                  <c:v>670652.68349593494</c:v>
                </c:pt>
                <c:pt idx="8">
                  <c:v>670652.68349593494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6D-D24B-B083-05544F13C1EF}"/>
            </c:ext>
          </c:extLst>
        </c:ser>
        <c:ser>
          <c:idx val="3"/>
          <c:order val="2"/>
          <c:tx>
            <c:strRef>
              <c:f>'BEP + MC'!$E$32</c:f>
              <c:strCache>
                <c:ptCount val="1"/>
                <c:pt idx="0">
                  <c:v>Total Custos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'BEP + MC'!$B$33:$B$41</c:f>
              <c:numCache>
                <c:formatCode>0</c:formatCode>
                <c:ptCount val="9"/>
                <c:pt idx="0">
                  <c:v>0</c:v>
                </c:pt>
                <c:pt idx="1">
                  <c:v>172453.78389858778</c:v>
                </c:pt>
                <c:pt idx="2">
                  <c:v>344907.56779717555</c:v>
                </c:pt>
                <c:pt idx="3">
                  <c:v>517361.3516957633</c:v>
                </c:pt>
                <c:pt idx="4">
                  <c:v>689815.1355943511</c:v>
                </c:pt>
                <c:pt idx="5">
                  <c:v>862268.91949293891</c:v>
                </c:pt>
                <c:pt idx="6">
                  <c:v>1034722.7033915267</c:v>
                </c:pt>
                <c:pt idx="7">
                  <c:v>1207176.4872901144</c:v>
                </c:pt>
                <c:pt idx="8">
                  <c:v>1379630.2711887022</c:v>
                </c:pt>
              </c:numCache>
            </c:numRef>
          </c:cat>
          <c:val>
            <c:numRef>
              <c:f>'BEP + MC'!$E$33:$E$41</c:f>
              <c:numCache>
                <c:formatCode>#\ ##0.00\ [$€-816];\-#\ ##0.00\ [$€-816]</c:formatCode>
                <c:ptCount val="9"/>
                <c:pt idx="0">
                  <c:v>670652.68349593494</c:v>
                </c:pt>
                <c:pt idx="1">
                  <c:v>718790.3736814342</c:v>
                </c:pt>
                <c:pt idx="2">
                  <c:v>766928.06386693346</c:v>
                </c:pt>
                <c:pt idx="3">
                  <c:v>815065.75405243272</c:v>
                </c:pt>
                <c:pt idx="4">
                  <c:v>863203.4442379321</c:v>
                </c:pt>
                <c:pt idx="5">
                  <c:v>911341.13442343136</c:v>
                </c:pt>
                <c:pt idx="6">
                  <c:v>959478.82460893062</c:v>
                </c:pt>
                <c:pt idx="7">
                  <c:v>1007616.5147944299</c:v>
                </c:pt>
                <c:pt idx="8">
                  <c:v>1055754.2049799291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6D-D24B-B083-05544F13C1EF}"/>
            </c:ext>
          </c:extLst>
        </c:ser>
        <c:ser>
          <c:idx val="4"/>
          <c:order val="3"/>
          <c:tx>
            <c:strRef>
              <c:f>'BEP + MC'!$F$32</c:f>
              <c:strCache>
                <c:ptCount val="1"/>
                <c:pt idx="0">
                  <c:v>MC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'BEP + MC'!$B$33:$B$41</c:f>
              <c:numCache>
                <c:formatCode>0</c:formatCode>
                <c:ptCount val="9"/>
                <c:pt idx="0">
                  <c:v>0</c:v>
                </c:pt>
                <c:pt idx="1">
                  <c:v>172453.78389858778</c:v>
                </c:pt>
                <c:pt idx="2">
                  <c:v>344907.56779717555</c:v>
                </c:pt>
                <c:pt idx="3">
                  <c:v>517361.3516957633</c:v>
                </c:pt>
                <c:pt idx="4">
                  <c:v>689815.1355943511</c:v>
                </c:pt>
                <c:pt idx="5">
                  <c:v>862268.91949293891</c:v>
                </c:pt>
                <c:pt idx="6">
                  <c:v>1034722.7033915267</c:v>
                </c:pt>
                <c:pt idx="7">
                  <c:v>1207176.4872901144</c:v>
                </c:pt>
                <c:pt idx="8">
                  <c:v>1379630.2711887022</c:v>
                </c:pt>
              </c:numCache>
            </c:numRef>
          </c:cat>
          <c:val>
            <c:numRef>
              <c:f>'BEP + MC'!$F$33:$F$41</c:f>
              <c:numCache>
                <c:formatCode>#\ ##0.00\ [$€-816];\-#\ ##0.00\ [$€-816]</c:formatCode>
                <c:ptCount val="9"/>
                <c:pt idx="0">
                  <c:v>0</c:v>
                </c:pt>
                <c:pt idx="1">
                  <c:v>134130.53669918698</c:v>
                </c:pt>
                <c:pt idx="2">
                  <c:v>268261.07339837396</c:v>
                </c:pt>
                <c:pt idx="3">
                  <c:v>402391.61009756092</c:v>
                </c:pt>
                <c:pt idx="4">
                  <c:v>536522.14679674793</c:v>
                </c:pt>
                <c:pt idx="5">
                  <c:v>670652.68349593494</c:v>
                </c:pt>
                <c:pt idx="6">
                  <c:v>804783.22019512195</c:v>
                </c:pt>
                <c:pt idx="7">
                  <c:v>938913.75689430884</c:v>
                </c:pt>
                <c:pt idx="8">
                  <c:v>1073044.2935934959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D-D24B-B083-05544F13C1EF}"/>
            </c:ext>
          </c:extLst>
        </c:ser>
        <c:ser>
          <c:idx val="5"/>
          <c:order val="4"/>
          <c:tx>
            <c:strRef>
              <c:f>'BEP + MC'!$G$32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'BEP + MC'!$B$33:$B$41</c:f>
              <c:numCache>
                <c:formatCode>0</c:formatCode>
                <c:ptCount val="9"/>
                <c:pt idx="0">
                  <c:v>0</c:v>
                </c:pt>
                <c:pt idx="1">
                  <c:v>172453.78389858778</c:v>
                </c:pt>
                <c:pt idx="2">
                  <c:v>344907.56779717555</c:v>
                </c:pt>
                <c:pt idx="3">
                  <c:v>517361.3516957633</c:v>
                </c:pt>
                <c:pt idx="4">
                  <c:v>689815.1355943511</c:v>
                </c:pt>
                <c:pt idx="5">
                  <c:v>862268.91949293891</c:v>
                </c:pt>
                <c:pt idx="6">
                  <c:v>1034722.7033915267</c:v>
                </c:pt>
                <c:pt idx="7">
                  <c:v>1207176.4872901144</c:v>
                </c:pt>
                <c:pt idx="8">
                  <c:v>1379630.2711887022</c:v>
                </c:pt>
              </c:numCache>
            </c:numRef>
          </c:cat>
          <c:val>
            <c:numRef>
              <c:f>'BEP + MC'!$G$33:$G$41</c:f>
              <c:numCache>
                <c:formatCode>#\ ##0.00\ [$€-816];\-#\ ##0.00\ [$€-816]</c:formatCode>
                <c:ptCount val="9"/>
                <c:pt idx="0">
                  <c:v>0</c:v>
                </c:pt>
                <c:pt idx="1">
                  <c:v>182268.22688468627</c:v>
                </c:pt>
                <c:pt idx="2">
                  <c:v>364536.45376937254</c:v>
                </c:pt>
                <c:pt idx="3">
                  <c:v>546804.6806540587</c:v>
                </c:pt>
                <c:pt idx="4">
                  <c:v>729072.90753874509</c:v>
                </c:pt>
                <c:pt idx="5">
                  <c:v>911341.13442343136</c:v>
                </c:pt>
                <c:pt idx="6">
                  <c:v>1093609.3613081176</c:v>
                </c:pt>
                <c:pt idx="7">
                  <c:v>1275877.5881928038</c:v>
                </c:pt>
                <c:pt idx="8">
                  <c:v>1458145.8150774902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6D-D24B-B083-05544F13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93056"/>
        <c:axId val="1712001488"/>
      </c:lineChart>
      <c:catAx>
        <c:axId val="1711693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2001488"/>
        <c:crosses val="autoZero"/>
        <c:auto val="1"/>
        <c:lblAlgn val="ctr"/>
        <c:lblOffset val="100"/>
        <c:noMultiLvlLbl val="0"/>
      </c:catAx>
      <c:valAx>
        <c:axId val="1712001488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1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BEP</a:t>
            </a:r>
            <a:r>
              <a:rPr lang="en-GB" baseline="0"/>
              <a:t> Ano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'BEP + MC'!$C$32</c:f>
              <c:strCache>
                <c:ptCount val="1"/>
                <c:pt idx="0">
                  <c:v>Custos variáveis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'BEP + MC'!$B$51:$B$60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170959.05813676954</c:v>
                </c:pt>
                <c:pt idx="2">
                  <c:v>341918.11627353908</c:v>
                </c:pt>
                <c:pt idx="3">
                  <c:v>512877.17441030859</c:v>
                </c:pt>
                <c:pt idx="4">
                  <c:v>683836.23254707817</c:v>
                </c:pt>
                <c:pt idx="5">
                  <c:v>854795.29068384774</c:v>
                </c:pt>
                <c:pt idx="6">
                  <c:v>1025754.3488206173</c:v>
                </c:pt>
                <c:pt idx="7">
                  <c:v>1196713.4069573868</c:v>
                </c:pt>
                <c:pt idx="8">
                  <c:v>1367672.4650941563</c:v>
                </c:pt>
                <c:pt idx="9">
                  <c:v>1538631.5232309259</c:v>
                </c:pt>
              </c:numCache>
            </c:numRef>
          </c:cat>
          <c:val>
            <c:numRef>
              <c:f>'BEP + MC'!$C$51:$C$60</c:f>
              <c:numCache>
                <c:formatCode>#\ ##0.00\ [$€-816];\-#\ ##0.00\ [$€-816]</c:formatCode>
                <c:ptCount val="10"/>
                <c:pt idx="0">
                  <c:v>0</c:v>
                </c:pt>
                <c:pt idx="1">
                  <c:v>47666.394664878368</c:v>
                </c:pt>
                <c:pt idx="2">
                  <c:v>95332.789329756735</c:v>
                </c:pt>
                <c:pt idx="3">
                  <c:v>142999.1839946351</c:v>
                </c:pt>
                <c:pt idx="4">
                  <c:v>190665.57865951347</c:v>
                </c:pt>
                <c:pt idx="5">
                  <c:v>238331.97332439185</c:v>
                </c:pt>
                <c:pt idx="6">
                  <c:v>285998.36798927025</c:v>
                </c:pt>
                <c:pt idx="7">
                  <c:v>333664.76265414857</c:v>
                </c:pt>
                <c:pt idx="8">
                  <c:v>381331.15731902694</c:v>
                </c:pt>
                <c:pt idx="9">
                  <c:v>428997.55198390532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B-4A43-8B7A-F7F1D10A539E}"/>
            </c:ext>
          </c:extLst>
        </c:ser>
        <c:ser>
          <c:idx val="2"/>
          <c:order val="1"/>
          <c:tx>
            <c:strRef>
              <c:f>'BEP + MC'!$D$32</c:f>
              <c:strCache>
                <c:ptCount val="1"/>
                <c:pt idx="0">
                  <c:v>Custos Fixos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'BEP + MC'!$B$51:$B$60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170959.05813676954</c:v>
                </c:pt>
                <c:pt idx="2">
                  <c:v>341918.11627353908</c:v>
                </c:pt>
                <c:pt idx="3">
                  <c:v>512877.17441030859</c:v>
                </c:pt>
                <c:pt idx="4">
                  <c:v>683836.23254707817</c:v>
                </c:pt>
                <c:pt idx="5">
                  <c:v>854795.29068384774</c:v>
                </c:pt>
                <c:pt idx="6">
                  <c:v>1025754.3488206173</c:v>
                </c:pt>
                <c:pt idx="7">
                  <c:v>1196713.4069573868</c:v>
                </c:pt>
                <c:pt idx="8">
                  <c:v>1367672.4650941563</c:v>
                </c:pt>
                <c:pt idx="9">
                  <c:v>1538631.5232309259</c:v>
                </c:pt>
              </c:numCache>
            </c:numRef>
          </c:cat>
          <c:val>
            <c:numRef>
              <c:f>'BEP + MC'!$D$51:$D$60</c:f>
              <c:numCache>
                <c:formatCode>#\ ##0.00\ [$€-816];\-#\ ##0.00\ [$€-816]</c:formatCode>
                <c:ptCount val="10"/>
                <c:pt idx="0">
                  <c:v>665110.20382113825</c:v>
                </c:pt>
                <c:pt idx="1">
                  <c:v>665110.20382113825</c:v>
                </c:pt>
                <c:pt idx="2">
                  <c:v>665110.20382113825</c:v>
                </c:pt>
                <c:pt idx="3">
                  <c:v>665110.20382113825</c:v>
                </c:pt>
                <c:pt idx="4">
                  <c:v>665110.20382113825</c:v>
                </c:pt>
                <c:pt idx="5">
                  <c:v>665110.20382113825</c:v>
                </c:pt>
                <c:pt idx="6">
                  <c:v>665110.20382113825</c:v>
                </c:pt>
                <c:pt idx="7">
                  <c:v>665110.20382113825</c:v>
                </c:pt>
                <c:pt idx="8">
                  <c:v>665110.20382113825</c:v>
                </c:pt>
                <c:pt idx="9">
                  <c:v>665110.20382113825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B-4A43-8B7A-F7F1D10A539E}"/>
            </c:ext>
          </c:extLst>
        </c:ser>
        <c:ser>
          <c:idx val="3"/>
          <c:order val="2"/>
          <c:tx>
            <c:strRef>
              <c:f>'BEP + MC'!$E$32</c:f>
              <c:strCache>
                <c:ptCount val="1"/>
                <c:pt idx="0">
                  <c:v>Total Custos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'BEP + MC'!$B$51:$B$60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170959.05813676954</c:v>
                </c:pt>
                <c:pt idx="2">
                  <c:v>341918.11627353908</c:v>
                </c:pt>
                <c:pt idx="3">
                  <c:v>512877.17441030859</c:v>
                </c:pt>
                <c:pt idx="4">
                  <c:v>683836.23254707817</c:v>
                </c:pt>
                <c:pt idx="5">
                  <c:v>854795.29068384774</c:v>
                </c:pt>
                <c:pt idx="6">
                  <c:v>1025754.3488206173</c:v>
                </c:pt>
                <c:pt idx="7">
                  <c:v>1196713.4069573868</c:v>
                </c:pt>
                <c:pt idx="8">
                  <c:v>1367672.4650941563</c:v>
                </c:pt>
                <c:pt idx="9">
                  <c:v>1538631.5232309259</c:v>
                </c:pt>
              </c:numCache>
            </c:numRef>
          </c:cat>
          <c:val>
            <c:numRef>
              <c:f>'BEP + MC'!$E$51:$E$60</c:f>
              <c:numCache>
                <c:formatCode>#\ ##0.00\ [$€-816];\-#\ ##0.00\ [$€-816]</c:formatCode>
                <c:ptCount val="10"/>
                <c:pt idx="0">
                  <c:v>665110.20382113825</c:v>
                </c:pt>
                <c:pt idx="1">
                  <c:v>712776.59848601662</c:v>
                </c:pt>
                <c:pt idx="2">
                  <c:v>760442.993150895</c:v>
                </c:pt>
                <c:pt idx="3">
                  <c:v>808109.38781577337</c:v>
                </c:pt>
                <c:pt idx="4">
                  <c:v>855775.78248065175</c:v>
                </c:pt>
                <c:pt idx="5">
                  <c:v>903442.17714553012</c:v>
                </c:pt>
                <c:pt idx="6">
                  <c:v>951108.5718104085</c:v>
                </c:pt>
                <c:pt idx="7">
                  <c:v>998774.96647528675</c:v>
                </c:pt>
                <c:pt idx="8">
                  <c:v>1046441.3611401652</c:v>
                </c:pt>
                <c:pt idx="9">
                  <c:v>1094107.7558050435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B-4A43-8B7A-F7F1D10A539E}"/>
            </c:ext>
          </c:extLst>
        </c:ser>
        <c:ser>
          <c:idx val="4"/>
          <c:order val="3"/>
          <c:tx>
            <c:strRef>
              <c:f>'BEP + MC'!$F$32</c:f>
              <c:strCache>
                <c:ptCount val="1"/>
                <c:pt idx="0">
                  <c:v>MC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'BEP + MC'!$B$51:$B$60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170959.05813676954</c:v>
                </c:pt>
                <c:pt idx="2">
                  <c:v>341918.11627353908</c:v>
                </c:pt>
                <c:pt idx="3">
                  <c:v>512877.17441030859</c:v>
                </c:pt>
                <c:pt idx="4">
                  <c:v>683836.23254707817</c:v>
                </c:pt>
                <c:pt idx="5">
                  <c:v>854795.29068384774</c:v>
                </c:pt>
                <c:pt idx="6">
                  <c:v>1025754.3488206173</c:v>
                </c:pt>
                <c:pt idx="7">
                  <c:v>1196713.4069573868</c:v>
                </c:pt>
                <c:pt idx="8">
                  <c:v>1367672.4650941563</c:v>
                </c:pt>
                <c:pt idx="9">
                  <c:v>1538631.5232309259</c:v>
                </c:pt>
              </c:numCache>
            </c:numRef>
          </c:cat>
          <c:val>
            <c:numRef>
              <c:f>'BEP + MC'!$F$51:$F$60</c:f>
              <c:numCache>
                <c:formatCode>#\ ##0.00\ [$€-816];\-#\ ##0.00\ [$€-816]</c:formatCode>
                <c:ptCount val="10"/>
                <c:pt idx="0">
                  <c:v>0</c:v>
                </c:pt>
                <c:pt idx="1">
                  <c:v>133022.04076422766</c:v>
                </c:pt>
                <c:pt idx="2">
                  <c:v>266044.08152845531</c:v>
                </c:pt>
                <c:pt idx="3">
                  <c:v>399066.12229268294</c:v>
                </c:pt>
                <c:pt idx="4">
                  <c:v>532088.16305691062</c:v>
                </c:pt>
                <c:pt idx="5">
                  <c:v>665110.20382113825</c:v>
                </c:pt>
                <c:pt idx="6">
                  <c:v>798132.24458536587</c:v>
                </c:pt>
                <c:pt idx="7">
                  <c:v>931154.2853495935</c:v>
                </c:pt>
                <c:pt idx="8">
                  <c:v>1064176.3261138212</c:v>
                </c:pt>
                <c:pt idx="9">
                  <c:v>1197198.3668780487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B-4A43-8B7A-F7F1D10A539E}"/>
            </c:ext>
          </c:extLst>
        </c:ser>
        <c:ser>
          <c:idx val="5"/>
          <c:order val="4"/>
          <c:tx>
            <c:strRef>
              <c:f>'BEP + MC'!$G$32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'BEP + MC'!$B$51:$B$60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170959.05813676954</c:v>
                </c:pt>
                <c:pt idx="2">
                  <c:v>341918.11627353908</c:v>
                </c:pt>
                <c:pt idx="3">
                  <c:v>512877.17441030859</c:v>
                </c:pt>
                <c:pt idx="4">
                  <c:v>683836.23254707817</c:v>
                </c:pt>
                <c:pt idx="5">
                  <c:v>854795.29068384774</c:v>
                </c:pt>
                <c:pt idx="6">
                  <c:v>1025754.3488206173</c:v>
                </c:pt>
                <c:pt idx="7">
                  <c:v>1196713.4069573868</c:v>
                </c:pt>
                <c:pt idx="8">
                  <c:v>1367672.4650941563</c:v>
                </c:pt>
                <c:pt idx="9">
                  <c:v>1538631.5232309259</c:v>
                </c:pt>
              </c:numCache>
            </c:numRef>
          </c:cat>
          <c:val>
            <c:numRef>
              <c:f>'BEP + MC'!$G$51:$G$60</c:f>
              <c:numCache>
                <c:formatCode>#\ ##0.00\ [$€-816];\-#\ ##0.00\ [$€-816]</c:formatCode>
                <c:ptCount val="10"/>
                <c:pt idx="0">
                  <c:v>0</c:v>
                </c:pt>
                <c:pt idx="1">
                  <c:v>180688.435429106</c:v>
                </c:pt>
                <c:pt idx="2">
                  <c:v>361376.870858212</c:v>
                </c:pt>
                <c:pt idx="3">
                  <c:v>542065.306287318</c:v>
                </c:pt>
                <c:pt idx="4">
                  <c:v>722753.741716424</c:v>
                </c:pt>
                <c:pt idx="5">
                  <c:v>903442.17714553012</c:v>
                </c:pt>
                <c:pt idx="6">
                  <c:v>1084130.6125746362</c:v>
                </c:pt>
                <c:pt idx="7">
                  <c:v>1264819.048003742</c:v>
                </c:pt>
                <c:pt idx="8">
                  <c:v>1445507.483432848</c:v>
                </c:pt>
                <c:pt idx="9">
                  <c:v>1626195.9188619542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A43-8B7A-F7F1D10A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93056"/>
        <c:axId val="1712001488"/>
      </c:lineChart>
      <c:catAx>
        <c:axId val="1711693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2001488"/>
        <c:crosses val="autoZero"/>
        <c:auto val="1"/>
        <c:lblAlgn val="ctr"/>
        <c:lblOffset val="100"/>
        <c:noMultiLvlLbl val="0"/>
      </c:catAx>
      <c:valAx>
        <c:axId val="1712001488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1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BEP</a:t>
            </a:r>
            <a:r>
              <a:rPr lang="en-GB" baseline="0"/>
              <a:t> Ano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'BEP + MC'!$C$32</c:f>
              <c:strCache>
                <c:ptCount val="1"/>
                <c:pt idx="0">
                  <c:v>Custos variáveis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'BEP + MC'!$B$70:$B$79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170713.65026923583</c:v>
                </c:pt>
                <c:pt idx="2">
                  <c:v>341427.30053847167</c:v>
                </c:pt>
                <c:pt idx="3">
                  <c:v>512140.9508077075</c:v>
                </c:pt>
                <c:pt idx="4">
                  <c:v>682854.60107694333</c:v>
                </c:pt>
                <c:pt idx="5">
                  <c:v>853568.25134617917</c:v>
                </c:pt>
                <c:pt idx="6">
                  <c:v>1024281.901615415</c:v>
                </c:pt>
                <c:pt idx="7">
                  <c:v>1194995.5518846507</c:v>
                </c:pt>
                <c:pt idx="8">
                  <c:v>1365709.2021538867</c:v>
                </c:pt>
                <c:pt idx="9">
                  <c:v>1536422.8524231226</c:v>
                </c:pt>
              </c:numCache>
            </c:numRef>
          </c:cat>
          <c:val>
            <c:numRef>
              <c:f>'BEP + MC'!$C$70:$C$79</c:f>
              <c:numCache>
                <c:formatCode>_-* #\ ##0.00\ [$€-816]_-;\-* #\ ##0.00\ [$€-816]_-;_-* "-"??\ [$€-816]_-;_-@_-</c:formatCode>
                <c:ptCount val="10"/>
                <c:pt idx="0">
                  <c:v>0</c:v>
                </c:pt>
                <c:pt idx="1">
                  <c:v>47510.091634151686</c:v>
                </c:pt>
                <c:pt idx="2">
                  <c:v>95020.183268303372</c:v>
                </c:pt>
                <c:pt idx="3">
                  <c:v>142530.27490245507</c:v>
                </c:pt>
                <c:pt idx="4">
                  <c:v>190040.36653660674</c:v>
                </c:pt>
                <c:pt idx="5">
                  <c:v>237550.45817075844</c:v>
                </c:pt>
                <c:pt idx="6">
                  <c:v>285060.54980491014</c:v>
                </c:pt>
                <c:pt idx="7">
                  <c:v>332570.64143906179</c:v>
                </c:pt>
                <c:pt idx="8">
                  <c:v>380080.73307321349</c:v>
                </c:pt>
                <c:pt idx="9">
                  <c:v>427590.82470736519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C-454E-B45C-E1CEFE82A10D}"/>
            </c:ext>
          </c:extLst>
        </c:ser>
        <c:ser>
          <c:idx val="2"/>
          <c:order val="1"/>
          <c:tx>
            <c:strRef>
              <c:f>'BEP + MC'!$D$32</c:f>
              <c:strCache>
                <c:ptCount val="1"/>
                <c:pt idx="0">
                  <c:v>Custos Fixos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'BEP + MC'!$B$70:$B$79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170713.65026923583</c:v>
                </c:pt>
                <c:pt idx="2">
                  <c:v>341427.30053847167</c:v>
                </c:pt>
                <c:pt idx="3">
                  <c:v>512140.9508077075</c:v>
                </c:pt>
                <c:pt idx="4">
                  <c:v>682854.60107694333</c:v>
                </c:pt>
                <c:pt idx="5">
                  <c:v>853568.25134617917</c:v>
                </c:pt>
                <c:pt idx="6">
                  <c:v>1024281.901615415</c:v>
                </c:pt>
                <c:pt idx="7">
                  <c:v>1194995.5518846507</c:v>
                </c:pt>
                <c:pt idx="8">
                  <c:v>1365709.2021538867</c:v>
                </c:pt>
                <c:pt idx="9">
                  <c:v>1536422.8524231226</c:v>
                </c:pt>
              </c:numCache>
            </c:numRef>
          </c:cat>
          <c:val>
            <c:numRef>
              <c:f>'BEP + MC'!$D$70:$D$79</c:f>
              <c:numCache>
                <c:formatCode>#\ ##0.00\ [$€-816];\-#\ ##0.00\ [$€-816]</c:formatCode>
                <c:ptCount val="10"/>
                <c:pt idx="0">
                  <c:v>664594.84813008131</c:v>
                </c:pt>
                <c:pt idx="1">
                  <c:v>664594.84813008131</c:v>
                </c:pt>
                <c:pt idx="2">
                  <c:v>664594.84813008131</c:v>
                </c:pt>
                <c:pt idx="3">
                  <c:v>664594.84813008131</c:v>
                </c:pt>
                <c:pt idx="4">
                  <c:v>664594.84813008131</c:v>
                </c:pt>
                <c:pt idx="5">
                  <c:v>664594.84813008131</c:v>
                </c:pt>
                <c:pt idx="6">
                  <c:v>664594.84813008131</c:v>
                </c:pt>
                <c:pt idx="7">
                  <c:v>664594.84813008131</c:v>
                </c:pt>
                <c:pt idx="8">
                  <c:v>664594.84813008131</c:v>
                </c:pt>
                <c:pt idx="9">
                  <c:v>664594.84813008131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C-454E-B45C-E1CEFE82A10D}"/>
            </c:ext>
          </c:extLst>
        </c:ser>
        <c:ser>
          <c:idx val="3"/>
          <c:order val="2"/>
          <c:tx>
            <c:strRef>
              <c:f>'BEP + MC'!$E$32</c:f>
              <c:strCache>
                <c:ptCount val="1"/>
                <c:pt idx="0">
                  <c:v>Total Custos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'BEP + MC'!$B$70:$B$79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170713.65026923583</c:v>
                </c:pt>
                <c:pt idx="2">
                  <c:v>341427.30053847167</c:v>
                </c:pt>
                <c:pt idx="3">
                  <c:v>512140.9508077075</c:v>
                </c:pt>
                <c:pt idx="4">
                  <c:v>682854.60107694333</c:v>
                </c:pt>
                <c:pt idx="5">
                  <c:v>853568.25134617917</c:v>
                </c:pt>
                <c:pt idx="6">
                  <c:v>1024281.901615415</c:v>
                </c:pt>
                <c:pt idx="7">
                  <c:v>1194995.5518846507</c:v>
                </c:pt>
                <c:pt idx="8">
                  <c:v>1365709.2021538867</c:v>
                </c:pt>
                <c:pt idx="9">
                  <c:v>1536422.8524231226</c:v>
                </c:pt>
              </c:numCache>
            </c:numRef>
          </c:cat>
          <c:val>
            <c:numRef>
              <c:f>'BEP + MC'!$E$70:$E$79</c:f>
              <c:numCache>
                <c:formatCode>#\ ##0.00\ [$€-816];\-#\ ##0.00\ [$€-816]</c:formatCode>
                <c:ptCount val="10"/>
                <c:pt idx="0">
                  <c:v>664594.84813008131</c:v>
                </c:pt>
                <c:pt idx="1">
                  <c:v>712104.93976423296</c:v>
                </c:pt>
                <c:pt idx="2">
                  <c:v>759615.03139838472</c:v>
                </c:pt>
                <c:pt idx="3">
                  <c:v>807125.12303253636</c:v>
                </c:pt>
                <c:pt idx="4">
                  <c:v>854635.21466668812</c:v>
                </c:pt>
                <c:pt idx="5">
                  <c:v>902145.30630083976</c:v>
                </c:pt>
                <c:pt idx="6">
                  <c:v>949655.3979349914</c:v>
                </c:pt>
                <c:pt idx="7">
                  <c:v>997165.48956914316</c:v>
                </c:pt>
                <c:pt idx="8">
                  <c:v>1044675.5812032948</c:v>
                </c:pt>
                <c:pt idx="9">
                  <c:v>1092185.6728374464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C-454E-B45C-E1CEFE82A10D}"/>
            </c:ext>
          </c:extLst>
        </c:ser>
        <c:ser>
          <c:idx val="4"/>
          <c:order val="3"/>
          <c:tx>
            <c:strRef>
              <c:f>'BEP + MC'!$F$32</c:f>
              <c:strCache>
                <c:ptCount val="1"/>
                <c:pt idx="0">
                  <c:v>MC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'BEP + MC'!$B$70:$B$79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170713.65026923583</c:v>
                </c:pt>
                <c:pt idx="2">
                  <c:v>341427.30053847167</c:v>
                </c:pt>
                <c:pt idx="3">
                  <c:v>512140.9508077075</c:v>
                </c:pt>
                <c:pt idx="4">
                  <c:v>682854.60107694333</c:v>
                </c:pt>
                <c:pt idx="5">
                  <c:v>853568.25134617917</c:v>
                </c:pt>
                <c:pt idx="6">
                  <c:v>1024281.901615415</c:v>
                </c:pt>
                <c:pt idx="7">
                  <c:v>1194995.5518846507</c:v>
                </c:pt>
                <c:pt idx="8">
                  <c:v>1365709.2021538867</c:v>
                </c:pt>
                <c:pt idx="9">
                  <c:v>1536422.8524231226</c:v>
                </c:pt>
              </c:numCache>
            </c:numRef>
          </c:cat>
          <c:val>
            <c:numRef>
              <c:f>'BEP + MC'!$F$70:$F$79</c:f>
              <c:numCache>
                <c:formatCode>#\ ##0.00\ [$€-816];\-#\ ##0.00\ [$€-816]</c:formatCode>
                <c:ptCount val="10"/>
                <c:pt idx="0">
                  <c:v>0</c:v>
                </c:pt>
                <c:pt idx="1">
                  <c:v>132918.96962601627</c:v>
                </c:pt>
                <c:pt idx="2">
                  <c:v>265837.93925203255</c:v>
                </c:pt>
                <c:pt idx="3">
                  <c:v>398756.90887804877</c:v>
                </c:pt>
                <c:pt idx="4">
                  <c:v>531675.8785040651</c:v>
                </c:pt>
                <c:pt idx="5">
                  <c:v>664594.84813008131</c:v>
                </c:pt>
                <c:pt idx="6">
                  <c:v>797513.81775609753</c:v>
                </c:pt>
                <c:pt idx="7">
                  <c:v>930432.78738211375</c:v>
                </c:pt>
                <c:pt idx="8">
                  <c:v>1063351.7570081302</c:v>
                </c:pt>
                <c:pt idx="9">
                  <c:v>1196270.7266341464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C-454E-B45C-E1CEFE82A10D}"/>
            </c:ext>
          </c:extLst>
        </c:ser>
        <c:ser>
          <c:idx val="5"/>
          <c:order val="4"/>
          <c:tx>
            <c:strRef>
              <c:f>'BEP + MC'!$G$32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'BEP + MC'!$B$70:$B$79</c:f>
              <c:numCache>
                <c:formatCode>0.00</c:formatCode>
                <c:ptCount val="10"/>
                <c:pt idx="0" formatCode="0">
                  <c:v>0</c:v>
                </c:pt>
                <c:pt idx="1">
                  <c:v>170713.65026923583</c:v>
                </c:pt>
                <c:pt idx="2">
                  <c:v>341427.30053847167</c:v>
                </c:pt>
                <c:pt idx="3">
                  <c:v>512140.9508077075</c:v>
                </c:pt>
                <c:pt idx="4">
                  <c:v>682854.60107694333</c:v>
                </c:pt>
                <c:pt idx="5">
                  <c:v>853568.25134617917</c:v>
                </c:pt>
                <c:pt idx="6">
                  <c:v>1024281.901615415</c:v>
                </c:pt>
                <c:pt idx="7">
                  <c:v>1194995.5518846507</c:v>
                </c:pt>
                <c:pt idx="8">
                  <c:v>1365709.2021538867</c:v>
                </c:pt>
                <c:pt idx="9">
                  <c:v>1536422.8524231226</c:v>
                </c:pt>
              </c:numCache>
            </c:numRef>
          </c:cat>
          <c:val>
            <c:numRef>
              <c:f>'BEP + MC'!$G$70:$G$79</c:f>
              <c:numCache>
                <c:formatCode>#\ ##0.00\ [$€-816];\-#\ ##0.00\ [$€-816]</c:formatCode>
                <c:ptCount val="10"/>
                <c:pt idx="0">
                  <c:v>0</c:v>
                </c:pt>
                <c:pt idx="1">
                  <c:v>180429.06126016795</c:v>
                </c:pt>
                <c:pt idx="2">
                  <c:v>360858.12252033589</c:v>
                </c:pt>
                <c:pt idx="3">
                  <c:v>541287.18378050381</c:v>
                </c:pt>
                <c:pt idx="4">
                  <c:v>721716.24504067178</c:v>
                </c:pt>
                <c:pt idx="5">
                  <c:v>902145.30630083976</c:v>
                </c:pt>
                <c:pt idx="6">
                  <c:v>1082574.3675610076</c:v>
                </c:pt>
                <c:pt idx="7">
                  <c:v>1263003.4288211756</c:v>
                </c:pt>
                <c:pt idx="8">
                  <c:v>1443432.4900813436</c:v>
                </c:pt>
                <c:pt idx="9">
                  <c:v>1623861.5513415118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C-454E-B45C-E1CEFE82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93056"/>
        <c:axId val="1712001488"/>
      </c:lineChart>
      <c:catAx>
        <c:axId val="1711693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2001488"/>
        <c:crosses val="autoZero"/>
        <c:auto val="1"/>
        <c:lblAlgn val="ctr"/>
        <c:lblOffset val="100"/>
        <c:noMultiLvlLbl val="0"/>
      </c:catAx>
      <c:valAx>
        <c:axId val="1712001488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1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98779</xdr:colOff>
      <xdr:row>3</xdr:row>
      <xdr:rowOff>14111</xdr:rowOff>
    </xdr:from>
    <xdr:to>
      <xdr:col>7</xdr:col>
      <xdr:colOff>310445</xdr:colOff>
      <xdr:row>4</xdr:row>
      <xdr:rowOff>188736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10293423-3DD3-3E4E-B275-B0FADAE82BCD}"/>
            </a:ext>
          </a:extLst>
        </xdr:cNvPr>
        <xdr:cNvSpPr/>
      </xdr:nvSpPr>
      <xdr:spPr>
        <a:xfrm>
          <a:off x="6448779" y="601486"/>
          <a:ext cx="211666" cy="381000"/>
        </a:xfrm>
        <a:prstGeom prst="rightBrace">
          <a:avLst/>
        </a:prstGeom>
        <a:noFill/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395113</xdr:colOff>
      <xdr:row>3</xdr:row>
      <xdr:rowOff>0</xdr:rowOff>
    </xdr:from>
    <xdr:to>
      <xdr:col>10</xdr:col>
      <xdr:colOff>28222</xdr:colOff>
      <xdr:row>5</xdr:row>
      <xdr:rowOff>68792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32A39A-18F4-8E43-8663-F20F458B9420}"/>
            </a:ext>
          </a:extLst>
        </xdr:cNvPr>
        <xdr:cNvSpPr txBox="1"/>
      </xdr:nvSpPr>
      <xdr:spPr>
        <a:xfrm>
          <a:off x="6745113" y="587375"/>
          <a:ext cx="2823984" cy="465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40% no ano 1 + 30% ano 2 + 30% ano 3</a:t>
          </a:r>
        </a:p>
        <a:p>
          <a:r>
            <a:rPr lang="en-GB" sz="1100"/>
            <a:t>Pagamentos no 2º trimestre do ano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62056</xdr:colOff>
      <xdr:row>4</xdr:row>
      <xdr:rowOff>214093</xdr:rowOff>
    </xdr:from>
    <xdr:to>
      <xdr:col>9</xdr:col>
      <xdr:colOff>514530</xdr:colOff>
      <xdr:row>4</xdr:row>
      <xdr:rowOff>216813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13EE7A-CFAC-F443-80BD-91AC76A6E43C}"/>
            </a:ext>
          </a:extLst>
        </xdr:cNvPr>
        <xdr:cNvCxnSpPr/>
      </xdr:nvCxnSpPr>
      <xdr:spPr>
        <a:xfrm>
          <a:off x="10135465" y="1224320"/>
          <a:ext cx="452474" cy="272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532215</xdr:colOff>
      <xdr:row>4</xdr:row>
      <xdr:rowOff>84859</xdr:rowOff>
    </xdr:from>
    <xdr:to>
      <xdr:col>12</xdr:col>
      <xdr:colOff>1471467</xdr:colOff>
      <xdr:row>5</xdr:row>
      <xdr:rowOff>97558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EF2D16-7440-FD43-8198-25BD6A26FF97}"/>
            </a:ext>
          </a:extLst>
        </xdr:cNvPr>
        <xdr:cNvSpPr txBox="1"/>
      </xdr:nvSpPr>
      <xdr:spPr>
        <a:xfrm>
          <a:off x="10605624" y="1095086"/>
          <a:ext cx="3580275" cy="387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Fábrica 5000</a:t>
          </a:r>
          <a:r>
            <a:rPr lang="en-GB" sz="1200" baseline="0"/>
            <a:t> m2 (5€/m2)</a:t>
          </a:r>
          <a:endParaRPr lang="en-GB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23</xdr:row>
      <xdr:rowOff>0</xdr:rowOff>
    </xdr:from>
    <xdr:to>
      <xdr:col>17</xdr:col>
      <xdr:colOff>193040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FA0A7-168D-8A48-8644-58CFA1D4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45</xdr:row>
      <xdr:rowOff>10160</xdr:rowOff>
    </xdr:from>
    <xdr:to>
      <xdr:col>17</xdr:col>
      <xdr:colOff>228600</xdr:colOff>
      <xdr:row>65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B9251-31F4-9E47-8CC6-3C280944C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375920</xdr:colOff>
      <xdr:row>66</xdr:row>
      <xdr:rowOff>81280</xdr:rowOff>
    </xdr:from>
    <xdr:to>
      <xdr:col>17</xdr:col>
      <xdr:colOff>248920</xdr:colOff>
      <xdr:row>86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E3B589-EC26-3546-86DB-83CCE289F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28647</xdr:colOff>
      <xdr:row>23</xdr:row>
      <xdr:rowOff>9944</xdr:rowOff>
    </xdr:from>
    <xdr:to>
      <xdr:col>5</xdr:col>
      <xdr:colOff>186783</xdr:colOff>
      <xdr:row>38</xdr:row>
      <xdr:rowOff>174649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875004-AB3C-FE4E-B6F2-DD72FA51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47" y="4858169"/>
          <a:ext cx="4806336" cy="3041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zaask.pt/quanto-custa/design-outdoors" TargetMode="External"/><Relationship Id="rId1" Type="http://schemas.openxmlformats.org/officeDocument/2006/relationships/hyperlink" Target="https://www.zaask.pt/quanto-custa/anuncio-televisao" TargetMode="Externa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E6BA-351C-451B-A437-4077E210F70D}">
  <dimension ref="B2:S37"/>
  <sheetViews>
    <sheetView showGridLines="0" zoomScale="85" zoomScaleNormal="60" workbookViewId="0">
      <selection activeCell="B40" sqref="B40"/>
    </sheetView>
  </sheetViews>
  <sheetFormatPr baseColWidth="10" defaultColWidth="8.83203125" defaultRowHeight="15"/>
  <cols>
    <col min="2" max="2" width="31" bestFit="1" customWidth="1"/>
    <col min="3" max="3" width="16.6640625" customWidth="1"/>
    <col min="4" max="4" width="16" customWidth="1"/>
    <col min="5" max="5" width="14.6640625" customWidth="1"/>
    <col min="6" max="6" width="24.33203125" bestFit="1" customWidth="1"/>
    <col min="7" max="7" width="12.5" bestFit="1" customWidth="1"/>
    <col min="8" max="8" width="17.5" customWidth="1"/>
    <col min="9" max="9" width="20.5" customWidth="1"/>
    <col min="10" max="10" width="12.5" customWidth="1"/>
    <col min="11" max="11" width="15.6640625" customWidth="1"/>
    <col min="12" max="12" width="12.1640625" customWidth="1"/>
    <col min="13" max="13" width="12.5" customWidth="1"/>
    <col min="14" max="14" width="14" customWidth="1"/>
    <col min="15" max="15" width="15.6640625" customWidth="1"/>
    <col min="16" max="16" width="11.5" customWidth="1"/>
    <col min="17" max="17" width="11.6640625" customWidth="1"/>
  </cols>
  <sheetData>
    <row r="2" spans="2:19" ht="16" thickBot="1"/>
    <row r="3" spans="2:19" ht="16" thickBot="1">
      <c r="B3" s="185" t="s">
        <v>328</v>
      </c>
    </row>
    <row r="4" spans="2:19">
      <c r="B4" s="184" t="s">
        <v>0</v>
      </c>
      <c r="C4" s="158" t="s">
        <v>5</v>
      </c>
      <c r="D4" s="158" t="s">
        <v>4</v>
      </c>
      <c r="F4" s="176" t="s">
        <v>11</v>
      </c>
      <c r="G4" s="176" t="s">
        <v>12</v>
      </c>
      <c r="H4" s="176"/>
      <c r="J4" s="144" t="s">
        <v>15</v>
      </c>
      <c r="K4" s="144"/>
      <c r="L4" s="144"/>
      <c r="O4" s="19"/>
      <c r="P4" s="19"/>
      <c r="Q4" s="19"/>
      <c r="R4" s="19"/>
      <c r="S4" s="19"/>
    </row>
    <row r="5" spans="2:19">
      <c r="B5" s="177" t="s">
        <v>1</v>
      </c>
      <c r="C5" s="7">
        <v>74</v>
      </c>
      <c r="D5" s="8">
        <f>ROUNDUP(C5/$C$8,1)</f>
        <v>0.5</v>
      </c>
      <c r="F5" s="9" t="s">
        <v>69</v>
      </c>
      <c r="G5" s="6">
        <v>47</v>
      </c>
      <c r="H5" s="10">
        <f>G5/$G$10</f>
        <v>0.23267326732673269</v>
      </c>
      <c r="O5" s="19"/>
      <c r="P5" s="19"/>
      <c r="Q5" s="19"/>
      <c r="R5" s="19"/>
      <c r="S5" s="19"/>
    </row>
    <row r="6" spans="2:19">
      <c r="B6" s="177" t="s">
        <v>2</v>
      </c>
      <c r="C6" s="7">
        <v>52</v>
      </c>
      <c r="D6" s="8">
        <f>ROUNDDOWN(C6/$C$8,1)</f>
        <v>0.3</v>
      </c>
      <c r="F6" s="11" t="s">
        <v>70</v>
      </c>
      <c r="G6" s="6">
        <v>30</v>
      </c>
      <c r="H6" s="10">
        <f t="shared" ref="H6:H9" si="0">G6/$G$10</f>
        <v>0.14851485148514851</v>
      </c>
      <c r="J6" s="144" t="s">
        <v>14</v>
      </c>
      <c r="K6" s="144"/>
      <c r="L6" s="144"/>
      <c r="M6" s="144"/>
    </row>
    <row r="7" spans="2:19">
      <c r="B7" s="177" t="s">
        <v>3</v>
      </c>
      <c r="C7" s="7">
        <v>34</v>
      </c>
      <c r="D7" s="8">
        <f>ROUNDDOWN(C7/$C$8,1)</f>
        <v>0.2</v>
      </c>
      <c r="F7" s="179" t="s">
        <v>71</v>
      </c>
      <c r="G7" s="180">
        <v>40</v>
      </c>
      <c r="H7" s="181">
        <f t="shared" si="0"/>
        <v>0.19801980198019803</v>
      </c>
      <c r="J7" s="144" t="s">
        <v>13</v>
      </c>
      <c r="K7" s="144"/>
      <c r="L7" s="144"/>
      <c r="M7" s="144"/>
      <c r="O7" t="s">
        <v>74</v>
      </c>
      <c r="Q7">
        <v>13</v>
      </c>
    </row>
    <row r="8" spans="2:19">
      <c r="B8" s="14"/>
      <c r="C8" s="158">
        <f>SUM(C5:C7)</f>
        <v>160</v>
      </c>
      <c r="D8" s="178">
        <f>SUM(D5:D7)</f>
        <v>1</v>
      </c>
      <c r="F8" s="179" t="s">
        <v>72</v>
      </c>
      <c r="G8" s="180">
        <v>81</v>
      </c>
      <c r="H8" s="181">
        <f t="shared" si="0"/>
        <v>0.40099009900990101</v>
      </c>
      <c r="J8" s="144" t="s">
        <v>17</v>
      </c>
      <c r="K8" s="144"/>
      <c r="L8" s="144"/>
      <c r="M8" s="144"/>
    </row>
    <row r="9" spans="2:19" ht="16" thickBot="1">
      <c r="F9" s="11" t="s">
        <v>73</v>
      </c>
      <c r="G9" s="6">
        <v>4</v>
      </c>
      <c r="H9" s="10">
        <f t="shared" si="0"/>
        <v>1.9801980198019802E-2</v>
      </c>
    </row>
    <row r="10" spans="2:19" ht="16" thickBot="1">
      <c r="B10" s="183" t="s">
        <v>212</v>
      </c>
      <c r="F10" s="11" t="s">
        <v>10</v>
      </c>
      <c r="G10" s="6">
        <v>202</v>
      </c>
      <c r="H10" s="10">
        <f>SUM(H5:H9)</f>
        <v>1</v>
      </c>
      <c r="J10" s="405" t="s">
        <v>16</v>
      </c>
      <c r="K10" s="406"/>
      <c r="L10" s="407"/>
      <c r="M10" s="37">
        <f>77000*0.8*0.6*0.65</f>
        <v>24024</v>
      </c>
    </row>
    <row r="12" spans="2:19">
      <c r="B12" s="112" t="s">
        <v>213</v>
      </c>
      <c r="C12" s="158" t="s">
        <v>6</v>
      </c>
      <c r="D12" s="158" t="s">
        <v>7</v>
      </c>
      <c r="E12" s="158" t="s">
        <v>8</v>
      </c>
      <c r="F12" s="158" t="s">
        <v>9</v>
      </c>
      <c r="G12" s="4" t="s">
        <v>10</v>
      </c>
      <c r="H12" s="131"/>
      <c r="I12" s="14"/>
      <c r="J12" s="14"/>
      <c r="K12" s="14"/>
      <c r="L12" s="161" t="s">
        <v>6</v>
      </c>
      <c r="M12" s="161" t="s">
        <v>7</v>
      </c>
      <c r="N12" s="161" t="s">
        <v>8</v>
      </c>
      <c r="O12" s="161" t="s">
        <v>9</v>
      </c>
      <c r="P12" s="161" t="s">
        <v>10</v>
      </c>
    </row>
    <row r="13" spans="2:19">
      <c r="B13" s="15" t="s">
        <v>20</v>
      </c>
      <c r="C13" s="10">
        <f>312313</f>
        <v>312313</v>
      </c>
      <c r="D13" s="10">
        <f>ROUNDDOWN($L$20*M$13,0)</f>
        <v>312312</v>
      </c>
      <c r="E13" s="10">
        <f t="shared" ref="E13:F13" si="1">$L$20*N$13</f>
        <v>124925</v>
      </c>
      <c r="F13" s="10">
        <f t="shared" si="1"/>
        <v>249850</v>
      </c>
      <c r="G13" s="10">
        <f>L20</f>
        <v>999400</v>
      </c>
      <c r="H13" s="116"/>
      <c r="I13" s="402" t="s">
        <v>18</v>
      </c>
      <c r="J13" s="403"/>
      <c r="K13" s="404"/>
      <c r="L13" s="21">
        <f>L14/$P$14</f>
        <v>0.3125</v>
      </c>
      <c r="M13" s="21">
        <f t="shared" ref="M13:O13" si="2">M14/$P$14</f>
        <v>0.3125</v>
      </c>
      <c r="N13" s="27">
        <f>N14/$P$14</f>
        <v>0.125</v>
      </c>
      <c r="O13" s="12">
        <f t="shared" si="2"/>
        <v>0.25</v>
      </c>
      <c r="P13" s="13">
        <f>SUM(L13:O13)</f>
        <v>1</v>
      </c>
    </row>
    <row r="14" spans="2:19">
      <c r="B14" s="15" t="s">
        <v>21</v>
      </c>
      <c r="C14" s="10">
        <v>327929</v>
      </c>
      <c r="D14" s="10">
        <v>327928</v>
      </c>
      <c r="E14" s="10">
        <v>131171</v>
      </c>
      <c r="F14" s="10">
        <f>ROUNDDOWN(F13*1.05,0)</f>
        <v>262342</v>
      </c>
      <c r="G14" s="10">
        <f>G13*1.05</f>
        <v>1049370</v>
      </c>
      <c r="H14" s="116"/>
      <c r="I14" s="402" t="s">
        <v>75</v>
      </c>
      <c r="J14" s="403"/>
      <c r="K14" s="404"/>
      <c r="L14" s="23">
        <f>1*$Q$7</f>
        <v>13</v>
      </c>
      <c r="M14" s="23">
        <f>1*$Q$7</f>
        <v>13</v>
      </c>
      <c r="N14" s="24">
        <f>0.4*$Q$7</f>
        <v>5.2</v>
      </c>
      <c r="O14" s="24">
        <f>0.8*$Q$7</f>
        <v>10.4</v>
      </c>
      <c r="P14" s="25">
        <f>SUM(L14:O14)</f>
        <v>41.6</v>
      </c>
    </row>
    <row r="15" spans="2:19">
      <c r="B15" s="15" t="s">
        <v>23</v>
      </c>
      <c r="C15" s="10">
        <v>343544</v>
      </c>
      <c r="D15" s="10">
        <v>343543</v>
      </c>
      <c r="E15" s="10">
        <v>137418</v>
      </c>
      <c r="F15" s="10">
        <f>F13*1.1</f>
        <v>274835</v>
      </c>
      <c r="G15" s="128">
        <f>G13*1.1</f>
        <v>1099340</v>
      </c>
      <c r="H15" s="116"/>
    </row>
    <row r="16" spans="2:19">
      <c r="C16" s="1"/>
      <c r="D16" s="1"/>
      <c r="E16" s="1"/>
      <c r="F16" s="1"/>
      <c r="G16" s="1"/>
      <c r="H16" s="1"/>
    </row>
    <row r="17" spans="2:15">
      <c r="B17" s="158" t="s">
        <v>427</v>
      </c>
      <c r="C17" s="1"/>
      <c r="D17" s="1"/>
      <c r="E17" s="1"/>
      <c r="F17" s="1"/>
      <c r="G17" s="1"/>
      <c r="H17" s="1"/>
    </row>
    <row r="18" spans="2:15">
      <c r="B18" s="2" t="s">
        <v>19</v>
      </c>
      <c r="C18" s="178" t="s">
        <v>6</v>
      </c>
      <c r="D18" s="178" t="s">
        <v>7</v>
      </c>
      <c r="E18" s="178" t="s">
        <v>8</v>
      </c>
      <c r="F18" s="178" t="s">
        <v>9</v>
      </c>
      <c r="G18" s="129" t="s">
        <v>10</v>
      </c>
      <c r="H18" s="131"/>
    </row>
    <row r="19" spans="2:15">
      <c r="B19" s="182" t="s">
        <v>1</v>
      </c>
      <c r="C19" s="10">
        <f>INT(C$13*D5)</f>
        <v>156156</v>
      </c>
      <c r="D19" s="10">
        <f>$D$13*D5</f>
        <v>156156</v>
      </c>
      <c r="E19" s="10">
        <f>ROUND($E$13*D5,0)</f>
        <v>62463</v>
      </c>
      <c r="F19" s="10">
        <f>F13*$D$5</f>
        <v>124925</v>
      </c>
      <c r="G19" s="10">
        <f>SUM(C19:F19)</f>
        <v>499700</v>
      </c>
      <c r="H19" s="116"/>
    </row>
    <row r="20" spans="2:15">
      <c r="B20" s="182" t="s">
        <v>2</v>
      </c>
      <c r="C20" s="10">
        <f>ROUNDUP($C$13*D6,0)</f>
        <v>93694</v>
      </c>
      <c r="D20" s="10">
        <f>ROUNDUP($D$13*D6,0)</f>
        <v>93694</v>
      </c>
      <c r="E20" s="10">
        <f>ROUNDDOWN($E$13*D6,0)</f>
        <v>37477</v>
      </c>
      <c r="F20" s="10">
        <f>F13*0.3</f>
        <v>74955</v>
      </c>
      <c r="G20" s="10">
        <f>SUM(C20:F20)</f>
        <v>299820</v>
      </c>
      <c r="H20" s="116"/>
      <c r="I20" s="402" t="s">
        <v>112</v>
      </c>
      <c r="J20" s="403"/>
      <c r="K20" s="404"/>
      <c r="L20" s="5">
        <f>ROUNDUP(M10*P14,0)+1</f>
        <v>999400</v>
      </c>
    </row>
    <row r="21" spans="2:15">
      <c r="B21" s="182" t="s">
        <v>3</v>
      </c>
      <c r="C21" s="10">
        <f>ROUNDUP($C$13*D7,0)</f>
        <v>62463</v>
      </c>
      <c r="D21" s="10">
        <f>INT(ROUNDDOWN($D$13*D7,0))</f>
        <v>62462</v>
      </c>
      <c r="E21" s="10">
        <f>$E$13*D7</f>
        <v>24985</v>
      </c>
      <c r="F21" s="10">
        <f>F13*$D$7</f>
        <v>49970</v>
      </c>
      <c r="G21" s="10">
        <f t="shared" ref="G21" si="3">SUM(C21:F21)</f>
        <v>199880</v>
      </c>
      <c r="H21" s="116"/>
    </row>
    <row r="22" spans="2:15">
      <c r="B22" s="4" t="s">
        <v>10</v>
      </c>
      <c r="C22" s="10">
        <f>INT(SUM(C19:C21))</f>
        <v>312313</v>
      </c>
      <c r="D22" s="10">
        <f>ROUNDUP(SUM(D19:D21),0)</f>
        <v>312312</v>
      </c>
      <c r="E22" s="10">
        <f>ROUNDUP(SUM(E19:E21),0)</f>
        <v>124925</v>
      </c>
      <c r="F22" s="10">
        <f t="shared" ref="F22" si="4">SUM(F19:F21)</f>
        <v>249850</v>
      </c>
      <c r="G22" s="128">
        <f>G13</f>
        <v>999400</v>
      </c>
      <c r="H22" s="116"/>
      <c r="J22" s="26" t="s">
        <v>20</v>
      </c>
      <c r="K22" s="26" t="s">
        <v>21</v>
      </c>
      <c r="L22" s="26" t="s">
        <v>22</v>
      </c>
      <c r="O22" s="1"/>
    </row>
    <row r="23" spans="2:15">
      <c r="C23" s="116"/>
      <c r="D23" s="116"/>
      <c r="E23" s="116"/>
      <c r="F23" s="116"/>
      <c r="G23" s="116"/>
      <c r="H23" s="1"/>
      <c r="I23" s="408" t="s">
        <v>76</v>
      </c>
      <c r="J23" s="409">
        <v>0</v>
      </c>
      <c r="K23" s="410">
        <v>0.05</v>
      </c>
      <c r="L23" s="410">
        <v>0.1</v>
      </c>
    </row>
    <row r="24" spans="2:15">
      <c r="B24" s="182" t="s">
        <v>214</v>
      </c>
      <c r="C24" s="1"/>
      <c r="D24" s="1"/>
      <c r="E24" s="1"/>
      <c r="F24" s="1"/>
      <c r="G24" s="1"/>
      <c r="H24" s="1"/>
      <c r="I24" s="408"/>
      <c r="J24" s="409"/>
      <c r="K24" s="410"/>
      <c r="L24" s="410"/>
    </row>
    <row r="25" spans="2:15">
      <c r="B25" s="2" t="s">
        <v>19</v>
      </c>
      <c r="C25" s="178" t="s">
        <v>6</v>
      </c>
      <c r="D25" s="178" t="s">
        <v>7</v>
      </c>
      <c r="E25" s="178" t="s">
        <v>8</v>
      </c>
      <c r="F25" s="178" t="s">
        <v>9</v>
      </c>
      <c r="G25" s="129" t="s">
        <v>10</v>
      </c>
      <c r="H25" s="131"/>
    </row>
    <row r="26" spans="2:15">
      <c r="B26" s="182" t="s">
        <v>1</v>
      </c>
      <c r="C26" s="10">
        <f>INT($C$14*D5)</f>
        <v>163964</v>
      </c>
      <c r="D26" s="10">
        <f>$D$14*D5</f>
        <v>163964</v>
      </c>
      <c r="E26" s="10">
        <f>INT(E19*(1+$K$23))</f>
        <v>65586</v>
      </c>
      <c r="F26" s="10">
        <f>INT(F19*(1+$K$23))</f>
        <v>131171</v>
      </c>
      <c r="G26" s="130">
        <f>SUM(C26:F26)</f>
        <v>524685</v>
      </c>
      <c r="H26" s="116"/>
    </row>
    <row r="27" spans="2:15">
      <c r="B27" s="182" t="s">
        <v>2</v>
      </c>
      <c r="C27" s="10">
        <f>ROUNDUP($C$14*D6,0)</f>
        <v>98379</v>
      </c>
      <c r="D27" s="10">
        <f>INT($D$14*D6)</f>
        <v>98378</v>
      </c>
      <c r="E27" s="10">
        <f>ROUND(E20*(1+$K$23),0)</f>
        <v>39351</v>
      </c>
      <c r="F27" s="10">
        <f>INT(F20*(1+$K$23))</f>
        <v>78702</v>
      </c>
      <c r="G27" s="130">
        <f>INT(SUM(C27:F27))</f>
        <v>314810</v>
      </c>
      <c r="H27" s="116"/>
    </row>
    <row r="28" spans="2:15">
      <c r="B28" s="182" t="s">
        <v>3</v>
      </c>
      <c r="C28" s="10">
        <f>ROUNDUP($C$14*D7,0)</f>
        <v>65586</v>
      </c>
      <c r="D28" s="10">
        <f>ROUNDUP($D$14*D7,0)</f>
        <v>65586</v>
      </c>
      <c r="E28" s="10">
        <f>INT(E21*(1+$K$23))</f>
        <v>26234</v>
      </c>
      <c r="F28" s="10">
        <f>ROUNDUP(F21*(1.05),0)</f>
        <v>52469</v>
      </c>
      <c r="G28" s="130">
        <v>209875</v>
      </c>
      <c r="H28" s="116"/>
    </row>
    <row r="29" spans="2:15">
      <c r="B29" s="4" t="s">
        <v>10</v>
      </c>
      <c r="C29" s="10">
        <f>C14</f>
        <v>327929</v>
      </c>
      <c r="D29" s="10">
        <f t="shared" ref="D29:F29" si="5">D14</f>
        <v>327928</v>
      </c>
      <c r="E29" s="10">
        <f t="shared" si="5"/>
        <v>131171</v>
      </c>
      <c r="F29" s="10">
        <f t="shared" si="5"/>
        <v>262342</v>
      </c>
      <c r="G29" s="128">
        <f>G14</f>
        <v>1049370</v>
      </c>
      <c r="H29" s="116"/>
    </row>
    <row r="30" spans="2:15">
      <c r="C30" s="116"/>
      <c r="D30" s="116"/>
      <c r="E30" s="116"/>
      <c r="F30" s="116"/>
      <c r="G30" s="116"/>
      <c r="H30" s="1"/>
    </row>
    <row r="31" spans="2:15">
      <c r="B31" s="182" t="s">
        <v>215</v>
      </c>
      <c r="C31" s="1"/>
      <c r="D31" s="1"/>
      <c r="E31" s="1"/>
      <c r="F31" s="1"/>
      <c r="G31" s="1"/>
      <c r="H31" s="1"/>
    </row>
    <row r="32" spans="2:15">
      <c r="B32" s="2" t="s">
        <v>19</v>
      </c>
      <c r="C32" s="178" t="s">
        <v>6</v>
      </c>
      <c r="D32" s="178" t="s">
        <v>7</v>
      </c>
      <c r="E32" s="178" t="s">
        <v>8</v>
      </c>
      <c r="F32" s="178" t="s">
        <v>9</v>
      </c>
      <c r="G32" s="129" t="s">
        <v>10</v>
      </c>
      <c r="H32" s="131"/>
    </row>
    <row r="33" spans="2:8">
      <c r="B33" s="182" t="s">
        <v>1</v>
      </c>
      <c r="C33" s="10">
        <f>ROUND(C19*(1+$L$23),0)</f>
        <v>171772</v>
      </c>
      <c r="D33" s="10">
        <f>ROUND(D19*(1+$L$23),0)</f>
        <v>171772</v>
      </c>
      <c r="E33" s="10">
        <v>68709</v>
      </c>
      <c r="F33" s="10">
        <v>137417</v>
      </c>
      <c r="G33" s="10">
        <f>0.5*G36</f>
        <v>549670</v>
      </c>
      <c r="H33" s="116"/>
    </row>
    <row r="34" spans="2:8">
      <c r="B34" s="182" t="s">
        <v>2</v>
      </c>
      <c r="C34" s="10">
        <f>INT(C20*(1+$L$23))</f>
        <v>103063</v>
      </c>
      <c r="D34" s="10">
        <f>INT(D20*(1+$L$23))</f>
        <v>103063</v>
      </c>
      <c r="E34" s="10">
        <v>41225</v>
      </c>
      <c r="F34" s="10">
        <f>ROUND(F20*(1+$L$23),0)</f>
        <v>82451</v>
      </c>
      <c r="G34" s="10">
        <f>ROUND(SUM(C34:F34),0)</f>
        <v>329802</v>
      </c>
      <c r="H34" s="116"/>
    </row>
    <row r="35" spans="2:8">
      <c r="B35" s="182" t="s">
        <v>3</v>
      </c>
      <c r="C35" s="10">
        <f>INT(C21*(1+$L$23))</f>
        <v>68709</v>
      </c>
      <c r="D35" s="38">
        <v>68708</v>
      </c>
      <c r="E35" s="38">
        <v>27484</v>
      </c>
      <c r="F35" s="38">
        <f t="shared" ref="F35" si="6">F21*(1+$L$23)</f>
        <v>54967.000000000007</v>
      </c>
      <c r="G35" s="10">
        <f>INT(SUM(C35:F35))</f>
        <v>219868</v>
      </c>
      <c r="H35" s="116"/>
    </row>
    <row r="36" spans="2:8">
      <c r="B36" s="4" t="s">
        <v>10</v>
      </c>
      <c r="C36" s="10">
        <f>C15</f>
        <v>343544</v>
      </c>
      <c r="D36" s="10">
        <f t="shared" ref="D36:F36" si="7">D15</f>
        <v>343543</v>
      </c>
      <c r="E36" s="10">
        <f t="shared" si="7"/>
        <v>137418</v>
      </c>
      <c r="F36" s="10">
        <f t="shared" si="7"/>
        <v>274835</v>
      </c>
      <c r="G36" s="128">
        <f>G13*1.1</f>
        <v>1099340</v>
      </c>
      <c r="H36" s="116"/>
    </row>
    <row r="37" spans="2:8">
      <c r="C37" s="116"/>
      <c r="D37" s="116"/>
      <c r="E37" s="116"/>
      <c r="F37" s="116"/>
      <c r="G37" s="116"/>
    </row>
  </sheetData>
  <mergeCells count="8">
    <mergeCell ref="I14:K14"/>
    <mergeCell ref="I20:K20"/>
    <mergeCell ref="J10:L10"/>
    <mergeCell ref="I13:K13"/>
    <mergeCell ref="I23:I24"/>
    <mergeCell ref="J23:J24"/>
    <mergeCell ref="K23:K24"/>
    <mergeCell ref="L23:L24"/>
  </mergeCells>
  <phoneticPr fontId="4" type="noConversion"/>
  <pageMargins left="0.7" right="0.7" top="0.75" bottom="0.75" header="0.3" footer="0.3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E6FD-206C-42CD-8538-4D59F1CDAE75}">
  <dimension ref="A1:J81"/>
  <sheetViews>
    <sheetView showGridLines="0" topLeftCell="A36" zoomScale="80" zoomScaleNormal="80" workbookViewId="0">
      <selection activeCell="G41" activeCellId="1" sqref="C51:G60 C33:G41"/>
    </sheetView>
  </sheetViews>
  <sheetFormatPr baseColWidth="10" defaultColWidth="8.83203125" defaultRowHeight="15"/>
  <cols>
    <col min="2" max="2" width="27" bestFit="1" customWidth="1"/>
    <col min="3" max="3" width="16.6640625" customWidth="1"/>
    <col min="4" max="4" width="15.33203125" customWidth="1"/>
    <col min="5" max="5" width="15.5" customWidth="1"/>
    <col min="6" max="6" width="18.6640625" bestFit="1" customWidth="1"/>
    <col min="7" max="7" width="15.6640625" bestFit="1" customWidth="1"/>
    <col min="9" max="9" width="19.6640625" customWidth="1"/>
  </cols>
  <sheetData>
    <row r="1" spans="1:10">
      <c r="A1" s="532" t="s">
        <v>313</v>
      </c>
      <c r="B1" s="532"/>
      <c r="C1" s="532"/>
    </row>
    <row r="2" spans="1:10">
      <c r="A2" s="532"/>
      <c r="B2" s="532"/>
      <c r="C2" s="532"/>
    </row>
    <row r="3" spans="1:10">
      <c r="A3" s="532"/>
      <c r="B3" s="532"/>
      <c r="C3" s="532"/>
      <c r="I3" s="37" t="s">
        <v>281</v>
      </c>
      <c r="J3" s="31">
        <f>Recebimentos!C7</f>
        <v>1.3</v>
      </c>
    </row>
    <row r="4" spans="1:10">
      <c r="A4" s="358"/>
      <c r="B4" s="358"/>
      <c r="C4" s="358"/>
      <c r="D4" s="358"/>
      <c r="E4" s="358"/>
      <c r="F4" s="358"/>
      <c r="G4" s="358"/>
      <c r="H4" s="358"/>
      <c r="I4" s="37" t="s">
        <v>282</v>
      </c>
      <c r="J4" s="38">
        <f>Recebimentos!C8</f>
        <v>1.056910569105691</v>
      </c>
    </row>
    <row r="5" spans="1:10">
      <c r="A5" s="358"/>
      <c r="B5" s="358"/>
      <c r="C5" s="358"/>
      <c r="D5" s="358"/>
      <c r="E5" s="358"/>
      <c r="F5" s="358"/>
      <c r="G5" s="358"/>
      <c r="H5" s="358"/>
    </row>
    <row r="6" spans="1:10">
      <c r="A6" s="358"/>
      <c r="B6" s="244"/>
      <c r="C6" s="244">
        <v>1</v>
      </c>
      <c r="D6" s="244">
        <v>2</v>
      </c>
      <c r="E6" s="244">
        <v>3</v>
      </c>
      <c r="F6" s="358"/>
      <c r="G6" s="358"/>
      <c r="H6" s="358"/>
    </row>
    <row r="7" spans="1:10">
      <c r="A7" s="358"/>
      <c r="B7" s="244" t="s">
        <v>102</v>
      </c>
      <c r="C7" s="357">
        <f>Procura!G13*J4</f>
        <v>1056276.4227642277</v>
      </c>
      <c r="D7" s="357">
        <f>Procura!G14*J4</f>
        <v>1109090.243902439</v>
      </c>
      <c r="E7" s="357">
        <f>Procura!G15*J4</f>
        <v>1161904.0650406503</v>
      </c>
      <c r="F7" s="358"/>
      <c r="G7" s="358"/>
      <c r="H7" s="358"/>
    </row>
    <row r="8" spans="1:10">
      <c r="A8" s="358"/>
      <c r="B8" s="244" t="s">
        <v>270</v>
      </c>
      <c r="C8" s="357">
        <f>'CF&amp;CV'!D32</f>
        <v>278966.37860772357</v>
      </c>
      <c r="D8" s="357">
        <f>'CF&amp;CV'!E32</f>
        <v>292582.82722560974</v>
      </c>
      <c r="E8" s="357">
        <f>'CF&amp;CV'!F32</f>
        <v>305949.43084349594</v>
      </c>
      <c r="F8" s="358"/>
      <c r="G8" s="358"/>
      <c r="H8" s="358"/>
    </row>
    <row r="9" spans="1:10">
      <c r="A9" s="358"/>
      <c r="B9" s="244" t="s">
        <v>285</v>
      </c>
      <c r="C9" s="357">
        <f>C7-C8</f>
        <v>777310.0441565041</v>
      </c>
      <c r="D9" s="357">
        <f>D7-D8</f>
        <v>816507.41667682934</v>
      </c>
      <c r="E9" s="357">
        <f>E7-E8</f>
        <v>855954.63419715432</v>
      </c>
      <c r="F9" s="358"/>
      <c r="G9" s="358"/>
      <c r="H9" s="358"/>
    </row>
    <row r="10" spans="1:10">
      <c r="A10" s="358"/>
      <c r="B10" s="244" t="s">
        <v>284</v>
      </c>
      <c r="C10" s="8">
        <f>C9/C7</f>
        <v>0.73589642578816516</v>
      </c>
      <c r="D10" s="8">
        <f>D9/D7</f>
        <v>0.73619565329857262</v>
      </c>
      <c r="E10" s="8">
        <f>E9/E7</f>
        <v>0.73668270896978738</v>
      </c>
      <c r="F10" s="358"/>
      <c r="G10" s="358"/>
      <c r="H10" s="358"/>
    </row>
    <row r="11" spans="1:10">
      <c r="A11" s="358"/>
      <c r="B11" s="244" t="s">
        <v>283</v>
      </c>
      <c r="C11" s="357">
        <f>'CF&amp;CV'!D19</f>
        <v>670652.68349593494</v>
      </c>
      <c r="D11" s="357">
        <f>'CF&amp;CV'!E19</f>
        <v>665110.20382113825</v>
      </c>
      <c r="E11" s="357">
        <f>'CF&amp;CV'!F19</f>
        <v>664594.84813008131</v>
      </c>
      <c r="F11" s="358"/>
      <c r="G11" s="358"/>
      <c r="H11" s="358"/>
    </row>
    <row r="12" spans="1:10">
      <c r="A12" s="358"/>
      <c r="B12" s="244" t="s">
        <v>308</v>
      </c>
      <c r="C12" s="8">
        <f>C11/C10</f>
        <v>911341.13442343136</v>
      </c>
      <c r="D12" s="8">
        <f t="shared" ref="D12:E12" si="0">D11/D10</f>
        <v>903442.17714553</v>
      </c>
      <c r="E12" s="8">
        <f t="shared" si="0"/>
        <v>902145.30630083987</v>
      </c>
      <c r="F12" s="358"/>
      <c r="G12" s="358"/>
      <c r="H12" s="358"/>
    </row>
    <row r="13" spans="1:10">
      <c r="A13" s="358"/>
      <c r="B13" s="244"/>
      <c r="C13" s="8"/>
      <c r="D13" s="8"/>
      <c r="E13" s="8"/>
      <c r="F13" s="358"/>
      <c r="G13" s="358"/>
      <c r="H13" s="358"/>
    </row>
    <row r="14" spans="1:10">
      <c r="A14" s="358"/>
      <c r="B14" s="244" t="s">
        <v>287</v>
      </c>
      <c r="C14" s="357">
        <f>J4</f>
        <v>1.056910569105691</v>
      </c>
      <c r="D14" s="357">
        <f>J4</f>
        <v>1.056910569105691</v>
      </c>
      <c r="E14" s="357">
        <f>J4</f>
        <v>1.056910569105691</v>
      </c>
      <c r="F14" s="358"/>
      <c r="G14" s="358"/>
      <c r="H14" s="358"/>
    </row>
    <row r="15" spans="1:10">
      <c r="A15" s="358"/>
      <c r="B15" s="244" t="s">
        <v>288</v>
      </c>
      <c r="C15" s="23">
        <f>Procura!G13</f>
        <v>999400</v>
      </c>
      <c r="D15" s="23">
        <f>Procura!G14</f>
        <v>1049370</v>
      </c>
      <c r="E15" s="23">
        <f>Procura!G15</f>
        <v>1099340</v>
      </c>
      <c r="F15" s="358"/>
      <c r="G15" s="358"/>
      <c r="H15" s="358"/>
    </row>
    <row r="16" spans="1:10">
      <c r="A16" s="358"/>
      <c r="B16" s="244" t="s">
        <v>286</v>
      </c>
      <c r="C16" s="357">
        <f>C8/C15</f>
        <v>0.2791338589230774</v>
      </c>
      <c r="D16" s="357">
        <f>D8/D15</f>
        <v>0.27881760220476071</v>
      </c>
      <c r="E16" s="357">
        <f>E8/E15</f>
        <v>0.27830282791811078</v>
      </c>
      <c r="F16" s="358"/>
      <c r="G16" s="358"/>
      <c r="H16" s="358"/>
    </row>
    <row r="17" spans="1:8">
      <c r="A17" s="358"/>
      <c r="B17" s="244" t="s">
        <v>289</v>
      </c>
      <c r="C17" s="357">
        <f>C14-C16</f>
        <v>0.77777671018261363</v>
      </c>
      <c r="D17" s="357">
        <f>D14-D16</f>
        <v>0.77809296690093033</v>
      </c>
      <c r="E17" s="357">
        <f>E14-E16</f>
        <v>0.77860774118758025</v>
      </c>
      <c r="F17" s="358"/>
      <c r="G17" s="358"/>
      <c r="H17" s="358" t="s">
        <v>314</v>
      </c>
    </row>
    <row r="18" spans="1:8">
      <c r="A18" s="358"/>
      <c r="B18" s="244"/>
      <c r="C18" s="8"/>
      <c r="D18" s="8"/>
      <c r="E18" s="8"/>
      <c r="F18" s="358"/>
      <c r="G18" s="358"/>
      <c r="H18" s="358"/>
    </row>
    <row r="19" spans="1:8">
      <c r="A19" s="358"/>
      <c r="B19" s="244" t="s">
        <v>290</v>
      </c>
      <c r="C19" s="23">
        <f>C11/C17</f>
        <v>862268.91949293891</v>
      </c>
      <c r="D19" s="23">
        <f>D11/D17</f>
        <v>854795.29068384774</v>
      </c>
      <c r="E19" s="23">
        <f>E11/E17</f>
        <v>853568.25134617917</v>
      </c>
      <c r="F19" s="358"/>
      <c r="G19" s="358"/>
      <c r="H19" s="358"/>
    </row>
    <row r="20" spans="1:8">
      <c r="A20" s="358"/>
      <c r="B20" s="244" t="s">
        <v>291</v>
      </c>
      <c r="C20" s="357">
        <f>C19*C14</f>
        <v>911341.13442343136</v>
      </c>
      <c r="D20" s="357">
        <f t="shared" ref="D20:E20" si="1">D19*D14</f>
        <v>903442.17714553012</v>
      </c>
      <c r="E20" s="357">
        <f t="shared" si="1"/>
        <v>902145.30630083976</v>
      </c>
      <c r="F20" s="358"/>
      <c r="G20" s="358"/>
      <c r="H20" s="358"/>
    </row>
    <row r="21" spans="1:8">
      <c r="A21" s="358"/>
      <c r="B21" s="358"/>
      <c r="C21" s="358"/>
      <c r="D21" s="358"/>
      <c r="E21" s="358"/>
      <c r="F21" s="358"/>
      <c r="G21" s="358"/>
      <c r="H21" s="358"/>
    </row>
    <row r="22" spans="1:8">
      <c r="A22" s="358"/>
      <c r="B22" s="358"/>
      <c r="C22" s="358"/>
      <c r="D22" s="358"/>
      <c r="E22" s="358"/>
      <c r="F22" s="358"/>
      <c r="G22" s="358"/>
      <c r="H22" s="358"/>
    </row>
    <row r="23" spans="1:8">
      <c r="A23" s="358"/>
      <c r="B23" s="358"/>
      <c r="C23" s="358"/>
      <c r="D23" s="358"/>
      <c r="E23" s="358"/>
      <c r="F23" s="358"/>
      <c r="G23" s="358"/>
      <c r="H23" s="358"/>
    </row>
    <row r="24" spans="1:8">
      <c r="A24" s="358"/>
      <c r="B24" s="370"/>
      <c r="C24" s="370"/>
      <c r="D24" s="358"/>
      <c r="E24" s="358"/>
      <c r="F24" s="358"/>
      <c r="G24" s="358"/>
      <c r="H24" s="358"/>
    </row>
    <row r="25" spans="1:8">
      <c r="A25" s="358"/>
      <c r="B25" s="370"/>
      <c r="C25" s="371"/>
      <c r="D25" s="372"/>
      <c r="E25" s="372"/>
      <c r="F25" s="358"/>
      <c r="G25" s="358"/>
      <c r="H25" s="358"/>
    </row>
    <row r="26" spans="1:8">
      <c r="A26" s="358"/>
      <c r="B26" s="370"/>
      <c r="C26" s="373"/>
      <c r="D26" s="374"/>
      <c r="E26" s="374"/>
      <c r="F26" s="358"/>
      <c r="G26" s="358"/>
      <c r="H26" s="358"/>
    </row>
    <row r="27" spans="1:8">
      <c r="A27" s="358"/>
      <c r="B27" s="370"/>
      <c r="C27" s="371"/>
      <c r="D27" s="358"/>
      <c r="E27" s="358"/>
      <c r="F27" s="358"/>
      <c r="G27" s="358"/>
      <c r="H27" s="358"/>
    </row>
    <row r="28" spans="1:8">
      <c r="A28" s="358"/>
      <c r="B28" s="358"/>
      <c r="C28" s="358"/>
      <c r="D28" s="358"/>
      <c r="E28" s="358"/>
      <c r="F28" s="358"/>
      <c r="G28" s="358"/>
      <c r="H28" s="358"/>
    </row>
    <row r="29" spans="1:8">
      <c r="A29" s="531" t="s">
        <v>309</v>
      </c>
      <c r="B29" s="531"/>
      <c r="C29" s="358"/>
      <c r="D29" s="358"/>
      <c r="E29" s="358"/>
      <c r="F29" s="358"/>
      <c r="G29" s="358"/>
      <c r="H29" s="358"/>
    </row>
    <row r="30" spans="1:8">
      <c r="A30" s="531"/>
      <c r="B30" s="531"/>
      <c r="C30" s="358"/>
      <c r="D30" s="358"/>
      <c r="E30" s="358"/>
      <c r="F30" s="358"/>
      <c r="G30" s="358"/>
      <c r="H30" s="358"/>
    </row>
    <row r="31" spans="1:8">
      <c r="A31" s="358"/>
      <c r="B31" s="358"/>
      <c r="C31" s="358"/>
      <c r="D31" s="358"/>
      <c r="E31" s="358"/>
      <c r="F31" s="358"/>
      <c r="G31" s="358"/>
      <c r="H31" s="358"/>
    </row>
    <row r="32" spans="1:8">
      <c r="A32" s="375">
        <v>1</v>
      </c>
      <c r="B32" s="244" t="s">
        <v>310</v>
      </c>
      <c r="C32" s="244" t="s">
        <v>270</v>
      </c>
      <c r="D32" s="244" t="s">
        <v>279</v>
      </c>
      <c r="E32" s="244" t="s">
        <v>311</v>
      </c>
      <c r="F32" s="244" t="s">
        <v>312</v>
      </c>
      <c r="G32" s="244" t="s">
        <v>102</v>
      </c>
      <c r="H32" s="358"/>
    </row>
    <row r="33" spans="1:8">
      <c r="A33" s="358"/>
      <c r="B33" s="23">
        <v>0</v>
      </c>
      <c r="C33" s="399">
        <f>B33*$C$16</f>
        <v>0</v>
      </c>
      <c r="D33" s="399">
        <f>$C$11</f>
        <v>670652.68349593494</v>
      </c>
      <c r="E33" s="399">
        <f>C33+D33</f>
        <v>670652.68349593494</v>
      </c>
      <c r="F33" s="399">
        <f>B33*$C$17</f>
        <v>0</v>
      </c>
      <c r="G33" s="399">
        <f>B33*$J$4</f>
        <v>0</v>
      </c>
      <c r="H33" s="358"/>
    </row>
    <row r="34" spans="1:8">
      <c r="A34" s="358"/>
      <c r="B34" s="23">
        <f>B33+$C$19/5</f>
        <v>172453.78389858778</v>
      </c>
      <c r="C34" s="399">
        <f t="shared" ref="C34:C41" si="2">B34*$C$16</f>
        <v>48137.690185499276</v>
      </c>
      <c r="D34" s="399">
        <f t="shared" ref="D34:D41" si="3">$C$11</f>
        <v>670652.68349593494</v>
      </c>
      <c r="E34" s="399">
        <f t="shared" ref="E34:E41" si="4">C34+D34</f>
        <v>718790.3736814342</v>
      </c>
      <c r="F34" s="399">
        <f t="shared" ref="F34:F41" si="5">B34*$C$17</f>
        <v>134130.53669918698</v>
      </c>
      <c r="G34" s="399">
        <f t="shared" ref="G34:G41" si="6">B34*$J$4</f>
        <v>182268.22688468627</v>
      </c>
      <c r="H34" s="358"/>
    </row>
    <row r="35" spans="1:8">
      <c r="A35" s="358"/>
      <c r="B35" s="23">
        <f t="shared" ref="B35:B41" si="7">B34+$C$19/5</f>
        <v>344907.56779717555</v>
      </c>
      <c r="C35" s="399">
        <f t="shared" si="2"/>
        <v>96275.380370998551</v>
      </c>
      <c r="D35" s="399">
        <f t="shared" si="3"/>
        <v>670652.68349593494</v>
      </c>
      <c r="E35" s="399">
        <f t="shared" si="4"/>
        <v>766928.06386693346</v>
      </c>
      <c r="F35" s="399">
        <f t="shared" si="5"/>
        <v>268261.07339837396</v>
      </c>
      <c r="G35" s="399">
        <f t="shared" si="6"/>
        <v>364536.45376937254</v>
      </c>
      <c r="H35" s="358"/>
    </row>
    <row r="36" spans="1:8">
      <c r="A36" s="358"/>
      <c r="B36" s="23">
        <f t="shared" si="7"/>
        <v>517361.3516957633</v>
      </c>
      <c r="C36" s="399">
        <f t="shared" si="2"/>
        <v>144413.07055649781</v>
      </c>
      <c r="D36" s="399">
        <f t="shared" si="3"/>
        <v>670652.68349593494</v>
      </c>
      <c r="E36" s="399">
        <f t="shared" si="4"/>
        <v>815065.75405243272</v>
      </c>
      <c r="F36" s="399">
        <f t="shared" si="5"/>
        <v>402391.61009756092</v>
      </c>
      <c r="G36" s="399">
        <f t="shared" si="6"/>
        <v>546804.6806540587</v>
      </c>
      <c r="H36" s="358"/>
    </row>
    <row r="37" spans="1:8">
      <c r="A37" s="358"/>
      <c r="B37" s="23">
        <f t="shared" si="7"/>
        <v>689815.1355943511</v>
      </c>
      <c r="C37" s="399">
        <f t="shared" si="2"/>
        <v>192550.7607419971</v>
      </c>
      <c r="D37" s="399">
        <f t="shared" si="3"/>
        <v>670652.68349593494</v>
      </c>
      <c r="E37" s="399">
        <f t="shared" si="4"/>
        <v>863203.4442379321</v>
      </c>
      <c r="F37" s="399">
        <f t="shared" si="5"/>
        <v>536522.14679674793</v>
      </c>
      <c r="G37" s="399">
        <f t="shared" si="6"/>
        <v>729072.90753874509</v>
      </c>
      <c r="H37" s="358"/>
    </row>
    <row r="38" spans="1:8">
      <c r="A38" s="358"/>
      <c r="B38" s="376">
        <f t="shared" si="7"/>
        <v>862268.91949293891</v>
      </c>
      <c r="C38" s="400">
        <f t="shared" si="2"/>
        <v>240688.45092749639</v>
      </c>
      <c r="D38" s="400">
        <f t="shared" si="3"/>
        <v>670652.68349593494</v>
      </c>
      <c r="E38" s="400">
        <f t="shared" si="4"/>
        <v>911341.13442343136</v>
      </c>
      <c r="F38" s="400">
        <f t="shared" si="5"/>
        <v>670652.68349593494</v>
      </c>
      <c r="G38" s="400">
        <f>B38*$J$4</f>
        <v>911341.13442343136</v>
      </c>
      <c r="H38" s="358"/>
    </row>
    <row r="39" spans="1:8">
      <c r="A39" s="358"/>
      <c r="B39" s="23">
        <f t="shared" si="7"/>
        <v>1034722.7033915267</v>
      </c>
      <c r="C39" s="399">
        <f t="shared" si="2"/>
        <v>288826.14111299568</v>
      </c>
      <c r="D39" s="399">
        <f t="shared" si="3"/>
        <v>670652.68349593494</v>
      </c>
      <c r="E39" s="399">
        <f t="shared" si="4"/>
        <v>959478.82460893062</v>
      </c>
      <c r="F39" s="399">
        <f t="shared" si="5"/>
        <v>804783.22019512195</v>
      </c>
      <c r="G39" s="399">
        <f t="shared" si="6"/>
        <v>1093609.3613081176</v>
      </c>
      <c r="H39" s="358"/>
    </row>
    <row r="40" spans="1:8">
      <c r="A40" s="358"/>
      <c r="B40" s="23">
        <f t="shared" si="7"/>
        <v>1207176.4872901144</v>
      </c>
      <c r="C40" s="399">
        <f t="shared" si="2"/>
        <v>336963.83129849494</v>
      </c>
      <c r="D40" s="399">
        <f t="shared" si="3"/>
        <v>670652.68349593494</v>
      </c>
      <c r="E40" s="399">
        <f t="shared" si="4"/>
        <v>1007616.5147944299</v>
      </c>
      <c r="F40" s="399">
        <f t="shared" si="5"/>
        <v>938913.75689430884</v>
      </c>
      <c r="G40" s="399">
        <f t="shared" si="6"/>
        <v>1275877.5881928038</v>
      </c>
      <c r="H40" s="358"/>
    </row>
    <row r="41" spans="1:8">
      <c r="A41" s="358"/>
      <c r="B41" s="23">
        <f t="shared" si="7"/>
        <v>1379630.2711887022</v>
      </c>
      <c r="C41" s="399">
        <f t="shared" si="2"/>
        <v>385101.52148399421</v>
      </c>
      <c r="D41" s="399">
        <f t="shared" si="3"/>
        <v>670652.68349593494</v>
      </c>
      <c r="E41" s="399">
        <f t="shared" si="4"/>
        <v>1055754.2049799291</v>
      </c>
      <c r="F41" s="399">
        <f t="shared" si="5"/>
        <v>1073044.2935934959</v>
      </c>
      <c r="G41" s="399">
        <f t="shared" si="6"/>
        <v>1458145.8150774902</v>
      </c>
      <c r="H41" s="358"/>
    </row>
    <row r="42" spans="1:8">
      <c r="A42" s="358"/>
      <c r="B42" s="358"/>
      <c r="C42" s="358"/>
      <c r="D42" s="358"/>
      <c r="E42" s="358"/>
      <c r="F42" s="358"/>
      <c r="G42" s="358"/>
      <c r="H42" s="358"/>
    </row>
    <row r="43" spans="1:8">
      <c r="A43" s="358"/>
      <c r="B43" s="358"/>
      <c r="C43" s="358"/>
      <c r="D43" s="358"/>
      <c r="E43" s="358"/>
      <c r="F43" s="358"/>
      <c r="G43" s="358"/>
      <c r="H43" s="358"/>
    </row>
    <row r="44" spans="1:8">
      <c r="A44" s="358"/>
      <c r="B44" s="358"/>
      <c r="C44" s="358"/>
      <c r="D44" s="358"/>
      <c r="E44" s="358"/>
      <c r="F44" s="358"/>
      <c r="G44" s="358"/>
      <c r="H44" s="358"/>
    </row>
    <row r="45" spans="1:8">
      <c r="A45" s="358"/>
      <c r="B45" s="358"/>
      <c r="C45" s="358"/>
      <c r="D45" s="358"/>
      <c r="E45" s="358"/>
      <c r="F45" s="358"/>
      <c r="G45" s="358"/>
      <c r="H45" s="358"/>
    </row>
    <row r="46" spans="1:8">
      <c r="A46" s="358"/>
      <c r="B46" s="358"/>
      <c r="C46" s="358"/>
      <c r="D46" s="358"/>
      <c r="E46" s="358"/>
      <c r="F46" s="358"/>
      <c r="G46" s="358"/>
      <c r="H46" s="358"/>
    </row>
    <row r="47" spans="1:8">
      <c r="A47" s="358"/>
      <c r="B47" s="358"/>
      <c r="C47" s="358"/>
      <c r="D47" s="358"/>
      <c r="E47" s="358"/>
      <c r="F47" s="358"/>
      <c r="G47" s="358"/>
      <c r="H47" s="358"/>
    </row>
    <row r="48" spans="1:8">
      <c r="A48" s="358"/>
      <c r="B48" s="358"/>
      <c r="C48" s="358"/>
      <c r="D48" s="358"/>
      <c r="E48" s="358"/>
      <c r="F48" s="358"/>
      <c r="G48" s="358"/>
      <c r="H48" s="358"/>
    </row>
    <row r="49" spans="1:8">
      <c r="A49" s="358"/>
      <c r="B49" s="358"/>
      <c r="C49" s="358"/>
      <c r="D49" s="358"/>
      <c r="E49" s="358"/>
      <c r="F49" s="358"/>
      <c r="G49" s="358"/>
      <c r="H49" s="358"/>
    </row>
    <row r="50" spans="1:8">
      <c r="A50" s="375">
        <v>2</v>
      </c>
      <c r="B50" s="244" t="s">
        <v>310</v>
      </c>
      <c r="C50" s="244" t="s">
        <v>270</v>
      </c>
      <c r="D50" s="244" t="s">
        <v>279</v>
      </c>
      <c r="E50" s="244" t="s">
        <v>311</v>
      </c>
      <c r="F50" s="244" t="s">
        <v>312</v>
      </c>
      <c r="G50" s="244" t="s">
        <v>102</v>
      </c>
      <c r="H50" s="358"/>
    </row>
    <row r="51" spans="1:8">
      <c r="A51" s="358"/>
      <c r="B51" s="23">
        <v>0</v>
      </c>
      <c r="C51" s="399">
        <f>B51*$D$16</f>
        <v>0</v>
      </c>
      <c r="D51" s="399">
        <f>$D$11</f>
        <v>665110.20382113825</v>
      </c>
      <c r="E51" s="399">
        <f>C51+D51</f>
        <v>665110.20382113825</v>
      </c>
      <c r="F51" s="399">
        <f>B51*$D$17</f>
        <v>0</v>
      </c>
      <c r="G51" s="399">
        <f>B51*$D$14</f>
        <v>0</v>
      </c>
      <c r="H51" s="358"/>
    </row>
    <row r="52" spans="1:8">
      <c r="A52" s="358"/>
      <c r="B52" s="8">
        <f>B51+$D$19/5</f>
        <v>170959.05813676954</v>
      </c>
      <c r="C52" s="399">
        <f t="shared" ref="C52:C60" si="8">B52*$D$16</f>
        <v>47666.394664878368</v>
      </c>
      <c r="D52" s="399">
        <f t="shared" ref="D52:D60" si="9">$D$11</f>
        <v>665110.20382113825</v>
      </c>
      <c r="E52" s="399">
        <f t="shared" ref="E52:E60" si="10">C52+D52</f>
        <v>712776.59848601662</v>
      </c>
      <c r="F52" s="399">
        <f t="shared" ref="F52:F60" si="11">B52*$D$17</f>
        <v>133022.04076422766</v>
      </c>
      <c r="G52" s="399">
        <f t="shared" ref="G52:G60" si="12">B52*$D$14</f>
        <v>180688.435429106</v>
      </c>
      <c r="H52" s="358"/>
    </row>
    <row r="53" spans="1:8">
      <c r="A53" s="358"/>
      <c r="B53" s="8">
        <f t="shared" ref="B53:B60" si="13">B52+$D$19/5</f>
        <v>341918.11627353908</v>
      </c>
      <c r="C53" s="399">
        <f t="shared" si="8"/>
        <v>95332.789329756735</v>
      </c>
      <c r="D53" s="399">
        <f t="shared" si="9"/>
        <v>665110.20382113825</v>
      </c>
      <c r="E53" s="399">
        <f t="shared" si="10"/>
        <v>760442.993150895</v>
      </c>
      <c r="F53" s="399">
        <f t="shared" si="11"/>
        <v>266044.08152845531</v>
      </c>
      <c r="G53" s="399">
        <f t="shared" si="12"/>
        <v>361376.870858212</v>
      </c>
      <c r="H53" s="358"/>
    </row>
    <row r="54" spans="1:8">
      <c r="A54" s="358"/>
      <c r="B54" s="8">
        <f t="shared" si="13"/>
        <v>512877.17441030859</v>
      </c>
      <c r="C54" s="399">
        <f t="shared" si="8"/>
        <v>142999.1839946351</v>
      </c>
      <c r="D54" s="399">
        <f t="shared" si="9"/>
        <v>665110.20382113825</v>
      </c>
      <c r="E54" s="399">
        <f t="shared" si="10"/>
        <v>808109.38781577337</v>
      </c>
      <c r="F54" s="399">
        <f t="shared" si="11"/>
        <v>399066.12229268294</v>
      </c>
      <c r="G54" s="399">
        <f t="shared" si="12"/>
        <v>542065.306287318</v>
      </c>
      <c r="H54" s="358"/>
    </row>
    <row r="55" spans="1:8">
      <c r="A55" s="358"/>
      <c r="B55" s="8">
        <f t="shared" si="13"/>
        <v>683836.23254707817</v>
      </c>
      <c r="C55" s="399">
        <f t="shared" si="8"/>
        <v>190665.57865951347</v>
      </c>
      <c r="D55" s="399">
        <f t="shared" si="9"/>
        <v>665110.20382113825</v>
      </c>
      <c r="E55" s="399">
        <f t="shared" si="10"/>
        <v>855775.78248065175</v>
      </c>
      <c r="F55" s="399">
        <f t="shared" si="11"/>
        <v>532088.16305691062</v>
      </c>
      <c r="G55" s="399">
        <f t="shared" si="12"/>
        <v>722753.741716424</v>
      </c>
      <c r="H55" s="358"/>
    </row>
    <row r="56" spans="1:8">
      <c r="A56" s="358"/>
      <c r="B56" s="377">
        <f t="shared" si="13"/>
        <v>854795.29068384774</v>
      </c>
      <c r="C56" s="400">
        <f t="shared" si="8"/>
        <v>238331.97332439185</v>
      </c>
      <c r="D56" s="400">
        <f t="shared" si="9"/>
        <v>665110.20382113825</v>
      </c>
      <c r="E56" s="400">
        <f t="shared" si="10"/>
        <v>903442.17714553012</v>
      </c>
      <c r="F56" s="400">
        <f t="shared" si="11"/>
        <v>665110.20382113825</v>
      </c>
      <c r="G56" s="400">
        <f t="shared" si="12"/>
        <v>903442.17714553012</v>
      </c>
      <c r="H56" s="358"/>
    </row>
    <row r="57" spans="1:8">
      <c r="A57" s="358"/>
      <c r="B57" s="8">
        <f t="shared" si="13"/>
        <v>1025754.3488206173</v>
      </c>
      <c r="C57" s="399">
        <f t="shared" si="8"/>
        <v>285998.36798927025</v>
      </c>
      <c r="D57" s="399">
        <f t="shared" si="9"/>
        <v>665110.20382113825</v>
      </c>
      <c r="E57" s="399">
        <f t="shared" si="10"/>
        <v>951108.5718104085</v>
      </c>
      <c r="F57" s="399">
        <f t="shared" si="11"/>
        <v>798132.24458536587</v>
      </c>
      <c r="G57" s="399">
        <f t="shared" si="12"/>
        <v>1084130.6125746362</v>
      </c>
      <c r="H57" s="358"/>
    </row>
    <row r="58" spans="1:8">
      <c r="A58" s="358"/>
      <c r="B58" s="8">
        <f t="shared" si="13"/>
        <v>1196713.4069573868</v>
      </c>
      <c r="C58" s="399">
        <f t="shared" si="8"/>
        <v>333664.76265414857</v>
      </c>
      <c r="D58" s="399">
        <f t="shared" si="9"/>
        <v>665110.20382113825</v>
      </c>
      <c r="E58" s="399">
        <f t="shared" si="10"/>
        <v>998774.96647528675</v>
      </c>
      <c r="F58" s="399">
        <f t="shared" si="11"/>
        <v>931154.2853495935</v>
      </c>
      <c r="G58" s="399">
        <f t="shared" si="12"/>
        <v>1264819.048003742</v>
      </c>
      <c r="H58" s="358"/>
    </row>
    <row r="59" spans="1:8">
      <c r="A59" s="358"/>
      <c r="B59" s="8">
        <f t="shared" si="13"/>
        <v>1367672.4650941563</v>
      </c>
      <c r="C59" s="399">
        <f t="shared" si="8"/>
        <v>381331.15731902694</v>
      </c>
      <c r="D59" s="399">
        <f t="shared" si="9"/>
        <v>665110.20382113825</v>
      </c>
      <c r="E59" s="399">
        <f t="shared" si="10"/>
        <v>1046441.3611401652</v>
      </c>
      <c r="F59" s="399">
        <f t="shared" si="11"/>
        <v>1064176.3261138212</v>
      </c>
      <c r="G59" s="399">
        <f t="shared" si="12"/>
        <v>1445507.483432848</v>
      </c>
      <c r="H59" s="358"/>
    </row>
    <row r="60" spans="1:8">
      <c r="A60" s="358"/>
      <c r="B60" s="8">
        <f t="shared" si="13"/>
        <v>1538631.5232309259</v>
      </c>
      <c r="C60" s="399">
        <f t="shared" si="8"/>
        <v>428997.55198390532</v>
      </c>
      <c r="D60" s="399">
        <f t="shared" si="9"/>
        <v>665110.20382113825</v>
      </c>
      <c r="E60" s="399">
        <f t="shared" si="10"/>
        <v>1094107.7558050435</v>
      </c>
      <c r="F60" s="399">
        <f t="shared" si="11"/>
        <v>1197198.3668780487</v>
      </c>
      <c r="G60" s="399">
        <f t="shared" si="12"/>
        <v>1626195.9188619542</v>
      </c>
      <c r="H60" s="358"/>
    </row>
    <row r="61" spans="1:8">
      <c r="A61" s="358"/>
      <c r="B61" s="358"/>
      <c r="C61" s="358"/>
      <c r="D61" s="358"/>
      <c r="E61" s="358"/>
      <c r="F61" s="358"/>
      <c r="G61" s="358"/>
      <c r="H61" s="358"/>
    </row>
    <row r="62" spans="1:8">
      <c r="A62" s="358"/>
      <c r="B62" s="358"/>
      <c r="C62" s="358"/>
      <c r="D62" s="358"/>
      <c r="E62" s="358"/>
      <c r="F62" s="358"/>
      <c r="G62" s="358"/>
      <c r="H62" s="358"/>
    </row>
    <row r="63" spans="1:8">
      <c r="A63" s="358"/>
      <c r="B63" s="358"/>
      <c r="C63" s="358"/>
      <c r="D63" s="358"/>
      <c r="E63" s="358"/>
      <c r="F63" s="358"/>
      <c r="G63" s="358"/>
      <c r="H63" s="358"/>
    </row>
    <row r="64" spans="1:8">
      <c r="A64" s="358"/>
      <c r="B64" s="358"/>
      <c r="C64" s="358"/>
      <c r="D64" s="358"/>
      <c r="E64" s="358"/>
      <c r="F64" s="358"/>
      <c r="G64" s="358"/>
      <c r="H64" s="358"/>
    </row>
    <row r="65" spans="1:8">
      <c r="A65" s="358"/>
      <c r="B65" s="358"/>
      <c r="C65" s="358"/>
      <c r="D65" s="358"/>
      <c r="E65" s="358"/>
      <c r="F65" s="358"/>
      <c r="G65" s="358"/>
      <c r="H65" s="358"/>
    </row>
    <row r="66" spans="1:8">
      <c r="A66" s="358"/>
      <c r="B66" s="358"/>
      <c r="C66" s="358"/>
      <c r="D66" s="358"/>
      <c r="E66" s="358"/>
      <c r="F66" s="358"/>
      <c r="G66" s="358"/>
      <c r="H66" s="358"/>
    </row>
    <row r="67" spans="1:8">
      <c r="A67" s="358"/>
      <c r="B67" s="358"/>
      <c r="C67" s="358"/>
      <c r="D67" s="358"/>
      <c r="E67" s="358"/>
      <c r="F67" s="358"/>
      <c r="G67" s="358"/>
      <c r="H67" s="358"/>
    </row>
    <row r="68" spans="1:8">
      <c r="A68" s="358"/>
      <c r="B68" s="358"/>
      <c r="C68" s="358"/>
      <c r="D68" s="358"/>
      <c r="E68" s="358"/>
      <c r="F68" s="358"/>
      <c r="G68" s="358"/>
      <c r="H68" s="358"/>
    </row>
    <row r="69" spans="1:8">
      <c r="A69" s="375">
        <v>3</v>
      </c>
      <c r="B69" s="244" t="s">
        <v>310</v>
      </c>
      <c r="C69" s="244" t="s">
        <v>270</v>
      </c>
      <c r="D69" s="244" t="s">
        <v>279</v>
      </c>
      <c r="E69" s="244" t="s">
        <v>311</v>
      </c>
      <c r="F69" s="244" t="s">
        <v>312</v>
      </c>
      <c r="G69" s="244" t="s">
        <v>102</v>
      </c>
      <c r="H69" s="358"/>
    </row>
    <row r="70" spans="1:8">
      <c r="A70" s="358"/>
      <c r="B70" s="23">
        <v>0</v>
      </c>
      <c r="C70" s="382">
        <f>B70*$E$16</f>
        <v>0</v>
      </c>
      <c r="D70" s="399">
        <f>$E$11</f>
        <v>664594.84813008131</v>
      </c>
      <c r="E70" s="399">
        <f>C70+D70</f>
        <v>664594.84813008131</v>
      </c>
      <c r="F70" s="399">
        <f>B70*$E$17</f>
        <v>0</v>
      </c>
      <c r="G70" s="399">
        <f>B70*$J$4</f>
        <v>0</v>
      </c>
      <c r="H70" s="358"/>
    </row>
    <row r="71" spans="1:8">
      <c r="A71" s="358"/>
      <c r="B71" s="8">
        <f>B70+$E$19/5</f>
        <v>170713.65026923583</v>
      </c>
      <c r="C71" s="382">
        <f t="shared" ref="C71:C79" si="14">B71*$E$16</f>
        <v>47510.091634151686</v>
      </c>
      <c r="D71" s="399">
        <f t="shared" ref="D71:D79" si="15">$E$11</f>
        <v>664594.84813008131</v>
      </c>
      <c r="E71" s="399">
        <f t="shared" ref="E71:E79" si="16">C71+D71</f>
        <v>712104.93976423296</v>
      </c>
      <c r="F71" s="399">
        <f t="shared" ref="F71:F79" si="17">B71*$E$17</f>
        <v>132918.96962601627</v>
      </c>
      <c r="G71" s="399">
        <f t="shared" ref="G71:G79" si="18">B71*$J$4</f>
        <v>180429.06126016795</v>
      </c>
      <c r="H71" s="358"/>
    </row>
    <row r="72" spans="1:8">
      <c r="A72" s="358"/>
      <c r="B72" s="8">
        <f t="shared" ref="B72:B79" si="19">B71+$E$19/5</f>
        <v>341427.30053847167</v>
      </c>
      <c r="C72" s="382">
        <f t="shared" si="14"/>
        <v>95020.183268303372</v>
      </c>
      <c r="D72" s="399">
        <f t="shared" si="15"/>
        <v>664594.84813008131</v>
      </c>
      <c r="E72" s="399">
        <f t="shared" si="16"/>
        <v>759615.03139838472</v>
      </c>
      <c r="F72" s="399">
        <f t="shared" si="17"/>
        <v>265837.93925203255</v>
      </c>
      <c r="G72" s="399">
        <f t="shared" si="18"/>
        <v>360858.12252033589</v>
      </c>
      <c r="H72" s="358"/>
    </row>
    <row r="73" spans="1:8">
      <c r="A73" s="358"/>
      <c r="B73" s="8">
        <f t="shared" si="19"/>
        <v>512140.9508077075</v>
      </c>
      <c r="C73" s="382">
        <f t="shared" si="14"/>
        <v>142530.27490245507</v>
      </c>
      <c r="D73" s="399">
        <f t="shared" si="15"/>
        <v>664594.84813008131</v>
      </c>
      <c r="E73" s="399">
        <f t="shared" si="16"/>
        <v>807125.12303253636</v>
      </c>
      <c r="F73" s="399">
        <f t="shared" si="17"/>
        <v>398756.90887804877</v>
      </c>
      <c r="G73" s="399">
        <f t="shared" si="18"/>
        <v>541287.18378050381</v>
      </c>
      <c r="H73" s="358"/>
    </row>
    <row r="74" spans="1:8">
      <c r="A74" s="358"/>
      <c r="B74" s="8">
        <f t="shared" si="19"/>
        <v>682854.60107694333</v>
      </c>
      <c r="C74" s="382">
        <f t="shared" si="14"/>
        <v>190040.36653660674</v>
      </c>
      <c r="D74" s="399">
        <f t="shared" si="15"/>
        <v>664594.84813008131</v>
      </c>
      <c r="E74" s="399">
        <f t="shared" si="16"/>
        <v>854635.21466668812</v>
      </c>
      <c r="F74" s="399">
        <f t="shared" si="17"/>
        <v>531675.8785040651</v>
      </c>
      <c r="G74" s="399">
        <f t="shared" si="18"/>
        <v>721716.24504067178</v>
      </c>
      <c r="H74" s="358"/>
    </row>
    <row r="75" spans="1:8">
      <c r="A75" s="358"/>
      <c r="B75" s="377">
        <f t="shared" si="19"/>
        <v>853568.25134617917</v>
      </c>
      <c r="C75" s="398">
        <f t="shared" si="14"/>
        <v>237550.45817075844</v>
      </c>
      <c r="D75" s="400">
        <f t="shared" si="15"/>
        <v>664594.84813008131</v>
      </c>
      <c r="E75" s="400">
        <f t="shared" si="16"/>
        <v>902145.30630083976</v>
      </c>
      <c r="F75" s="400">
        <f t="shared" si="17"/>
        <v>664594.84813008131</v>
      </c>
      <c r="G75" s="400">
        <f t="shared" si="18"/>
        <v>902145.30630083976</v>
      </c>
      <c r="H75" s="358"/>
    </row>
    <row r="76" spans="1:8">
      <c r="A76" s="358"/>
      <c r="B76" s="8">
        <f t="shared" si="19"/>
        <v>1024281.901615415</v>
      </c>
      <c r="C76" s="382">
        <f t="shared" si="14"/>
        <v>285060.54980491014</v>
      </c>
      <c r="D76" s="399">
        <f t="shared" si="15"/>
        <v>664594.84813008131</v>
      </c>
      <c r="E76" s="399">
        <f t="shared" si="16"/>
        <v>949655.3979349914</v>
      </c>
      <c r="F76" s="399">
        <f t="shared" si="17"/>
        <v>797513.81775609753</v>
      </c>
      <c r="G76" s="399">
        <f t="shared" si="18"/>
        <v>1082574.3675610076</v>
      </c>
      <c r="H76" s="358"/>
    </row>
    <row r="77" spans="1:8">
      <c r="A77" s="358"/>
      <c r="B77" s="8">
        <f t="shared" si="19"/>
        <v>1194995.5518846507</v>
      </c>
      <c r="C77" s="382">
        <f t="shared" si="14"/>
        <v>332570.64143906179</v>
      </c>
      <c r="D77" s="399">
        <f t="shared" si="15"/>
        <v>664594.84813008131</v>
      </c>
      <c r="E77" s="399">
        <f t="shared" si="16"/>
        <v>997165.48956914316</v>
      </c>
      <c r="F77" s="399">
        <f t="shared" si="17"/>
        <v>930432.78738211375</v>
      </c>
      <c r="G77" s="399">
        <f t="shared" si="18"/>
        <v>1263003.4288211756</v>
      </c>
      <c r="H77" s="358"/>
    </row>
    <row r="78" spans="1:8">
      <c r="A78" s="358"/>
      <c r="B78" s="8">
        <f t="shared" si="19"/>
        <v>1365709.2021538867</v>
      </c>
      <c r="C78" s="382">
        <f t="shared" si="14"/>
        <v>380080.73307321349</v>
      </c>
      <c r="D78" s="399">
        <f t="shared" si="15"/>
        <v>664594.84813008131</v>
      </c>
      <c r="E78" s="399">
        <f t="shared" si="16"/>
        <v>1044675.5812032948</v>
      </c>
      <c r="F78" s="399">
        <f t="shared" si="17"/>
        <v>1063351.7570081302</v>
      </c>
      <c r="G78" s="399">
        <f t="shared" si="18"/>
        <v>1443432.4900813436</v>
      </c>
      <c r="H78" s="358"/>
    </row>
    <row r="79" spans="1:8">
      <c r="A79" s="358"/>
      <c r="B79" s="8">
        <f t="shared" si="19"/>
        <v>1536422.8524231226</v>
      </c>
      <c r="C79" s="382">
        <f t="shared" si="14"/>
        <v>427590.82470736519</v>
      </c>
      <c r="D79" s="399">
        <f t="shared" si="15"/>
        <v>664594.84813008131</v>
      </c>
      <c r="E79" s="399">
        <f t="shared" si="16"/>
        <v>1092185.6728374464</v>
      </c>
      <c r="F79" s="399">
        <f t="shared" si="17"/>
        <v>1196270.7266341464</v>
      </c>
      <c r="G79" s="399">
        <f t="shared" si="18"/>
        <v>1623861.5513415118</v>
      </c>
      <c r="H79" s="358"/>
    </row>
    <row r="80" spans="1:8">
      <c r="A80" s="358"/>
      <c r="B80" s="358"/>
      <c r="C80" s="358"/>
      <c r="D80" s="358"/>
      <c r="E80" s="358"/>
      <c r="F80" s="358"/>
      <c r="G80" s="358"/>
      <c r="H80" s="358"/>
    </row>
    <row r="81" spans="1:8">
      <c r="A81" s="358"/>
      <c r="B81" s="358"/>
      <c r="C81" s="358"/>
      <c r="D81" s="358"/>
      <c r="E81" s="358"/>
      <c r="F81" s="358"/>
      <c r="G81" s="358"/>
      <c r="H81" s="358"/>
    </row>
  </sheetData>
  <mergeCells count="2">
    <mergeCell ref="A29:B30"/>
    <mergeCell ref="A1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3C48-0729-4DEE-A5ED-BA9EFA3F0086}">
  <dimension ref="C4:H32"/>
  <sheetViews>
    <sheetView showGridLines="0" zoomScale="80" zoomScaleNormal="80" workbookViewId="0">
      <selection activeCell="H30" sqref="H30"/>
    </sheetView>
  </sheetViews>
  <sheetFormatPr baseColWidth="10" defaultColWidth="8.83203125" defaultRowHeight="15"/>
  <cols>
    <col min="1" max="2" width="8.83203125" style="127"/>
    <col min="3" max="3" width="34" style="127" bestFit="1" customWidth="1"/>
    <col min="4" max="6" width="13.83203125" style="127" bestFit="1" customWidth="1"/>
    <col min="7" max="16384" width="8.83203125" style="127"/>
  </cols>
  <sheetData>
    <row r="4" spans="3:6">
      <c r="C4" s="37" t="s">
        <v>279</v>
      </c>
      <c r="D4" s="37">
        <v>1</v>
      </c>
      <c r="E4" s="37">
        <v>2</v>
      </c>
      <c r="F4" s="37">
        <v>3</v>
      </c>
    </row>
    <row r="5" spans="3:6">
      <c r="C5" s="36" t="s">
        <v>278</v>
      </c>
      <c r="D5" s="6"/>
      <c r="E5" s="6"/>
      <c r="F5" s="6"/>
    </row>
    <row r="6" spans="3:6">
      <c r="C6" s="37" t="s">
        <v>277</v>
      </c>
      <c r="D6" s="368">
        <f>FSE!I5</f>
        <v>300000</v>
      </c>
      <c r="E6" s="368">
        <f>FSE!I24</f>
        <v>300000</v>
      </c>
      <c r="F6" s="368">
        <f>FSE!I42</f>
        <v>300000</v>
      </c>
    </row>
    <row r="7" spans="3:6">
      <c r="C7" s="37" t="s">
        <v>276</v>
      </c>
      <c r="D7" s="368">
        <f>FSE!I6</f>
        <v>12000</v>
      </c>
      <c r="E7" s="368">
        <f>FSE!I25</f>
        <v>12000</v>
      </c>
      <c r="F7" s="368">
        <f>FSE!I43</f>
        <v>12000</v>
      </c>
    </row>
    <row r="8" spans="3:6">
      <c r="C8" s="37" t="s">
        <v>140</v>
      </c>
      <c r="D8" s="368">
        <f>FSE!I8</f>
        <v>36000</v>
      </c>
      <c r="E8" s="368">
        <f>FSE!I27</f>
        <v>36000</v>
      </c>
      <c r="F8" s="368">
        <f>FSE!I45</f>
        <v>36000</v>
      </c>
    </row>
    <row r="9" spans="3:6">
      <c r="C9" s="37" t="s">
        <v>275</v>
      </c>
      <c r="D9" s="368">
        <f>FSE!I9</f>
        <v>500</v>
      </c>
      <c r="E9" s="368">
        <f>FSE!I28</f>
        <v>500</v>
      </c>
      <c r="F9" s="368">
        <f>FSE!I46</f>
        <v>500</v>
      </c>
    </row>
    <row r="10" spans="3:6">
      <c r="C10" s="37" t="s">
        <v>274</v>
      </c>
      <c r="D10" s="368">
        <f>FSE!I10</f>
        <v>150</v>
      </c>
      <c r="E10" s="368">
        <f>FSE!I29</f>
        <v>150</v>
      </c>
      <c r="F10" s="368">
        <f>FSE!I47</f>
        <v>150</v>
      </c>
    </row>
    <row r="11" spans="3:6">
      <c r="C11" s="37" t="s">
        <v>144</v>
      </c>
      <c r="D11" s="368">
        <f>'Gastos Pessoal'!$O$34</f>
        <v>0</v>
      </c>
      <c r="E11" s="368">
        <f>'Gastos Pessoal'!$O$34</f>
        <v>0</v>
      </c>
      <c r="F11" s="368">
        <f>'Gastos Pessoal'!$O$34</f>
        <v>0</v>
      </c>
    </row>
    <row r="12" spans="3:6">
      <c r="C12" s="37" t="s">
        <v>273</v>
      </c>
      <c r="D12" s="368">
        <f>FSE!I11</f>
        <v>1016.2601626016261</v>
      </c>
      <c r="E12" s="368">
        <f>FSE!I30</f>
        <v>965.44715447154476</v>
      </c>
      <c r="F12" s="368">
        <f>FSE!I48</f>
        <v>917.17479674796755</v>
      </c>
    </row>
    <row r="13" spans="3:6">
      <c r="C13" s="37" t="s">
        <v>146</v>
      </c>
      <c r="D13" s="368">
        <f>FSE!I13</f>
        <v>77.235772357723576</v>
      </c>
      <c r="E13" s="368">
        <f>FSE!I32</f>
        <v>73.373983739837399</v>
      </c>
      <c r="F13" s="368">
        <f>FSE!I50</f>
        <v>69.705284552845526</v>
      </c>
    </row>
    <row r="14" spans="3:6">
      <c r="C14" s="37" t="s">
        <v>147</v>
      </c>
      <c r="D14" s="368">
        <f>FSE!I14</f>
        <v>5000</v>
      </c>
      <c r="E14" s="369">
        <v>0</v>
      </c>
      <c r="F14" s="369">
        <v>0</v>
      </c>
    </row>
    <row r="15" spans="3:6">
      <c r="C15" s="37" t="s">
        <v>145</v>
      </c>
      <c r="D15" s="368">
        <f>FSE!I15</f>
        <v>2139</v>
      </c>
      <c r="E15" s="368">
        <f>FSE!I33</f>
        <v>2139</v>
      </c>
      <c r="F15" s="368">
        <f>FSE!I51</f>
        <v>2139</v>
      </c>
    </row>
    <row r="16" spans="3:6">
      <c r="C16" s="37" t="s">
        <v>161</v>
      </c>
      <c r="D16" s="368">
        <f>FSE!I16</f>
        <v>2400</v>
      </c>
      <c r="E16" s="368">
        <f>FSE!I34</f>
        <v>2400</v>
      </c>
      <c r="F16" s="368">
        <f>FSE!I52</f>
        <v>2400</v>
      </c>
    </row>
    <row r="17" spans="3:8">
      <c r="C17" s="36" t="s">
        <v>272</v>
      </c>
      <c r="D17" s="10">
        <f>'Gastos Pessoal'!$J$30</f>
        <v>301614.09000000003</v>
      </c>
      <c r="E17" s="10">
        <f>'Gastos Pessoal'!$J$30</f>
        <v>301614.09000000003</v>
      </c>
      <c r="F17" s="10">
        <f>'Gastos Pessoal'!$J$30</f>
        <v>301614.09000000003</v>
      </c>
    </row>
    <row r="18" spans="3:8">
      <c r="C18" s="36" t="s">
        <v>280</v>
      </c>
      <c r="D18" s="368">
        <f>AFT!S22</f>
        <v>9756.0975609756097</v>
      </c>
      <c r="E18" s="368">
        <f>AFT!S34</f>
        <v>9268.292682926829</v>
      </c>
      <c r="F18" s="368">
        <f>AFT!S46</f>
        <v>8804.878048780487</v>
      </c>
    </row>
    <row r="19" spans="3:8">
      <c r="C19" s="37" t="s">
        <v>271</v>
      </c>
      <c r="D19" s="368">
        <f>SUM(D6:D18)</f>
        <v>670652.68349593494</v>
      </c>
      <c r="E19" s="368">
        <f>SUM(E6:E18)</f>
        <v>665110.20382113825</v>
      </c>
      <c r="F19" s="368">
        <f>SUM(F6:F18)</f>
        <v>664594.84813008131</v>
      </c>
    </row>
    <row r="23" spans="3:8">
      <c r="C23" s="180" t="s">
        <v>270</v>
      </c>
      <c r="D23" s="37">
        <v>1</v>
      </c>
      <c r="E23" s="37">
        <v>2</v>
      </c>
      <c r="F23" s="37">
        <v>3</v>
      </c>
      <c r="H23" s="127" t="s">
        <v>269</v>
      </c>
    </row>
    <row r="24" spans="3:8">
      <c r="C24" s="37" t="s">
        <v>243</v>
      </c>
      <c r="D24" s="101">
        <f>CMVMC!E30</f>
        <v>217763.57235772358</v>
      </c>
      <c r="E24" s="101">
        <f>CMVMC!F30</f>
        <v>228651.75097560973</v>
      </c>
      <c r="F24" s="101">
        <f>CMVMC!G30</f>
        <v>239539.92959349591</v>
      </c>
    </row>
    <row r="25" spans="3:8">
      <c r="C25" s="19"/>
    </row>
    <row r="26" spans="3:8">
      <c r="C26" s="19"/>
    </row>
    <row r="27" spans="3:8">
      <c r="C27" s="36" t="s">
        <v>268</v>
      </c>
      <c r="D27" s="6"/>
      <c r="E27" s="6"/>
      <c r="F27" s="6"/>
    </row>
    <row r="28" spans="3:8" s="73" customFormat="1" ht="30.75" customHeight="1">
      <c r="C28" s="385" t="s">
        <v>267</v>
      </c>
      <c r="D28" s="386">
        <f>FSE!I7</f>
        <v>10953.6</v>
      </c>
      <c r="E28" s="386">
        <f>FSE!I26</f>
        <v>10953.6</v>
      </c>
      <c r="F28" s="386">
        <f>FSE!I44</f>
        <v>10953.6</v>
      </c>
    </row>
    <row r="29" spans="3:8">
      <c r="C29" s="37" t="s">
        <v>266</v>
      </c>
      <c r="D29" s="101">
        <f>FSE!I12</f>
        <v>279.20625000000001</v>
      </c>
      <c r="E29" s="101">
        <f>FSE!I31</f>
        <v>508.97624999999999</v>
      </c>
      <c r="F29" s="101">
        <f>FSE!I49</f>
        <v>488.90125</v>
      </c>
    </row>
    <row r="30" spans="3:8" ht="30.75" customHeight="1">
      <c r="C30" s="37" t="s">
        <v>162</v>
      </c>
      <c r="D30" s="101">
        <f>FSE!I17</f>
        <v>49970</v>
      </c>
      <c r="E30" s="101">
        <f>FSE!I35</f>
        <v>52468.500000000007</v>
      </c>
      <c r="F30" s="101">
        <f>FSE!I53</f>
        <v>54967.000000000007</v>
      </c>
    </row>
    <row r="31" spans="3:8">
      <c r="C31" s="37"/>
      <c r="D31" s="101"/>
      <c r="E31" s="101"/>
      <c r="F31" s="101"/>
    </row>
    <row r="32" spans="3:8">
      <c r="C32" s="36" t="s">
        <v>10</v>
      </c>
      <c r="D32" s="101">
        <f>SUM(D24:D31)</f>
        <v>278966.37860772357</v>
      </c>
      <c r="E32" s="101">
        <f>SUM(E24:E31)</f>
        <v>292582.82722560974</v>
      </c>
      <c r="F32" s="101">
        <f>SUM(F24:F31)</f>
        <v>305949.43084349594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FB1-2EDB-4DA2-9580-87EC29809861}">
  <dimension ref="B1:J30"/>
  <sheetViews>
    <sheetView showGridLines="0" topLeftCell="A7" zoomScaleNormal="100" zoomScaleSheetLayoutView="100" workbookViewId="0">
      <selection activeCell="E30" sqref="E30:G30"/>
    </sheetView>
  </sheetViews>
  <sheetFormatPr baseColWidth="10" defaultColWidth="8.83203125" defaultRowHeight="15"/>
  <cols>
    <col min="1" max="1" width="4.33203125" customWidth="1"/>
    <col min="4" max="4" width="14.1640625" customWidth="1"/>
    <col min="5" max="9" width="13.1640625" bestFit="1" customWidth="1"/>
    <col min="10" max="10" width="12" bestFit="1" customWidth="1"/>
  </cols>
  <sheetData>
    <row r="1" spans="2:10" ht="16" thickBot="1"/>
    <row r="2" spans="2:10" s="162" customFormat="1" ht="20" thickBot="1">
      <c r="B2" s="418" t="s">
        <v>243</v>
      </c>
      <c r="C2" s="419"/>
      <c r="D2" s="420"/>
    </row>
    <row r="3" spans="2:10" ht="16" thickBot="1"/>
    <row r="4" spans="2:10" ht="16" thickBot="1">
      <c r="B4" s="463" t="s">
        <v>20</v>
      </c>
      <c r="C4" s="465"/>
    </row>
    <row r="6" spans="2:10">
      <c r="B6" s="533" t="s">
        <v>264</v>
      </c>
      <c r="C6" s="533"/>
      <c r="D6" s="533"/>
      <c r="E6" s="37" t="s">
        <v>256</v>
      </c>
      <c r="F6" s="37" t="s">
        <v>257</v>
      </c>
      <c r="G6" s="37" t="s">
        <v>258</v>
      </c>
      <c r="H6" s="37" t="s">
        <v>259</v>
      </c>
      <c r="I6" s="37" t="s">
        <v>10</v>
      </c>
      <c r="J6" s="139"/>
    </row>
    <row r="7" spans="2:10">
      <c r="B7" s="427" t="s">
        <v>260</v>
      </c>
      <c r="C7" s="427"/>
      <c r="D7" s="427"/>
      <c r="E7" s="401">
        <f>Inventário!D35</f>
        <v>68051.225308943089</v>
      </c>
      <c r="F7" s="401">
        <f>Inventário!E35</f>
        <v>68051.00741463415</v>
      </c>
      <c r="G7" s="401">
        <f>Inventário!F35</f>
        <v>27220.446544715447</v>
      </c>
      <c r="H7" s="401">
        <f>Inventário!G35</f>
        <v>54440.893089430894</v>
      </c>
      <c r="I7" s="401">
        <f>Inventário!H35</f>
        <v>217763.57235772358</v>
      </c>
      <c r="J7" s="140"/>
    </row>
    <row r="8" spans="2:10">
      <c r="B8" s="427" t="s">
        <v>261</v>
      </c>
      <c r="C8" s="427"/>
      <c r="D8" s="427"/>
      <c r="E8" s="401">
        <f>Inventário!D53</f>
        <v>34025.503707317075</v>
      </c>
      <c r="F8" s="401">
        <f>Inventário!E53</f>
        <v>34025.503707317075</v>
      </c>
      <c r="G8" s="401">
        <f>Inventário!F53</f>
        <v>13610.332219512195</v>
      </c>
      <c r="H8" s="401">
        <f>Inventário!G53</f>
        <v>27220.446544715447</v>
      </c>
      <c r="I8" s="401">
        <f>Inventário!H53</f>
        <v>108881.78617886179</v>
      </c>
      <c r="J8" s="106"/>
    </row>
    <row r="9" spans="2:10">
      <c r="B9" s="427" t="s">
        <v>262</v>
      </c>
      <c r="C9" s="427"/>
      <c r="D9" s="427"/>
      <c r="E9" s="401">
        <f>Inventário!D71</f>
        <v>20415.389382113819</v>
      </c>
      <c r="F9" s="401">
        <f>Inventário!E71</f>
        <v>20415.389382113819</v>
      </c>
      <c r="G9" s="401">
        <f>Inventário!F71</f>
        <v>8166.0250162601624</v>
      </c>
      <c r="H9" s="401">
        <f>Inventário!G71</f>
        <v>16332.267926829267</v>
      </c>
      <c r="I9" s="401">
        <f>Inventário!H71</f>
        <v>65329.071707317067</v>
      </c>
      <c r="J9" s="106"/>
    </row>
    <row r="10" spans="2:10">
      <c r="B10" s="427" t="s">
        <v>263</v>
      </c>
      <c r="C10" s="427"/>
      <c r="D10" s="427"/>
      <c r="E10" s="401">
        <f>Inventário!D89</f>
        <v>13610.332219512195</v>
      </c>
      <c r="F10" s="401">
        <f>Inventário!E89</f>
        <v>13610.114325203251</v>
      </c>
      <c r="G10" s="401">
        <f>Inventário!F89</f>
        <v>5444.0893089430892</v>
      </c>
      <c r="H10" s="401">
        <f>Inventário!G89</f>
        <v>10888.178617886178</v>
      </c>
      <c r="I10" s="401">
        <f>Inventário!H89</f>
        <v>43552.714471544714</v>
      </c>
      <c r="J10" s="106"/>
    </row>
    <row r="12" spans="2:10" ht="16" thickBot="1"/>
    <row r="13" spans="2:10" ht="16" thickBot="1">
      <c r="B13" s="463" t="s">
        <v>21</v>
      </c>
      <c r="C13" s="465"/>
      <c r="D13" s="119"/>
      <c r="E13" s="119"/>
      <c r="F13" s="119"/>
      <c r="G13" s="119"/>
      <c r="H13" s="119"/>
      <c r="I13" s="119"/>
      <c r="J13" s="119"/>
    </row>
    <row r="14" spans="2:10">
      <c r="B14" s="119"/>
      <c r="C14" s="119"/>
      <c r="D14" s="119"/>
      <c r="E14" s="119"/>
      <c r="F14" s="119"/>
      <c r="G14" s="119"/>
      <c r="H14" s="119"/>
      <c r="I14" s="119"/>
      <c r="J14" s="119"/>
    </row>
    <row r="15" spans="2:10">
      <c r="B15" s="533" t="s">
        <v>264</v>
      </c>
      <c r="C15" s="533"/>
      <c r="D15" s="533"/>
      <c r="E15" s="37" t="s">
        <v>256</v>
      </c>
      <c r="F15" s="37" t="s">
        <v>257</v>
      </c>
      <c r="G15" s="37" t="s">
        <v>258</v>
      </c>
      <c r="H15" s="37" t="s">
        <v>259</v>
      </c>
      <c r="I15" s="37" t="s">
        <v>10</v>
      </c>
      <c r="J15" s="139"/>
    </row>
    <row r="16" spans="2:10">
      <c r="B16" s="427" t="s">
        <v>260</v>
      </c>
      <c r="C16" s="427"/>
      <c r="D16" s="427"/>
      <c r="E16" s="401">
        <f>Inventário!M35</f>
        <v>71453.862837398367</v>
      </c>
      <c r="F16" s="401">
        <f>Inventário!N35</f>
        <v>71453.644943089428</v>
      </c>
      <c r="G16" s="401">
        <f>Inventário!O35</f>
        <v>28581.414398373981</v>
      </c>
      <c r="H16" s="401">
        <f>Inventário!P35</f>
        <v>57162.828796747963</v>
      </c>
      <c r="I16" s="401">
        <f>Inventário!Q35</f>
        <v>228651.75097560973</v>
      </c>
      <c r="J16" s="140"/>
    </row>
    <row r="17" spans="2:10">
      <c r="B17" s="427" t="s">
        <v>261</v>
      </c>
      <c r="C17" s="427"/>
      <c r="D17" s="427"/>
      <c r="E17" s="401">
        <f>Inventário!M53</f>
        <v>35726.822471544714</v>
      </c>
      <c r="F17" s="401">
        <f>Inventário!N53</f>
        <v>35726.822471544714</v>
      </c>
      <c r="G17" s="401">
        <f>Inventário!O53</f>
        <v>14290.816146341464</v>
      </c>
      <c r="H17" s="401">
        <f>Inventário!P53</f>
        <v>28581.414398373981</v>
      </c>
      <c r="I17" s="401">
        <f>Inventário!Q53</f>
        <v>114325.87548780486</v>
      </c>
      <c r="J17" s="106"/>
    </row>
    <row r="18" spans="2:10">
      <c r="B18" s="427" t="s">
        <v>262</v>
      </c>
      <c r="C18" s="427"/>
      <c r="D18" s="427"/>
      <c r="E18" s="401">
        <f>Inventário!M71</f>
        <v>21436.224219512194</v>
      </c>
      <c r="F18" s="401">
        <f>Inventário!N71</f>
        <v>21436.006325203252</v>
      </c>
      <c r="G18" s="401">
        <f>Inventário!O71</f>
        <v>8574.3589512195122</v>
      </c>
      <c r="H18" s="401">
        <f>Inventário!P71</f>
        <v>17148.717902439024</v>
      </c>
      <c r="I18" s="401">
        <f>Inventário!Q71</f>
        <v>68595.307398373989</v>
      </c>
      <c r="J18" s="106"/>
    </row>
    <row r="19" spans="2:10">
      <c r="B19" s="427" t="s">
        <v>263</v>
      </c>
      <c r="C19" s="427"/>
      <c r="D19" s="427"/>
      <c r="E19" s="401">
        <f>Inventário!M89</f>
        <v>14290.816146341464</v>
      </c>
      <c r="F19" s="401">
        <f>Inventário!N89</f>
        <v>14290.816146341464</v>
      </c>
      <c r="G19" s="401">
        <f>Inventário!O89</f>
        <v>5716.2393008130075</v>
      </c>
      <c r="H19" s="401">
        <f>Inventário!P89</f>
        <v>11432.696495934959</v>
      </c>
      <c r="I19" s="401">
        <f>Inventário!Q89</f>
        <v>45730.56808943089</v>
      </c>
      <c r="J19" s="106"/>
    </row>
    <row r="20" spans="2:10" ht="16" thickBot="1"/>
    <row r="21" spans="2:10" ht="16" thickBot="1">
      <c r="B21" s="463" t="s">
        <v>22</v>
      </c>
      <c r="C21" s="465"/>
      <c r="D21" s="119"/>
      <c r="E21" s="119"/>
      <c r="F21" s="119"/>
      <c r="G21" s="119"/>
      <c r="H21" s="119"/>
      <c r="I21" s="119"/>
    </row>
    <row r="22" spans="2:10">
      <c r="B22" s="119"/>
      <c r="C22" s="119"/>
      <c r="D22" s="119"/>
      <c r="E22" s="119"/>
      <c r="F22" s="119"/>
      <c r="G22" s="119"/>
      <c r="H22" s="119"/>
      <c r="I22" s="119"/>
    </row>
    <row r="23" spans="2:10">
      <c r="B23" s="533" t="s">
        <v>264</v>
      </c>
      <c r="C23" s="533"/>
      <c r="D23" s="533"/>
      <c r="E23" s="37" t="s">
        <v>256</v>
      </c>
      <c r="F23" s="37" t="s">
        <v>257</v>
      </c>
      <c r="G23" s="37" t="s">
        <v>258</v>
      </c>
      <c r="H23" s="37" t="s">
        <v>259</v>
      </c>
      <c r="I23" s="37" t="s">
        <v>10</v>
      </c>
      <c r="J23" s="141"/>
    </row>
    <row r="24" spans="2:10">
      <c r="B24" s="427" t="s">
        <v>260</v>
      </c>
      <c r="C24" s="427"/>
      <c r="D24" s="427"/>
      <c r="E24" s="401">
        <f>Inventário!V35</f>
        <v>74856.282471544706</v>
      </c>
      <c r="F24" s="401">
        <f>Inventário!W35</f>
        <v>74856.064577235768</v>
      </c>
      <c r="G24" s="401">
        <f>Inventário!X35</f>
        <v>29942.600146341461</v>
      </c>
      <c r="H24" s="401">
        <f>Inventário!Y35</f>
        <v>59884.982398373984</v>
      </c>
      <c r="I24" s="401">
        <f>Inventário!Z35</f>
        <v>239539.92959349591</v>
      </c>
      <c r="J24" s="140"/>
    </row>
    <row r="25" spans="2:10">
      <c r="B25" s="427" t="s">
        <v>261</v>
      </c>
      <c r="C25" s="427"/>
      <c r="D25" s="427"/>
      <c r="E25" s="401">
        <f>Inventário!V53</f>
        <v>37428.141235772353</v>
      </c>
      <c r="F25" s="401">
        <f>Inventário!W53</f>
        <v>37428.141235772353</v>
      </c>
      <c r="G25" s="401">
        <f>Inventário!X53</f>
        <v>14971.300073170731</v>
      </c>
      <c r="H25" s="401">
        <f>Inventário!Y53</f>
        <v>29942.382252032519</v>
      </c>
      <c r="I25" s="401">
        <f>Inventário!Z53</f>
        <v>119769.96479674795</v>
      </c>
    </row>
    <row r="26" spans="2:10">
      <c r="B26" s="427" t="s">
        <v>262</v>
      </c>
      <c r="C26" s="427"/>
      <c r="D26" s="427"/>
      <c r="E26" s="401">
        <f>Inventário!V71</f>
        <v>22456.841162601624</v>
      </c>
      <c r="F26" s="401">
        <f>Inventário!W71</f>
        <v>22456.841162601624</v>
      </c>
      <c r="G26" s="401">
        <f>Inventário!X71</f>
        <v>8982.692886178862</v>
      </c>
      <c r="H26" s="401">
        <f>Inventário!Y71</f>
        <v>17965.603666666666</v>
      </c>
      <c r="I26" s="401">
        <f>Inventário!Z71</f>
        <v>71861.978878048772</v>
      </c>
    </row>
    <row r="27" spans="2:10">
      <c r="B27" s="427" t="s">
        <v>263</v>
      </c>
      <c r="C27" s="427"/>
      <c r="D27" s="427"/>
      <c r="E27" s="401">
        <f>Inventário!V89</f>
        <v>14971.300073170731</v>
      </c>
      <c r="F27" s="401">
        <f>Inventário!W89</f>
        <v>14971.082178861789</v>
      </c>
      <c r="G27" s="401">
        <f>Inventário!X89</f>
        <v>5988.6071869918696</v>
      </c>
      <c r="H27" s="401">
        <f>Inventário!Y89</f>
        <v>11976.996479674797</v>
      </c>
      <c r="I27" s="401">
        <f>Inventário!Z89</f>
        <v>47907.985918699182</v>
      </c>
    </row>
    <row r="29" spans="2:10">
      <c r="D29" s="2" t="s">
        <v>430</v>
      </c>
      <c r="E29" s="37">
        <v>1</v>
      </c>
      <c r="F29" s="37">
        <v>2</v>
      </c>
      <c r="G29" s="37">
        <v>3</v>
      </c>
    </row>
    <row r="30" spans="2:10">
      <c r="D30" s="37" t="s">
        <v>265</v>
      </c>
      <c r="E30" s="401">
        <f>I7</f>
        <v>217763.57235772358</v>
      </c>
      <c r="F30" s="401">
        <f>I16</f>
        <v>228651.75097560973</v>
      </c>
      <c r="G30" s="401">
        <f>I24</f>
        <v>239539.92959349591</v>
      </c>
    </row>
  </sheetData>
  <mergeCells count="19">
    <mergeCell ref="B2:D2"/>
    <mergeCell ref="B27:D27"/>
    <mergeCell ref="B13:C13"/>
    <mergeCell ref="B15:D15"/>
    <mergeCell ref="B16:D16"/>
    <mergeCell ref="B17:D17"/>
    <mergeCell ref="B18:D18"/>
    <mergeCell ref="B19:D19"/>
    <mergeCell ref="B21:C21"/>
    <mergeCell ref="B23:D23"/>
    <mergeCell ref="B24:D24"/>
    <mergeCell ref="B25:D25"/>
    <mergeCell ref="B26:D26"/>
    <mergeCell ref="B4:C4"/>
    <mergeCell ref="B7:D7"/>
    <mergeCell ref="B8:D8"/>
    <mergeCell ref="B9:D9"/>
    <mergeCell ref="B10:D10"/>
    <mergeCell ref="B6:D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EBA-F345-476C-936F-25E5C07D9019}">
  <dimension ref="B1:K44"/>
  <sheetViews>
    <sheetView showGridLines="0" zoomScale="70" zoomScaleNormal="70" workbookViewId="0">
      <selection activeCell="I22" sqref="I22"/>
    </sheetView>
  </sheetViews>
  <sheetFormatPr baseColWidth="10" defaultColWidth="8.83203125" defaultRowHeight="15"/>
  <cols>
    <col min="2" max="2" width="39.33203125" customWidth="1"/>
    <col min="3" max="5" width="14.5" customWidth="1"/>
    <col min="7" max="7" width="19.5" customWidth="1"/>
    <col min="8" max="8" width="48.83203125" customWidth="1"/>
    <col min="9" max="11" width="14.5" customWidth="1"/>
  </cols>
  <sheetData>
    <row r="1" spans="2:11" ht="16" thickBot="1"/>
    <row r="2" spans="2:11" ht="20" customHeight="1">
      <c r="B2" s="534" t="s">
        <v>254</v>
      </c>
      <c r="C2" s="535"/>
      <c r="D2" s="535"/>
      <c r="E2" s="536"/>
      <c r="H2" s="541" t="s">
        <v>307</v>
      </c>
      <c r="I2" s="535"/>
      <c r="J2" s="535"/>
      <c r="K2" s="536"/>
    </row>
    <row r="3" spans="2:11">
      <c r="B3" s="251" t="s">
        <v>430</v>
      </c>
      <c r="C3" s="121">
        <v>1</v>
      </c>
      <c r="D3" s="121">
        <v>2</v>
      </c>
      <c r="E3" s="252">
        <v>3</v>
      </c>
      <c r="H3" s="264" t="s">
        <v>431</v>
      </c>
      <c r="I3" s="126">
        <v>1</v>
      </c>
      <c r="J3" s="126">
        <v>2</v>
      </c>
      <c r="K3" s="265">
        <v>3</v>
      </c>
    </row>
    <row r="4" spans="2:11">
      <c r="B4" s="253" t="s">
        <v>217</v>
      </c>
      <c r="C4" s="122"/>
      <c r="D4" s="122"/>
      <c r="E4" s="254"/>
      <c r="H4" s="285" t="s">
        <v>102</v>
      </c>
      <c r="I4" s="286">
        <f>Recebimentos!I11</f>
        <v>1056276.4227642277</v>
      </c>
      <c r="J4" s="286">
        <f>Recebimentos!I19</f>
        <v>1109090.243902439</v>
      </c>
      <c r="K4" s="287">
        <f>Recebimentos!I27</f>
        <v>1161904.0650406503</v>
      </c>
    </row>
    <row r="5" spans="2:11">
      <c r="B5" s="255" t="s">
        <v>218</v>
      </c>
      <c r="C5" s="123"/>
      <c r="D5" s="123"/>
      <c r="E5" s="256"/>
      <c r="H5" s="288" t="s">
        <v>242</v>
      </c>
      <c r="I5" s="289">
        <f>SUM(I4:I4)</f>
        <v>1056276.4227642277</v>
      </c>
      <c r="J5" s="289">
        <f>SUM(J4:J4)</f>
        <v>1109090.243902439</v>
      </c>
      <c r="K5" s="290">
        <f>SUM(K4:K4)</f>
        <v>1161904.0650406503</v>
      </c>
    </row>
    <row r="6" spans="2:11">
      <c r="B6" s="272" t="s">
        <v>86</v>
      </c>
      <c r="C6" s="273">
        <f>AFT!S23</f>
        <v>224512.1951219512</v>
      </c>
      <c r="D6" s="273">
        <f>AFT!S35</f>
        <v>213286.58536585368</v>
      </c>
      <c r="E6" s="274">
        <f>AFT!S47</f>
        <v>202622.25609756095</v>
      </c>
      <c r="H6" s="291" t="s">
        <v>243</v>
      </c>
      <c r="I6" s="292">
        <f>CMVMC!E30</f>
        <v>217763.57235772358</v>
      </c>
      <c r="J6" s="292">
        <f>CMVMC!F30</f>
        <v>228651.75097560973</v>
      </c>
      <c r="K6" s="287">
        <f>CMVMC!G30</f>
        <v>239539.92959349591</v>
      </c>
    </row>
    <row r="7" spans="2:11" ht="16" thickBot="1">
      <c r="B7" s="272" t="s">
        <v>219</v>
      </c>
      <c r="C7" s="275">
        <v>0</v>
      </c>
      <c r="D7" s="275">
        <v>0</v>
      </c>
      <c r="E7" s="276">
        <v>250000</v>
      </c>
      <c r="F7" t="s">
        <v>400</v>
      </c>
      <c r="H7" s="291" t="s">
        <v>244</v>
      </c>
      <c r="I7" s="292">
        <f>FSE!I20</f>
        <v>330209.40418495936</v>
      </c>
      <c r="J7" s="292">
        <f>FSE!I38</f>
        <v>328458.34438821138</v>
      </c>
      <c r="K7" s="293">
        <f>FSE!I56</f>
        <v>330310.17333130079</v>
      </c>
    </row>
    <row r="8" spans="2:11" ht="17" thickTop="1" thickBot="1">
      <c r="B8" s="259" t="s">
        <v>220</v>
      </c>
      <c r="C8" s="118">
        <f t="shared" ref="C8:E8" si="0">SUM(C6:C7)</f>
        <v>224512.1951219512</v>
      </c>
      <c r="D8" s="118">
        <f t="shared" si="0"/>
        <v>213286.58536585368</v>
      </c>
      <c r="E8" s="260">
        <f t="shared" si="0"/>
        <v>452622.25609756098</v>
      </c>
      <c r="H8" s="291" t="s">
        <v>245</v>
      </c>
      <c r="I8" s="292">
        <f>'Gastos Pessoal'!$J$30</f>
        <v>301614.09000000003</v>
      </c>
      <c r="J8" s="292">
        <f>'Gastos Pessoal'!$J$30</f>
        <v>301614.09000000003</v>
      </c>
      <c r="K8" s="294">
        <f>'Gastos Pessoal'!$J$30</f>
        <v>301614.09000000003</v>
      </c>
    </row>
    <row r="9" spans="2:11" ht="16" thickBot="1">
      <c r="B9" s="537"/>
      <c r="C9" s="538"/>
      <c r="D9" s="538"/>
      <c r="E9" s="538"/>
      <c r="H9" s="288" t="s">
        <v>246</v>
      </c>
      <c r="I9" s="289">
        <f t="shared" ref="I9:K9" si="1">SUM(I6:I8)</f>
        <v>849587.06654268294</v>
      </c>
      <c r="J9" s="289">
        <f t="shared" si="1"/>
        <v>858724.18536382122</v>
      </c>
      <c r="K9" s="290">
        <f t="shared" si="1"/>
        <v>871464.19292479684</v>
      </c>
    </row>
    <row r="10" spans="2:11">
      <c r="B10" s="303" t="s">
        <v>221</v>
      </c>
      <c r="C10" s="304"/>
      <c r="D10" s="304"/>
      <c r="E10" s="305"/>
      <c r="H10" s="266" t="s">
        <v>247</v>
      </c>
      <c r="I10" s="124">
        <f t="shared" ref="I10:K10" si="2">I5-I9</f>
        <v>206689.35622154479</v>
      </c>
      <c r="J10" s="124">
        <f t="shared" si="2"/>
        <v>250366.0585386178</v>
      </c>
      <c r="K10" s="267">
        <f t="shared" si="2"/>
        <v>290439.87211585348</v>
      </c>
    </row>
    <row r="11" spans="2:11">
      <c r="B11" s="272" t="s">
        <v>222</v>
      </c>
      <c r="C11" s="273">
        <f>Inventário!G37</f>
        <v>17328.698601626016</v>
      </c>
      <c r="D11" s="273">
        <f>Inventário!P37</f>
        <v>23769.218585365874</v>
      </c>
      <c r="E11" s="274">
        <f>Inventário!Y36</f>
        <v>623.3956178861788</v>
      </c>
      <c r="H11" s="291" t="s">
        <v>127</v>
      </c>
      <c r="I11" s="292">
        <f>AFT!S22</f>
        <v>9756.0975609756097</v>
      </c>
      <c r="J11" s="292">
        <f>AFT!S34</f>
        <v>9268.292682926829</v>
      </c>
      <c r="K11" s="293">
        <f>AFT!S46</f>
        <v>8804.878048780487</v>
      </c>
    </row>
    <row r="12" spans="2:11">
      <c r="B12" s="272" t="s">
        <v>300</v>
      </c>
      <c r="C12" s="273">
        <f>Recebimentos!I15</f>
        <v>108268.33333333333</v>
      </c>
      <c r="D12" s="273">
        <f>Recebimentos!I23</f>
        <v>113681.53333333334</v>
      </c>
      <c r="E12" s="274">
        <f>Recebimentos!I31</f>
        <v>119095.16666666666</v>
      </c>
      <c r="H12" s="266" t="s">
        <v>248</v>
      </c>
      <c r="I12" s="124">
        <f>I10-I11</f>
        <v>196933.25866056918</v>
      </c>
      <c r="J12" s="124">
        <f t="shared" ref="J12:K12" si="3">J10-J11</f>
        <v>241097.76585569096</v>
      </c>
      <c r="K12" s="267">
        <f t="shared" si="3"/>
        <v>281634.99406707298</v>
      </c>
    </row>
    <row r="13" spans="2:11">
      <c r="B13" s="272" t="s">
        <v>223</v>
      </c>
      <c r="C13" s="273">
        <f>'Orçamento tesouraria'!I7</f>
        <v>120934.093027947</v>
      </c>
      <c r="D13" s="273">
        <f>'Orçamento tesouraria'!I15</f>
        <v>340395.75281260157</v>
      </c>
      <c r="E13" s="274">
        <f>'Orçamento tesouraria'!I23</f>
        <v>402868.10772113811</v>
      </c>
      <c r="H13" s="291" t="s">
        <v>249</v>
      </c>
      <c r="I13" s="292">
        <f>'Orçamento Financeiro'!I6</f>
        <v>6846.2060630455635</v>
      </c>
      <c r="J13" s="292">
        <f>'Orçamento Financeiro'!I19</f>
        <v>17861.822932156694</v>
      </c>
      <c r="K13" s="293">
        <f>'Orçamento Financeiro'!I32</f>
        <v>36967.372878564194</v>
      </c>
    </row>
    <row r="14" spans="2:11">
      <c r="B14" s="272" t="s">
        <v>224</v>
      </c>
      <c r="C14" s="273">
        <f>'Orçamento tesouraria'!I6</f>
        <v>1000</v>
      </c>
      <c r="D14" s="273">
        <f>'Orçamento tesouraria'!I14</f>
        <v>1000</v>
      </c>
      <c r="E14" s="274">
        <f>'Orçamento tesouraria'!I22</f>
        <v>1000</v>
      </c>
      <c r="H14" s="295" t="s">
        <v>250</v>
      </c>
      <c r="I14" s="292">
        <f>'Orçamento Financeiro'!I9+'Orçamento Financeiro'!I10</f>
        <v>1814.0576171875</v>
      </c>
      <c r="J14" s="292">
        <f>'Orçamento Financeiro'!I22+'Orçamento Financeiro'!I23</f>
        <v>1509.297119140625</v>
      </c>
      <c r="K14" s="293">
        <f>'Orçamento Financeiro'!I35+'Orçamento Financeiro'!I36</f>
        <v>874.5315503869939</v>
      </c>
    </row>
    <row r="15" spans="2:11" ht="16" thickBot="1">
      <c r="B15" s="277" t="s">
        <v>401</v>
      </c>
      <c r="C15" s="278">
        <f>IF(C17-C39&lt;0,-C40,0)</f>
        <v>0</v>
      </c>
      <c r="D15" s="278">
        <f t="shared" ref="D15:E15" si="4">IF(D17-D39&lt;0,-D40,0)</f>
        <v>96.671537088928744</v>
      </c>
      <c r="E15" s="279">
        <f t="shared" si="4"/>
        <v>1225.2661110138288</v>
      </c>
      <c r="H15" s="288" t="s">
        <v>251</v>
      </c>
      <c r="I15" s="289">
        <f t="shared" ref="I15:K15" si="5">I13-I14</f>
        <v>5032.1484458580635</v>
      </c>
      <c r="J15" s="289">
        <f t="shared" si="5"/>
        <v>16352.525813016069</v>
      </c>
      <c r="K15" s="290">
        <f t="shared" si="5"/>
        <v>36092.841328177201</v>
      </c>
    </row>
    <row r="16" spans="2:11" ht="17" thickTop="1" thickBot="1">
      <c r="B16" s="280" t="s">
        <v>225</v>
      </c>
      <c r="C16" s="281">
        <f>SUM(C11:C14)</f>
        <v>247531.12496290635</v>
      </c>
      <c r="D16" s="281">
        <f>SUM(D11:D14)</f>
        <v>478846.50473130075</v>
      </c>
      <c r="E16" s="282">
        <f>SUM(E11:E14)</f>
        <v>523586.67000569095</v>
      </c>
      <c r="H16" s="268" t="s">
        <v>252</v>
      </c>
      <c r="I16" s="125">
        <f t="shared" ref="I16:K16" si="6">I12+I15</f>
        <v>201965.40710642724</v>
      </c>
      <c r="J16" s="125">
        <f t="shared" si="6"/>
        <v>257450.29166870704</v>
      </c>
      <c r="K16" s="267">
        <f t="shared" si="6"/>
        <v>317727.83539525018</v>
      </c>
    </row>
    <row r="17" spans="2:11" ht="16" thickBot="1">
      <c r="B17" s="300" t="s">
        <v>226</v>
      </c>
      <c r="C17" s="301">
        <f>C8+C16</f>
        <v>472043.32008485752</v>
      </c>
      <c r="D17" s="301">
        <f>D8+D16</f>
        <v>692133.09009715449</v>
      </c>
      <c r="E17" s="302">
        <f>E8+E16</f>
        <v>976208.92610325199</v>
      </c>
      <c r="H17" s="296" t="s">
        <v>255</v>
      </c>
      <c r="I17" s="297">
        <f>$I$22*I16</f>
        <v>18176.88663957845</v>
      </c>
      <c r="J17" s="297">
        <f t="shared" ref="J17:K17" si="7">$I$22*J16</f>
        <v>23170.526250183633</v>
      </c>
      <c r="K17" s="290">
        <f t="shared" si="7"/>
        <v>28595.505185572514</v>
      </c>
    </row>
    <row r="18" spans="2:11" ht="16" thickBot="1">
      <c r="B18" s="539"/>
      <c r="C18" s="539"/>
      <c r="D18" s="539"/>
      <c r="E18" s="539"/>
      <c r="H18" s="269" t="s">
        <v>253</v>
      </c>
      <c r="I18" s="270">
        <f t="shared" ref="I18:K18" si="8">I16-I17</f>
        <v>183788.5204668488</v>
      </c>
      <c r="J18" s="270">
        <f t="shared" si="8"/>
        <v>234279.7654185234</v>
      </c>
      <c r="K18" s="271">
        <f t="shared" si="8"/>
        <v>289132.33020967769</v>
      </c>
    </row>
    <row r="19" spans="2:11">
      <c r="B19" s="306" t="s">
        <v>227</v>
      </c>
      <c r="C19" s="307"/>
      <c r="D19" s="307"/>
      <c r="E19" s="308"/>
    </row>
    <row r="20" spans="2:11">
      <c r="B20" s="272" t="s">
        <v>228</v>
      </c>
      <c r="C20" s="273">
        <f>Financiamento!$C$17</f>
        <v>40000</v>
      </c>
      <c r="D20" s="273">
        <f>Financiamento!$C$17</f>
        <v>40000</v>
      </c>
      <c r="E20" s="274">
        <f>Financiamento!$C$17</f>
        <v>40000</v>
      </c>
    </row>
    <row r="21" spans="2:11" ht="16" thickBot="1">
      <c r="B21" s="272" t="s">
        <v>389</v>
      </c>
      <c r="C21" s="283">
        <v>0</v>
      </c>
      <c r="D21" s="273">
        <v>8000</v>
      </c>
      <c r="E21" s="274">
        <f>0.2*E20</f>
        <v>8000</v>
      </c>
    </row>
    <row r="22" spans="2:11" ht="19" thickBot="1">
      <c r="B22" s="272" t="s">
        <v>229</v>
      </c>
      <c r="C22" s="273">
        <v>0</v>
      </c>
      <c r="D22" s="273">
        <f>C23-D21</f>
        <v>175788.5204668488</v>
      </c>
      <c r="E22" s="274">
        <f>D23-(E21-D21)+D22</f>
        <v>410068.2858853722</v>
      </c>
      <c r="H22" s="298" t="s">
        <v>410</v>
      </c>
      <c r="I22" s="299">
        <v>0.09</v>
      </c>
    </row>
    <row r="23" spans="2:11" ht="16" thickBot="1">
      <c r="B23" s="272" t="s">
        <v>230</v>
      </c>
      <c r="C23" s="273">
        <f>I18</f>
        <v>183788.5204668488</v>
      </c>
      <c r="D23" s="273">
        <f t="shared" ref="D23:E23" si="9">J18</f>
        <v>234279.7654185234</v>
      </c>
      <c r="E23" s="274">
        <f t="shared" si="9"/>
        <v>289132.33020967769</v>
      </c>
    </row>
    <row r="24" spans="2:11" ht="16" thickBot="1">
      <c r="B24" s="300" t="s">
        <v>231</v>
      </c>
      <c r="C24" s="301">
        <f>SUM(C20:C23)</f>
        <v>223788.5204668488</v>
      </c>
      <c r="D24" s="301">
        <f>SUM(D20:D23)</f>
        <v>458068.2858853722</v>
      </c>
      <c r="E24" s="302">
        <f>SUM(E20:E23)</f>
        <v>747200.61609504989</v>
      </c>
    </row>
    <row r="25" spans="2:11" ht="16" thickBot="1">
      <c r="B25" s="540"/>
      <c r="C25" s="538"/>
      <c r="D25" s="538"/>
      <c r="E25" s="538"/>
    </row>
    <row r="26" spans="2:11">
      <c r="B26" s="306" t="s">
        <v>232</v>
      </c>
      <c r="C26" s="307"/>
      <c r="D26" s="307"/>
      <c r="E26" s="308"/>
    </row>
    <row r="27" spans="2:11">
      <c r="B27" s="255" t="s">
        <v>233</v>
      </c>
      <c r="C27" s="123"/>
      <c r="D27" s="123"/>
      <c r="E27" s="256"/>
    </row>
    <row r="28" spans="2:11" ht="16" thickBot="1">
      <c r="B28" s="272" t="s">
        <v>234</v>
      </c>
      <c r="C28" s="273">
        <f>Financiamento!M11</f>
        <v>30185.9423828125</v>
      </c>
      <c r="D28" s="273">
        <f>Financiamento!M21</f>
        <v>20853.463400192381</v>
      </c>
      <c r="E28" s="274">
        <f>Financiamento!M31</f>
        <v>11978.931849805387</v>
      </c>
    </row>
    <row r="29" spans="2:11" ht="16" thickTop="1">
      <c r="B29" s="257" t="s">
        <v>235</v>
      </c>
      <c r="C29" s="117">
        <f t="shared" ref="C29:E29" si="10">SUM(C28)</f>
        <v>30185.9423828125</v>
      </c>
      <c r="D29" s="117">
        <f t="shared" si="10"/>
        <v>20853.463400192381</v>
      </c>
      <c r="E29" s="258">
        <f t="shared" si="10"/>
        <v>11978.931849805387</v>
      </c>
    </row>
    <row r="30" spans="2:11">
      <c r="B30" s="255" t="s">
        <v>236</v>
      </c>
      <c r="C30" s="123"/>
      <c r="D30" s="123"/>
      <c r="E30" s="256"/>
    </row>
    <row r="31" spans="2:11">
      <c r="B31" s="272" t="s">
        <v>237</v>
      </c>
      <c r="C31" s="273">
        <f>Pagamentos!I20</f>
        <v>175137.06504623985</v>
      </c>
      <c r="D31" s="273">
        <f>Pagamentos!I32</f>
        <v>175805.43884705286</v>
      </c>
      <c r="E31" s="274">
        <f>Pagamentos!I44</f>
        <v>176412.0848328252</v>
      </c>
    </row>
    <row r="32" spans="2:11" s="230" customFormat="1">
      <c r="B32" s="272" t="s">
        <v>399</v>
      </c>
      <c r="C32" s="273">
        <f>'EOEP _ IVA'!H21</f>
        <v>25300.542412195129</v>
      </c>
      <c r="D32" s="273">
        <f>'EOEP _ IVA'!H35</f>
        <v>29640.06516829268</v>
      </c>
      <c r="E32" s="274">
        <f>'EOEP _ IVA'!H49</f>
        <v>33980.051103252023</v>
      </c>
    </row>
    <row r="33" spans="2:5">
      <c r="B33" s="284" t="s">
        <v>398</v>
      </c>
      <c r="C33" s="275">
        <f>'Gastos Pessoal'!J33</f>
        <v>7862.5083333333332</v>
      </c>
      <c r="D33" s="275">
        <f>'Gastos Pessoal'!J33</f>
        <v>7862.5083333333332</v>
      </c>
      <c r="E33" s="276">
        <f>'Gastos Pessoal'!J33</f>
        <v>7862.5083333333332</v>
      </c>
    </row>
    <row r="34" spans="2:5">
      <c r="B34" s="284" t="s">
        <v>238</v>
      </c>
      <c r="C34" s="275">
        <v>0</v>
      </c>
      <c r="D34" s="275">
        <v>0</v>
      </c>
      <c r="E34" s="276">
        <v>0</v>
      </c>
    </row>
    <row r="35" spans="2:5" ht="16" thickBot="1">
      <c r="B35" s="277" t="s">
        <v>401</v>
      </c>
      <c r="C35" s="278">
        <f>IF(C17-C39&gt;0,C40,0)</f>
        <v>9768.7414434279199</v>
      </c>
      <c r="D35" s="278">
        <f t="shared" ref="D35:E35" si="11">IF(D17-D39&gt;0,D40,0)</f>
        <v>0</v>
      </c>
      <c r="E35" s="279">
        <f t="shared" si="11"/>
        <v>0</v>
      </c>
    </row>
    <row r="36" spans="2:5" ht="17" thickTop="1" thickBot="1">
      <c r="B36" s="257" t="s">
        <v>239</v>
      </c>
      <c r="C36" s="117">
        <f>SUM(C31:C34)</f>
        <v>208300.1157917683</v>
      </c>
      <c r="D36" s="117">
        <f>SUM(D31:D34)</f>
        <v>213308.01234867887</v>
      </c>
      <c r="E36" s="258">
        <f>SUM(E31:E34)</f>
        <v>218254.64426941055</v>
      </c>
    </row>
    <row r="37" spans="2:5" ht="16" thickBot="1">
      <c r="B37" s="261" t="s">
        <v>240</v>
      </c>
      <c r="C37" s="262">
        <f>C29+C36</f>
        <v>238486.0581745808</v>
      </c>
      <c r="D37" s="262">
        <f>D29+D36</f>
        <v>234161.47574887125</v>
      </c>
      <c r="E37" s="263">
        <f>E29+E36</f>
        <v>230233.57611921593</v>
      </c>
    </row>
    <row r="38" spans="2:5" ht="16" thickBot="1"/>
    <row r="39" spans="2:5" ht="16" thickBot="1">
      <c r="B39" s="312" t="s">
        <v>241</v>
      </c>
      <c r="C39" s="313">
        <f>C24+C37</f>
        <v>462274.5786414296</v>
      </c>
      <c r="D39" s="313">
        <f>D24+D37</f>
        <v>692229.76163424342</v>
      </c>
      <c r="E39" s="314">
        <f>E24+E37</f>
        <v>977434.19221426581</v>
      </c>
    </row>
    <row r="40" spans="2:5" ht="16" thickBot="1">
      <c r="B40" s="120"/>
      <c r="C40" s="143">
        <f>C17-C39</f>
        <v>9768.7414434279199</v>
      </c>
      <c r="D40" s="143">
        <f>D17-D39</f>
        <v>-96.671537088928744</v>
      </c>
      <c r="E40" s="143">
        <f>E17-E39</f>
        <v>-1225.2661110138288</v>
      </c>
    </row>
    <row r="41" spans="2:5" ht="16" thickBot="1">
      <c r="B41" s="309" t="s">
        <v>203</v>
      </c>
      <c r="C41" s="310">
        <f>C17+C15-C39-C35</f>
        <v>0</v>
      </c>
      <c r="D41" s="310">
        <f t="shared" ref="D41" si="12">D17+D15-D39-D35</f>
        <v>0</v>
      </c>
      <c r="E41" s="311">
        <f>E17+E15-E39-E35</f>
        <v>0</v>
      </c>
    </row>
    <row r="44" spans="2:5">
      <c r="B44" t="s">
        <v>390</v>
      </c>
    </row>
  </sheetData>
  <mergeCells count="5">
    <mergeCell ref="B2:E2"/>
    <mergeCell ref="B9:E9"/>
    <mergeCell ref="B18:E18"/>
    <mergeCell ref="B25:E25"/>
    <mergeCell ref="H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D81F-B2B0-44EF-8825-A548AB1858DE}">
  <dimension ref="B1:M40"/>
  <sheetViews>
    <sheetView showGridLines="0" workbookViewId="0">
      <selection activeCell="A40" sqref="A40:XFD40"/>
    </sheetView>
  </sheetViews>
  <sheetFormatPr baseColWidth="10" defaultColWidth="8.83203125" defaultRowHeight="15"/>
  <cols>
    <col min="2" max="2" width="26.5" bestFit="1" customWidth="1"/>
    <col min="3" max="3" width="16.6640625" customWidth="1"/>
    <col min="8" max="8" width="19.6640625" customWidth="1"/>
    <col min="9" max="12" width="11.83203125" customWidth="1"/>
    <col min="13" max="13" width="11.83203125" bestFit="1" customWidth="1"/>
  </cols>
  <sheetData>
    <row r="1" spans="2:13" ht="16" thickBot="1"/>
    <row r="2" spans="2:13">
      <c r="B2" s="315" t="s">
        <v>352</v>
      </c>
      <c r="C2" s="316" t="s">
        <v>296</v>
      </c>
    </row>
    <row r="3" spans="2:13">
      <c r="B3" s="317" t="s">
        <v>319</v>
      </c>
      <c r="C3" s="318">
        <f>'MD+Fase de Produção+Compras'!K28</f>
        <v>0</v>
      </c>
    </row>
    <row r="4" spans="2:13" ht="16" thickBot="1">
      <c r="B4" s="317" t="s">
        <v>272</v>
      </c>
      <c r="C4" s="318">
        <f>'Gastos Pessoal'!$J$30/4</f>
        <v>75403.522500000006</v>
      </c>
    </row>
    <row r="5" spans="2:13">
      <c r="B5" s="317" t="s">
        <v>321</v>
      </c>
      <c r="C5" s="318">
        <f>FSE!C10</f>
        <v>0</v>
      </c>
      <c r="H5" s="542" t="s">
        <v>357</v>
      </c>
      <c r="I5" s="543"/>
      <c r="J5" s="543"/>
      <c r="K5" s="543"/>
      <c r="L5" s="543"/>
      <c r="M5" s="544"/>
    </row>
    <row r="6" spans="2:13">
      <c r="B6" s="317" t="s">
        <v>320</v>
      </c>
      <c r="C6" s="318">
        <f>AFT!C14</f>
        <v>0</v>
      </c>
      <c r="H6" s="328"/>
      <c r="I6" s="329" t="s">
        <v>6</v>
      </c>
      <c r="J6" s="329" t="s">
        <v>7</v>
      </c>
      <c r="K6" s="329" t="s">
        <v>8</v>
      </c>
      <c r="L6" s="329" t="s">
        <v>9</v>
      </c>
      <c r="M6" s="330" t="s">
        <v>10</v>
      </c>
    </row>
    <row r="7" spans="2:13">
      <c r="B7" s="317" t="s">
        <v>340</v>
      </c>
      <c r="C7" s="318">
        <f>C3+C5+C6</f>
        <v>0</v>
      </c>
      <c r="H7" s="331" t="s">
        <v>358</v>
      </c>
      <c r="I7" s="332">
        <f>C19</f>
        <v>40000</v>
      </c>
      <c r="J7" s="332">
        <f>I11</f>
        <v>37500</v>
      </c>
      <c r="K7" s="333">
        <f t="shared" ref="K7:L7" si="0">J11</f>
        <v>35031.25</v>
      </c>
      <c r="L7" s="334">
        <f t="shared" si="0"/>
        <v>32593.359375</v>
      </c>
      <c r="M7" s="335">
        <f>I7</f>
        <v>40000</v>
      </c>
    </row>
    <row r="8" spans="2:13">
      <c r="B8" s="317" t="s">
        <v>322</v>
      </c>
      <c r="C8" s="318">
        <f>SUM(C3:C6)</f>
        <v>75403.522500000006</v>
      </c>
      <c r="H8" s="331" t="s">
        <v>359</v>
      </c>
      <c r="I8" s="332">
        <f>$C$19/$C$22</f>
        <v>2000</v>
      </c>
      <c r="J8" s="332">
        <f t="shared" ref="J8:L8" si="1">$C$19/$C$22</f>
        <v>2000</v>
      </c>
      <c r="K8" s="332">
        <f t="shared" si="1"/>
        <v>2000</v>
      </c>
      <c r="L8" s="332">
        <f t="shared" si="1"/>
        <v>2000</v>
      </c>
      <c r="M8" s="335">
        <f>SUM(I8:L8)</f>
        <v>8000</v>
      </c>
    </row>
    <row r="9" spans="2:13" ht="16" thickBot="1">
      <c r="B9" s="319" t="s">
        <v>302</v>
      </c>
      <c r="C9" s="320">
        <f>C$15*$D$5+C4</f>
        <v>75403.522500000006</v>
      </c>
      <c r="H9" s="331" t="s">
        <v>360</v>
      </c>
      <c r="I9" s="332">
        <f>I7*($C$40/4)</f>
        <v>500</v>
      </c>
      <c r="J9" s="336">
        <f>J7*($C$40/4)</f>
        <v>468.75</v>
      </c>
      <c r="K9" s="336">
        <f>K7*($C$40/4)</f>
        <v>437.890625</v>
      </c>
      <c r="L9" s="336">
        <f>L7*($C$40/4)</f>
        <v>407.4169921875</v>
      </c>
      <c r="M9" s="337">
        <f>SUM(I9:L9)</f>
        <v>1814.0576171875</v>
      </c>
    </row>
    <row r="10" spans="2:13" ht="16" thickBot="1">
      <c r="H10" s="331" t="s">
        <v>361</v>
      </c>
      <c r="I10" s="332">
        <f>I8+I9</f>
        <v>2500</v>
      </c>
      <c r="J10" s="336">
        <f t="shared" ref="J10:L10" si="2">J8+J9</f>
        <v>2468.75</v>
      </c>
      <c r="K10" s="336">
        <f t="shared" si="2"/>
        <v>2437.890625</v>
      </c>
      <c r="L10" s="336">
        <f t="shared" si="2"/>
        <v>2407.4169921875</v>
      </c>
      <c r="M10" s="337">
        <f>SUM(I10:L10)</f>
        <v>9814.0576171875</v>
      </c>
    </row>
    <row r="11" spans="2:13" ht="16" thickBot="1">
      <c r="B11" s="321" t="s">
        <v>347</v>
      </c>
      <c r="C11" s="322">
        <v>4</v>
      </c>
      <c r="H11" s="338" t="s">
        <v>362</v>
      </c>
      <c r="I11" s="339">
        <f>I7-I10</f>
        <v>37500</v>
      </c>
      <c r="J11" s="340">
        <f t="shared" ref="J11:L11" si="3">J7-J10</f>
        <v>35031.25</v>
      </c>
      <c r="K11" s="340">
        <f t="shared" si="3"/>
        <v>32593.359375</v>
      </c>
      <c r="L11" s="340">
        <f t="shared" si="3"/>
        <v>30185.9423828125</v>
      </c>
      <c r="M11" s="341">
        <f>L11</f>
        <v>30185.9423828125</v>
      </c>
    </row>
    <row r="12" spans="2:13" ht="32">
      <c r="B12" s="323" t="s">
        <v>348</v>
      </c>
      <c r="C12" s="324">
        <v>0.5</v>
      </c>
      <c r="D12" s="163"/>
    </row>
    <row r="13" spans="2:13" ht="16">
      <c r="B13" s="323" t="s">
        <v>346</v>
      </c>
      <c r="C13" s="324">
        <f>1-C12</f>
        <v>0.5</v>
      </c>
    </row>
    <row r="14" spans="2:13" ht="33" thickBot="1">
      <c r="B14" s="323" t="s">
        <v>349</v>
      </c>
      <c r="C14" s="325">
        <v>5000</v>
      </c>
    </row>
    <row r="15" spans="2:13" ht="16">
      <c r="B15" s="323" t="s">
        <v>350</v>
      </c>
      <c r="C15" s="325">
        <f>C11*C14</f>
        <v>20000</v>
      </c>
      <c r="H15" s="542" t="s">
        <v>364</v>
      </c>
      <c r="I15" s="543"/>
      <c r="J15" s="543"/>
      <c r="K15" s="543"/>
      <c r="L15" s="543"/>
      <c r="M15" s="544"/>
    </row>
    <row r="16" spans="2:13" ht="16">
      <c r="B16" s="323" t="s">
        <v>351</v>
      </c>
      <c r="C16" s="325">
        <f>(C13*C15)/C12</f>
        <v>20000</v>
      </c>
      <c r="H16" s="328"/>
      <c r="I16" s="329" t="s">
        <v>6</v>
      </c>
      <c r="J16" s="329" t="s">
        <v>7</v>
      </c>
      <c r="K16" s="329" t="s">
        <v>8</v>
      </c>
      <c r="L16" s="329" t="s">
        <v>9</v>
      </c>
      <c r="M16" s="330" t="s">
        <v>10</v>
      </c>
    </row>
    <row r="17" spans="2:13" ht="17" thickBot="1">
      <c r="B17" s="326" t="s">
        <v>345</v>
      </c>
      <c r="C17" s="327">
        <f>C15+C16</f>
        <v>40000</v>
      </c>
      <c r="H17" s="331" t="s">
        <v>358</v>
      </c>
      <c r="I17" s="336">
        <f>M11</f>
        <v>30185.9423828125</v>
      </c>
      <c r="J17" s="336">
        <f>I21</f>
        <v>27808.618103027344</v>
      </c>
      <c r="K17" s="336">
        <f t="shared" ref="K17:L17" si="4">J21</f>
        <v>25461.010376739501</v>
      </c>
      <c r="L17" s="336">
        <f t="shared" si="4"/>
        <v>23142.747747030258</v>
      </c>
      <c r="M17" s="337">
        <f>I17</f>
        <v>30185.9423828125</v>
      </c>
    </row>
    <row r="18" spans="2:13" ht="16" thickBot="1">
      <c r="H18" s="331" t="s">
        <v>359</v>
      </c>
      <c r="I18" s="332">
        <f>$C$19/$C$22</f>
        <v>2000</v>
      </c>
      <c r="J18" s="332">
        <f t="shared" ref="J18:L18" si="5">$C$19/$C$22</f>
        <v>2000</v>
      </c>
      <c r="K18" s="332">
        <f t="shared" si="5"/>
        <v>2000</v>
      </c>
      <c r="L18" s="332">
        <f t="shared" si="5"/>
        <v>2000</v>
      </c>
      <c r="M18" s="335">
        <f>SUM(I18:L18)</f>
        <v>8000</v>
      </c>
    </row>
    <row r="19" spans="2:13" ht="16">
      <c r="B19" s="342" t="s">
        <v>344</v>
      </c>
      <c r="C19" s="343">
        <f>(ROUNDUP((C9-C17)/10000,0)*10000)</f>
        <v>40000</v>
      </c>
      <c r="H19" s="331" t="s">
        <v>360</v>
      </c>
      <c r="I19" s="336">
        <f>I17*($C$40/4)</f>
        <v>377.32427978515625</v>
      </c>
      <c r="J19" s="336">
        <f>J17*($C$40/4)</f>
        <v>347.60772628784184</v>
      </c>
      <c r="K19" s="336">
        <f>K17*($C$40/4)</f>
        <v>318.26262970924381</v>
      </c>
      <c r="L19" s="336">
        <f>L17*($C$40/4)</f>
        <v>289.28434683787822</v>
      </c>
      <c r="M19" s="337">
        <f>SUM(I19:L19)</f>
        <v>1332.4789826201202</v>
      </c>
    </row>
    <row r="20" spans="2:13" ht="16">
      <c r="B20" s="323" t="s">
        <v>353</v>
      </c>
      <c r="C20" s="344">
        <v>5</v>
      </c>
      <c r="H20" s="331" t="s">
        <v>361</v>
      </c>
      <c r="I20" s="336">
        <f>I18+I19</f>
        <v>2377.3242797851562</v>
      </c>
      <c r="J20" s="336">
        <f t="shared" ref="J20" si="6">J18+J19</f>
        <v>2347.6077262878416</v>
      </c>
      <c r="K20" s="336">
        <f t="shared" ref="K20" si="7">K18+K19</f>
        <v>2318.2626297092438</v>
      </c>
      <c r="L20" s="336">
        <f t="shared" ref="L20" si="8">L18+L19</f>
        <v>2289.2843468378783</v>
      </c>
      <c r="M20" s="337">
        <f>SUM(I20:L20)</f>
        <v>9332.4789826201195</v>
      </c>
    </row>
    <row r="21" spans="2:13" ht="17" thickBot="1">
      <c r="B21" s="323" t="s">
        <v>354</v>
      </c>
      <c r="C21" s="344">
        <v>3</v>
      </c>
      <c r="H21" s="338" t="s">
        <v>362</v>
      </c>
      <c r="I21" s="340">
        <f>I17-I20</f>
        <v>27808.618103027344</v>
      </c>
      <c r="J21" s="340">
        <f t="shared" ref="J21" si="9">J17-J20</f>
        <v>25461.010376739501</v>
      </c>
      <c r="K21" s="340">
        <f t="shared" ref="K21" si="10">K17-K20</f>
        <v>23142.747747030258</v>
      </c>
      <c r="L21" s="340">
        <f t="shared" ref="L21" si="11">L17-L20</f>
        <v>20853.463400192381</v>
      </c>
      <c r="M21" s="341">
        <f>L21</f>
        <v>20853.463400192381</v>
      </c>
    </row>
    <row r="22" spans="2:13" ht="16">
      <c r="B22" s="323" t="s">
        <v>355</v>
      </c>
      <c r="C22" s="392">
        <f>12/C21*C20</f>
        <v>20</v>
      </c>
    </row>
    <row r="23" spans="2:13">
      <c r="B23" s="545" t="s">
        <v>356</v>
      </c>
      <c r="C23" s="546"/>
    </row>
    <row r="24" spans="2:13" ht="16" thickBot="1">
      <c r="B24" s="164"/>
      <c r="C24" s="19"/>
    </row>
    <row r="25" spans="2:13">
      <c r="B25" s="19"/>
      <c r="C25" s="19"/>
      <c r="H25" s="542" t="s">
        <v>365</v>
      </c>
      <c r="I25" s="543"/>
      <c r="J25" s="543"/>
      <c r="K25" s="543"/>
      <c r="L25" s="543"/>
      <c r="M25" s="544"/>
    </row>
    <row r="26" spans="2:13">
      <c r="B26" s="19"/>
      <c r="C26" s="19"/>
      <c r="H26" s="328"/>
      <c r="I26" s="329" t="s">
        <v>6</v>
      </c>
      <c r="J26" s="329" t="s">
        <v>7</v>
      </c>
      <c r="K26" s="329" t="s">
        <v>8</v>
      </c>
      <c r="L26" s="329" t="s">
        <v>9</v>
      </c>
      <c r="M26" s="330" t="s">
        <v>10</v>
      </c>
    </row>
    <row r="27" spans="2:13">
      <c r="B27" s="19"/>
      <c r="C27" s="19"/>
      <c r="H27" s="331" t="s">
        <v>358</v>
      </c>
      <c r="I27" s="336">
        <f>M21</f>
        <v>20853.463400192381</v>
      </c>
      <c r="J27" s="336">
        <f>I31</f>
        <v>18592.795107689977</v>
      </c>
      <c r="K27" s="336">
        <f t="shared" ref="K27:L27" si="12">J31</f>
        <v>16360.385168843852</v>
      </c>
      <c r="L27" s="336">
        <f t="shared" si="12"/>
        <v>14155.880354233304</v>
      </c>
      <c r="M27" s="337">
        <f>I27</f>
        <v>20853.463400192381</v>
      </c>
    </row>
    <row r="28" spans="2:13">
      <c r="B28" s="19"/>
      <c r="C28" s="19"/>
      <c r="H28" s="331" t="s">
        <v>359</v>
      </c>
      <c r="I28" s="332">
        <f>$C$19/$C$22</f>
        <v>2000</v>
      </c>
      <c r="J28" s="332">
        <f t="shared" ref="J28:L28" si="13">$C$19/$C$22</f>
        <v>2000</v>
      </c>
      <c r="K28" s="332">
        <f t="shared" si="13"/>
        <v>2000</v>
      </c>
      <c r="L28" s="332">
        <f t="shared" si="13"/>
        <v>2000</v>
      </c>
      <c r="M28" s="335">
        <f>SUM(I28:L28)</f>
        <v>8000</v>
      </c>
    </row>
    <row r="29" spans="2:13">
      <c r="B29" s="19"/>
      <c r="C29" s="19"/>
      <c r="H29" s="331" t="s">
        <v>360</v>
      </c>
      <c r="I29" s="336">
        <f>I27*($C$40/4)</f>
        <v>260.66829250240477</v>
      </c>
      <c r="J29" s="336">
        <f>J27*($C$40/4)</f>
        <v>232.40993884612473</v>
      </c>
      <c r="K29" s="336">
        <f>K27*($C$40/4)</f>
        <v>204.50481461054815</v>
      </c>
      <c r="L29" s="336">
        <f>L27*($C$40/4)</f>
        <v>176.9485044279163</v>
      </c>
      <c r="M29" s="337">
        <f>SUM(I29:L29)</f>
        <v>874.5315503869939</v>
      </c>
    </row>
    <row r="30" spans="2:13">
      <c r="B30" s="19"/>
      <c r="C30" s="19"/>
      <c r="H30" s="331" t="s">
        <v>361</v>
      </c>
      <c r="I30" s="336">
        <f>I28+I29</f>
        <v>2260.6682925024047</v>
      </c>
      <c r="J30" s="336">
        <f t="shared" ref="J30" si="14">J28+J29</f>
        <v>2232.4099388461245</v>
      </c>
      <c r="K30" s="336">
        <f t="shared" ref="K30" si="15">K28+K29</f>
        <v>2204.5048146105482</v>
      </c>
      <c r="L30" s="336">
        <f t="shared" ref="L30" si="16">L28+L29</f>
        <v>2176.9485044279163</v>
      </c>
      <c r="M30" s="337">
        <f>SUM(I30:L30)</f>
        <v>8874.5315503869933</v>
      </c>
    </row>
    <row r="31" spans="2:13" ht="16" thickBot="1">
      <c r="B31" s="19"/>
      <c r="C31" s="19"/>
      <c r="H31" s="338" t="s">
        <v>362</v>
      </c>
      <c r="I31" s="340">
        <f>I27-I30</f>
        <v>18592.795107689977</v>
      </c>
      <c r="J31" s="340">
        <f t="shared" ref="J31" si="17">J27-J30</f>
        <v>16360.385168843852</v>
      </c>
      <c r="K31" s="340">
        <f t="shared" ref="K31" si="18">K27-K30</f>
        <v>14155.880354233304</v>
      </c>
      <c r="L31" s="340">
        <f t="shared" ref="L31" si="19">L27-L30</f>
        <v>11978.931849805387</v>
      </c>
      <c r="M31" s="341">
        <f>L31</f>
        <v>11978.931849805387</v>
      </c>
    </row>
    <row r="40" spans="2:3" ht="16" thickBot="1">
      <c r="B40" s="345" t="s">
        <v>363</v>
      </c>
      <c r="C40" s="346">
        <v>0.05</v>
      </c>
    </row>
  </sheetData>
  <mergeCells count="4">
    <mergeCell ref="H25:M25"/>
    <mergeCell ref="B23:C23"/>
    <mergeCell ref="H5:M5"/>
    <mergeCell ref="H15:M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4E0-74C7-48C7-819E-EA7EEFD85BAB}">
  <dimension ref="B2:K13"/>
  <sheetViews>
    <sheetView showGridLines="0" zoomScale="70" zoomScaleNormal="70" workbookViewId="0">
      <selection activeCell="G55" sqref="G55"/>
    </sheetView>
  </sheetViews>
  <sheetFormatPr baseColWidth="10" defaultColWidth="8.83203125" defaultRowHeight="15"/>
  <cols>
    <col min="5" max="5" width="10.1640625" customWidth="1"/>
    <col min="6" max="6" width="12.33203125" customWidth="1"/>
    <col min="7" max="9" width="17.83203125" bestFit="1" customWidth="1"/>
    <col min="10" max="10" width="13" bestFit="1" customWidth="1"/>
  </cols>
  <sheetData>
    <row r="2" spans="2:11"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2:11">
      <c r="B3" s="221"/>
      <c r="C3" s="547" t="s">
        <v>380</v>
      </c>
      <c r="D3" s="548"/>
      <c r="E3" s="548"/>
      <c r="F3" s="549"/>
      <c r="G3" s="221"/>
      <c r="H3" s="221"/>
      <c r="I3" s="221"/>
      <c r="J3" s="221"/>
      <c r="K3" s="221"/>
    </row>
    <row r="4" spans="2:11">
      <c r="B4" s="221"/>
      <c r="C4" s="221"/>
      <c r="D4" s="221"/>
      <c r="E4" s="221"/>
      <c r="F4" s="221"/>
      <c r="G4" s="221"/>
      <c r="H4" s="221"/>
      <c r="I4" s="221"/>
      <c r="J4" s="221"/>
      <c r="K4" s="221"/>
    </row>
    <row r="5" spans="2:11">
      <c r="B5" s="221"/>
      <c r="C5" s="390" t="s">
        <v>381</v>
      </c>
      <c r="D5" s="390"/>
      <c r="E5" s="390"/>
      <c r="F5" s="390"/>
      <c r="G5" s="389">
        <v>1</v>
      </c>
      <c r="H5" s="389">
        <v>2</v>
      </c>
      <c r="I5" s="389">
        <v>3</v>
      </c>
      <c r="J5" s="221"/>
      <c r="K5" s="221"/>
    </row>
    <row r="6" spans="2:11">
      <c r="B6" s="221"/>
      <c r="C6" s="556" t="s">
        <v>382</v>
      </c>
      <c r="D6" s="556"/>
      <c r="E6" s="556"/>
      <c r="F6" s="556"/>
      <c r="G6" s="388">
        <f>'Balanço + DR'!I12/'Balanço + DR'!C17</f>
        <v>0.41719319028848284</v>
      </c>
      <c r="H6" s="388">
        <f>'Balanço + DR'!J12/'Balanço + DR'!D17</f>
        <v>0.34834018096410929</v>
      </c>
      <c r="I6" s="388">
        <f>'Balanço + DR'!K12/'Balanço + DR'!E17</f>
        <v>0.28849868766441183</v>
      </c>
      <c r="J6" s="222" t="s">
        <v>432</v>
      </c>
      <c r="K6" s="221"/>
    </row>
    <row r="7" spans="2:11" s="239" customFormat="1">
      <c r="B7" s="221"/>
      <c r="C7" s="550" t="s">
        <v>438</v>
      </c>
      <c r="D7" s="551"/>
      <c r="E7" s="551"/>
      <c r="F7" s="552"/>
      <c r="G7" s="388">
        <f>'Balanço + DR'!I18/'Balanço + DR'!I4</f>
        <v>0.17399661348672588</v>
      </c>
      <c r="H7" s="388">
        <f>'Balanço + DR'!J18/'Balanço + DR'!J4</f>
        <v>0.21123598075679384</v>
      </c>
      <c r="I7" s="388">
        <f>'Balanço + DR'!K18/'Balanço + DR'!K4</f>
        <v>0.24884354819738247</v>
      </c>
      <c r="J7" s="222" t="s">
        <v>439</v>
      </c>
      <c r="K7" s="221"/>
    </row>
    <row r="8" spans="2:11">
      <c r="B8" s="221"/>
      <c r="C8" s="557" t="s">
        <v>383</v>
      </c>
      <c r="D8" s="557"/>
      <c r="E8" s="557"/>
      <c r="F8" s="557"/>
      <c r="G8" s="388">
        <f>'Balanço + DR'!I18/'Balanço + DR'!C17</f>
        <v>0.38934672443582041</v>
      </c>
      <c r="H8" s="388">
        <f>'Balanço + DR'!J18/'Balanço + DR'!D17</f>
        <v>0.33848947373060523</v>
      </c>
      <c r="I8" s="388">
        <f>'Balanço + DR'!K18/'Balanço + DR'!E17</f>
        <v>0.29617874051184062</v>
      </c>
      <c r="J8" s="222" t="s">
        <v>433</v>
      </c>
      <c r="K8" s="221"/>
    </row>
    <row r="9" spans="2:11">
      <c r="B9" s="221"/>
      <c r="C9" s="556" t="s">
        <v>384</v>
      </c>
      <c r="D9" s="556"/>
      <c r="E9" s="556"/>
      <c r="F9" s="556"/>
      <c r="G9" s="388">
        <f>'Balanço + DR'!I18/'Balanço + DR'!C24</f>
        <v>0.82125982192225333</v>
      </c>
      <c r="H9" s="388">
        <f>'Balanço + DR'!J18/'Balanço + DR'!D24</f>
        <v>0.51145161679485918</v>
      </c>
      <c r="I9" s="388">
        <f>'Balanço + DR'!K18/'Balanço + DR'!E24</f>
        <v>0.38695408432706346</v>
      </c>
      <c r="J9" s="222" t="s">
        <v>434</v>
      </c>
      <c r="K9" s="221"/>
    </row>
    <row r="10" spans="2:11">
      <c r="B10" s="221"/>
      <c r="C10" s="553" t="s">
        <v>385</v>
      </c>
      <c r="D10" s="554"/>
      <c r="E10" s="554"/>
      <c r="F10" s="555"/>
      <c r="G10" s="388">
        <f>'Balanço + DR'!C24/'Balanço + DR'!C17</f>
        <v>0.47408470990886842</v>
      </c>
      <c r="H10" s="388">
        <f>'Balanço + DR'!D24/'Balanço + DR'!D17</f>
        <v>0.66182110411896833</v>
      </c>
      <c r="I10" s="388">
        <f>'Balanço + DR'!E24/'Balanço + DR'!E17</f>
        <v>0.76541055517455869</v>
      </c>
      <c r="J10" s="391" t="s">
        <v>435</v>
      </c>
      <c r="K10" s="221"/>
    </row>
    <row r="11" spans="2:11">
      <c r="B11" s="221"/>
      <c r="C11" s="553" t="s">
        <v>386</v>
      </c>
      <c r="D11" s="554"/>
      <c r="E11" s="554"/>
      <c r="F11" s="555"/>
      <c r="G11" s="387">
        <f>'Balanço + DR'!C16/'Balanço + DR'!C36</f>
        <v>1.1883388735623948</v>
      </c>
      <c r="H11" s="387">
        <f>'Balanço + DR'!D16/'Balanço + DR'!D36</f>
        <v>2.244859438043826</v>
      </c>
      <c r="I11" s="387">
        <f>'Balanço + DR'!E16/'Balanço + DR'!E36</f>
        <v>2.3989714938637583</v>
      </c>
      <c r="J11" s="222" t="s">
        <v>436</v>
      </c>
      <c r="K11" s="221"/>
    </row>
    <row r="12" spans="2:11">
      <c r="B12" s="221"/>
      <c r="C12" s="553" t="s">
        <v>387</v>
      </c>
      <c r="D12" s="554"/>
      <c r="E12" s="554"/>
      <c r="F12" s="555"/>
      <c r="G12" s="223">
        <f>'BEP + MC'!C9</f>
        <v>777310.0441565041</v>
      </c>
      <c r="H12" s="223">
        <f>'BEP + MC'!D9</f>
        <v>816507.41667682934</v>
      </c>
      <c r="I12" s="223">
        <f>'BEP + MC'!E9</f>
        <v>855954.63419715432</v>
      </c>
      <c r="J12" s="222" t="s">
        <v>437</v>
      </c>
      <c r="K12" s="221"/>
    </row>
    <row r="13" spans="2:11">
      <c r="B13" s="221"/>
      <c r="C13" s="221"/>
      <c r="D13" s="221"/>
      <c r="E13" s="221"/>
      <c r="F13" s="221"/>
      <c r="G13" s="221"/>
      <c r="H13" s="221"/>
      <c r="I13" s="221"/>
      <c r="J13" s="221"/>
      <c r="K13" s="221"/>
    </row>
  </sheetData>
  <mergeCells count="8">
    <mergeCell ref="C3:F3"/>
    <mergeCell ref="C7:F7"/>
    <mergeCell ref="C12:F12"/>
    <mergeCell ref="C11:F11"/>
    <mergeCell ref="C6:F6"/>
    <mergeCell ref="C8:F8"/>
    <mergeCell ref="C9:F9"/>
    <mergeCell ref="C10:F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DCA7-D849-1D48-A460-2FAAC973301F}">
  <dimension ref="B1:N23"/>
  <sheetViews>
    <sheetView showGridLines="0" zoomScale="85" zoomScaleNormal="85" workbookViewId="0">
      <selection activeCell="K23" sqref="K23"/>
    </sheetView>
  </sheetViews>
  <sheetFormatPr baseColWidth="10" defaultColWidth="11" defaultRowHeight="15"/>
  <cols>
    <col min="5" max="8" width="11.83203125" customWidth="1"/>
    <col min="9" max="9" width="13.5" customWidth="1"/>
    <col min="11" max="11" width="11.5" customWidth="1"/>
  </cols>
  <sheetData>
    <row r="1" spans="2:14" ht="16" thickBot="1"/>
    <row r="2" spans="2:14">
      <c r="B2" s="491" t="s">
        <v>20</v>
      </c>
      <c r="C2" s="492"/>
      <c r="D2" s="493"/>
      <c r="E2" s="29" t="s">
        <v>6</v>
      </c>
      <c r="F2" s="29" t="s">
        <v>7</v>
      </c>
      <c r="G2" s="29" t="s">
        <v>8</v>
      </c>
      <c r="H2" s="29" t="s">
        <v>9</v>
      </c>
      <c r="I2" s="57" t="s">
        <v>10</v>
      </c>
      <c r="K2" s="558" t="s">
        <v>306</v>
      </c>
      <c r="L2" s="558"/>
      <c r="M2" s="558"/>
      <c r="N2" s="558"/>
    </row>
    <row r="3" spans="2:14">
      <c r="B3" s="472" t="s">
        <v>301</v>
      </c>
      <c r="C3" s="473"/>
      <c r="D3" s="474"/>
      <c r="E3" s="54">
        <v>0</v>
      </c>
      <c r="F3" s="54">
        <f>E6</f>
        <v>10000</v>
      </c>
      <c r="G3" s="54">
        <v>0</v>
      </c>
      <c r="H3" s="54">
        <v>0</v>
      </c>
      <c r="I3" s="53">
        <f>E3</f>
        <v>0</v>
      </c>
      <c r="K3" s="559" t="s">
        <v>305</v>
      </c>
      <c r="L3" s="559"/>
      <c r="M3" s="559"/>
      <c r="N3" s="559"/>
    </row>
    <row r="4" spans="2:14">
      <c r="B4" s="472" t="s">
        <v>292</v>
      </c>
      <c r="C4" s="473"/>
      <c r="D4" s="474"/>
      <c r="E4" s="54">
        <f>Recebimentos!E14</f>
        <v>270671.26666666666</v>
      </c>
      <c r="F4" s="54">
        <f>Recebimentos!F14</f>
        <v>406006.03333333333</v>
      </c>
      <c r="G4" s="54">
        <f>Recebimentos!G14</f>
        <v>243603.53333333333</v>
      </c>
      <c r="H4" s="54">
        <f>Recebimentos!H14</f>
        <v>270670.83333333331</v>
      </c>
      <c r="I4" s="53">
        <f t="shared" ref="I4:I7" si="0">SUM(E4:H4)</f>
        <v>1190951.6666666667</v>
      </c>
    </row>
    <row r="5" spans="2:14">
      <c r="B5" s="472" t="s">
        <v>302</v>
      </c>
      <c r="C5" s="473"/>
      <c r="D5" s="474"/>
      <c r="E5" s="54">
        <f>Pagamentos!E19</f>
        <v>75403.522500000006</v>
      </c>
      <c r="F5" s="54">
        <f>Pagamentos!F19</f>
        <v>460503.84804623987</v>
      </c>
      <c r="G5" s="54">
        <f>Pagamentos!G19</f>
        <v>275640.77654623985</v>
      </c>
      <c r="H5" s="54">
        <f>Pagamentos!H19</f>
        <v>257469.42654623988</v>
      </c>
      <c r="I5" s="53">
        <f t="shared" si="0"/>
        <v>1069017.5736387195</v>
      </c>
    </row>
    <row r="6" spans="2:14" ht="16" thickBot="1">
      <c r="B6" s="472" t="s">
        <v>303</v>
      </c>
      <c r="C6" s="473"/>
      <c r="D6" s="474"/>
      <c r="E6" s="54">
        <v>10000</v>
      </c>
      <c r="F6" s="54">
        <v>0</v>
      </c>
      <c r="G6" s="54">
        <v>0</v>
      </c>
      <c r="H6" s="54">
        <v>1000</v>
      </c>
      <c r="I6" s="53">
        <f>H6</f>
        <v>1000</v>
      </c>
      <c r="J6" s="134"/>
    </row>
    <row r="7" spans="2:14" ht="16" thickBot="1">
      <c r="B7" s="479" t="s">
        <v>304</v>
      </c>
      <c r="C7" s="480"/>
      <c r="D7" s="480"/>
      <c r="E7" s="62">
        <f>E3+E4-E5-E6</f>
        <v>185267.74416666664</v>
      </c>
      <c r="F7" s="62">
        <f t="shared" ref="F7:H7" si="1">F3+F4-F5-F6</f>
        <v>-44497.814712906547</v>
      </c>
      <c r="G7" s="62">
        <f t="shared" si="1"/>
        <v>-32037.243212906527</v>
      </c>
      <c r="H7" s="62">
        <f t="shared" si="1"/>
        <v>12201.406787093438</v>
      </c>
      <c r="I7" s="63">
        <f t="shared" si="0"/>
        <v>120934.093027947</v>
      </c>
      <c r="J7" s="148"/>
    </row>
    <row r="8" spans="2:14">
      <c r="E8" t="s">
        <v>325</v>
      </c>
    </row>
    <row r="9" spans="2:14" ht="16" thickBot="1"/>
    <row r="10" spans="2:14">
      <c r="B10" s="491" t="s">
        <v>21</v>
      </c>
      <c r="C10" s="492"/>
      <c r="D10" s="493"/>
      <c r="E10" s="29" t="s">
        <v>6</v>
      </c>
      <c r="F10" s="29" t="s">
        <v>7</v>
      </c>
      <c r="G10" s="29" t="s">
        <v>8</v>
      </c>
      <c r="H10" s="29" t="s">
        <v>9</v>
      </c>
      <c r="I10" s="57" t="s">
        <v>10</v>
      </c>
      <c r="J10" s="146"/>
    </row>
    <row r="11" spans="2:14">
      <c r="B11" s="472" t="s">
        <v>301</v>
      </c>
      <c r="C11" s="473"/>
      <c r="D11" s="474"/>
      <c r="E11" s="54">
        <f>H6</f>
        <v>1000</v>
      </c>
      <c r="F11" s="54">
        <v>0</v>
      </c>
      <c r="G11" s="54">
        <v>0</v>
      </c>
      <c r="H11" s="54">
        <v>0</v>
      </c>
      <c r="I11" s="53">
        <f>E11</f>
        <v>1000</v>
      </c>
      <c r="J11" s="146"/>
    </row>
    <row r="12" spans="2:14">
      <c r="B12" s="472" t="s">
        <v>292</v>
      </c>
      <c r="C12" s="473"/>
      <c r="D12" s="474"/>
      <c r="E12" s="54">
        <f>Recebimentos!E22</f>
        <v>392473.46666666662</v>
      </c>
      <c r="F12" s="54">
        <f>Recebimentos!F22</f>
        <v>426306.83333333331</v>
      </c>
      <c r="G12" s="54">
        <f>Recebimentos!G22</f>
        <v>255783.66666666669</v>
      </c>
      <c r="H12" s="54">
        <f>Recebimentos!H22</f>
        <v>284203.83333333337</v>
      </c>
      <c r="I12" s="53">
        <f t="shared" ref="I12:I15" si="2">SUM(E12:H12)</f>
        <v>1358767.7999999998</v>
      </c>
      <c r="J12" s="146"/>
    </row>
    <row r="13" spans="2:14">
      <c r="B13" s="472" t="s">
        <v>302</v>
      </c>
      <c r="C13" s="473"/>
      <c r="D13" s="474"/>
      <c r="E13" s="54">
        <f>Pagamentos!E31</f>
        <v>250540.58754623984</v>
      </c>
      <c r="F13" s="54">
        <f>Pagamentos!F31</f>
        <v>235440.60894705285</v>
      </c>
      <c r="G13" s="54">
        <f>Pagamentos!G31</f>
        <v>274565.35034705285</v>
      </c>
      <c r="H13" s="54">
        <f>Pagamentos!H31</f>
        <v>257825.50034705288</v>
      </c>
      <c r="I13" s="53">
        <f t="shared" si="2"/>
        <v>1018372.0471873984</v>
      </c>
      <c r="J13" s="146"/>
    </row>
    <row r="14" spans="2:14" ht="16" thickBot="1">
      <c r="B14" s="472" t="s">
        <v>303</v>
      </c>
      <c r="C14" s="473"/>
      <c r="D14" s="474"/>
      <c r="E14" s="54">
        <v>0</v>
      </c>
      <c r="F14" s="54">
        <v>0</v>
      </c>
      <c r="G14" s="54">
        <v>0</v>
      </c>
      <c r="H14" s="54">
        <v>1000</v>
      </c>
      <c r="I14" s="53">
        <f>H14</f>
        <v>1000</v>
      </c>
      <c r="J14" s="134"/>
    </row>
    <row r="15" spans="2:14" ht="16" thickBot="1">
      <c r="B15" s="479" t="s">
        <v>304</v>
      </c>
      <c r="C15" s="480"/>
      <c r="D15" s="480"/>
      <c r="E15" s="62">
        <f>E11+E12-E13-E14</f>
        <v>142932.87912042678</v>
      </c>
      <c r="F15" s="62">
        <f t="shared" ref="F15" si="3">F11+F12-F13-F14</f>
        <v>190866.22438628046</v>
      </c>
      <c r="G15" s="62">
        <f t="shared" ref="G15" si="4">G11+G12-G13-G14</f>
        <v>-18781.683680386166</v>
      </c>
      <c r="H15" s="62">
        <f t="shared" ref="H15" si="5">H11+H12-H13-H14</f>
        <v>25378.332986280497</v>
      </c>
      <c r="I15" s="63">
        <f t="shared" si="2"/>
        <v>340395.75281260157</v>
      </c>
      <c r="J15" s="148"/>
    </row>
    <row r="17" spans="2:10" ht="16" thickBot="1"/>
    <row r="18" spans="2:10">
      <c r="B18" s="491" t="s">
        <v>22</v>
      </c>
      <c r="C18" s="492"/>
      <c r="D18" s="493"/>
      <c r="E18" s="29" t="s">
        <v>6</v>
      </c>
      <c r="F18" s="29" t="s">
        <v>7</v>
      </c>
      <c r="G18" s="29" t="s">
        <v>8</v>
      </c>
      <c r="H18" s="29" t="s">
        <v>9</v>
      </c>
      <c r="I18" s="57" t="s">
        <v>10</v>
      </c>
      <c r="J18" s="146"/>
    </row>
    <row r="19" spans="2:10">
      <c r="B19" s="472" t="s">
        <v>301</v>
      </c>
      <c r="C19" s="473"/>
      <c r="D19" s="474"/>
      <c r="E19" s="54">
        <f>H14</f>
        <v>1000</v>
      </c>
      <c r="F19" s="54">
        <v>0</v>
      </c>
      <c r="G19" s="54">
        <v>0</v>
      </c>
      <c r="H19" s="54">
        <v>0</v>
      </c>
      <c r="I19" s="53">
        <f>E19</f>
        <v>1000</v>
      </c>
      <c r="J19" s="146"/>
    </row>
    <row r="20" spans="2:10">
      <c r="B20" s="472" t="s">
        <v>292</v>
      </c>
      <c r="C20" s="473"/>
      <c r="D20" s="474"/>
      <c r="E20" s="54">
        <f>Recebimentos!E30</f>
        <v>411419.66666666663</v>
      </c>
      <c r="F20" s="54">
        <f>Recebimentos!F30</f>
        <v>446606.33333333331</v>
      </c>
      <c r="G20" s="54">
        <f>Recebimentos!G30</f>
        <v>267964.23333333334</v>
      </c>
      <c r="H20" s="54">
        <f>Recebimentos!H30</f>
        <v>297738.1333333333</v>
      </c>
      <c r="I20" s="53">
        <f t="shared" ref="I20:I21" si="6">SUM(E20:H20)</f>
        <v>1423728.3666666667</v>
      </c>
      <c r="J20" s="146"/>
    </row>
    <row r="21" spans="2:10">
      <c r="B21" s="472" t="s">
        <v>302</v>
      </c>
      <c r="C21" s="473"/>
      <c r="D21" s="474"/>
      <c r="E21" s="54">
        <f>Pagamentos!E43</f>
        <v>251208.96134705289</v>
      </c>
      <c r="F21" s="54">
        <f>Pagamentos!F43</f>
        <v>236203.3549328252</v>
      </c>
      <c r="G21" s="54">
        <f>Pagamentos!G43</f>
        <v>275328.0963328252</v>
      </c>
      <c r="H21" s="54">
        <f>Pagamentos!H43</f>
        <v>258119.8463328252</v>
      </c>
      <c r="I21" s="53">
        <f t="shared" si="6"/>
        <v>1020860.2589455284</v>
      </c>
      <c r="J21" s="146"/>
    </row>
    <row r="22" spans="2:10" ht="16" thickBot="1">
      <c r="B22" s="472" t="s">
        <v>303</v>
      </c>
      <c r="C22" s="473"/>
      <c r="D22" s="474"/>
      <c r="E22" s="54">
        <v>0</v>
      </c>
      <c r="F22" s="54">
        <v>0</v>
      </c>
      <c r="G22" s="54">
        <v>0</v>
      </c>
      <c r="H22" s="54">
        <v>1000</v>
      </c>
      <c r="I22" s="53">
        <f>H22</f>
        <v>1000</v>
      </c>
      <c r="J22" s="134"/>
    </row>
    <row r="23" spans="2:10" ht="16" thickBot="1">
      <c r="B23" s="479" t="s">
        <v>304</v>
      </c>
      <c r="C23" s="480"/>
      <c r="D23" s="480"/>
      <c r="E23" s="62">
        <f>E19+E20-E21-E22</f>
        <v>161210.70531961374</v>
      </c>
      <c r="F23" s="62">
        <f t="shared" ref="F23" si="7">F19+F20-F21-F22</f>
        <v>210402.97840050812</v>
      </c>
      <c r="G23" s="62">
        <f t="shared" ref="G23" si="8">G19+G20-G21-G22</f>
        <v>-7363.8629994918592</v>
      </c>
      <c r="H23" s="62">
        <f t="shared" ref="H23" si="9">H19+H20-H21-H22</f>
        <v>38618.287000508106</v>
      </c>
      <c r="I23" s="63">
        <f>SUM(E23:H23)</f>
        <v>402868.10772113811</v>
      </c>
      <c r="J23" s="148"/>
    </row>
  </sheetData>
  <mergeCells count="20">
    <mergeCell ref="B10:D10"/>
    <mergeCell ref="B11:D11"/>
    <mergeCell ref="B12:D12"/>
    <mergeCell ref="B13:D13"/>
    <mergeCell ref="B2:D2"/>
    <mergeCell ref="B3:D3"/>
    <mergeCell ref="B22:D22"/>
    <mergeCell ref="B23:D23"/>
    <mergeCell ref="B14:D14"/>
    <mergeCell ref="B15:D15"/>
    <mergeCell ref="B18:D18"/>
    <mergeCell ref="B19:D19"/>
    <mergeCell ref="B20:D20"/>
    <mergeCell ref="B21:D21"/>
    <mergeCell ref="B4:D4"/>
    <mergeCell ref="B5:D5"/>
    <mergeCell ref="B6:D6"/>
    <mergeCell ref="B7:D7"/>
    <mergeCell ref="K2:N2"/>
    <mergeCell ref="K3:N3"/>
  </mergeCell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4572-5446-FF4D-9272-47ABED517DA7}">
  <dimension ref="B1:K38"/>
  <sheetViews>
    <sheetView showGridLines="0" workbookViewId="0">
      <selection activeCell="K16" sqref="K16"/>
    </sheetView>
  </sheetViews>
  <sheetFormatPr baseColWidth="10" defaultColWidth="11.5" defaultRowHeight="15"/>
  <cols>
    <col min="5" max="8" width="11.83203125" customWidth="1"/>
    <col min="9" max="9" width="13.5" customWidth="1"/>
  </cols>
  <sheetData>
    <row r="1" spans="2:9" ht="16" thickBot="1"/>
    <row r="2" spans="2:9">
      <c r="B2" s="561" t="s">
        <v>20</v>
      </c>
      <c r="C2" s="562"/>
      <c r="D2" s="563"/>
      <c r="E2" s="167" t="s">
        <v>6</v>
      </c>
      <c r="F2" s="167" t="s">
        <v>7</v>
      </c>
      <c r="G2" s="167" t="s">
        <v>8</v>
      </c>
      <c r="H2" s="167" t="s">
        <v>9</v>
      </c>
      <c r="I2" s="168" t="s">
        <v>10</v>
      </c>
    </row>
    <row r="3" spans="2:9">
      <c r="B3" s="564" t="s">
        <v>341</v>
      </c>
      <c r="C3" s="565"/>
      <c r="D3" s="566"/>
      <c r="E3" s="54">
        <f>'Orçamento tesouraria'!E7</f>
        <v>185267.74416666664</v>
      </c>
      <c r="F3" s="54">
        <f>'Orçamento tesouraria'!F7</f>
        <v>-44497.814712906547</v>
      </c>
      <c r="G3" s="54">
        <f>'Orçamento tesouraria'!G7</f>
        <v>-32037.243212906527</v>
      </c>
      <c r="H3" s="54">
        <f>'Orçamento tesouraria'!H7</f>
        <v>12201.406787093438</v>
      </c>
      <c r="I3" s="169">
        <f>SUM(E3:H3)</f>
        <v>120934.093027947</v>
      </c>
    </row>
    <row r="4" spans="2:9">
      <c r="B4" s="564" t="s">
        <v>342</v>
      </c>
      <c r="C4" s="565"/>
      <c r="D4" s="566"/>
      <c r="E4" s="54"/>
      <c r="F4" s="54"/>
      <c r="G4" s="54"/>
      <c r="H4" s="54"/>
      <c r="I4" s="169">
        <f>SUM(I5:I6)</f>
        <v>46846.206063045567</v>
      </c>
    </row>
    <row r="5" spans="2:9" s="157" customFormat="1">
      <c r="B5" s="560" t="s">
        <v>344</v>
      </c>
      <c r="C5" s="473"/>
      <c r="D5" s="474"/>
      <c r="E5" s="54">
        <f>Financiamento!$C$19</f>
        <v>40000</v>
      </c>
      <c r="F5" s="54">
        <v>0</v>
      </c>
      <c r="G5" s="54">
        <v>0</v>
      </c>
      <c r="H5" s="54">
        <v>0</v>
      </c>
      <c r="I5" s="169">
        <f>SUM(E5:H5)</f>
        <v>40000</v>
      </c>
    </row>
    <row r="6" spans="2:9" s="157" customFormat="1">
      <c r="B6" s="560" t="s">
        <v>368</v>
      </c>
      <c r="C6" s="473"/>
      <c r="D6" s="474"/>
      <c r="E6" s="54">
        <v>0</v>
      </c>
      <c r="F6" s="54">
        <f>IF(E12&gt;0,E12*(Financiamento!$C$40/4),0)</f>
        <v>2784.5968020833334</v>
      </c>
      <c r="G6" s="54">
        <f>IF(F12&gt;0,F12*(Financiamento!$C$40/4),0)</f>
        <v>2232.3222031980431</v>
      </c>
      <c r="H6" s="54">
        <f>IF(G12&gt;0,G12*(Financiamento!$C$40/4),0)</f>
        <v>1829.287057764187</v>
      </c>
      <c r="I6" s="169">
        <f>SUM(E6:H6)</f>
        <v>6846.2060630455635</v>
      </c>
    </row>
    <row r="7" spans="2:9" s="157" customFormat="1">
      <c r="B7" s="564" t="s">
        <v>343</v>
      </c>
      <c r="C7" s="565"/>
      <c r="D7" s="566"/>
      <c r="E7" s="54"/>
      <c r="F7" s="54"/>
      <c r="G7" s="54"/>
      <c r="H7" s="54"/>
      <c r="I7" s="169">
        <f>SUM(I8:I10)</f>
        <v>9814.0576171875</v>
      </c>
    </row>
    <row r="8" spans="2:9" s="157" customFormat="1">
      <c r="B8" s="560" t="s">
        <v>359</v>
      </c>
      <c r="C8" s="473"/>
      <c r="D8" s="474"/>
      <c r="E8" s="54">
        <f>Financiamento!I8</f>
        <v>2000</v>
      </c>
      <c r="F8" s="54">
        <f>Financiamento!J8</f>
        <v>2000</v>
      </c>
      <c r="G8" s="54">
        <f>Financiamento!K8</f>
        <v>2000</v>
      </c>
      <c r="H8" s="54">
        <f>Financiamento!L8</f>
        <v>2000</v>
      </c>
      <c r="I8" s="169">
        <f>SUM(E8:H8)</f>
        <v>8000</v>
      </c>
    </row>
    <row r="9" spans="2:9" s="157" customFormat="1">
      <c r="B9" s="560" t="s">
        <v>360</v>
      </c>
      <c r="C9" s="473"/>
      <c r="D9" s="474"/>
      <c r="E9" s="54">
        <f>Financiamento!I9</f>
        <v>500</v>
      </c>
      <c r="F9" s="54">
        <f>Financiamento!J9</f>
        <v>468.75</v>
      </c>
      <c r="G9" s="54">
        <f>Financiamento!K9</f>
        <v>437.890625</v>
      </c>
      <c r="H9" s="54">
        <f>Financiamento!L9</f>
        <v>407.4169921875</v>
      </c>
      <c r="I9" s="169">
        <f>SUM(E9:H9)</f>
        <v>1814.0576171875</v>
      </c>
    </row>
    <row r="10" spans="2:9" ht="16" thickBot="1">
      <c r="B10" s="567" t="s">
        <v>367</v>
      </c>
      <c r="C10" s="568"/>
      <c r="D10" s="569"/>
      <c r="E10" s="166">
        <v>0</v>
      </c>
      <c r="F10" s="166">
        <f>IF(E12&lt;0,-E12*(Financiamento!$C$40/4),0)</f>
        <v>0</v>
      </c>
      <c r="G10" s="166">
        <f>IF(F12&lt;0,-F12*(Financiamento!$C$40/4),0)</f>
        <v>0</v>
      </c>
      <c r="H10" s="166">
        <f>IF(G12&lt;0,-G12*(Financiamento!$C$40/4),0)</f>
        <v>0</v>
      </c>
      <c r="I10" s="170">
        <f t="shared" ref="I10" si="0">SUM(E10:H10)</f>
        <v>0</v>
      </c>
    </row>
    <row r="11" spans="2:9" ht="16" thickBot="1">
      <c r="B11" s="570" t="s">
        <v>366</v>
      </c>
      <c r="C11" s="571"/>
      <c r="D11" s="572"/>
      <c r="E11" s="165">
        <f>E3+E5+E6-E8-E9-E10</f>
        <v>222767.74416666664</v>
      </c>
      <c r="F11" s="165">
        <f t="shared" ref="F11:H11" si="1">F3+F5+F6-F8-F9-F10</f>
        <v>-44181.967910823216</v>
      </c>
      <c r="G11" s="165">
        <f t="shared" si="1"/>
        <v>-32242.811634708483</v>
      </c>
      <c r="H11" s="165">
        <f t="shared" si="1"/>
        <v>11623.276852670126</v>
      </c>
      <c r="I11" s="171">
        <f>SUM(E11:H11)</f>
        <v>157966.24147380507</v>
      </c>
    </row>
    <row r="12" spans="2:9" ht="16" thickBot="1">
      <c r="B12" s="573" t="s">
        <v>369</v>
      </c>
      <c r="C12" s="574"/>
      <c r="D12" s="575"/>
      <c r="E12" s="172">
        <f>E11</f>
        <v>222767.74416666664</v>
      </c>
      <c r="F12" s="172">
        <f>E12+F11</f>
        <v>178585.77625584343</v>
      </c>
      <c r="G12" s="172">
        <f t="shared" ref="G12:H12" si="2">F12+G11</f>
        <v>146342.96462113495</v>
      </c>
      <c r="H12" s="172">
        <f t="shared" si="2"/>
        <v>157966.24147380507</v>
      </c>
      <c r="I12" s="173">
        <f>H12</f>
        <v>157966.24147380507</v>
      </c>
    </row>
    <row r="14" spans="2:9" ht="16" thickBot="1"/>
    <row r="15" spans="2:9">
      <c r="B15" s="561" t="s">
        <v>21</v>
      </c>
      <c r="C15" s="562"/>
      <c r="D15" s="563"/>
      <c r="E15" s="167" t="s">
        <v>6</v>
      </c>
      <c r="F15" s="167" t="s">
        <v>7</v>
      </c>
      <c r="G15" s="167" t="s">
        <v>8</v>
      </c>
      <c r="H15" s="167" t="s">
        <v>9</v>
      </c>
      <c r="I15" s="168" t="s">
        <v>10</v>
      </c>
    </row>
    <row r="16" spans="2:9">
      <c r="B16" s="564" t="s">
        <v>341</v>
      </c>
      <c r="C16" s="565"/>
      <c r="D16" s="566"/>
      <c r="E16" s="54">
        <f>'Orçamento tesouraria'!E15</f>
        <v>142932.87912042678</v>
      </c>
      <c r="F16" s="54">
        <f>'Orçamento tesouraria'!F15</f>
        <v>190866.22438628046</v>
      </c>
      <c r="G16" s="54">
        <f>'Orçamento tesouraria'!G15</f>
        <v>-18781.683680386166</v>
      </c>
      <c r="H16" s="54">
        <f>'Orçamento tesouraria'!H15</f>
        <v>25378.332986280497</v>
      </c>
      <c r="I16" s="169">
        <f>SUM(E16:H16)</f>
        <v>340395.75281260157</v>
      </c>
    </row>
    <row r="17" spans="2:11">
      <c r="B17" s="564" t="s">
        <v>342</v>
      </c>
      <c r="C17" s="565"/>
      <c r="D17" s="566"/>
      <c r="E17" s="54"/>
      <c r="F17" s="54"/>
      <c r="G17" s="54"/>
      <c r="H17" s="54"/>
      <c r="I17" s="169">
        <f>SUM(I18:I19)</f>
        <v>17861.822932156694</v>
      </c>
    </row>
    <row r="18" spans="2:11">
      <c r="B18" s="560" t="s">
        <v>344</v>
      </c>
      <c r="C18" s="473"/>
      <c r="D18" s="474"/>
      <c r="E18" s="54">
        <v>0</v>
      </c>
      <c r="F18" s="54">
        <v>0</v>
      </c>
      <c r="G18" s="54">
        <v>0</v>
      </c>
      <c r="H18" s="54">
        <v>0</v>
      </c>
      <c r="I18" s="169">
        <f>SUM(E18:H18)</f>
        <v>0</v>
      </c>
    </row>
    <row r="19" spans="2:11">
      <c r="B19" s="560" t="s">
        <v>368</v>
      </c>
      <c r="C19" s="473"/>
      <c r="D19" s="474"/>
      <c r="E19" s="54">
        <f>IF(H12&gt;0,H12*(Financiamento!$C$40/4),0)</f>
        <v>1974.5780184225634</v>
      </c>
      <c r="F19" s="54">
        <f>IF(E25&gt;0,E25*(Financiamento!$C$40/4),0)</f>
        <v>3756.2046791608659</v>
      </c>
      <c r="G19" s="54">
        <f>IF(F25&gt;0,F25*(Financiamento!$C$40/4),0)</f>
        <v>6159.2684889815682</v>
      </c>
      <c r="H19" s="54">
        <f>IF(G25&gt;0,G25*(Financiamento!$C$40/4),0)</f>
        <v>5971.7717455916963</v>
      </c>
      <c r="I19" s="169">
        <f>SUM(E19:H19)</f>
        <v>17861.822932156694</v>
      </c>
    </row>
    <row r="20" spans="2:11">
      <c r="B20" s="564" t="s">
        <v>343</v>
      </c>
      <c r="C20" s="565"/>
      <c r="D20" s="566"/>
      <c r="E20" s="54"/>
      <c r="F20" s="54"/>
      <c r="G20" s="54"/>
      <c r="H20" s="54"/>
      <c r="I20" s="169">
        <f>SUM(I21:I23)</f>
        <v>9509.297119140625</v>
      </c>
    </row>
    <row r="21" spans="2:11">
      <c r="B21" s="560" t="s">
        <v>359</v>
      </c>
      <c r="C21" s="473"/>
      <c r="D21" s="474"/>
      <c r="E21" s="54">
        <f>Financiamento!$I$18</f>
        <v>2000</v>
      </c>
      <c r="F21" s="54">
        <f>Financiamento!$I$18</f>
        <v>2000</v>
      </c>
      <c r="G21" s="54">
        <f>Financiamento!$I$18</f>
        <v>2000</v>
      </c>
      <c r="H21" s="54">
        <f>Financiamento!$I$18</f>
        <v>2000</v>
      </c>
      <c r="I21" s="169">
        <f>SUM(E21:H21)</f>
        <v>8000</v>
      </c>
    </row>
    <row r="22" spans="2:11">
      <c r="B22" s="560" t="s">
        <v>360</v>
      </c>
      <c r="C22" s="473"/>
      <c r="D22" s="474"/>
      <c r="E22" s="54">
        <f>Financiamento!$I$19</f>
        <v>377.32427978515625</v>
      </c>
      <c r="F22" s="54">
        <f>Financiamento!$I$19</f>
        <v>377.32427978515625</v>
      </c>
      <c r="G22" s="54">
        <f>Financiamento!$I$19</f>
        <v>377.32427978515625</v>
      </c>
      <c r="H22" s="54">
        <f>Financiamento!$I$19</f>
        <v>377.32427978515625</v>
      </c>
      <c r="I22" s="169">
        <f>SUM(E22:H22)</f>
        <v>1509.297119140625</v>
      </c>
    </row>
    <row r="23" spans="2:11" ht="16" thickBot="1">
      <c r="B23" s="567" t="s">
        <v>367</v>
      </c>
      <c r="C23" s="568"/>
      <c r="D23" s="569"/>
      <c r="E23" s="166">
        <f>IF(H12&lt;0,-H12*(Financiamento!$C$40/4),0)</f>
        <v>0</v>
      </c>
      <c r="F23" s="166">
        <f>IF(E25&lt;0,-E25*(Financiamento!$C$40/4),0)</f>
        <v>0</v>
      </c>
      <c r="G23" s="166">
        <f>IF(F25&lt;0,-F25*(Financiamento!$C$40/4),0)</f>
        <v>0</v>
      </c>
      <c r="H23" s="166">
        <f>IF(G25&lt;0,-G25*(Financiamento!$C$40/4),0)</f>
        <v>0</v>
      </c>
      <c r="I23" s="170">
        <f t="shared" ref="I23" si="3">SUM(E23:H23)</f>
        <v>0</v>
      </c>
    </row>
    <row r="24" spans="2:11" ht="16" thickBot="1">
      <c r="B24" s="570" t="s">
        <v>366</v>
      </c>
      <c r="C24" s="571"/>
      <c r="D24" s="572"/>
      <c r="E24" s="165">
        <f t="shared" ref="E24:H24" si="4">E16+E18+E19-E21-E22-E23</f>
        <v>142530.13285906418</v>
      </c>
      <c r="F24" s="165">
        <f t="shared" si="4"/>
        <v>192245.10478565618</v>
      </c>
      <c r="G24" s="165">
        <f t="shared" si="4"/>
        <v>-14999.739471189754</v>
      </c>
      <c r="H24" s="165">
        <f t="shared" si="4"/>
        <v>28972.780452087038</v>
      </c>
      <c r="I24" s="171">
        <f>SUM(E24:H24)</f>
        <v>348748.27862561768</v>
      </c>
    </row>
    <row r="25" spans="2:11" ht="16" thickBot="1">
      <c r="B25" s="573" t="s">
        <v>369</v>
      </c>
      <c r="C25" s="574"/>
      <c r="D25" s="575"/>
      <c r="E25" s="172">
        <f>I12+E24</f>
        <v>300496.37433286925</v>
      </c>
      <c r="F25" s="172">
        <f>E25+F24</f>
        <v>492741.4791185254</v>
      </c>
      <c r="G25" s="172">
        <f t="shared" ref="G25" si="5">F25+G24</f>
        <v>477741.73964733566</v>
      </c>
      <c r="H25" s="172">
        <f t="shared" ref="H25" si="6">G25+H24</f>
        <v>506714.52009942272</v>
      </c>
      <c r="I25" s="173">
        <f>H25</f>
        <v>506714.52009942272</v>
      </c>
      <c r="K25" s="58"/>
    </row>
    <row r="27" spans="2:11" ht="16" thickBot="1"/>
    <row r="28" spans="2:11">
      <c r="B28" s="561" t="s">
        <v>22</v>
      </c>
      <c r="C28" s="562"/>
      <c r="D28" s="563"/>
      <c r="E28" s="167" t="s">
        <v>6</v>
      </c>
      <c r="F28" s="167" t="s">
        <v>7</v>
      </c>
      <c r="G28" s="167" t="s">
        <v>8</v>
      </c>
      <c r="H28" s="167" t="s">
        <v>9</v>
      </c>
      <c r="I28" s="168" t="s">
        <v>10</v>
      </c>
    </row>
    <row r="29" spans="2:11">
      <c r="B29" s="564" t="s">
        <v>341</v>
      </c>
      <c r="C29" s="565"/>
      <c r="D29" s="566"/>
      <c r="E29" s="54">
        <f>'Orçamento tesouraria'!E23</f>
        <v>161210.70531961374</v>
      </c>
      <c r="F29" s="54">
        <f>'Orçamento tesouraria'!F23</f>
        <v>210402.97840050812</v>
      </c>
      <c r="G29" s="54">
        <f>'Orçamento tesouraria'!G23</f>
        <v>-7363.8629994918592</v>
      </c>
      <c r="H29" s="54">
        <f>'Orçamento tesouraria'!H23</f>
        <v>38618.287000508106</v>
      </c>
      <c r="I29" s="169">
        <f>SUM(E29:H29)</f>
        <v>402868.10772113811</v>
      </c>
    </row>
    <row r="30" spans="2:11">
      <c r="B30" s="564" t="s">
        <v>342</v>
      </c>
      <c r="C30" s="565"/>
      <c r="D30" s="566"/>
      <c r="E30" s="54"/>
      <c r="F30" s="54"/>
      <c r="G30" s="54"/>
      <c r="H30" s="54"/>
      <c r="I30" s="169">
        <f>SUM(I31:I32)</f>
        <v>36967.372878564194</v>
      </c>
    </row>
    <row r="31" spans="2:11">
      <c r="B31" s="560" t="s">
        <v>344</v>
      </c>
      <c r="C31" s="473"/>
      <c r="D31" s="474"/>
      <c r="E31" s="54">
        <v>0</v>
      </c>
      <c r="F31" s="54">
        <v>0</v>
      </c>
      <c r="G31" s="54">
        <v>0</v>
      </c>
      <c r="H31" s="54">
        <v>0</v>
      </c>
      <c r="I31" s="169">
        <f>SUM(E31:H31)</f>
        <v>0</v>
      </c>
    </row>
    <row r="32" spans="2:11">
      <c r="B32" s="560" t="s">
        <v>368</v>
      </c>
      <c r="C32" s="473"/>
      <c r="D32" s="474"/>
      <c r="E32" s="54">
        <f>IF(H25&gt;0,H25*(Financiamento!$C$40/4),0)</f>
        <v>6333.9315012427842</v>
      </c>
      <c r="F32" s="54">
        <f>IF(E38&gt;0,E38*(Financiamento!$C$40/4),0)</f>
        <v>8399.9811078472103</v>
      </c>
      <c r="G32" s="54">
        <f>IF(F38&gt;0,F38*(Financiamento!$C$40/4),0)</f>
        <v>11107.112977466077</v>
      </c>
      <c r="H32" s="54">
        <f>IF(G38&gt;0,G38*(Financiamento!$C$40/4),0)</f>
        <v>11126.347292008122</v>
      </c>
      <c r="I32" s="169">
        <f>SUM(E32:H32)</f>
        <v>36967.372878564194</v>
      </c>
    </row>
    <row r="33" spans="2:9">
      <c r="B33" s="564" t="s">
        <v>343</v>
      </c>
      <c r="C33" s="565"/>
      <c r="D33" s="566"/>
      <c r="E33" s="54"/>
      <c r="F33" s="54"/>
      <c r="G33" s="54"/>
      <c r="H33" s="54"/>
      <c r="I33" s="169">
        <f>SUM(I34:I36)</f>
        <v>8874.5315503869933</v>
      </c>
    </row>
    <row r="34" spans="2:9">
      <c r="B34" s="560" t="s">
        <v>359</v>
      </c>
      <c r="C34" s="473"/>
      <c r="D34" s="474"/>
      <c r="E34" s="54">
        <f>Financiamento!I28</f>
        <v>2000</v>
      </c>
      <c r="F34" s="54">
        <f>Financiamento!J28</f>
        <v>2000</v>
      </c>
      <c r="G34" s="54">
        <f>Financiamento!K28</f>
        <v>2000</v>
      </c>
      <c r="H34" s="54">
        <f>Financiamento!L28</f>
        <v>2000</v>
      </c>
      <c r="I34" s="169">
        <f>SUM(E34:H34)</f>
        <v>8000</v>
      </c>
    </row>
    <row r="35" spans="2:9">
      <c r="B35" s="560" t="s">
        <v>360</v>
      </c>
      <c r="C35" s="473"/>
      <c r="D35" s="474"/>
      <c r="E35" s="54">
        <f>Financiamento!I29</f>
        <v>260.66829250240477</v>
      </c>
      <c r="F35" s="54">
        <f>Financiamento!J29</f>
        <v>232.40993884612473</v>
      </c>
      <c r="G35" s="54">
        <f>Financiamento!K29</f>
        <v>204.50481461054815</v>
      </c>
      <c r="H35" s="54">
        <f>Financiamento!L29</f>
        <v>176.9485044279163</v>
      </c>
      <c r="I35" s="169">
        <f>SUM(E35:H35)</f>
        <v>874.5315503869939</v>
      </c>
    </row>
    <row r="36" spans="2:9" ht="16" thickBot="1">
      <c r="B36" s="567" t="s">
        <v>367</v>
      </c>
      <c r="C36" s="568"/>
      <c r="D36" s="569"/>
      <c r="E36" s="166">
        <f>IF(H25&lt;0,-H25*(Financiamento!$C$40/4),0)</f>
        <v>0</v>
      </c>
      <c r="F36" s="166">
        <f>IF(E38&lt;0,-E38*(Financiamento!$C$40/4),0)</f>
        <v>0</v>
      </c>
      <c r="G36" s="166">
        <f>IF(F38&lt;0,-F38*(Financiamento!$C$40/4),0)</f>
        <v>0</v>
      </c>
      <c r="H36" s="166">
        <f>IF(G38&lt;0,-G38*(Financiamento!$C$40/4),0)</f>
        <v>0</v>
      </c>
      <c r="I36" s="170">
        <f t="shared" ref="I36" si="7">SUM(E36:H36)</f>
        <v>0</v>
      </c>
    </row>
    <row r="37" spans="2:9" ht="16" thickBot="1">
      <c r="B37" s="570" t="s">
        <v>366</v>
      </c>
      <c r="C37" s="571"/>
      <c r="D37" s="572"/>
      <c r="E37" s="165">
        <f t="shared" ref="E37" si="8">E29+E31+E32-E34-E35-E36</f>
        <v>165283.96852835413</v>
      </c>
      <c r="F37" s="165">
        <f t="shared" ref="F37" si="9">F29+F31+F32-F34-F35-F36</f>
        <v>216570.5495695092</v>
      </c>
      <c r="G37" s="165">
        <f t="shared" ref="G37" si="10">G29+G31+G32-G34-G35-G36</f>
        <v>1538.7451633636692</v>
      </c>
      <c r="H37" s="165">
        <f t="shared" ref="H37" si="11">H29+H31+H32-H34-H35-H36</f>
        <v>47567.685788088318</v>
      </c>
      <c r="I37" s="171">
        <f>SUM(E37:H37)</f>
        <v>430960.9490493153</v>
      </c>
    </row>
    <row r="38" spans="2:9" ht="16" thickBot="1">
      <c r="B38" s="573" t="s">
        <v>369</v>
      </c>
      <c r="C38" s="574"/>
      <c r="D38" s="575"/>
      <c r="E38" s="172">
        <f>I25+E37</f>
        <v>671998.48862777685</v>
      </c>
      <c r="F38" s="172">
        <f>E38+F37</f>
        <v>888569.03819728608</v>
      </c>
      <c r="G38" s="172">
        <f t="shared" ref="G38" si="12">F38+G37</f>
        <v>890107.78336064972</v>
      </c>
      <c r="H38" s="172">
        <f t="shared" ref="H38" si="13">G38+H37</f>
        <v>937675.46914873808</v>
      </c>
      <c r="I38" s="173">
        <f>H38</f>
        <v>937675.46914873808</v>
      </c>
    </row>
  </sheetData>
  <mergeCells count="33">
    <mergeCell ref="B34:D34"/>
    <mergeCell ref="B35:D35"/>
    <mergeCell ref="B36:D36"/>
    <mergeCell ref="B37:D37"/>
    <mergeCell ref="B38:D38"/>
    <mergeCell ref="B33:D33"/>
    <mergeCell ref="B20:D20"/>
    <mergeCell ref="B21:D21"/>
    <mergeCell ref="B22:D22"/>
    <mergeCell ref="B23:D23"/>
    <mergeCell ref="B24:D24"/>
    <mergeCell ref="B25:D25"/>
    <mergeCell ref="B28:D28"/>
    <mergeCell ref="B29:D29"/>
    <mergeCell ref="B30:D30"/>
    <mergeCell ref="B31:D31"/>
    <mergeCell ref="B32:D32"/>
    <mergeCell ref="B19:D19"/>
    <mergeCell ref="B2:D2"/>
    <mergeCell ref="B3:D3"/>
    <mergeCell ref="B4:D4"/>
    <mergeCell ref="B10:D10"/>
    <mergeCell ref="B11:D11"/>
    <mergeCell ref="B12:D12"/>
    <mergeCell ref="B5:D5"/>
    <mergeCell ref="B7:D7"/>
    <mergeCell ref="B8:D8"/>
    <mergeCell ref="B9:D9"/>
    <mergeCell ref="B6:D6"/>
    <mergeCell ref="B15:D15"/>
    <mergeCell ref="B16:D16"/>
    <mergeCell ref="B17:D17"/>
    <mergeCell ref="B18:D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D4F4-C99B-EB41-8E35-F3588C7BECAB}">
  <dimension ref="A1:V24"/>
  <sheetViews>
    <sheetView showGridLines="0" workbookViewId="0">
      <selection activeCell="J21" sqref="J21"/>
    </sheetView>
  </sheetViews>
  <sheetFormatPr baseColWidth="10" defaultColWidth="11.5" defaultRowHeight="15"/>
  <cols>
    <col min="3" max="3" width="16.5" customWidth="1"/>
    <col min="4" max="22" width="11.83203125" customWidth="1"/>
  </cols>
  <sheetData>
    <row r="1" spans="1:22" ht="16" thickBot="1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</row>
    <row r="2" spans="1:22">
      <c r="A2" s="358"/>
      <c r="B2" s="585" t="s">
        <v>402</v>
      </c>
      <c r="C2" s="586"/>
      <c r="D2" s="586"/>
      <c r="E2" s="581" t="s">
        <v>411</v>
      </c>
      <c r="F2" s="581"/>
      <c r="G2" s="581"/>
      <c r="H2" s="581" t="s">
        <v>412</v>
      </c>
      <c r="I2" s="581"/>
      <c r="J2" s="581"/>
      <c r="K2" s="581" t="s">
        <v>388</v>
      </c>
      <c r="L2" s="581"/>
      <c r="M2" s="581"/>
      <c r="N2" s="581" t="s">
        <v>413</v>
      </c>
      <c r="O2" s="581"/>
      <c r="P2" s="581"/>
      <c r="Q2" s="581" t="s">
        <v>290</v>
      </c>
      <c r="R2" s="581"/>
      <c r="S2" s="581"/>
      <c r="T2" s="581" t="s">
        <v>414</v>
      </c>
      <c r="U2" s="581"/>
      <c r="V2" s="582"/>
    </row>
    <row r="3" spans="1:22" ht="30" customHeight="1">
      <c r="A3" s="358"/>
      <c r="B3" s="247" t="s">
        <v>403</v>
      </c>
      <c r="C3" s="242" t="s">
        <v>404</v>
      </c>
      <c r="D3" s="248" t="s">
        <v>405</v>
      </c>
      <c r="E3" s="242" t="s">
        <v>20</v>
      </c>
      <c r="F3" s="242" t="s">
        <v>21</v>
      </c>
      <c r="G3" s="242" t="s">
        <v>22</v>
      </c>
      <c r="H3" s="242" t="s">
        <v>20</v>
      </c>
      <c r="I3" s="242" t="s">
        <v>21</v>
      </c>
      <c r="J3" s="242" t="s">
        <v>22</v>
      </c>
      <c r="K3" s="242" t="s">
        <v>20</v>
      </c>
      <c r="L3" s="242" t="s">
        <v>21</v>
      </c>
      <c r="M3" s="242" t="s">
        <v>22</v>
      </c>
      <c r="N3" s="242" t="s">
        <v>20</v>
      </c>
      <c r="O3" s="242" t="s">
        <v>21</v>
      </c>
      <c r="P3" s="242" t="s">
        <v>22</v>
      </c>
      <c r="Q3" s="242" t="s">
        <v>20</v>
      </c>
      <c r="R3" s="242" t="s">
        <v>21</v>
      </c>
      <c r="S3" s="242" t="s">
        <v>22</v>
      </c>
      <c r="T3" s="242" t="s">
        <v>20</v>
      </c>
      <c r="U3" s="242" t="s">
        <v>21</v>
      </c>
      <c r="V3" s="41" t="s">
        <v>22</v>
      </c>
    </row>
    <row r="4" spans="1:22" ht="20" customHeight="1">
      <c r="A4" s="358"/>
      <c r="B4" s="583">
        <f>Recebimentos!C7</f>
        <v>1.3</v>
      </c>
      <c r="C4" s="249" t="s">
        <v>406</v>
      </c>
      <c r="D4" s="100">
        <f t="shared" ref="D4:D8" si="0">$B$4*(1+C4)</f>
        <v>1.4300000000000002</v>
      </c>
      <c r="E4" s="100">
        <v>282051.470207987</v>
      </c>
      <c r="F4" s="100">
        <v>343460.36500505719</v>
      </c>
      <c r="G4" s="100">
        <v>409964.53234612726</v>
      </c>
      <c r="H4" s="359">
        <f t="shared" ref="H4:I8" si="1">(E4/E$6)-1</f>
        <v>0.53465227040043861</v>
      </c>
      <c r="I4" s="359">
        <f t="shared" si="1"/>
        <v>0.46602658744979863</v>
      </c>
      <c r="J4" s="359">
        <f t="shared" ref="J4:J8" si="2">(G4/G$6)-1</f>
        <v>0.41791314741185293</v>
      </c>
      <c r="K4" s="100">
        <v>0.88346776709318275</v>
      </c>
      <c r="L4" s="100">
        <v>0.88378402381149945</v>
      </c>
      <c r="M4" s="100">
        <v>0.88429879809814937</v>
      </c>
      <c r="N4" s="359">
        <f t="shared" ref="N4:N8" si="3">(K4/K$6)-1</f>
        <v>0.13588868826601153</v>
      </c>
      <c r="O4" s="359">
        <f t="shared" ref="O4:O8" si="4">(L4/L$6)-1</f>
        <v>0.1358334561633765</v>
      </c>
      <c r="P4" s="359">
        <f t="shared" ref="P4:P8" si="5">(M4/M$6)-1</f>
        <v>0.13574365026137891</v>
      </c>
      <c r="Q4" s="360">
        <v>759113.92410222325</v>
      </c>
      <c r="R4" s="360">
        <v>752570.97424404032</v>
      </c>
      <c r="S4" s="360">
        <v>751550.09772648942</v>
      </c>
      <c r="T4" s="359">
        <f t="shared" ref="T4:T8" si="6">(Q4/Q$6)-1</f>
        <v>-0.11963204640540259</v>
      </c>
      <c r="U4" s="359">
        <f t="shared" ref="U4:U8" si="7">(R4/R$6)-1</f>
        <v>-0.11958923680782862</v>
      </c>
      <c r="V4" s="361">
        <f t="shared" ref="V4:V8" si="8">(S4/S$6)-1</f>
        <v>-0.11951962067332622</v>
      </c>
    </row>
    <row r="5" spans="1:22" ht="20" customHeight="1">
      <c r="A5" s="358"/>
      <c r="B5" s="583"/>
      <c r="C5" s="249" t="s">
        <v>407</v>
      </c>
      <c r="D5" s="100">
        <f t="shared" si="0"/>
        <v>1.3650000000000002</v>
      </c>
      <c r="E5" s="100">
        <v>236699.33955823106</v>
      </c>
      <c r="F5" s="100">
        <v>293069.31904204161</v>
      </c>
      <c r="G5" s="100">
        <v>354195.82366776629</v>
      </c>
      <c r="H5" s="359">
        <f t="shared" si="1"/>
        <v>0.28788968406177551</v>
      </c>
      <c r="I5" s="359">
        <f t="shared" si="1"/>
        <v>0.25093739324219921</v>
      </c>
      <c r="J5" s="359">
        <f t="shared" si="2"/>
        <v>0.22503015629869139</v>
      </c>
      <c r="K5" s="100">
        <v>0.83468727928830488</v>
      </c>
      <c r="L5" s="100">
        <v>0.83500353600662158</v>
      </c>
      <c r="M5" s="100">
        <v>0.8355183102932715</v>
      </c>
      <c r="N5" s="359">
        <f t="shared" si="3"/>
        <v>7.3170832143237163E-2</v>
      </c>
      <c r="O5" s="359">
        <f t="shared" si="4"/>
        <v>7.3141091780279943E-2</v>
      </c>
      <c r="P5" s="359">
        <f t="shared" si="5"/>
        <v>7.3092734756127431E-2</v>
      </c>
      <c r="Q5" s="360">
        <v>803477.7816043467</v>
      </c>
      <c r="R5" s="360">
        <v>796535.79313209513</v>
      </c>
      <c r="S5" s="360">
        <v>795428.22693712707</v>
      </c>
      <c r="T5" s="359">
        <f t="shared" si="6"/>
        <v>-6.8181905388825292E-2</v>
      </c>
      <c r="U5" s="359">
        <f t="shared" si="7"/>
        <v>-6.8156081563276016E-2</v>
      </c>
      <c r="V5" s="361">
        <f t="shared" si="8"/>
        <v>-6.8114089666946209E-2</v>
      </c>
    </row>
    <row r="6" spans="1:22" ht="20" customHeight="1">
      <c r="A6" s="358"/>
      <c r="B6" s="583"/>
      <c r="C6" s="249">
        <v>0</v>
      </c>
      <c r="D6" s="100">
        <f t="shared" si="0"/>
        <v>1.3</v>
      </c>
      <c r="E6" s="100">
        <v>183788.5204668488</v>
      </c>
      <c r="F6" s="100">
        <v>234279.7654185234</v>
      </c>
      <c r="G6" s="100">
        <v>289132.33020967769</v>
      </c>
      <c r="H6" s="362">
        <f t="shared" si="1"/>
        <v>0</v>
      </c>
      <c r="I6" s="362">
        <f t="shared" si="1"/>
        <v>0</v>
      </c>
      <c r="J6" s="362">
        <f t="shared" si="2"/>
        <v>0</v>
      </c>
      <c r="K6" s="100">
        <v>0.77777671018261363</v>
      </c>
      <c r="L6" s="100">
        <v>0.77809296690093033</v>
      </c>
      <c r="M6" s="100">
        <v>0.77860774118758025</v>
      </c>
      <c r="N6" s="362">
        <f t="shared" si="3"/>
        <v>0</v>
      </c>
      <c r="O6" s="362">
        <f t="shared" si="4"/>
        <v>0</v>
      </c>
      <c r="P6" s="362">
        <f t="shared" si="5"/>
        <v>0</v>
      </c>
      <c r="Q6" s="360">
        <v>862268.91949293891</v>
      </c>
      <c r="R6" s="360">
        <v>854795.29068384774</v>
      </c>
      <c r="S6" s="360">
        <v>853568.25134617917</v>
      </c>
      <c r="T6" s="362">
        <f t="shared" si="6"/>
        <v>0</v>
      </c>
      <c r="U6" s="362">
        <f t="shared" si="7"/>
        <v>0</v>
      </c>
      <c r="V6" s="363">
        <f t="shared" si="8"/>
        <v>0</v>
      </c>
    </row>
    <row r="7" spans="1:22" s="239" customFormat="1" ht="20" customHeight="1">
      <c r="A7" s="358"/>
      <c r="B7" s="583"/>
      <c r="C7" s="249" t="s">
        <v>408</v>
      </c>
      <c r="D7" s="100">
        <f t="shared" si="0"/>
        <v>1.2349999999999999</v>
      </c>
      <c r="E7" s="100">
        <v>138436.38981709245</v>
      </c>
      <c r="F7" s="100">
        <v>183888.71945550779</v>
      </c>
      <c r="G7" s="100">
        <v>233363.62153131622</v>
      </c>
      <c r="H7" s="359">
        <f t="shared" si="1"/>
        <v>-0.24676258633866544</v>
      </c>
      <c r="I7" s="359">
        <f t="shared" si="1"/>
        <v>-0.21508919420759942</v>
      </c>
      <c r="J7" s="359">
        <f t="shared" si="2"/>
        <v>-0.19288299111316332</v>
      </c>
      <c r="K7" s="100">
        <v>0.72899622237773554</v>
      </c>
      <c r="L7" s="100">
        <v>0.72931247909605224</v>
      </c>
      <c r="M7" s="100">
        <v>0.72982725338270216</v>
      </c>
      <c r="N7" s="359">
        <f t="shared" si="3"/>
        <v>-6.2717856122774585E-2</v>
      </c>
      <c r="O7" s="359">
        <f t="shared" si="4"/>
        <v>-6.2692364383096888E-2</v>
      </c>
      <c r="P7" s="359">
        <f t="shared" si="5"/>
        <v>-6.2650915505251814E-2</v>
      </c>
      <c r="Q7" s="360">
        <v>919967.2960012001</v>
      </c>
      <c r="R7" s="360">
        <v>911968.76905974571</v>
      </c>
      <c r="S7" s="360">
        <v>910619.38979358075</v>
      </c>
      <c r="T7" s="359">
        <f t="shared" si="6"/>
        <v>6.6914596135728699E-2</v>
      </c>
      <c r="U7" s="359">
        <f t="shared" si="7"/>
        <v>6.688557950542573E-2</v>
      </c>
      <c r="V7" s="361">
        <f t="shared" si="8"/>
        <v>6.68384026203237E-2</v>
      </c>
    </row>
    <row r="8" spans="1:22" ht="20" customHeight="1" thickBot="1">
      <c r="A8" s="358"/>
      <c r="B8" s="584"/>
      <c r="C8" s="250" t="s">
        <v>409</v>
      </c>
      <c r="D8" s="355">
        <f t="shared" si="0"/>
        <v>1.1700000000000002</v>
      </c>
      <c r="E8" s="355">
        <v>85525.570725710291</v>
      </c>
      <c r="F8" s="355">
        <v>125099.16583198962</v>
      </c>
      <c r="G8" s="355">
        <v>168300.12807322809</v>
      </c>
      <c r="H8" s="364">
        <f t="shared" si="1"/>
        <v>-0.53465227040044039</v>
      </c>
      <c r="I8" s="364">
        <f t="shared" si="1"/>
        <v>-0.46602658744979852</v>
      </c>
      <c r="J8" s="364">
        <f t="shared" si="2"/>
        <v>-0.41791314741185304</v>
      </c>
      <c r="K8" s="355">
        <v>0.6720856532720445</v>
      </c>
      <c r="L8" s="355">
        <v>0.6724019099903612</v>
      </c>
      <c r="M8" s="355">
        <v>0.67291668427701112</v>
      </c>
      <c r="N8" s="364">
        <f t="shared" si="3"/>
        <v>-0.13588868826601141</v>
      </c>
      <c r="O8" s="364">
        <f t="shared" si="4"/>
        <v>-0.13583345616337661</v>
      </c>
      <c r="P8" s="364">
        <f t="shared" si="5"/>
        <v>-0.13574365026137891</v>
      </c>
      <c r="Q8" s="365">
        <v>997867.87626081111</v>
      </c>
      <c r="R8" s="365">
        <v>989155.73251520435</v>
      </c>
      <c r="S8" s="365">
        <v>987633.18499693484</v>
      </c>
      <c r="T8" s="364">
        <f t="shared" si="6"/>
        <v>0.157258314317547</v>
      </c>
      <c r="U8" s="364">
        <f t="shared" si="7"/>
        <v>0.15718434962816241</v>
      </c>
      <c r="V8" s="366">
        <f t="shared" si="8"/>
        <v>0.15706410523038938</v>
      </c>
    </row>
    <row r="9" spans="1:22">
      <c r="B9" s="245"/>
    </row>
    <row r="10" spans="1:22" ht="16" thickBot="1">
      <c r="A10" s="358"/>
      <c r="B10" s="367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</row>
    <row r="11" spans="1:22">
      <c r="A11" s="358"/>
      <c r="B11" s="577" t="s">
        <v>415</v>
      </c>
      <c r="C11" s="578"/>
      <c r="D11" s="581" t="s">
        <v>416</v>
      </c>
      <c r="E11" s="581"/>
      <c r="F11" s="581"/>
      <c r="G11" s="581" t="s">
        <v>411</v>
      </c>
      <c r="H11" s="581"/>
      <c r="I11" s="581"/>
      <c r="J11" s="581" t="s">
        <v>412</v>
      </c>
      <c r="K11" s="581"/>
      <c r="L11" s="582"/>
      <c r="M11" s="358"/>
      <c r="N11" s="358"/>
    </row>
    <row r="12" spans="1:22">
      <c r="A12" s="358"/>
      <c r="B12" s="579"/>
      <c r="C12" s="580"/>
      <c r="D12" s="242" t="s">
        <v>20</v>
      </c>
      <c r="E12" s="242" t="s">
        <v>21</v>
      </c>
      <c r="F12" s="242" t="s">
        <v>22</v>
      </c>
      <c r="G12" s="242" t="s">
        <v>20</v>
      </c>
      <c r="H12" s="242" t="s">
        <v>21</v>
      </c>
      <c r="I12" s="242" t="s">
        <v>22</v>
      </c>
      <c r="J12" s="242" t="s">
        <v>20</v>
      </c>
      <c r="K12" s="242" t="s">
        <v>21</v>
      </c>
      <c r="L12" s="41" t="s">
        <v>22</v>
      </c>
      <c r="M12" s="358"/>
      <c r="N12" s="358"/>
    </row>
    <row r="13" spans="1:22" ht="20" customHeight="1">
      <c r="A13" s="358"/>
      <c r="B13" s="516" t="s">
        <v>417</v>
      </c>
      <c r="C13" s="249" t="s">
        <v>406</v>
      </c>
      <c r="D13" s="360">
        <f>D15*(1+$C$13)</f>
        <v>1099340</v>
      </c>
      <c r="E13" s="360">
        <f t="shared" ref="E13:F13" si="9">E15*(1+$C$13)</f>
        <v>1154307</v>
      </c>
      <c r="F13" s="360">
        <f t="shared" si="9"/>
        <v>1209274</v>
      </c>
      <c r="G13" s="100">
        <v>269909.674938393</v>
      </c>
      <c r="H13" s="100">
        <v>325206.97761364502</v>
      </c>
      <c r="I13" s="100">
        <v>384865.60012837697</v>
      </c>
      <c r="J13" s="359">
        <f t="shared" ref="J13:J14" si="10">(G13/G$15)-1</f>
        <v>0.46858832234344283</v>
      </c>
      <c r="K13" s="359">
        <f t="shared" ref="K13:L17" si="11">(H13/H$15)-1</f>
        <v>0.38811380928560735</v>
      </c>
      <c r="L13" s="361">
        <f t="shared" si="11"/>
        <v>0.33110537949621155</v>
      </c>
      <c r="M13" s="358"/>
      <c r="N13" s="358"/>
    </row>
    <row r="14" spans="1:22" ht="20" customHeight="1">
      <c r="A14" s="358"/>
      <c r="B14" s="516"/>
      <c r="C14" s="249" t="s">
        <v>407</v>
      </c>
      <c r="D14" s="360">
        <f>D15*(1+$C$14)</f>
        <v>1049370</v>
      </c>
      <c r="E14" s="360">
        <f t="shared" ref="E14:F14" si="12">E15*(1+$C$14)</f>
        <v>1101838.5</v>
      </c>
      <c r="F14" s="360">
        <f t="shared" si="12"/>
        <v>1154307</v>
      </c>
      <c r="G14" s="100">
        <v>221849.09770262099</v>
      </c>
      <c r="H14" s="100">
        <v>274743.37151608401</v>
      </c>
      <c r="I14" s="100">
        <v>331998.96516902698</v>
      </c>
      <c r="J14" s="359">
        <f t="shared" si="10"/>
        <v>0.20708897998140996</v>
      </c>
      <c r="K14" s="359">
        <f t="shared" si="11"/>
        <v>0.17271489932250605</v>
      </c>
      <c r="L14" s="361">
        <f t="shared" si="11"/>
        <v>0.1482595700323881</v>
      </c>
      <c r="M14" s="358"/>
      <c r="N14" s="358"/>
    </row>
    <row r="15" spans="1:22" ht="20" customHeight="1">
      <c r="A15" s="358"/>
      <c r="B15" s="516"/>
      <c r="C15" s="249">
        <v>0</v>
      </c>
      <c r="D15" s="360">
        <v>999400</v>
      </c>
      <c r="E15" s="360">
        <v>1049370</v>
      </c>
      <c r="F15" s="360">
        <v>1099340</v>
      </c>
      <c r="G15" s="100">
        <v>183788.5204668488</v>
      </c>
      <c r="H15" s="100">
        <v>234279.7654185234</v>
      </c>
      <c r="I15" s="100">
        <v>289132.33020967769</v>
      </c>
      <c r="J15" s="362">
        <f>(G15/G$15)-1</f>
        <v>0</v>
      </c>
      <c r="K15" s="362">
        <f t="shared" si="11"/>
        <v>0</v>
      </c>
      <c r="L15" s="363">
        <f t="shared" si="11"/>
        <v>0</v>
      </c>
      <c r="M15" s="358"/>
      <c r="N15" s="358"/>
    </row>
    <row r="16" spans="1:22" ht="20" customHeight="1">
      <c r="A16" s="358"/>
      <c r="B16" s="516"/>
      <c r="C16" s="249" t="s">
        <v>408</v>
      </c>
      <c r="D16" s="360">
        <f>D15*(1+$C$16)</f>
        <v>949430</v>
      </c>
      <c r="E16" s="360">
        <f t="shared" ref="E16:F16" si="13">E15*(1+$C$16)</f>
        <v>996901.5</v>
      </c>
      <c r="F16" s="360">
        <f t="shared" si="13"/>
        <v>1044373</v>
      </c>
      <c r="G16" s="100">
        <v>145727.943231076</v>
      </c>
      <c r="H16" s="100">
        <v>193816.159320962</v>
      </c>
      <c r="I16" s="100">
        <v>246265.69525032799</v>
      </c>
      <c r="J16" s="359">
        <f t="shared" ref="J16:J17" si="14">(G16/G$15)-1</f>
        <v>-0.20708897998141318</v>
      </c>
      <c r="K16" s="359">
        <f t="shared" si="11"/>
        <v>-0.17271489932250939</v>
      </c>
      <c r="L16" s="361">
        <f t="shared" si="11"/>
        <v>-0.14825957003238954</v>
      </c>
      <c r="M16" s="358"/>
      <c r="N16" s="358"/>
    </row>
    <row r="17" spans="1:14" ht="20" customHeight="1" thickBot="1">
      <c r="A17" s="358"/>
      <c r="B17" s="576"/>
      <c r="C17" s="250" t="s">
        <v>409</v>
      </c>
      <c r="D17" s="365">
        <f>D15*(1+$C$17)</f>
        <v>899460</v>
      </c>
      <c r="E17" s="365">
        <f t="shared" ref="E17:F17" si="15">E15*(1+$C$17)</f>
        <v>944433</v>
      </c>
      <c r="F17" s="365">
        <f t="shared" si="15"/>
        <v>989406</v>
      </c>
      <c r="G17" s="355">
        <v>97667.365995304004</v>
      </c>
      <c r="H17" s="355">
        <v>143352.55322340099</v>
      </c>
      <c r="I17" s="355">
        <v>193399.06029097899</v>
      </c>
      <c r="J17" s="364">
        <f t="shared" si="14"/>
        <v>-0.46858832234344616</v>
      </c>
      <c r="K17" s="364">
        <f t="shared" si="11"/>
        <v>-0.38811380928561068</v>
      </c>
      <c r="L17" s="366">
        <f t="shared" si="11"/>
        <v>-0.33110537949620955</v>
      </c>
      <c r="M17" s="358"/>
      <c r="N17" s="358"/>
    </row>
    <row r="18" spans="1:14">
      <c r="A18" s="358"/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</row>
    <row r="22" spans="1:14">
      <c r="C22" s="28"/>
    </row>
    <row r="23" spans="1:14">
      <c r="C23" s="28"/>
      <c r="D23" s="28"/>
    </row>
    <row r="24" spans="1:14">
      <c r="C24" s="28"/>
    </row>
  </sheetData>
  <mergeCells count="13">
    <mergeCell ref="T2:V2"/>
    <mergeCell ref="B4:B8"/>
    <mergeCell ref="B2:D2"/>
    <mergeCell ref="E2:G2"/>
    <mergeCell ref="H2:J2"/>
    <mergeCell ref="K2:M2"/>
    <mergeCell ref="N2:P2"/>
    <mergeCell ref="Q2:S2"/>
    <mergeCell ref="B13:B17"/>
    <mergeCell ref="B11:C12"/>
    <mergeCell ref="D11:F11"/>
    <mergeCell ref="G11:I11"/>
    <mergeCell ref="J11:L11"/>
  </mergeCells>
  <pageMargins left="0.7" right="0.7" top="0.75" bottom="0.75" header="0.3" footer="0.3"/>
  <ignoredErrors>
    <ignoredError sqref="C7:C8 C4:C5 C13: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A193-0E89-43BC-9B99-FB1E28102E46}">
  <dimension ref="B1:O49"/>
  <sheetViews>
    <sheetView showGridLines="0" tabSelected="1" zoomScale="75" zoomScaleNormal="55" workbookViewId="0">
      <selection activeCell="K36" sqref="K36:N36"/>
    </sheetView>
  </sheetViews>
  <sheetFormatPr baseColWidth="10" defaultColWidth="8.83203125" defaultRowHeight="15"/>
  <cols>
    <col min="2" max="2" width="43.33203125" customWidth="1"/>
    <col min="3" max="3" width="18" customWidth="1"/>
    <col min="4" max="4" width="12.83203125" customWidth="1"/>
    <col min="5" max="5" width="14.5" customWidth="1"/>
    <col min="6" max="6" width="12.33203125" customWidth="1"/>
    <col min="7" max="7" width="21.83203125" customWidth="1"/>
    <col min="8" max="8" width="20.1640625" customWidth="1"/>
    <col min="9" max="9" width="36.5" customWidth="1"/>
    <col min="10" max="10" width="32.1640625" customWidth="1"/>
    <col min="11" max="11" width="23" customWidth="1"/>
    <col min="12" max="12" width="13.33203125" customWidth="1"/>
    <col min="13" max="13" width="17.1640625" customWidth="1"/>
    <col min="14" max="14" width="17.33203125" customWidth="1"/>
    <col min="15" max="15" width="17" customWidth="1"/>
    <col min="16" max="16" width="13" customWidth="1"/>
  </cols>
  <sheetData>
    <row r="1" spans="2:14" ht="16" thickBot="1"/>
    <row r="2" spans="2:14">
      <c r="B2" s="413" t="s">
        <v>37</v>
      </c>
      <c r="C2" s="415" t="s">
        <v>38</v>
      </c>
      <c r="D2" s="411" t="s">
        <v>39</v>
      </c>
      <c r="E2" s="411"/>
      <c r="F2" s="411" t="s">
        <v>40</v>
      </c>
      <c r="G2" s="412"/>
      <c r="I2" s="413" t="s">
        <v>41</v>
      </c>
      <c r="J2" s="411" t="s">
        <v>42</v>
      </c>
      <c r="K2" s="411" t="s">
        <v>40</v>
      </c>
      <c r="L2" s="412"/>
    </row>
    <row r="3" spans="2:14">
      <c r="B3" s="414"/>
      <c r="C3" s="416"/>
      <c r="D3" s="194" t="s">
        <v>43</v>
      </c>
      <c r="E3" s="195" t="s">
        <v>44</v>
      </c>
      <c r="F3" s="194" t="s">
        <v>45</v>
      </c>
      <c r="G3" s="196" t="s">
        <v>46</v>
      </c>
      <c r="I3" s="414"/>
      <c r="J3" s="417"/>
      <c r="K3" s="200" t="s">
        <v>45</v>
      </c>
      <c r="L3" s="201" t="s">
        <v>46</v>
      </c>
    </row>
    <row r="4" spans="2:14">
      <c r="B4" s="192" t="s">
        <v>47</v>
      </c>
      <c r="C4" s="175">
        <v>4</v>
      </c>
      <c r="D4" s="16">
        <v>40</v>
      </c>
      <c r="E4" s="16">
        <f>D4*13</f>
        <v>520</v>
      </c>
      <c r="F4" s="175">
        <f>D4*$C$4</f>
        <v>160</v>
      </c>
      <c r="G4" s="175">
        <f>E4*$C$4</f>
        <v>2080</v>
      </c>
      <c r="I4" s="197" t="s">
        <v>47</v>
      </c>
      <c r="J4" s="16">
        <v>3</v>
      </c>
      <c r="K4" s="175">
        <f>F4*$J4</f>
        <v>480</v>
      </c>
      <c r="L4" s="175">
        <f>G4*$J4</f>
        <v>6240</v>
      </c>
    </row>
    <row r="5" spans="2:14">
      <c r="B5" s="192" t="s">
        <v>48</v>
      </c>
      <c r="C5" s="175">
        <v>4</v>
      </c>
      <c r="D5" s="16">
        <v>20</v>
      </c>
      <c r="E5" s="16">
        <f>D5*13</f>
        <v>260</v>
      </c>
      <c r="F5" s="175">
        <f>D5*$C5</f>
        <v>80</v>
      </c>
      <c r="G5" s="175">
        <f>E5*$C$5</f>
        <v>1040</v>
      </c>
      <c r="I5" s="159" t="s">
        <v>48</v>
      </c>
      <c r="J5" s="16">
        <v>2</v>
      </c>
      <c r="K5" s="175">
        <f>F5*$J5</f>
        <v>160</v>
      </c>
      <c r="L5" s="175">
        <f>G5*$J5</f>
        <v>2080</v>
      </c>
    </row>
    <row r="6" spans="2:14">
      <c r="B6" s="192" t="s">
        <v>49</v>
      </c>
      <c r="C6" s="175">
        <v>6</v>
      </c>
      <c r="D6" s="16">
        <v>20</v>
      </c>
      <c r="E6" s="16">
        <f t="shared" ref="E6:E10" si="0">D6*13</f>
        <v>260</v>
      </c>
      <c r="F6" s="175">
        <f t="shared" ref="F6:G10" si="1">D6*$C6</f>
        <v>120</v>
      </c>
      <c r="G6" s="175">
        <f t="shared" si="1"/>
        <v>1560</v>
      </c>
      <c r="I6" s="159" t="s">
        <v>49</v>
      </c>
      <c r="J6" s="16">
        <v>1</v>
      </c>
      <c r="K6" s="175">
        <f t="shared" ref="K6:L10" si="2">F6*$J6</f>
        <v>120</v>
      </c>
      <c r="L6" s="175">
        <f t="shared" si="2"/>
        <v>1560</v>
      </c>
    </row>
    <row r="7" spans="2:14">
      <c r="B7" s="192" t="s">
        <v>50</v>
      </c>
      <c r="C7" s="175">
        <v>15</v>
      </c>
      <c r="D7" s="16">
        <v>35</v>
      </c>
      <c r="E7" s="16">
        <f t="shared" si="0"/>
        <v>455</v>
      </c>
      <c r="F7" s="175">
        <f t="shared" si="1"/>
        <v>525</v>
      </c>
      <c r="G7" s="175">
        <f t="shared" si="1"/>
        <v>6825</v>
      </c>
      <c r="I7" s="159" t="s">
        <v>50</v>
      </c>
      <c r="J7" s="16">
        <v>2</v>
      </c>
      <c r="K7" s="175">
        <f t="shared" si="2"/>
        <v>1050</v>
      </c>
      <c r="L7" s="175">
        <f t="shared" si="2"/>
        <v>13650</v>
      </c>
    </row>
    <row r="8" spans="2:14">
      <c r="B8" s="192" t="s">
        <v>51</v>
      </c>
      <c r="C8" s="175">
        <v>10</v>
      </c>
      <c r="D8" s="16">
        <v>35</v>
      </c>
      <c r="E8" s="16">
        <f t="shared" si="0"/>
        <v>455</v>
      </c>
      <c r="F8" s="175">
        <f t="shared" si="1"/>
        <v>350</v>
      </c>
      <c r="G8" s="175">
        <f t="shared" si="1"/>
        <v>4550</v>
      </c>
      <c r="I8" s="159" t="s">
        <v>51</v>
      </c>
      <c r="J8" s="16">
        <v>1</v>
      </c>
      <c r="K8" s="175">
        <f t="shared" si="2"/>
        <v>350</v>
      </c>
      <c r="L8" s="175">
        <f t="shared" si="2"/>
        <v>4550</v>
      </c>
    </row>
    <row r="9" spans="2:14">
      <c r="B9" s="192" t="s">
        <v>52</v>
      </c>
      <c r="C9" s="175">
        <v>10</v>
      </c>
      <c r="D9" s="16">
        <v>35</v>
      </c>
      <c r="E9" s="16">
        <f t="shared" si="0"/>
        <v>455</v>
      </c>
      <c r="F9" s="175">
        <f t="shared" si="1"/>
        <v>350</v>
      </c>
      <c r="G9" s="175">
        <f t="shared" si="1"/>
        <v>4550</v>
      </c>
      <c r="I9" s="159" t="s">
        <v>52</v>
      </c>
      <c r="J9" s="16">
        <v>2</v>
      </c>
      <c r="K9" s="175">
        <f t="shared" si="2"/>
        <v>700</v>
      </c>
      <c r="L9" s="175">
        <f t="shared" si="2"/>
        <v>9100</v>
      </c>
    </row>
    <row r="10" spans="2:14" ht="16" thickBot="1">
      <c r="B10" s="193" t="s">
        <v>53</v>
      </c>
      <c r="C10" s="175">
        <v>15</v>
      </c>
      <c r="D10" s="16">
        <v>35</v>
      </c>
      <c r="E10" s="16">
        <f t="shared" si="0"/>
        <v>455</v>
      </c>
      <c r="F10" s="175">
        <f t="shared" si="1"/>
        <v>525</v>
      </c>
      <c r="G10" s="175">
        <f t="shared" si="1"/>
        <v>6825</v>
      </c>
      <c r="I10" s="198" t="s">
        <v>53</v>
      </c>
      <c r="J10" s="16">
        <v>2</v>
      </c>
      <c r="K10" s="175">
        <f t="shared" si="2"/>
        <v>1050</v>
      </c>
      <c r="L10" s="175">
        <f t="shared" si="2"/>
        <v>13650</v>
      </c>
    </row>
    <row r="11" spans="2:14" ht="16" thickBot="1">
      <c r="I11" s="199" t="s">
        <v>10</v>
      </c>
      <c r="J11" s="16">
        <f>SUM(J4:J10)</f>
        <v>13</v>
      </c>
      <c r="K11" s="174">
        <f t="shared" ref="K11:L11" si="3">SUM(K4:K10)</f>
        <v>3910</v>
      </c>
      <c r="L11" s="174">
        <f t="shared" si="3"/>
        <v>50830</v>
      </c>
    </row>
    <row r="12" spans="2:14">
      <c r="B12" s="190" t="s">
        <v>54</v>
      </c>
      <c r="C12" s="204">
        <v>0.23749999999999999</v>
      </c>
    </row>
    <row r="13" spans="2:14">
      <c r="B13" s="190" t="s">
        <v>55</v>
      </c>
      <c r="C13" s="205">
        <v>0.11</v>
      </c>
      <c r="I13" s="160" t="s">
        <v>67</v>
      </c>
      <c r="J13" s="10">
        <v>4.7699999999999996</v>
      </c>
    </row>
    <row r="14" spans="2:14" ht="16">
      <c r="B14" s="191" t="s">
        <v>61</v>
      </c>
      <c r="C14" s="206">
        <v>0.104</v>
      </c>
      <c r="M14" s="19"/>
      <c r="N14" s="19"/>
    </row>
    <row r="15" spans="2:14" ht="16" thickBot="1">
      <c r="M15" s="19"/>
      <c r="N15" s="19"/>
    </row>
    <row r="16" spans="2:14" ht="16">
      <c r="B16" s="413" t="s">
        <v>123</v>
      </c>
      <c r="C16" s="33" t="s">
        <v>56</v>
      </c>
      <c r="D16" s="411" t="s">
        <v>57</v>
      </c>
      <c r="E16" s="411"/>
      <c r="F16" s="411" t="s">
        <v>58</v>
      </c>
      <c r="G16" s="411"/>
      <c r="H16" s="33" t="s">
        <v>63</v>
      </c>
      <c r="I16" s="33" t="s">
        <v>64</v>
      </c>
      <c r="J16" s="33" t="s">
        <v>65</v>
      </c>
      <c r="K16" s="33" t="s">
        <v>68</v>
      </c>
      <c r="L16" s="33" t="s">
        <v>62</v>
      </c>
      <c r="M16" s="34" t="s">
        <v>122</v>
      </c>
      <c r="N16" s="22"/>
    </row>
    <row r="17" spans="2:15" ht="16">
      <c r="B17" s="414"/>
      <c r="C17" s="35" t="s">
        <v>59</v>
      </c>
      <c r="D17" s="35" t="s">
        <v>60</v>
      </c>
      <c r="E17" s="35" t="s">
        <v>61</v>
      </c>
      <c r="F17" s="35" t="s">
        <v>60</v>
      </c>
      <c r="G17" s="35" t="s">
        <v>61</v>
      </c>
      <c r="H17" s="35" t="s">
        <v>60</v>
      </c>
      <c r="I17" s="35" t="s">
        <v>60</v>
      </c>
      <c r="J17" s="35" t="s">
        <v>66</v>
      </c>
      <c r="K17" s="35" t="s">
        <v>66</v>
      </c>
      <c r="L17" s="35" t="s">
        <v>66</v>
      </c>
      <c r="M17" s="41" t="s">
        <v>66</v>
      </c>
      <c r="N17" s="22"/>
    </row>
    <row r="18" spans="2:15">
      <c r="B18" s="20" t="s">
        <v>153</v>
      </c>
      <c r="C18" s="214">
        <f t="shared" ref="C18:C25" si="4">L4/3</f>
        <v>2080</v>
      </c>
      <c r="D18" s="42">
        <v>0.11</v>
      </c>
      <c r="E18" s="43">
        <v>0</v>
      </c>
      <c r="F18" s="214">
        <f>C18*D18</f>
        <v>228.8</v>
      </c>
      <c r="G18" s="214">
        <f>C18*E18</f>
        <v>0</v>
      </c>
      <c r="H18" s="43">
        <v>0.23749999999999999</v>
      </c>
      <c r="I18" s="214">
        <f>C18*H18</f>
        <v>494</v>
      </c>
      <c r="J18" s="214">
        <f>$J$13*24</f>
        <v>114.47999999999999</v>
      </c>
      <c r="K18" s="216">
        <f>C18-F18-G18+J18</f>
        <v>1965.68</v>
      </c>
      <c r="L18" s="217">
        <f>F18+G18+I18</f>
        <v>722.8</v>
      </c>
      <c r="M18" s="218">
        <f>C18+I18+J18</f>
        <v>2688.48</v>
      </c>
    </row>
    <row r="19" spans="2:15">
      <c r="B19" s="20" t="s">
        <v>154</v>
      </c>
      <c r="C19" s="214">
        <f t="shared" si="4"/>
        <v>693.33333333333337</v>
      </c>
      <c r="D19" s="42">
        <v>0.11</v>
      </c>
      <c r="E19" s="43">
        <v>0</v>
      </c>
      <c r="F19" s="214">
        <f t="shared" ref="F19:F24" si="5">C19*D19</f>
        <v>76.266666666666666</v>
      </c>
      <c r="G19" s="214">
        <f t="shared" ref="G19:G24" si="6">C19*E19</f>
        <v>0</v>
      </c>
      <c r="H19" s="43">
        <v>0.23749999999999999</v>
      </c>
      <c r="I19" s="214">
        <f t="shared" ref="I19:I24" si="7">C19*H19</f>
        <v>164.66666666666666</v>
      </c>
      <c r="J19" s="214">
        <f>($J$13/2)*24</f>
        <v>57.239999999999995</v>
      </c>
      <c r="K19" s="216">
        <f t="shared" ref="K19:K23" si="8">C19-F19-G19+J19</f>
        <v>674.30666666666673</v>
      </c>
      <c r="L19" s="217">
        <f t="shared" ref="L19:L24" si="9">F19+G19+I19</f>
        <v>240.93333333333334</v>
      </c>
      <c r="M19" s="218">
        <f t="shared" ref="M19:M24" si="10">C19+I19+J19</f>
        <v>915.24</v>
      </c>
    </row>
    <row r="20" spans="2:15">
      <c r="B20" s="20" t="s">
        <v>155</v>
      </c>
      <c r="C20" s="214">
        <f t="shared" si="4"/>
        <v>520</v>
      </c>
      <c r="D20" s="42">
        <v>0.11</v>
      </c>
      <c r="E20" s="43">
        <v>0</v>
      </c>
      <c r="F20" s="214">
        <f t="shared" si="5"/>
        <v>57.2</v>
      </c>
      <c r="G20" s="214">
        <f t="shared" si="6"/>
        <v>0</v>
      </c>
      <c r="H20" s="43">
        <v>0.23749999999999999</v>
      </c>
      <c r="I20" s="214">
        <f t="shared" si="7"/>
        <v>123.5</v>
      </c>
      <c r="J20" s="214">
        <f>($J$13/(40/35))*24</f>
        <v>100.17</v>
      </c>
      <c r="K20" s="216">
        <f t="shared" si="8"/>
        <v>562.97</v>
      </c>
      <c r="L20" s="217">
        <f t="shared" si="9"/>
        <v>180.7</v>
      </c>
      <c r="M20" s="218">
        <f t="shared" si="10"/>
        <v>743.67</v>
      </c>
    </row>
    <row r="21" spans="2:15">
      <c r="B21" s="20" t="s">
        <v>156</v>
      </c>
      <c r="C21" s="214">
        <f t="shared" si="4"/>
        <v>4550</v>
      </c>
      <c r="D21" s="42">
        <v>0.11</v>
      </c>
      <c r="E21" s="43">
        <v>0.16600000000000001</v>
      </c>
      <c r="F21" s="214">
        <f t="shared" si="5"/>
        <v>500.5</v>
      </c>
      <c r="G21" s="214">
        <f>C21*E21</f>
        <v>755.30000000000007</v>
      </c>
      <c r="H21" s="43">
        <v>0.23749999999999999</v>
      </c>
      <c r="I21" s="214">
        <f t="shared" si="7"/>
        <v>1080.625</v>
      </c>
      <c r="J21" s="214">
        <f t="shared" ref="J21:J24" si="11">($J$13/(40/35))*24</f>
        <v>100.17</v>
      </c>
      <c r="K21" s="216">
        <f t="shared" si="8"/>
        <v>3394.37</v>
      </c>
      <c r="L21" s="217">
        <f t="shared" si="9"/>
        <v>2336.4250000000002</v>
      </c>
      <c r="M21" s="218">
        <f t="shared" si="10"/>
        <v>5730.7950000000001</v>
      </c>
    </row>
    <row r="22" spans="2:15">
      <c r="B22" s="20" t="s">
        <v>157</v>
      </c>
      <c r="C22" s="214">
        <f t="shared" si="4"/>
        <v>1516.6666666666667</v>
      </c>
      <c r="D22" s="42">
        <v>0.11</v>
      </c>
      <c r="E22" s="43">
        <v>0.10199999999999999</v>
      </c>
      <c r="F22" s="214">
        <f t="shared" si="5"/>
        <v>166.83333333333334</v>
      </c>
      <c r="G22" s="214">
        <f t="shared" si="6"/>
        <v>154.69999999999999</v>
      </c>
      <c r="H22" s="43">
        <v>0.23749999999999999</v>
      </c>
      <c r="I22" s="214">
        <f t="shared" si="7"/>
        <v>360.20833333333331</v>
      </c>
      <c r="J22" s="214">
        <f t="shared" si="11"/>
        <v>100.17</v>
      </c>
      <c r="K22" s="216">
        <f t="shared" si="8"/>
        <v>1295.3033333333335</v>
      </c>
      <c r="L22" s="217">
        <f t="shared" si="9"/>
        <v>681.74166666666656</v>
      </c>
      <c r="M22" s="218">
        <f t="shared" si="10"/>
        <v>1977.0450000000001</v>
      </c>
    </row>
    <row r="23" spans="2:15">
      <c r="B23" s="20" t="s">
        <v>158</v>
      </c>
      <c r="C23" s="214">
        <f t="shared" si="4"/>
        <v>3033.3333333333335</v>
      </c>
      <c r="D23" s="42">
        <v>0.11</v>
      </c>
      <c r="E23" s="43">
        <v>0.10199999999999999</v>
      </c>
      <c r="F23" s="214">
        <f t="shared" si="5"/>
        <v>333.66666666666669</v>
      </c>
      <c r="G23" s="214">
        <f t="shared" si="6"/>
        <v>309.39999999999998</v>
      </c>
      <c r="H23" s="43">
        <v>0.23749999999999999</v>
      </c>
      <c r="I23" s="214">
        <f t="shared" si="7"/>
        <v>720.41666666666663</v>
      </c>
      <c r="J23" s="214">
        <f t="shared" si="11"/>
        <v>100.17</v>
      </c>
      <c r="K23" s="216">
        <f t="shared" si="8"/>
        <v>2490.436666666667</v>
      </c>
      <c r="L23" s="217">
        <f t="shared" si="9"/>
        <v>1363.4833333333331</v>
      </c>
      <c r="M23" s="218">
        <f t="shared" si="10"/>
        <v>3853.92</v>
      </c>
    </row>
    <row r="24" spans="2:15">
      <c r="B24" s="20" t="s">
        <v>159</v>
      </c>
      <c r="C24" s="214">
        <f t="shared" si="4"/>
        <v>4550</v>
      </c>
      <c r="D24" s="42">
        <v>0.11</v>
      </c>
      <c r="E24" s="43">
        <v>0.16600000000000001</v>
      </c>
      <c r="F24" s="214">
        <f t="shared" si="5"/>
        <v>500.5</v>
      </c>
      <c r="G24" s="214">
        <f t="shared" si="6"/>
        <v>755.30000000000007</v>
      </c>
      <c r="H24" s="43">
        <v>0.23749999999999999</v>
      </c>
      <c r="I24" s="214">
        <f t="shared" si="7"/>
        <v>1080.625</v>
      </c>
      <c r="J24" s="214">
        <f t="shared" si="11"/>
        <v>100.17</v>
      </c>
      <c r="K24" s="216">
        <f>C24-F24-G24+J24</f>
        <v>3394.37</v>
      </c>
      <c r="L24" s="217">
        <f t="shared" si="9"/>
        <v>2336.4250000000002</v>
      </c>
      <c r="M24" s="218">
        <f t="shared" si="10"/>
        <v>5730.7950000000001</v>
      </c>
    </row>
    <row r="25" spans="2:15" ht="16" thickBot="1">
      <c r="B25" s="44" t="s">
        <v>10</v>
      </c>
      <c r="C25" s="215">
        <f t="shared" si="4"/>
        <v>16943.333333333332</v>
      </c>
      <c r="D25" s="45"/>
      <c r="E25" s="45"/>
      <c r="F25" s="215">
        <f>SUM(F18:F24)</f>
        <v>1863.7666666666667</v>
      </c>
      <c r="G25" s="215">
        <f>SUM(G18:G24)</f>
        <v>1974.7000000000003</v>
      </c>
      <c r="H25" s="45"/>
      <c r="I25" s="215">
        <f>SUM(I18:I24)</f>
        <v>4024.0416666666665</v>
      </c>
      <c r="J25" s="219">
        <f>SUM(J18:J24)</f>
        <v>672.56999999999994</v>
      </c>
      <c r="K25" s="219">
        <f>SUM(K18:K24)</f>
        <v>13777.436666666668</v>
      </c>
      <c r="L25" s="219">
        <f>SUM(L18:L24)</f>
        <v>7862.5083333333341</v>
      </c>
      <c r="M25" s="220">
        <f>SUM(M18:M24)</f>
        <v>21639.945</v>
      </c>
    </row>
    <row r="29" spans="2:15">
      <c r="B29" s="39" t="s">
        <v>117</v>
      </c>
      <c r="C29" s="37" t="s">
        <v>6</v>
      </c>
      <c r="D29" s="37" t="s">
        <v>7</v>
      </c>
      <c r="E29" s="37" t="s">
        <v>8</v>
      </c>
      <c r="F29" s="37" t="s">
        <v>9</v>
      </c>
      <c r="G29" s="37" t="s">
        <v>116</v>
      </c>
      <c r="H29" s="230"/>
      <c r="I29" s="37" t="s">
        <v>396</v>
      </c>
      <c r="J29" s="10">
        <f>(E31+F31+E33+F33+E35+F35+E37+F37+E39+F39+E41+F41+E43+F43)</f>
        <v>26209.733333333334</v>
      </c>
      <c r="K29" s="225"/>
      <c r="L29" s="230"/>
      <c r="M29" s="230"/>
      <c r="N29" s="230"/>
      <c r="O29" s="230"/>
    </row>
    <row r="30" spans="2:15">
      <c r="B30" s="228" t="s">
        <v>153</v>
      </c>
      <c r="C30" s="226">
        <f>$K$18*3</f>
        <v>5897.04</v>
      </c>
      <c r="D30" s="226">
        <f>$K$18*3</f>
        <v>5897.04</v>
      </c>
      <c r="E30" s="226">
        <f>$K$18*3</f>
        <v>5897.04</v>
      </c>
      <c r="F30" s="226">
        <f>$K$18*3</f>
        <v>5897.04</v>
      </c>
      <c r="G30" s="226">
        <f>SUM(C30:F30)</f>
        <v>23588.16</v>
      </c>
      <c r="H30" s="230"/>
      <c r="I30" s="37" t="s">
        <v>160</v>
      </c>
      <c r="J30" s="10">
        <f>C25*14+I25*14+J25*12</f>
        <v>301614.09000000003</v>
      </c>
      <c r="K30" s="58"/>
      <c r="L30" s="230"/>
      <c r="M30" s="230"/>
      <c r="N30" s="230"/>
      <c r="O30" s="230"/>
    </row>
    <row r="31" spans="2:15">
      <c r="B31" s="36" t="s">
        <v>115</v>
      </c>
      <c r="C31" s="226">
        <v>0</v>
      </c>
      <c r="D31" s="226">
        <v>0</v>
      </c>
      <c r="E31" s="226">
        <f>C18-F18-G18</f>
        <v>1851.2</v>
      </c>
      <c r="F31" s="226">
        <f>C18-F18-G18</f>
        <v>1851.2</v>
      </c>
      <c r="G31" s="226">
        <f t="shared" ref="G31:G43" si="12">SUM(C31:F31)</f>
        <v>3702.4</v>
      </c>
      <c r="H31" s="230"/>
      <c r="I31" s="37" t="s">
        <v>377</v>
      </c>
      <c r="J31" s="10">
        <f>O36+J30</f>
        <v>307646.37180000002</v>
      </c>
      <c r="K31" s="230"/>
      <c r="L31" s="230"/>
      <c r="M31" s="230"/>
      <c r="N31" s="230"/>
      <c r="O31" s="230"/>
    </row>
    <row r="32" spans="2:15">
      <c r="B32" s="228" t="s">
        <v>154</v>
      </c>
      <c r="C32" s="226">
        <f>$K$19*3</f>
        <v>2022.92</v>
      </c>
      <c r="D32" s="226">
        <f>$K$19*3</f>
        <v>2022.92</v>
      </c>
      <c r="E32" s="226">
        <f>$K$19*3</f>
        <v>2022.92</v>
      </c>
      <c r="F32" s="226">
        <f>$K$19*3</f>
        <v>2022.92</v>
      </c>
      <c r="G32" s="226">
        <f t="shared" si="12"/>
        <v>8091.68</v>
      </c>
      <c r="H32" s="230"/>
      <c r="I32" s="37" t="s">
        <v>397</v>
      </c>
      <c r="J32" s="240">
        <f>F25*13+13*G25+I25*13</f>
        <v>102212.60833333334</v>
      </c>
      <c r="K32" s="230" t="s">
        <v>207</v>
      </c>
      <c r="L32" s="230"/>
      <c r="M32" s="230"/>
      <c r="N32" s="230"/>
      <c r="O32" s="230"/>
    </row>
    <row r="33" spans="2:15">
      <c r="B33" s="36" t="s">
        <v>115</v>
      </c>
      <c r="C33" s="226">
        <v>0</v>
      </c>
      <c r="D33" s="226">
        <v>0</v>
      </c>
      <c r="E33" s="226">
        <f>C19-F19-G19</f>
        <v>617.06666666666672</v>
      </c>
      <c r="F33" s="226">
        <v>617.06666666666672</v>
      </c>
      <c r="G33" s="226">
        <f t="shared" si="12"/>
        <v>1234.1333333333334</v>
      </c>
      <c r="H33" s="230"/>
      <c r="I33" s="37" t="s">
        <v>398</v>
      </c>
      <c r="J33" s="240">
        <f>F25+G25+I25</f>
        <v>7862.5083333333332</v>
      </c>
      <c r="K33" s="225">
        <f>SUM(J32:J33)-SUM(G46:G47)</f>
        <v>0</v>
      </c>
      <c r="L33" s="230"/>
      <c r="M33" s="230"/>
      <c r="N33" s="230"/>
      <c r="O33" s="230"/>
    </row>
    <row r="34" spans="2:15">
      <c r="B34" s="228" t="s">
        <v>155</v>
      </c>
      <c r="C34" s="226">
        <f>$K$20*3</f>
        <v>1688.91</v>
      </c>
      <c r="D34" s="226">
        <f>$K$20*3</f>
        <v>1688.91</v>
      </c>
      <c r="E34" s="226">
        <f>$K$20*3</f>
        <v>1688.91</v>
      </c>
      <c r="F34" s="226">
        <f>$K$20*3</f>
        <v>1688.91</v>
      </c>
      <c r="G34" s="226">
        <f t="shared" si="12"/>
        <v>6755.64</v>
      </c>
      <c r="H34" s="230"/>
      <c r="I34" s="230"/>
      <c r="J34" s="230"/>
      <c r="K34" s="230"/>
      <c r="L34" s="230"/>
      <c r="M34" s="230"/>
      <c r="N34" s="230"/>
      <c r="O34" s="230"/>
    </row>
    <row r="35" spans="2:15">
      <c r="B35" s="36" t="s">
        <v>115</v>
      </c>
      <c r="C35" s="226">
        <v>0</v>
      </c>
      <c r="D35" s="226">
        <v>0</v>
      </c>
      <c r="E35" s="226">
        <f>C20-F20-G20</f>
        <v>462.8</v>
      </c>
      <c r="F35" s="226">
        <v>462.8</v>
      </c>
      <c r="G35" s="226">
        <f t="shared" si="12"/>
        <v>925.6</v>
      </c>
      <c r="H35" s="230"/>
      <c r="I35" s="230"/>
      <c r="J35" s="230"/>
      <c r="K35" s="229" t="s">
        <v>6</v>
      </c>
      <c r="L35" s="229" t="s">
        <v>7</v>
      </c>
      <c r="M35" s="229" t="s">
        <v>8</v>
      </c>
      <c r="N35" s="229" t="s">
        <v>9</v>
      </c>
      <c r="O35" s="229" t="s">
        <v>116</v>
      </c>
    </row>
    <row r="36" spans="2:15" ht="32">
      <c r="B36" s="228" t="s">
        <v>156</v>
      </c>
      <c r="C36" s="226">
        <f>$K$21*3</f>
        <v>10183.11</v>
      </c>
      <c r="D36" s="226">
        <f>$K$21*3</f>
        <v>10183.11</v>
      </c>
      <c r="E36" s="226">
        <f>$K$21*3</f>
        <v>10183.11</v>
      </c>
      <c r="F36" s="226">
        <f>$K$21*3</f>
        <v>10183.11</v>
      </c>
      <c r="G36" s="226">
        <f t="shared" si="12"/>
        <v>40732.44</v>
      </c>
      <c r="H36" s="230"/>
      <c r="I36" s="156" t="s">
        <v>144</v>
      </c>
      <c r="J36" s="155" t="s">
        <v>166</v>
      </c>
      <c r="K36" s="100">
        <f>(0.02*$J$30)/4</f>
        <v>1508.0704500000002</v>
      </c>
      <c r="L36" s="100">
        <f>(0.02*$J$30)/4</f>
        <v>1508.0704500000002</v>
      </c>
      <c r="M36" s="100">
        <f>(0.02*$J$30)/4</f>
        <v>1508.0704500000002</v>
      </c>
      <c r="N36" s="100">
        <f t="shared" ref="N36" si="13">(0.02*$J$30)/4</f>
        <v>1508.0704500000002</v>
      </c>
      <c r="O36" s="100">
        <f>SUM(K36:N36)</f>
        <v>6032.2818000000007</v>
      </c>
    </row>
    <row r="37" spans="2:15">
      <c r="B37" s="36" t="s">
        <v>115</v>
      </c>
      <c r="C37" s="226">
        <v>0</v>
      </c>
      <c r="D37" s="226">
        <v>0</v>
      </c>
      <c r="E37" s="226">
        <f>C21-F21-G21</f>
        <v>3294.2</v>
      </c>
      <c r="F37" s="226">
        <v>3294.2</v>
      </c>
      <c r="G37" s="226">
        <f t="shared" si="12"/>
        <v>6588.4</v>
      </c>
      <c r="H37" s="230"/>
      <c r="I37" s="230"/>
      <c r="J37" s="230"/>
      <c r="K37" s="230"/>
      <c r="L37" s="230"/>
      <c r="M37" s="230"/>
      <c r="N37" s="230"/>
      <c r="O37" s="230"/>
    </row>
    <row r="38" spans="2:15">
      <c r="B38" s="228" t="s">
        <v>157</v>
      </c>
      <c r="C38" s="226">
        <f>$K$22*3</f>
        <v>3885.9100000000008</v>
      </c>
      <c r="D38" s="226">
        <f>$K$22*3</f>
        <v>3885.9100000000008</v>
      </c>
      <c r="E38" s="226">
        <f>$K$22*3</f>
        <v>3885.9100000000008</v>
      </c>
      <c r="F38" s="226">
        <f>$K$22*3</f>
        <v>3885.9100000000008</v>
      </c>
      <c r="G38" s="226">
        <f t="shared" si="12"/>
        <v>15543.640000000003</v>
      </c>
      <c r="H38" s="230"/>
      <c r="I38" s="230"/>
      <c r="J38" s="230"/>
      <c r="K38" s="230"/>
      <c r="L38" s="230"/>
      <c r="M38" s="230"/>
      <c r="N38" s="230"/>
      <c r="O38" s="230"/>
    </row>
    <row r="39" spans="2:15">
      <c r="B39" s="36" t="s">
        <v>115</v>
      </c>
      <c r="C39" s="226">
        <v>0</v>
      </c>
      <c r="D39" s="226">
        <v>0</v>
      </c>
      <c r="E39" s="226">
        <f>C22-F22-G22</f>
        <v>1195.1333333333334</v>
      </c>
      <c r="F39" s="226">
        <v>1195.1333333333334</v>
      </c>
      <c r="G39" s="226">
        <f t="shared" si="12"/>
        <v>2390.2666666666669</v>
      </c>
      <c r="H39" s="230"/>
      <c r="I39" s="230"/>
      <c r="J39" s="241"/>
      <c r="K39" s="230"/>
      <c r="L39" s="230"/>
      <c r="M39" s="230"/>
      <c r="N39" s="230"/>
      <c r="O39" s="230"/>
    </row>
    <row r="40" spans="2:15">
      <c r="B40" s="228" t="s">
        <v>158</v>
      </c>
      <c r="C40" s="226">
        <f>$K$23*3</f>
        <v>7471.3100000000013</v>
      </c>
      <c r="D40" s="226">
        <f>$K$23*3</f>
        <v>7471.3100000000013</v>
      </c>
      <c r="E40" s="226">
        <f>$K$23*3</f>
        <v>7471.3100000000013</v>
      </c>
      <c r="F40" s="226">
        <f>$K$23*3</f>
        <v>7471.3100000000013</v>
      </c>
      <c r="G40" s="226">
        <f t="shared" si="12"/>
        <v>29885.240000000005</v>
      </c>
      <c r="H40" s="230"/>
      <c r="I40" s="230"/>
      <c r="J40" s="230"/>
      <c r="K40" s="230"/>
      <c r="L40" s="230"/>
      <c r="M40" s="230"/>
      <c r="N40" s="230"/>
      <c r="O40" s="230"/>
    </row>
    <row r="41" spans="2:15">
      <c r="B41" s="36" t="s">
        <v>115</v>
      </c>
      <c r="C41" s="226">
        <v>0</v>
      </c>
      <c r="D41" s="226">
        <v>0</v>
      </c>
      <c r="E41" s="226">
        <f>C23-F23-G23</f>
        <v>2390.2666666666669</v>
      </c>
      <c r="F41" s="226">
        <v>2390.2666666666669</v>
      </c>
      <c r="G41" s="226">
        <f t="shared" si="12"/>
        <v>4780.5333333333338</v>
      </c>
      <c r="H41" s="230"/>
      <c r="I41" s="230"/>
      <c r="J41" s="230"/>
      <c r="K41" s="230"/>
      <c r="L41" s="230"/>
      <c r="M41" s="230"/>
      <c r="N41" s="230"/>
      <c r="O41" s="230"/>
    </row>
    <row r="42" spans="2:15">
      <c r="B42" s="228" t="s">
        <v>159</v>
      </c>
      <c r="C42" s="226">
        <f>$K$24*3</f>
        <v>10183.11</v>
      </c>
      <c r="D42" s="226">
        <f>$K$24*3</f>
        <v>10183.11</v>
      </c>
      <c r="E42" s="226">
        <f>$K$24*3</f>
        <v>10183.11</v>
      </c>
      <c r="F42" s="226">
        <f>$K$24*3</f>
        <v>10183.11</v>
      </c>
      <c r="G42" s="226">
        <f t="shared" si="12"/>
        <v>40732.44</v>
      </c>
      <c r="H42" s="230"/>
      <c r="I42" s="230"/>
      <c r="J42" s="230"/>
      <c r="K42" s="230"/>
      <c r="L42" s="230"/>
      <c r="M42" s="230"/>
      <c r="N42" s="230"/>
      <c r="O42" s="230"/>
    </row>
    <row r="43" spans="2:15">
      <c r="B43" s="36" t="s">
        <v>115</v>
      </c>
      <c r="C43" s="226">
        <v>0</v>
      </c>
      <c r="D43" s="226">
        <v>0</v>
      </c>
      <c r="E43" s="226">
        <f>C24-F24-G24</f>
        <v>3294.2</v>
      </c>
      <c r="F43" s="226">
        <v>3294.2</v>
      </c>
      <c r="G43" s="226">
        <f t="shared" si="12"/>
        <v>6588.4</v>
      </c>
      <c r="H43" s="230"/>
      <c r="I43" s="230"/>
      <c r="J43" s="230"/>
      <c r="K43" s="230"/>
      <c r="L43" s="230"/>
      <c r="M43" s="230"/>
      <c r="N43" s="230"/>
      <c r="O43" s="230"/>
    </row>
    <row r="44" spans="2:15">
      <c r="B44" s="228" t="s">
        <v>121</v>
      </c>
      <c r="C44" s="227">
        <f>SUM(C30:C43)</f>
        <v>41332.310000000005</v>
      </c>
      <c r="D44" s="227">
        <f t="shared" ref="D44:F44" si="14">SUM(D30:D43)</f>
        <v>41332.310000000005</v>
      </c>
      <c r="E44" s="227">
        <f t="shared" si="14"/>
        <v>54437.176666666674</v>
      </c>
      <c r="F44" s="227">
        <f t="shared" si="14"/>
        <v>54437.176666666674</v>
      </c>
      <c r="G44" s="227">
        <f>SUM(C44:F44)</f>
        <v>191538.97333333336</v>
      </c>
      <c r="H44" s="230"/>
      <c r="I44" s="225"/>
      <c r="J44" s="230"/>
      <c r="K44" s="230"/>
      <c r="L44" s="230"/>
      <c r="M44" s="230"/>
      <c r="N44" s="230"/>
      <c r="O44" s="230"/>
    </row>
    <row r="45" spans="2:15">
      <c r="B45" s="36" t="s">
        <v>120</v>
      </c>
      <c r="C45" s="226">
        <f>$L$25*3</f>
        <v>23587.525000000001</v>
      </c>
      <c r="D45" s="226">
        <f>$L$25*3</f>
        <v>23587.525000000001</v>
      </c>
      <c r="E45" s="226">
        <f>$L$25*4</f>
        <v>31450.033333333336</v>
      </c>
      <c r="F45" s="226">
        <f>$L$25*4</f>
        <v>31450.033333333336</v>
      </c>
      <c r="G45" s="226">
        <f>SUM(C45:F45)</f>
        <v>110075.11666666668</v>
      </c>
      <c r="H45" s="230"/>
      <c r="I45" s="230"/>
      <c r="J45" s="230"/>
      <c r="K45" s="230"/>
      <c r="L45" s="230"/>
      <c r="M45" s="230"/>
      <c r="N45" s="230"/>
      <c r="O45" s="230"/>
    </row>
    <row r="46" spans="2:15">
      <c r="B46" s="37" t="s">
        <v>118</v>
      </c>
      <c r="C46" s="226">
        <f>3*SUM($F18:$F24)+3*SUM($G18:$G24)</f>
        <v>11515.400000000001</v>
      </c>
      <c r="D46" s="226">
        <f>3*SUM($F18:$F24)+3*SUM($G18:$G24)</f>
        <v>11515.400000000001</v>
      </c>
      <c r="E46" s="226">
        <f>4*SUM($F18:$F24)+4*SUM($G18:$G24)</f>
        <v>15353.866666666669</v>
      </c>
      <c r="F46" s="226">
        <f>4*SUM($F18:$F24)+4*SUM($G18:$G24)</f>
        <v>15353.866666666669</v>
      </c>
      <c r="G46" s="226">
        <f>SUM(C46:F46)</f>
        <v>53738.53333333334</v>
      </c>
      <c r="H46" s="230"/>
      <c r="I46" s="230"/>
      <c r="J46" s="230"/>
      <c r="K46" s="230"/>
      <c r="L46" s="230"/>
      <c r="M46" s="230"/>
      <c r="N46" s="230"/>
      <c r="O46" s="230"/>
    </row>
    <row r="47" spans="2:15">
      <c r="B47" s="37" t="s">
        <v>119</v>
      </c>
      <c r="C47" s="226">
        <f>3*SUM($I18:$I24)</f>
        <v>12072.125</v>
      </c>
      <c r="D47" s="226">
        <f>3*SUM($I18:$I24)</f>
        <v>12072.125</v>
      </c>
      <c r="E47" s="226">
        <f>4*SUM($I18:$I24)</f>
        <v>16096.166666666666</v>
      </c>
      <c r="F47" s="226">
        <f>4*SUM($I18:$I24)</f>
        <v>16096.166666666666</v>
      </c>
      <c r="G47" s="226">
        <f>SUM(C47:F47)</f>
        <v>56336.583333333328</v>
      </c>
      <c r="H47" s="230"/>
      <c r="I47" s="230"/>
      <c r="J47" s="230"/>
      <c r="K47" s="230"/>
      <c r="L47" s="230"/>
      <c r="M47" s="230"/>
      <c r="N47" s="230"/>
      <c r="O47" s="230"/>
    </row>
    <row r="49" spans="3:3">
      <c r="C49" s="1">
        <f>C44+C47</f>
        <v>53404.435000000005</v>
      </c>
    </row>
  </sheetData>
  <mergeCells count="10">
    <mergeCell ref="D16:E16"/>
    <mergeCell ref="F16:G16"/>
    <mergeCell ref="K2:L2"/>
    <mergeCell ref="B2:B3"/>
    <mergeCell ref="C2:C3"/>
    <mergeCell ref="D2:E2"/>
    <mergeCell ref="F2:G2"/>
    <mergeCell ref="I2:I3"/>
    <mergeCell ref="J2:J3"/>
    <mergeCell ref="B16:B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56D4-B77E-4662-8C3F-21DB1ED75B89}">
  <dimension ref="B1:K44"/>
  <sheetViews>
    <sheetView showGridLines="0" topLeftCell="A13" zoomScaleNormal="100" workbookViewId="0">
      <selection activeCell="B36" sqref="B36"/>
    </sheetView>
  </sheetViews>
  <sheetFormatPr baseColWidth="10" defaultColWidth="8.83203125" defaultRowHeight="15"/>
  <cols>
    <col min="2" max="2" width="22.33203125" customWidth="1"/>
    <col min="4" max="4" width="25.6640625" bestFit="1" customWidth="1"/>
    <col min="5" max="6" width="13.1640625" bestFit="1" customWidth="1"/>
    <col min="7" max="7" width="14" customWidth="1"/>
    <col min="8" max="8" width="14.6640625" customWidth="1"/>
    <col min="9" max="9" width="16.1640625" customWidth="1"/>
    <col min="10" max="10" width="12.1640625" bestFit="1" customWidth="1"/>
  </cols>
  <sheetData>
    <row r="1" spans="2:11" ht="16" thickBot="1"/>
    <row r="2" spans="2:11" ht="20" thickBot="1">
      <c r="B2" s="418" t="s">
        <v>302</v>
      </c>
      <c r="C2" s="419"/>
      <c r="D2" s="420"/>
      <c r="E2" s="149"/>
      <c r="F2" s="149"/>
      <c r="G2" s="149"/>
      <c r="H2" s="149"/>
      <c r="I2" s="149"/>
      <c r="J2" s="149"/>
    </row>
    <row r="3" spans="2:11">
      <c r="D3" s="149"/>
      <c r="E3" s="149"/>
      <c r="F3" s="149"/>
      <c r="G3" s="149"/>
      <c r="H3" s="149"/>
      <c r="I3" s="149"/>
      <c r="J3" s="149"/>
    </row>
    <row r="4" spans="2:11">
      <c r="B4" s="37" t="s">
        <v>317</v>
      </c>
      <c r="C4" s="208" t="s">
        <v>205</v>
      </c>
      <c r="D4" s="37" t="s">
        <v>318</v>
      </c>
      <c r="E4" s="37" t="s">
        <v>317</v>
      </c>
      <c r="F4" s="149"/>
      <c r="G4" s="149"/>
      <c r="H4" s="149"/>
      <c r="I4" s="149"/>
      <c r="J4" s="149"/>
    </row>
    <row r="5" spans="2:11">
      <c r="B5" s="37" t="s">
        <v>376</v>
      </c>
      <c r="C5" s="209">
        <v>0.23</v>
      </c>
      <c r="D5" s="213">
        <v>0</v>
      </c>
      <c r="E5" s="187">
        <f>90/90</f>
        <v>1</v>
      </c>
      <c r="F5" s="19"/>
      <c r="G5" s="19"/>
      <c r="H5" s="19"/>
      <c r="I5" s="19"/>
      <c r="J5" s="149"/>
    </row>
    <row r="6" spans="2:11">
      <c r="D6" s="149"/>
      <c r="E6" s="149"/>
      <c r="F6" s="149"/>
      <c r="G6" s="149"/>
      <c r="H6" s="149"/>
      <c r="I6" s="149"/>
      <c r="J6" s="149"/>
    </row>
    <row r="7" spans="2:11">
      <c r="B7" s="19"/>
      <c r="C7" s="153"/>
      <c r="D7" s="149"/>
      <c r="E7" s="149"/>
      <c r="F7" s="149"/>
      <c r="G7" s="149"/>
      <c r="H7" s="149"/>
      <c r="I7" s="149"/>
      <c r="J7" s="149"/>
    </row>
    <row r="8" spans="2:11">
      <c r="B8" s="19"/>
      <c r="C8" s="152"/>
      <c r="D8" s="149"/>
      <c r="E8" s="149"/>
      <c r="F8" s="149"/>
      <c r="G8" s="149"/>
      <c r="H8" s="149"/>
      <c r="I8" s="149"/>
      <c r="J8" s="149"/>
    </row>
    <row r="9" spans="2:11">
      <c r="B9" s="149"/>
      <c r="C9" s="149"/>
      <c r="D9" s="149"/>
      <c r="E9" s="149"/>
      <c r="F9" s="149"/>
      <c r="G9" s="149"/>
      <c r="H9" s="149"/>
      <c r="I9" s="149"/>
      <c r="J9" s="149"/>
    </row>
    <row r="10" spans="2:11">
      <c r="B10" s="149"/>
      <c r="C10" s="149"/>
      <c r="D10" s="2" t="s">
        <v>20</v>
      </c>
      <c r="E10" s="37" t="s">
        <v>6</v>
      </c>
      <c r="F10" s="37" t="s">
        <v>7</v>
      </c>
      <c r="G10" s="37" t="s">
        <v>8</v>
      </c>
      <c r="H10" s="37" t="s">
        <v>9</v>
      </c>
      <c r="I10" s="37" t="s">
        <v>10</v>
      </c>
      <c r="J10" s="235"/>
      <c r="K10" s="106"/>
    </row>
    <row r="11" spans="2:11">
      <c r="B11" s="149"/>
      <c r="C11" s="149"/>
      <c r="D11" s="37" t="s">
        <v>319</v>
      </c>
      <c r="E11" s="207">
        <f>'MD+Fase de Produção+Compras'!M38</f>
        <v>0</v>
      </c>
      <c r="F11" s="207">
        <f>'MD+Fase de Produção+Compras'!N38</f>
        <v>85186.978499999997</v>
      </c>
      <c r="G11" s="207">
        <f>'MD+Fase de Produção+Compras'!P38</f>
        <v>85186.978499999997</v>
      </c>
      <c r="H11" s="207">
        <f>'MD+Fase de Produção+Compras'!R38</f>
        <v>72081.289499999999</v>
      </c>
      <c r="I11" s="207">
        <f t="shared" ref="I11:I19" si="0">SUM(E11:H11)</f>
        <v>242455.24650000001</v>
      </c>
      <c r="J11" s="147"/>
    </row>
    <row r="12" spans="2:11">
      <c r="B12" s="149"/>
      <c r="C12" s="149"/>
      <c r="D12" s="37" t="s">
        <v>272</v>
      </c>
      <c r="E12" s="207">
        <f>'Gastos Pessoal'!$J$30/4</f>
        <v>75403.522500000006</v>
      </c>
      <c r="F12" s="207">
        <f>'Gastos Pessoal'!$J$30/4</f>
        <v>75403.522500000006</v>
      </c>
      <c r="G12" s="207">
        <f>'Gastos Pessoal'!$J$30/4</f>
        <v>75403.522500000006</v>
      </c>
      <c r="H12" s="207">
        <f>'Gastos Pessoal'!$J$30/4</f>
        <v>75403.522500000006</v>
      </c>
      <c r="I12" s="207">
        <f t="shared" si="0"/>
        <v>301614.09000000003</v>
      </c>
      <c r="J12" s="147"/>
    </row>
    <row r="13" spans="2:11" s="149" customFormat="1">
      <c r="D13" s="37" t="s">
        <v>321</v>
      </c>
      <c r="E13" s="207">
        <f>FSE!E18</f>
        <v>113100.32554623985</v>
      </c>
      <c r="F13" s="207">
        <f>FSE!F18</f>
        <v>107450.27554623985</v>
      </c>
      <c r="G13" s="207">
        <f>FSE!G18</f>
        <v>96878.925546239843</v>
      </c>
      <c r="H13" s="207">
        <f>FSE!H18</f>
        <v>103055.77554623985</v>
      </c>
      <c r="I13" s="207">
        <f>SUM(E13:H13)</f>
        <v>420485.30218495941</v>
      </c>
    </row>
    <row r="14" spans="2:11" s="149" customFormat="1">
      <c r="D14" s="37" t="s">
        <v>320</v>
      </c>
      <c r="E14" s="207">
        <f>AFT!E22</f>
        <v>272000</v>
      </c>
      <c r="F14" s="207">
        <f>AFT!F22</f>
        <v>7600</v>
      </c>
      <c r="G14" s="207">
        <f>AFT!G22</f>
        <v>0</v>
      </c>
      <c r="H14" s="207">
        <f>AFT!H22</f>
        <v>0</v>
      </c>
      <c r="I14" s="207">
        <f t="shared" si="0"/>
        <v>279600</v>
      </c>
    </row>
    <row r="15" spans="2:11" s="162" customFormat="1">
      <c r="D15" s="37" t="s">
        <v>339</v>
      </c>
      <c r="E15" s="207">
        <f>'EOEP _ IVA'!D20</f>
        <v>0</v>
      </c>
      <c r="F15" s="207">
        <f>'EOEP _ IVA'!E20</f>
        <v>0</v>
      </c>
      <c r="G15" s="207">
        <f>'EOEP _ IVA'!F20</f>
        <v>20189.486638211398</v>
      </c>
      <c r="H15" s="207">
        <f>'EOEP _ IVA'!G20</f>
        <v>0</v>
      </c>
      <c r="I15" s="207">
        <f>SUM(E15:H15)</f>
        <v>20189.486638211398</v>
      </c>
    </row>
    <row r="16" spans="2:11" s="230" customFormat="1">
      <c r="D16" s="37" t="s">
        <v>395</v>
      </c>
      <c r="E16" s="207"/>
      <c r="F16" s="207"/>
      <c r="G16" s="207"/>
      <c r="H16" s="207"/>
      <c r="I16" s="207"/>
    </row>
    <row r="17" spans="2:10" s="157" customFormat="1">
      <c r="D17" s="37" t="s">
        <v>340</v>
      </c>
      <c r="E17" s="207">
        <f>E11+E13+E14</f>
        <v>385100.32554623985</v>
      </c>
      <c r="F17" s="207">
        <f t="shared" ref="F17:H17" si="1">F11+F13+F14</f>
        <v>200237.25404623983</v>
      </c>
      <c r="G17" s="207">
        <f t="shared" si="1"/>
        <v>182065.90404623986</v>
      </c>
      <c r="H17" s="207">
        <f t="shared" si="1"/>
        <v>175137.06504623985</v>
      </c>
      <c r="I17" s="207">
        <f t="shared" si="0"/>
        <v>942540.5486849593</v>
      </c>
    </row>
    <row r="18" spans="2:10">
      <c r="B18" s="149"/>
      <c r="C18" s="149"/>
      <c r="D18" s="37" t="s">
        <v>322</v>
      </c>
      <c r="E18" s="207">
        <f>SUM(E11:E14)</f>
        <v>460503.84804623987</v>
      </c>
      <c r="F18" s="207">
        <f t="shared" ref="F18:H18" si="2">SUM(F11:F14)</f>
        <v>275640.77654623985</v>
      </c>
      <c r="G18" s="207">
        <f t="shared" si="2"/>
        <v>257469.42654623982</v>
      </c>
      <c r="H18" s="207">
        <f t="shared" si="2"/>
        <v>250540.58754623984</v>
      </c>
      <c r="I18" s="207">
        <f t="shared" si="0"/>
        <v>1244154.6386849594</v>
      </c>
      <c r="J18" s="149"/>
    </row>
    <row r="19" spans="2:10">
      <c r="B19" s="149"/>
      <c r="C19" s="149"/>
      <c r="D19" s="37" t="s">
        <v>302</v>
      </c>
      <c r="E19" s="207">
        <f>E$17*$D$5+E12</f>
        <v>75403.522500000006</v>
      </c>
      <c r="F19" s="207">
        <f>E20+F$17*$D$5+F12</f>
        <v>460503.84804623987</v>
      </c>
      <c r="G19" s="207">
        <f t="shared" ref="G19:H19" si="3">F20+G$17*$D$5+G12</f>
        <v>275640.77654623985</v>
      </c>
      <c r="H19" s="207">
        <f t="shared" si="3"/>
        <v>257469.42654623988</v>
      </c>
      <c r="I19" s="207">
        <f t="shared" si="0"/>
        <v>1069017.5736387195</v>
      </c>
      <c r="J19" s="134"/>
    </row>
    <row r="20" spans="2:10">
      <c r="B20" s="149"/>
      <c r="C20" s="149"/>
      <c r="D20" s="37" t="s">
        <v>323</v>
      </c>
      <c r="E20" s="207">
        <f>E17*$E$5</f>
        <v>385100.32554623985</v>
      </c>
      <c r="F20" s="207">
        <f t="shared" ref="F20:H20" si="4">F17*$E$5</f>
        <v>200237.25404623983</v>
      </c>
      <c r="G20" s="207">
        <f t="shared" si="4"/>
        <v>182065.90404623986</v>
      </c>
      <c r="H20" s="207">
        <f t="shared" si="4"/>
        <v>175137.06504623985</v>
      </c>
      <c r="I20" s="207">
        <f>H20</f>
        <v>175137.06504623985</v>
      </c>
      <c r="J20" s="151"/>
    </row>
    <row r="21" spans="2:10" s="149" customFormat="1">
      <c r="D21" s="19"/>
      <c r="E21" s="147"/>
      <c r="F21" s="147"/>
      <c r="G21" s="147"/>
      <c r="H21" s="147"/>
      <c r="I21" s="147"/>
      <c r="J21" s="151"/>
    </row>
    <row r="22" spans="2:10">
      <c r="B22" s="149"/>
      <c r="C22" s="149"/>
      <c r="D22" s="149"/>
      <c r="E22" s="149"/>
      <c r="F22" s="149"/>
      <c r="G22" s="149"/>
      <c r="H22" s="149"/>
      <c r="I22" s="149"/>
      <c r="J22" s="149"/>
    </row>
    <row r="23" spans="2:10">
      <c r="B23" s="149"/>
      <c r="C23" s="149"/>
      <c r="D23" s="149"/>
      <c r="E23" s="149"/>
      <c r="F23" s="149"/>
      <c r="G23" s="149"/>
      <c r="H23" s="149"/>
      <c r="I23" s="149"/>
      <c r="J23" s="149"/>
    </row>
    <row r="24" spans="2:10">
      <c r="B24" s="149"/>
      <c r="C24" s="149"/>
      <c r="D24" s="2" t="s">
        <v>21</v>
      </c>
      <c r="E24" s="37" t="s">
        <v>6</v>
      </c>
      <c r="F24" s="37" t="s">
        <v>7</v>
      </c>
      <c r="G24" s="37" t="s">
        <v>8</v>
      </c>
      <c r="H24" s="37" t="s">
        <v>9</v>
      </c>
      <c r="I24" s="37" t="s">
        <v>10</v>
      </c>
      <c r="J24" s="149"/>
    </row>
    <row r="25" spans="2:10">
      <c r="B25" s="149"/>
      <c r="C25" s="149"/>
      <c r="D25" s="37" t="s">
        <v>319</v>
      </c>
      <c r="E25" s="207">
        <f>'MD+Fase de Produção+Compras'!D57</f>
        <v>51112.187099999996</v>
      </c>
      <c r="F25" s="207">
        <f>'MD+Fase de Produção+Compras'!E57</f>
        <v>85186.978499999997</v>
      </c>
      <c r="G25" s="207">
        <f>'MD+Fase de Produção+Compras'!G57</f>
        <v>85186.978499999997</v>
      </c>
      <c r="H25" s="207">
        <f>'MD+Fase de Produção+Compras'!I57</f>
        <v>72081.289499999999</v>
      </c>
      <c r="I25" s="207">
        <f t="shared" ref="I25:I31" si="5">SUM(E25:H25)</f>
        <v>293567.43359999999</v>
      </c>
      <c r="J25" s="149"/>
    </row>
    <row r="26" spans="2:10">
      <c r="B26" s="149"/>
      <c r="C26" s="149"/>
      <c r="D26" s="37" t="s">
        <v>272</v>
      </c>
      <c r="E26" s="207">
        <f>'Gastos Pessoal'!$J$30/4</f>
        <v>75403.522500000006</v>
      </c>
      <c r="F26" s="207">
        <f>'Gastos Pessoal'!$J$30/4</f>
        <v>75403.522500000006</v>
      </c>
      <c r="G26" s="207">
        <f>'Gastos Pessoal'!$J$30/4</f>
        <v>75403.522500000006</v>
      </c>
      <c r="H26" s="207">
        <f>'Gastos Pessoal'!$J$30/4</f>
        <v>75403.522500000006</v>
      </c>
      <c r="I26" s="207">
        <f t="shared" si="5"/>
        <v>301614.09000000003</v>
      </c>
      <c r="J26" s="149"/>
    </row>
    <row r="27" spans="2:10">
      <c r="B27" s="149"/>
      <c r="C27" s="149"/>
      <c r="D27" s="37" t="s">
        <v>321</v>
      </c>
      <c r="E27" s="207">
        <f>FSE!E36</f>
        <v>108924.89934705284</v>
      </c>
      <c r="F27" s="207">
        <f>FSE!F36</f>
        <v>108274.84934705283</v>
      </c>
      <c r="G27" s="207">
        <f>FSE!G36</f>
        <v>97234.999347052842</v>
      </c>
      <c r="H27" s="207">
        <f>FSE!H36</f>
        <v>103724.14934705285</v>
      </c>
      <c r="I27" s="207">
        <f t="shared" si="5"/>
        <v>418158.89738821134</v>
      </c>
      <c r="J27" s="149"/>
    </row>
    <row r="28" spans="2:10">
      <c r="B28" s="149"/>
      <c r="C28" s="149"/>
      <c r="D28" s="37" t="s">
        <v>320</v>
      </c>
      <c r="E28" s="207">
        <f>AFT!E30</f>
        <v>0</v>
      </c>
      <c r="F28" s="207">
        <f>AFT!F30</f>
        <v>5700</v>
      </c>
      <c r="G28" s="207">
        <f>AFT!G30</f>
        <v>0</v>
      </c>
      <c r="H28" s="207">
        <f>AFT!H30</f>
        <v>0</v>
      </c>
      <c r="I28" s="207">
        <f t="shared" si="5"/>
        <v>5700</v>
      </c>
      <c r="J28" s="149"/>
    </row>
    <row r="29" spans="2:10" s="157" customFormat="1">
      <c r="D29" s="37" t="s">
        <v>340</v>
      </c>
      <c r="E29" s="207">
        <f>E25+E27+E28</f>
        <v>160037.08644705283</v>
      </c>
      <c r="F29" s="207">
        <f>F25+F27+F28</f>
        <v>199161.82784705283</v>
      </c>
      <c r="G29" s="207">
        <f>G25+G27+G28</f>
        <v>182421.97784705285</v>
      </c>
      <c r="H29" s="207">
        <f>H25+H27+H28</f>
        <v>175805.43884705286</v>
      </c>
      <c r="I29" s="207">
        <f t="shared" ref="I29" si="6">SUM(E29:H29)</f>
        <v>717426.33098821132</v>
      </c>
    </row>
    <row r="30" spans="2:10">
      <c r="B30" s="149"/>
      <c r="C30" s="149"/>
      <c r="D30" s="37" t="s">
        <v>322</v>
      </c>
      <c r="E30" s="207">
        <f>SUM(E25:E28)</f>
        <v>235440.60894705285</v>
      </c>
      <c r="F30" s="207">
        <f>SUM(F25:F28)</f>
        <v>274565.35034705279</v>
      </c>
      <c r="G30" s="207">
        <f>SUM(G25:G28)</f>
        <v>257825.50034705282</v>
      </c>
      <c r="H30" s="207">
        <f>SUM(H25:H28)</f>
        <v>251208.96134705286</v>
      </c>
      <c r="I30" s="207">
        <f t="shared" si="5"/>
        <v>1019040.4209882113</v>
      </c>
      <c r="J30" s="149"/>
    </row>
    <row r="31" spans="2:10">
      <c r="B31" s="149"/>
      <c r="C31" s="149"/>
      <c r="D31" s="37" t="s">
        <v>302</v>
      </c>
      <c r="E31" s="207">
        <f>E$29*$D$5+E26+I20</f>
        <v>250540.58754623984</v>
      </c>
      <c r="F31" s="207">
        <f>E32+F$29*$D$5+F26</f>
        <v>235440.60894705285</v>
      </c>
      <c r="G31" s="207">
        <f>F32+G$29*$D$5+G26</f>
        <v>274565.35034705285</v>
      </c>
      <c r="H31" s="207">
        <f>G32+H$29*$D$5+H26</f>
        <v>257825.50034705288</v>
      </c>
      <c r="I31" s="207">
        <f t="shared" si="5"/>
        <v>1018372.0471873984</v>
      </c>
      <c r="J31" s="134"/>
    </row>
    <row r="32" spans="2:10">
      <c r="B32" s="149"/>
      <c r="C32" s="149"/>
      <c r="D32" s="37" t="s">
        <v>323</v>
      </c>
      <c r="E32" s="207">
        <f>E29*$E$5</f>
        <v>160037.08644705283</v>
      </c>
      <c r="F32" s="207">
        <f t="shared" ref="F32:H32" si="7">F29*$E$5</f>
        <v>199161.82784705283</v>
      </c>
      <c r="G32" s="207">
        <f t="shared" si="7"/>
        <v>182421.97784705285</v>
      </c>
      <c r="H32" s="207">
        <f t="shared" si="7"/>
        <v>175805.43884705286</v>
      </c>
      <c r="I32" s="207">
        <f>H32</f>
        <v>175805.43884705286</v>
      </c>
      <c r="J32" s="151"/>
    </row>
    <row r="33" spans="2:10">
      <c r="B33" s="149"/>
      <c r="C33" s="149"/>
      <c r="D33" s="19"/>
      <c r="E33" s="152"/>
      <c r="F33" s="152"/>
      <c r="G33" s="152"/>
      <c r="H33" s="152"/>
      <c r="I33" s="152"/>
      <c r="J33" s="149"/>
    </row>
    <row r="34" spans="2:10">
      <c r="B34" s="149"/>
      <c r="C34" s="149"/>
      <c r="D34" s="19"/>
      <c r="E34" s="152"/>
      <c r="F34" s="152"/>
      <c r="G34" s="152"/>
      <c r="H34" s="152"/>
      <c r="I34" s="152"/>
      <c r="J34" s="149"/>
    </row>
    <row r="35" spans="2:10">
      <c r="B35" s="149"/>
      <c r="C35" s="149"/>
      <c r="D35" s="19"/>
      <c r="E35" s="152"/>
      <c r="F35" s="152"/>
      <c r="G35" s="152"/>
      <c r="H35" s="152"/>
      <c r="I35" s="152"/>
      <c r="J35" s="149"/>
    </row>
    <row r="36" spans="2:10">
      <c r="B36" s="149"/>
      <c r="C36" s="149"/>
      <c r="D36" s="2" t="s">
        <v>22</v>
      </c>
      <c r="E36" s="37" t="s">
        <v>6</v>
      </c>
      <c r="F36" s="37" t="s">
        <v>7</v>
      </c>
      <c r="G36" s="37" t="s">
        <v>8</v>
      </c>
      <c r="H36" s="37" t="s">
        <v>9</v>
      </c>
      <c r="I36" s="37" t="s">
        <v>10</v>
      </c>
      <c r="J36" s="149"/>
    </row>
    <row r="37" spans="2:10">
      <c r="B37" s="1"/>
      <c r="C37" s="149"/>
      <c r="D37" s="37" t="s">
        <v>319</v>
      </c>
      <c r="E37" s="207">
        <f>'MD+Fase de Produção+Compras'!D77</f>
        <v>51112.187099999996</v>
      </c>
      <c r="F37" s="207">
        <f>'MD+Fase de Produção+Compras'!E77</f>
        <v>85186.978499999997</v>
      </c>
      <c r="G37" s="207">
        <f>'MD+Fase de Produção+Compras'!G77</f>
        <v>85186.978499999997</v>
      </c>
      <c r="H37" s="207">
        <f>'MD+Fase de Produção+Compras'!I77</f>
        <v>72081.289499999999</v>
      </c>
      <c r="I37" s="207">
        <f t="shared" ref="I37:I43" si="8">SUM(E37:H37)</f>
        <v>293567.43359999999</v>
      </c>
      <c r="J37" s="149"/>
    </row>
    <row r="38" spans="2:10">
      <c r="B38" s="149"/>
      <c r="C38" s="149"/>
      <c r="D38" s="37" t="s">
        <v>272</v>
      </c>
      <c r="E38" s="207">
        <f>'Gastos Pessoal'!$J$30/4</f>
        <v>75403.522500000006</v>
      </c>
      <c r="F38" s="207">
        <f>'Gastos Pessoal'!$J$30/4</f>
        <v>75403.522500000006</v>
      </c>
      <c r="G38" s="207">
        <f>'Gastos Pessoal'!$J$30/4</f>
        <v>75403.522500000006</v>
      </c>
      <c r="H38" s="207">
        <f>'Gastos Pessoal'!$J$30/4</f>
        <v>75403.522500000006</v>
      </c>
      <c r="I38" s="207">
        <f t="shared" si="8"/>
        <v>301614.09000000003</v>
      </c>
      <c r="J38" s="149"/>
    </row>
    <row r="39" spans="2:10">
      <c r="D39" s="37" t="s">
        <v>321</v>
      </c>
      <c r="E39" s="207">
        <f>FSE!E54</f>
        <v>109687.6453328252</v>
      </c>
      <c r="F39" s="207">
        <f>FSE!F54</f>
        <v>109037.59533282521</v>
      </c>
      <c r="G39" s="207">
        <f>FSE!G54</f>
        <v>97529.345332825193</v>
      </c>
      <c r="H39" s="207">
        <f>FSE!H54</f>
        <v>104330.7953328252</v>
      </c>
      <c r="I39" s="207">
        <f t="shared" si="8"/>
        <v>420585.38133130083</v>
      </c>
      <c r="J39" s="149"/>
    </row>
    <row r="40" spans="2:10">
      <c r="D40" s="37" t="s">
        <v>320</v>
      </c>
      <c r="E40" s="207">
        <f>AFT!E38</f>
        <v>0</v>
      </c>
      <c r="F40" s="207">
        <f>AFT!F38</f>
        <v>5700</v>
      </c>
      <c r="G40" s="207">
        <f>AFT!G38</f>
        <v>0</v>
      </c>
      <c r="H40" s="207">
        <f>AFT!H38</f>
        <v>0</v>
      </c>
      <c r="I40" s="207">
        <f t="shared" si="8"/>
        <v>5700</v>
      </c>
      <c r="J40" s="149"/>
    </row>
    <row r="41" spans="2:10" s="157" customFormat="1">
      <c r="D41" s="37" t="s">
        <v>340</v>
      </c>
      <c r="E41" s="207">
        <f>E37+E39+E40</f>
        <v>160799.83243282518</v>
      </c>
      <c r="F41" s="207">
        <f>F37+F39+F40</f>
        <v>199924.5738328252</v>
      </c>
      <c r="G41" s="207">
        <f>G37+G39+G40</f>
        <v>182716.32383282518</v>
      </c>
      <c r="H41" s="207">
        <f>H37+H39+H40</f>
        <v>176412.0848328252</v>
      </c>
      <c r="I41" s="207">
        <f t="shared" ref="I41" si="9">SUM(E41:H41)</f>
        <v>719852.81493130082</v>
      </c>
    </row>
    <row r="42" spans="2:10">
      <c r="D42" s="37" t="s">
        <v>322</v>
      </c>
      <c r="E42" s="207">
        <f>SUM(E37:E40)</f>
        <v>236203.3549328252</v>
      </c>
      <c r="F42" s="207">
        <f>SUM(F37:F40)</f>
        <v>275328.0963328252</v>
      </c>
      <c r="G42" s="207">
        <f>SUM(G37:G40)</f>
        <v>258119.8463328252</v>
      </c>
      <c r="H42" s="207">
        <f>SUM(H37:H40)</f>
        <v>251815.6073328252</v>
      </c>
      <c r="I42" s="207">
        <f t="shared" si="8"/>
        <v>1021466.9049313008</v>
      </c>
      <c r="J42" s="149"/>
    </row>
    <row r="43" spans="2:10">
      <c r="D43" s="37" t="s">
        <v>302</v>
      </c>
      <c r="E43" s="207">
        <f>E$41*$D$5+I32+E38</f>
        <v>251208.96134705289</v>
      </c>
      <c r="F43" s="207">
        <f>E44+F$41*$D$5+F38</f>
        <v>236203.3549328252</v>
      </c>
      <c r="G43" s="207">
        <f t="shared" ref="G43:H43" si="10">F44+G$41*$D$5+G38</f>
        <v>275328.0963328252</v>
      </c>
      <c r="H43" s="207">
        <f t="shared" si="10"/>
        <v>258119.8463328252</v>
      </c>
      <c r="I43" s="207">
        <f t="shared" si="8"/>
        <v>1020860.2589455284</v>
      </c>
      <c r="J43" s="134" t="s">
        <v>207</v>
      </c>
    </row>
    <row r="44" spans="2:10">
      <c r="D44" s="37" t="s">
        <v>323</v>
      </c>
      <c r="E44" s="207">
        <f>E41*$E$5</f>
        <v>160799.83243282518</v>
      </c>
      <c r="F44" s="207">
        <f t="shared" ref="F44:H44" si="11">F41*$E$5</f>
        <v>199924.5738328252</v>
      </c>
      <c r="G44" s="207">
        <f t="shared" si="11"/>
        <v>182716.32383282518</v>
      </c>
      <c r="H44" s="207">
        <f t="shared" si="11"/>
        <v>176412.0848328252</v>
      </c>
      <c r="I44" s="207">
        <f>H44</f>
        <v>176412.0848328252</v>
      </c>
      <c r="J44" s="151">
        <f>I42-I43-I44+I32</f>
        <v>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A0EE-3F89-4AEE-ABD5-1F7DB584DBA0}">
  <dimension ref="B1:P31"/>
  <sheetViews>
    <sheetView showGridLines="0" zoomScaleNormal="80" workbookViewId="0">
      <selection activeCell="E37" sqref="E37"/>
    </sheetView>
  </sheetViews>
  <sheetFormatPr baseColWidth="10" defaultColWidth="8.83203125" defaultRowHeight="15"/>
  <cols>
    <col min="1" max="1" width="8.83203125" style="142"/>
    <col min="2" max="2" width="23.5" style="142" customWidth="1"/>
    <col min="3" max="3" width="8.5" style="142" customWidth="1"/>
    <col min="4" max="4" width="14.33203125" style="142" bestFit="1" customWidth="1"/>
    <col min="5" max="5" width="13.33203125" style="142" bestFit="1" customWidth="1"/>
    <col min="6" max="8" width="13.1640625" style="142" bestFit="1" customWidth="1"/>
    <col min="9" max="9" width="14.83203125" style="142" bestFit="1" customWidth="1"/>
    <col min="10" max="10" width="12.1640625" style="142" bestFit="1" customWidth="1"/>
    <col min="11" max="11" width="8.83203125" style="142"/>
    <col min="12" max="12" width="12.1640625" style="142" customWidth="1"/>
    <col min="13" max="16384" width="8.83203125" style="142"/>
  </cols>
  <sheetData>
    <row r="1" spans="2:16" ht="16" thickBot="1"/>
    <row r="2" spans="2:16" ht="20" thickBot="1">
      <c r="B2" s="418" t="s">
        <v>292</v>
      </c>
      <c r="C2" s="419"/>
      <c r="D2" s="420"/>
      <c r="L2" s="239"/>
      <c r="M2" s="239"/>
      <c r="N2" s="239"/>
      <c r="O2" s="239"/>
      <c r="P2" s="239"/>
    </row>
    <row r="3" spans="2:16">
      <c r="L3" s="28"/>
      <c r="M3" s="239"/>
      <c r="N3" s="239"/>
      <c r="O3" s="239"/>
      <c r="P3" s="239"/>
    </row>
    <row r="4" spans="2:16">
      <c r="L4" s="28"/>
      <c r="M4" s="28"/>
      <c r="N4" s="239"/>
      <c r="O4" s="239"/>
      <c r="P4" s="239"/>
    </row>
    <row r="5" spans="2:16">
      <c r="B5" s="37" t="s">
        <v>293</v>
      </c>
      <c r="C5" s="208" t="s">
        <v>315</v>
      </c>
      <c r="D5" s="212" t="s">
        <v>316</v>
      </c>
      <c r="E5" s="212" t="s">
        <v>293</v>
      </c>
      <c r="F5" s="19"/>
      <c r="G5" s="19"/>
      <c r="H5" s="19"/>
      <c r="I5" s="19"/>
      <c r="L5" s="28"/>
      <c r="M5" s="239"/>
      <c r="N5" s="239"/>
      <c r="O5" s="239"/>
      <c r="P5" s="239"/>
    </row>
    <row r="6" spans="2:16">
      <c r="B6" s="37" t="s">
        <v>376</v>
      </c>
      <c r="C6" s="209">
        <v>0.23</v>
      </c>
      <c r="D6" s="38">
        <v>0.66666666666666663</v>
      </c>
      <c r="E6" s="38">
        <f>30/90</f>
        <v>0.33333333333333331</v>
      </c>
    </row>
    <row r="7" spans="2:16">
      <c r="B7" s="37" t="s">
        <v>294</v>
      </c>
      <c r="C7" s="210">
        <v>1.3</v>
      </c>
      <c r="D7" s="106"/>
      <c r="E7" s="106"/>
    </row>
    <row r="8" spans="2:16">
      <c r="B8" s="37" t="s">
        <v>295</v>
      </c>
      <c r="C8" s="211">
        <f>C7/1.23</f>
        <v>1.056910569105691</v>
      </c>
      <c r="D8" s="106"/>
      <c r="E8" s="106"/>
    </row>
    <row r="10" spans="2:16">
      <c r="D10" s="2" t="s">
        <v>20</v>
      </c>
      <c r="E10" s="37" t="s">
        <v>6</v>
      </c>
      <c r="F10" s="37" t="s">
        <v>7</v>
      </c>
      <c r="G10" s="37" t="s">
        <v>8</v>
      </c>
      <c r="H10" s="37" t="s">
        <v>9</v>
      </c>
      <c r="I10" s="37" t="s">
        <v>10</v>
      </c>
      <c r="L10" s="246"/>
    </row>
    <row r="11" spans="2:16">
      <c r="D11" s="37" t="s">
        <v>378</v>
      </c>
      <c r="E11" s="207">
        <f>C8*Procura!C13</f>
        <v>330086.9105691057</v>
      </c>
      <c r="F11" s="207">
        <f>C8*Procura!D13</f>
        <v>330085.85365853657</v>
      </c>
      <c r="G11" s="207">
        <f>C8*Procura!E13</f>
        <v>132034.55284552847</v>
      </c>
      <c r="H11" s="207">
        <f>C8*Procura!F13</f>
        <v>264069.10569105693</v>
      </c>
      <c r="I11" s="207">
        <f>SUM(E11:H11)</f>
        <v>1056276.4227642277</v>
      </c>
    </row>
    <row r="12" spans="2:16">
      <c r="D12" s="37" t="s">
        <v>87</v>
      </c>
      <c r="E12" s="207">
        <f>$C$6*E$11</f>
        <v>75919.989430894319</v>
      </c>
      <c r="F12" s="207">
        <f>$C$6*F$11</f>
        <v>75919.746341463411</v>
      </c>
      <c r="G12" s="207">
        <f>$C$6*G$11</f>
        <v>30367.947154471549</v>
      </c>
      <c r="H12" s="207">
        <f>$C$6*H$11</f>
        <v>60735.894308943098</v>
      </c>
      <c r="I12" s="207">
        <f>SUM(E12:H12)</f>
        <v>242943.57723577236</v>
      </c>
    </row>
    <row r="13" spans="2:16">
      <c r="D13" s="37" t="s">
        <v>299</v>
      </c>
      <c r="E13" s="207">
        <f>SUM(E11:E12)</f>
        <v>406006.9</v>
      </c>
      <c r="F13" s="207">
        <f>SUM(F11:F12)</f>
        <v>406005.6</v>
      </c>
      <c r="G13" s="207">
        <f>SUM(G11:G12)</f>
        <v>162402.5</v>
      </c>
      <c r="H13" s="207">
        <f>SUM(H11:H12)</f>
        <v>324805</v>
      </c>
      <c r="I13" s="207">
        <f>SUM(E13:H13)</f>
        <v>1299220</v>
      </c>
    </row>
    <row r="14" spans="2:16">
      <c r="D14" s="37" t="s">
        <v>292</v>
      </c>
      <c r="E14" s="207">
        <f>E$13*$D$6</f>
        <v>270671.26666666666</v>
      </c>
      <c r="F14" s="207">
        <f>E15+F$13*$D$6</f>
        <v>406006.03333333333</v>
      </c>
      <c r="G14" s="207">
        <f>F15+G$13*$D$6</f>
        <v>243603.53333333333</v>
      </c>
      <c r="H14" s="207">
        <f>G15+H$13*$D$6</f>
        <v>270670.83333333331</v>
      </c>
      <c r="I14" s="207">
        <f>SUM(E14:H14)</f>
        <v>1190951.6666666667</v>
      </c>
      <c r="J14" s="134"/>
    </row>
    <row r="15" spans="2:16">
      <c r="D15" s="37" t="s">
        <v>300</v>
      </c>
      <c r="E15" s="207">
        <f>E13*$E$6</f>
        <v>135335.63333333333</v>
      </c>
      <c r="F15" s="207">
        <f>F13*$E$6</f>
        <v>135335.19999999998</v>
      </c>
      <c r="G15" s="207">
        <f>G13*$E$6</f>
        <v>54134.166666666664</v>
      </c>
      <c r="H15" s="207">
        <f>H13*$E$6</f>
        <v>108268.33333333333</v>
      </c>
      <c r="I15" s="207">
        <f>H15</f>
        <v>108268.33333333333</v>
      </c>
      <c r="J15" s="151"/>
    </row>
    <row r="18" spans="2:10">
      <c r="D18" s="2" t="s">
        <v>21</v>
      </c>
      <c r="E18" s="37" t="s">
        <v>6</v>
      </c>
      <c r="F18" s="37" t="s">
        <v>7</v>
      </c>
      <c r="G18" s="37" t="s">
        <v>8</v>
      </c>
      <c r="H18" s="37" t="s">
        <v>9</v>
      </c>
      <c r="I18" s="37" t="s">
        <v>10</v>
      </c>
    </row>
    <row r="19" spans="2:10">
      <c r="D19" s="37" t="s">
        <v>102</v>
      </c>
      <c r="E19" s="207">
        <f>C8*Procura!C14</f>
        <v>346591.62601626018</v>
      </c>
      <c r="F19" s="207">
        <f>C8*Procura!D14</f>
        <v>346590.56910569104</v>
      </c>
      <c r="G19" s="207">
        <f>C8*Procura!E14</f>
        <v>138636.01626016261</v>
      </c>
      <c r="H19" s="207">
        <f>C8*Procura!F14</f>
        <v>277272.03252032521</v>
      </c>
      <c r="I19" s="207">
        <f>SUM(E19:H19)</f>
        <v>1109090.243902439</v>
      </c>
    </row>
    <row r="20" spans="2:10">
      <c r="D20" s="37" t="s">
        <v>87</v>
      </c>
      <c r="E20" s="207">
        <f>$C$6*E$19</f>
        <v>79716.073983739843</v>
      </c>
      <c r="F20" s="207">
        <f t="shared" ref="F20:H20" si="0">$C$6*F$19</f>
        <v>79715.830894308951</v>
      </c>
      <c r="G20" s="207">
        <f t="shared" si="0"/>
        <v>31886.283739837399</v>
      </c>
      <c r="H20" s="207">
        <f t="shared" si="0"/>
        <v>63772.567479674799</v>
      </c>
      <c r="I20" s="207">
        <f>SUM(E20:H20)</f>
        <v>255090.75609756101</v>
      </c>
    </row>
    <row r="21" spans="2:10">
      <c r="D21" s="37" t="s">
        <v>299</v>
      </c>
      <c r="E21" s="207">
        <f>SUM(E19:E20)</f>
        <v>426307.7</v>
      </c>
      <c r="F21" s="207">
        <f t="shared" ref="F21:H21" si="1">SUM(F19:F20)</f>
        <v>426306.4</v>
      </c>
      <c r="G21" s="207">
        <f t="shared" si="1"/>
        <v>170522.30000000002</v>
      </c>
      <c r="H21" s="207">
        <f t="shared" si="1"/>
        <v>341044.60000000003</v>
      </c>
      <c r="I21" s="207">
        <f>SUM(E21:H21)</f>
        <v>1364181.0000000002</v>
      </c>
    </row>
    <row r="22" spans="2:10">
      <c r="D22" s="37" t="s">
        <v>292</v>
      </c>
      <c r="E22" s="207">
        <f>I15+E21*$D$6</f>
        <v>392473.46666666662</v>
      </c>
      <c r="F22" s="207">
        <f>F21*$D$6+E23</f>
        <v>426306.83333333331</v>
      </c>
      <c r="G22" s="207">
        <f>G21*$D$6+F23</f>
        <v>255783.66666666669</v>
      </c>
      <c r="H22" s="207">
        <f>H21*$D$6+G23</f>
        <v>284203.83333333337</v>
      </c>
      <c r="I22" s="207">
        <f>SUM(E22:H22)</f>
        <v>1358767.7999999998</v>
      </c>
      <c r="J22" s="134"/>
    </row>
    <row r="23" spans="2:10">
      <c r="D23" s="37" t="s">
        <v>300</v>
      </c>
      <c r="E23" s="207">
        <f>E21*$E$6</f>
        <v>142102.56666666665</v>
      </c>
      <c r="F23" s="207">
        <f>F21*$E$6</f>
        <v>142102.13333333333</v>
      </c>
      <c r="G23" s="207">
        <f>G21*$E$6</f>
        <v>56840.76666666667</v>
      </c>
      <c r="H23" s="207">
        <f>H21*$E$6</f>
        <v>113681.53333333334</v>
      </c>
      <c r="I23" s="207">
        <f>H23</f>
        <v>113681.53333333334</v>
      </c>
      <c r="J23" s="151"/>
    </row>
    <row r="26" spans="2:10">
      <c r="D26" s="2" t="s">
        <v>22</v>
      </c>
      <c r="E26" s="37" t="s">
        <v>296</v>
      </c>
      <c r="F26" s="37" t="s">
        <v>324</v>
      </c>
      <c r="G26" s="37" t="s">
        <v>297</v>
      </c>
      <c r="H26" s="37" t="s">
        <v>298</v>
      </c>
      <c r="I26" s="37" t="s">
        <v>10</v>
      </c>
    </row>
    <row r="27" spans="2:10">
      <c r="D27" s="37" t="s">
        <v>102</v>
      </c>
      <c r="E27" s="207">
        <f>C8*Procura!C15</f>
        <v>363095.28455284552</v>
      </c>
      <c r="F27" s="207">
        <f>C8*Procura!D15</f>
        <v>363094.22764227644</v>
      </c>
      <c r="G27" s="207">
        <f>C8*Procura!E15</f>
        <v>145238.53658536586</v>
      </c>
      <c r="H27" s="207">
        <f>C8*Procura!F15</f>
        <v>290476.01626016258</v>
      </c>
      <c r="I27" s="207">
        <f>SUM(E27:H27)</f>
        <v>1161904.0650406503</v>
      </c>
    </row>
    <row r="28" spans="2:10">
      <c r="D28" s="37" t="s">
        <v>87</v>
      </c>
      <c r="E28" s="207">
        <f>$C$6*E$27</f>
        <v>83511.915447154475</v>
      </c>
      <c r="F28" s="207">
        <f t="shared" ref="F28:H28" si="2">$C$6*F$27</f>
        <v>83511.672357723583</v>
      </c>
      <c r="G28" s="207">
        <f t="shared" si="2"/>
        <v>33404.86341463415</v>
      </c>
      <c r="H28" s="207">
        <f t="shared" si="2"/>
        <v>66809.483739837393</v>
      </c>
      <c r="I28" s="207">
        <f>SUM(E28:H28)</f>
        <v>267237.93495934957</v>
      </c>
    </row>
    <row r="29" spans="2:10">
      <c r="D29" s="37" t="s">
        <v>299</v>
      </c>
      <c r="E29" s="207">
        <f>SUM(E27:E28)</f>
        <v>446607.2</v>
      </c>
      <c r="F29" s="207">
        <f t="shared" ref="F29:H29" si="3">SUM(F27:F28)</f>
        <v>446605.9</v>
      </c>
      <c r="G29" s="207">
        <f t="shared" si="3"/>
        <v>178643.40000000002</v>
      </c>
      <c r="H29" s="207">
        <f t="shared" si="3"/>
        <v>357285.5</v>
      </c>
      <c r="I29" s="207">
        <f>SUM(E29:H29)</f>
        <v>1429142</v>
      </c>
    </row>
    <row r="30" spans="2:10">
      <c r="D30" s="37" t="s">
        <v>292</v>
      </c>
      <c r="E30" s="207">
        <f>I23+E29*$D$6</f>
        <v>411419.66666666663</v>
      </c>
      <c r="F30" s="207">
        <f>F29*$D$6+E31</f>
        <v>446606.33333333331</v>
      </c>
      <c r="G30" s="207">
        <f>G29*$D$6+F31</f>
        <v>267964.23333333334</v>
      </c>
      <c r="H30" s="207">
        <f>H29*$D$6+G31</f>
        <v>297738.1333333333</v>
      </c>
      <c r="I30" s="207">
        <f t="shared" ref="I30" si="4">SUM(E30:H30)</f>
        <v>1423728.3666666667</v>
      </c>
      <c r="J30" s="134"/>
    </row>
    <row r="31" spans="2:10">
      <c r="B31" s="1"/>
      <c r="D31" s="37" t="s">
        <v>300</v>
      </c>
      <c r="E31" s="207">
        <f>E29*$E$6</f>
        <v>148869.06666666665</v>
      </c>
      <c r="F31" s="207">
        <f>F29*$E$6</f>
        <v>148868.63333333333</v>
      </c>
      <c r="G31" s="207">
        <f>G29*$E$6</f>
        <v>59547.8</v>
      </c>
      <c r="H31" s="207">
        <f>H29*$E$6</f>
        <v>119095.16666666666</v>
      </c>
      <c r="I31" s="207">
        <f>H31</f>
        <v>119095.16666666666</v>
      </c>
      <c r="J31" s="151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2E9D-223F-42B0-8E8F-DB826BE1A4B5}">
  <dimension ref="B1:S49"/>
  <sheetViews>
    <sheetView showGridLines="0" topLeftCell="A17" zoomScale="70" zoomScaleNormal="70" workbookViewId="0">
      <selection activeCell="B39" sqref="B39"/>
    </sheetView>
  </sheetViews>
  <sheetFormatPr baseColWidth="10" defaultColWidth="8.83203125" defaultRowHeight="15"/>
  <cols>
    <col min="4" max="4" width="14.5" bestFit="1" customWidth="1"/>
    <col min="5" max="5" width="14.83203125" bestFit="1" customWidth="1"/>
    <col min="6" max="6" width="15.1640625" bestFit="1" customWidth="1"/>
    <col min="7" max="7" width="13.83203125" bestFit="1" customWidth="1"/>
    <col min="8" max="8" width="29.1640625" bestFit="1" customWidth="1"/>
    <col min="9" max="9" width="14" bestFit="1" customWidth="1"/>
  </cols>
  <sheetData>
    <row r="1" spans="2:8" s="239" customFormat="1"/>
    <row r="2" spans="2:8" s="239" customFormat="1"/>
    <row r="4" spans="2:8">
      <c r="B4" s="405"/>
      <c r="C4" s="407"/>
      <c r="D4" s="37" t="s">
        <v>333</v>
      </c>
      <c r="F4" s="37" t="s">
        <v>428</v>
      </c>
      <c r="G4" s="6" t="s">
        <v>429</v>
      </c>
      <c r="H4" s="6"/>
    </row>
    <row r="5" spans="2:8">
      <c r="B5" s="427" t="s">
        <v>329</v>
      </c>
      <c r="C5" s="427"/>
      <c r="D5" s="6">
        <v>23</v>
      </c>
    </row>
    <row r="6" spans="2:8">
      <c r="B6" s="427" t="s">
        <v>332</v>
      </c>
      <c r="C6" s="427"/>
      <c r="D6" s="6">
        <v>23</v>
      </c>
    </row>
    <row r="7" spans="2:8">
      <c r="B7" s="243" t="s">
        <v>330</v>
      </c>
      <c r="C7" s="243"/>
      <c r="D7" s="6">
        <v>23</v>
      </c>
    </row>
    <row r="8" spans="2:8">
      <c r="B8" s="427" t="s">
        <v>331</v>
      </c>
      <c r="C8" s="427"/>
      <c r="D8" s="378" t="s">
        <v>379</v>
      </c>
    </row>
    <row r="9" spans="2:8" ht="16" thickBot="1"/>
    <row r="10" spans="2:8" ht="16" thickBot="1">
      <c r="B10" s="424" t="s">
        <v>20</v>
      </c>
      <c r="C10" s="425"/>
      <c r="D10" s="425"/>
      <c r="E10" s="426"/>
    </row>
    <row r="12" spans="2:8">
      <c r="B12" s="405"/>
      <c r="C12" s="407"/>
      <c r="D12" s="37" t="s">
        <v>6</v>
      </c>
      <c r="E12" s="37" t="s">
        <v>7</v>
      </c>
      <c r="F12" s="37" t="s">
        <v>8</v>
      </c>
      <c r="G12" s="37" t="s">
        <v>9</v>
      </c>
      <c r="H12" s="37" t="s">
        <v>10</v>
      </c>
    </row>
    <row r="13" spans="2:8">
      <c r="B13" s="384" t="s">
        <v>329</v>
      </c>
      <c r="C13" s="384"/>
      <c r="D13" s="240">
        <f>Recebimentos!E12</f>
        <v>75919.989430894319</v>
      </c>
      <c r="E13" s="240">
        <f>Recebimentos!F12</f>
        <v>75919.746341463411</v>
      </c>
      <c r="F13" s="240">
        <f>Recebimentos!G12</f>
        <v>30367.947154471549</v>
      </c>
      <c r="G13" s="240">
        <f>Recebimentos!H12</f>
        <v>60735.894308943098</v>
      </c>
      <c r="H13" s="240">
        <f>Recebimentos!I12</f>
        <v>242943.57723577236</v>
      </c>
    </row>
    <row r="14" spans="2:8">
      <c r="B14" s="37" t="s">
        <v>334</v>
      </c>
      <c r="C14" s="37"/>
      <c r="D14" s="240">
        <f>D13</f>
        <v>75919.989430894319</v>
      </c>
      <c r="E14" s="240">
        <f t="shared" ref="E14:H14" si="0">E13</f>
        <v>75919.746341463411</v>
      </c>
      <c r="F14" s="240">
        <f t="shared" si="0"/>
        <v>30367.947154471549</v>
      </c>
      <c r="G14" s="240">
        <f t="shared" si="0"/>
        <v>60735.894308943098</v>
      </c>
      <c r="H14" s="240">
        <f t="shared" si="0"/>
        <v>242943.57723577236</v>
      </c>
    </row>
    <row r="15" spans="2:8">
      <c r="B15" s="422" t="s">
        <v>332</v>
      </c>
      <c r="C15" s="422"/>
      <c r="D15" s="240">
        <f>AFT!E21</f>
        <v>50861.788617886181</v>
      </c>
      <c r="E15" s="240">
        <f>AFT!F21</f>
        <v>1421.1382113821139</v>
      </c>
      <c r="F15" s="240">
        <f>AFT!G21</f>
        <v>0</v>
      </c>
      <c r="G15" s="240">
        <f>AFT!H21</f>
        <v>0</v>
      </c>
      <c r="H15" s="240">
        <f>AFT!I21</f>
        <v>52282.926829268297</v>
      </c>
    </row>
    <row r="16" spans="2:8">
      <c r="B16" s="422" t="s">
        <v>335</v>
      </c>
      <c r="C16" s="422"/>
      <c r="D16" s="240">
        <f>'MD+Fase de Produção+Compras'!M35</f>
        <v>15929.272402439019</v>
      </c>
      <c r="E16" s="240">
        <f>'MD+Fase de Produção+Compras'!N35</f>
        <v>15929.272402439019</v>
      </c>
      <c r="F16" s="240">
        <f>'MD+Fase de Produção+Compras'!P35</f>
        <v>13478.615109756094</v>
      </c>
      <c r="G16" s="240">
        <f>'MD+Fase de Produção+Compras'!R35</f>
        <v>9557.5634414634187</v>
      </c>
      <c r="H16" s="240">
        <f>'MD+Fase de Produção+Compras'!T35</f>
        <v>54894.723356097551</v>
      </c>
    </row>
    <row r="17" spans="2:19">
      <c r="B17" s="422" t="s">
        <v>331</v>
      </c>
      <c r="C17" s="422"/>
      <c r="D17" s="240">
        <f>FSE!E19</f>
        <v>24404.144500000002</v>
      </c>
      <c r="E17" s="240">
        <f>FSE!F19</f>
        <v>23104.633000000002</v>
      </c>
      <c r="F17" s="240">
        <f>FSE!G19</f>
        <v>20673.2225</v>
      </c>
      <c r="G17" s="240">
        <f>FSE!H19</f>
        <v>22093.898000000001</v>
      </c>
      <c r="H17" s="240">
        <f>FSE!I19</f>
        <v>90275.898000000001</v>
      </c>
    </row>
    <row r="18" spans="2:19">
      <c r="B18" s="421" t="s">
        <v>336</v>
      </c>
      <c r="C18" s="421"/>
      <c r="D18" s="240">
        <f>SUM(D15:D17)</f>
        <v>91195.205520325195</v>
      </c>
      <c r="E18" s="240">
        <f t="shared" ref="E18:H18" si="1">SUM(E15:E17)</f>
        <v>40455.043613821137</v>
      </c>
      <c r="F18" s="240">
        <f t="shared" si="1"/>
        <v>34151.837609756098</v>
      </c>
      <c r="G18" s="240">
        <f t="shared" si="1"/>
        <v>31651.46144146342</v>
      </c>
      <c r="H18" s="240">
        <f t="shared" si="1"/>
        <v>197453.54818536586</v>
      </c>
    </row>
    <row r="19" spans="2:19">
      <c r="B19" s="423" t="s">
        <v>337</v>
      </c>
      <c r="C19" s="423"/>
      <c r="D19" s="240">
        <f>D13-D18</f>
        <v>-15275.216089430876</v>
      </c>
      <c r="E19" s="240">
        <f>E13-E18</f>
        <v>35464.702727642274</v>
      </c>
      <c r="F19" s="240">
        <f t="shared" ref="F19" si="2">F13-F18</f>
        <v>-3783.8904552845488</v>
      </c>
      <c r="G19" s="240">
        <f>G13-G18</f>
        <v>29084.432867479678</v>
      </c>
      <c r="H19" s="240">
        <f>H13-H18</f>
        <v>45490.029050406505</v>
      </c>
    </row>
    <row r="20" spans="2:19">
      <c r="B20" s="37" t="s">
        <v>338</v>
      </c>
      <c r="C20" s="37"/>
      <c r="D20" s="240">
        <f>0</f>
        <v>0</v>
      </c>
      <c r="E20" s="240">
        <f>IF(D21&lt;0,0,D21)</f>
        <v>0</v>
      </c>
      <c r="F20" s="240">
        <f>IF(E21&lt;0,0,E21)</f>
        <v>20189.486638211398</v>
      </c>
      <c r="G20" s="240">
        <f>IF(F21&lt;0,0,F21)</f>
        <v>0</v>
      </c>
      <c r="H20" s="240">
        <f>SUM(D20:G20)</f>
        <v>20189.486638211398</v>
      </c>
    </row>
    <row r="21" spans="2:19">
      <c r="B21" s="421" t="s">
        <v>339</v>
      </c>
      <c r="C21" s="421"/>
      <c r="D21" s="240">
        <f>D19</f>
        <v>-15275.216089430876</v>
      </c>
      <c r="E21" s="240">
        <f>D21+E19-E20</f>
        <v>20189.486638211398</v>
      </c>
      <c r="F21" s="240">
        <f>E21+F19-F20</f>
        <v>-3783.8904552845488</v>
      </c>
      <c r="G21" s="240">
        <f>F21+G19-G20</f>
        <v>25300.542412195129</v>
      </c>
      <c r="H21" s="240">
        <f>G21</f>
        <v>25300.542412195129</v>
      </c>
      <c r="I21" s="154"/>
    </row>
    <row r="22" spans="2:19">
      <c r="E22" s="150"/>
      <c r="H22" s="154"/>
    </row>
    <row r="23" spans="2:19" ht="16" thickBot="1"/>
    <row r="24" spans="2:19" ht="16" thickBot="1">
      <c r="B24" s="424" t="s">
        <v>21</v>
      </c>
      <c r="C24" s="425"/>
      <c r="D24" s="425"/>
      <c r="E24" s="426"/>
      <c r="F24" s="150"/>
      <c r="G24" s="150"/>
    </row>
    <row r="25" spans="2:19">
      <c r="B25" s="150"/>
      <c r="C25" s="150"/>
      <c r="D25" s="150"/>
      <c r="E25" s="150"/>
      <c r="F25" s="150"/>
      <c r="G25" s="150"/>
      <c r="S25" s="380"/>
    </row>
    <row r="26" spans="2:19">
      <c r="B26" s="150"/>
      <c r="C26" s="150"/>
      <c r="D26" s="37" t="s">
        <v>6</v>
      </c>
      <c r="E26" s="37" t="s">
        <v>7</v>
      </c>
      <c r="F26" s="37" t="s">
        <v>8</v>
      </c>
      <c r="G26" s="37" t="s">
        <v>9</v>
      </c>
      <c r="H26" s="37" t="s">
        <v>10</v>
      </c>
    </row>
    <row r="27" spans="2:19">
      <c r="B27" s="379" t="s">
        <v>329</v>
      </c>
      <c r="C27" s="379"/>
      <c r="D27" s="240">
        <f>Recebimentos!E20</f>
        <v>79716.073983739843</v>
      </c>
      <c r="E27" s="240">
        <f>Recebimentos!F20</f>
        <v>79715.830894308951</v>
      </c>
      <c r="F27" s="240">
        <f>Recebimentos!G20</f>
        <v>31886.283739837399</v>
      </c>
      <c r="G27" s="240">
        <f>Recebimentos!H20</f>
        <v>63772.567479674799</v>
      </c>
      <c r="H27" s="240">
        <f>Recebimentos!I20</f>
        <v>255090.75609756101</v>
      </c>
    </row>
    <row r="28" spans="2:19">
      <c r="B28" s="37" t="s">
        <v>334</v>
      </c>
      <c r="C28" s="37"/>
      <c r="D28" s="240">
        <f>D27</f>
        <v>79716.073983739843</v>
      </c>
      <c r="E28" s="240">
        <f t="shared" ref="E28" si="3">E27</f>
        <v>79715.830894308951</v>
      </c>
      <c r="F28" s="240">
        <f t="shared" ref="F28" si="4">F27</f>
        <v>31886.283739837399</v>
      </c>
      <c r="G28" s="240">
        <f t="shared" ref="G28:H28" si="5">G27</f>
        <v>63772.567479674799</v>
      </c>
      <c r="H28" s="240">
        <f t="shared" si="5"/>
        <v>255090.75609756101</v>
      </c>
    </row>
    <row r="29" spans="2:19">
      <c r="B29" s="422" t="s">
        <v>332</v>
      </c>
      <c r="C29" s="422"/>
      <c r="D29" s="240">
        <f>AFT!E29</f>
        <v>0</v>
      </c>
      <c r="E29" s="240">
        <f>AFT!F29</f>
        <v>1065.8536585365853</v>
      </c>
      <c r="F29" s="240">
        <f>AFT!G29</f>
        <v>0</v>
      </c>
      <c r="G29" s="240">
        <f>AFT!H29</f>
        <v>0</v>
      </c>
      <c r="H29" s="240">
        <f>AFT!I29</f>
        <v>1065.8536585365853</v>
      </c>
    </row>
    <row r="30" spans="2:19">
      <c r="B30" s="422" t="s">
        <v>335</v>
      </c>
      <c r="C30" s="422"/>
      <c r="D30" s="240">
        <f>'MD+Fase de Produção+Compras'!D54</f>
        <v>15929.272402439019</v>
      </c>
      <c r="E30" s="240">
        <f>'MD+Fase de Produção+Compras'!E54</f>
        <v>15929.272402439019</v>
      </c>
      <c r="F30" s="240">
        <f>'MD+Fase de Produção+Compras'!G54</f>
        <v>13478.615109756094</v>
      </c>
      <c r="G30" s="240">
        <f>'MD+Fase de Produção+Compras'!I54</f>
        <v>9557.5634414634187</v>
      </c>
      <c r="H30" s="240">
        <f>'MD+Fase de Produção+Compras'!K54</f>
        <v>54894.723356097551</v>
      </c>
    </row>
    <row r="31" spans="2:19">
      <c r="B31" s="422" t="s">
        <v>331</v>
      </c>
      <c r="C31" s="422"/>
      <c r="D31" s="240">
        <f>FSE!E37</f>
        <v>23433.728500000001</v>
      </c>
      <c r="E31" s="240">
        <f>FSE!F37</f>
        <v>23284.217000000001</v>
      </c>
      <c r="F31" s="240">
        <f>FSE!G37</f>
        <v>20745.051499999998</v>
      </c>
      <c r="G31" s="240">
        <f>FSE!H37</f>
        <v>22237.556</v>
      </c>
      <c r="H31" s="240">
        <f>FSE!I37</f>
        <v>89700.553</v>
      </c>
    </row>
    <row r="32" spans="2:19">
      <c r="B32" s="421" t="s">
        <v>336</v>
      </c>
      <c r="C32" s="421"/>
      <c r="D32" s="240">
        <f>SUM(D29:D31)</f>
        <v>39363.000902439016</v>
      </c>
      <c r="E32" s="240">
        <f t="shared" ref="E32" si="6">SUM(E29:E31)</f>
        <v>40279.343060975603</v>
      </c>
      <c r="F32" s="240">
        <f t="shared" ref="F32" si="7">SUM(F29:F31)</f>
        <v>34223.666609756096</v>
      </c>
      <c r="G32" s="240">
        <f t="shared" ref="G32:H32" si="8">SUM(G29:G31)</f>
        <v>31795.119441463419</v>
      </c>
      <c r="H32" s="240">
        <f t="shared" si="8"/>
        <v>145661.13001463414</v>
      </c>
      <c r="I32" s="154"/>
    </row>
    <row r="33" spans="2:9">
      <c r="B33" s="423" t="s">
        <v>337</v>
      </c>
      <c r="C33" s="423"/>
      <c r="D33" s="240">
        <f>D27-D32</f>
        <v>40353.073081300827</v>
      </c>
      <c r="E33" s="240">
        <f t="shared" ref="E33" si="9">E27-E32</f>
        <v>39436.487833333347</v>
      </c>
      <c r="F33" s="240">
        <f t="shared" ref="F33" si="10">F27-F32</f>
        <v>-2337.3828699186961</v>
      </c>
      <c r="G33" s="240">
        <f>G27-G32</f>
        <v>31977.44803821138</v>
      </c>
      <c r="H33" s="240">
        <f>H27-H32</f>
        <v>109429.62608292687</v>
      </c>
    </row>
    <row r="34" spans="2:9">
      <c r="B34" s="37" t="s">
        <v>338</v>
      </c>
      <c r="C34" s="37"/>
      <c r="D34" s="240">
        <f>IF(G21&lt;0,0,G21)</f>
        <v>25300.542412195129</v>
      </c>
      <c r="E34" s="240">
        <f>IF(D33&lt;0,0,D33)</f>
        <v>40353.073081300827</v>
      </c>
      <c r="F34" s="240">
        <f>IF(E33&lt;0,0,E33)</f>
        <v>39436.487833333347</v>
      </c>
      <c r="G34" s="240">
        <f t="shared" ref="G34" si="11">IF(F33&lt;0,0,F33)</f>
        <v>0</v>
      </c>
      <c r="H34" s="240">
        <f>SUM(D34:G34)</f>
        <v>105090.1033268293</v>
      </c>
    </row>
    <row r="35" spans="2:9">
      <c r="B35" s="421" t="s">
        <v>339</v>
      </c>
      <c r="C35" s="421"/>
      <c r="D35" s="240">
        <f>G21+D33-D34</f>
        <v>40353.073081300819</v>
      </c>
      <c r="E35" s="240">
        <f>D35+E33-E34</f>
        <v>39436.487833333347</v>
      </c>
      <c r="F35" s="240">
        <f>E35+F33-F34</f>
        <v>-2337.3828699186997</v>
      </c>
      <c r="G35" s="240">
        <f>F35+G33-G34</f>
        <v>29640.06516829268</v>
      </c>
      <c r="H35" s="240">
        <f>G35</f>
        <v>29640.06516829268</v>
      </c>
      <c r="I35" s="154"/>
    </row>
    <row r="37" spans="2:9" ht="16" thickBot="1"/>
    <row r="38" spans="2:9" ht="16" thickBot="1">
      <c r="B38" s="424" t="s">
        <v>22</v>
      </c>
      <c r="C38" s="425"/>
      <c r="D38" s="425"/>
      <c r="E38" s="426"/>
      <c r="F38" s="150"/>
      <c r="G38" s="150"/>
      <c r="H38" s="150"/>
      <c r="I38" s="150"/>
    </row>
    <row r="39" spans="2:9">
      <c r="B39" s="150"/>
      <c r="C39" s="150"/>
      <c r="D39" s="150"/>
      <c r="E39" s="150"/>
      <c r="F39" s="150"/>
      <c r="G39" s="150"/>
      <c r="H39" s="150"/>
      <c r="I39" s="150"/>
    </row>
    <row r="40" spans="2:9">
      <c r="B40" s="150"/>
      <c r="C40" s="150"/>
      <c r="D40" s="37" t="s">
        <v>6</v>
      </c>
      <c r="E40" s="37" t="s">
        <v>7</v>
      </c>
      <c r="F40" s="37" t="s">
        <v>8</v>
      </c>
      <c r="G40" s="37" t="s">
        <v>9</v>
      </c>
      <c r="H40" s="37" t="s">
        <v>10</v>
      </c>
      <c r="I40" s="150"/>
    </row>
    <row r="41" spans="2:9">
      <c r="B41" s="379" t="s">
        <v>329</v>
      </c>
      <c r="C41" s="379"/>
      <c r="D41" s="240">
        <f>Recebimentos!E28</f>
        <v>83511.915447154475</v>
      </c>
      <c r="E41" s="240">
        <f>Recebimentos!F28</f>
        <v>83511.672357723583</v>
      </c>
      <c r="F41" s="240">
        <f>Recebimentos!G28</f>
        <v>33404.86341463415</v>
      </c>
      <c r="G41" s="240">
        <f>Recebimentos!H28</f>
        <v>66809.483739837393</v>
      </c>
      <c r="H41" s="240">
        <f>Recebimentos!I28</f>
        <v>267237.93495934957</v>
      </c>
      <c r="I41" s="150"/>
    </row>
    <row r="42" spans="2:9">
      <c r="B42" s="37" t="s">
        <v>334</v>
      </c>
      <c r="C42" s="37"/>
      <c r="D42" s="240">
        <f>D41</f>
        <v>83511.915447154475</v>
      </c>
      <c r="E42" s="240">
        <f t="shared" ref="E42" si="12">E41</f>
        <v>83511.672357723583</v>
      </c>
      <c r="F42" s="240">
        <f t="shared" ref="F42" si="13">F41</f>
        <v>33404.86341463415</v>
      </c>
      <c r="G42" s="240">
        <f t="shared" ref="G42" si="14">G41</f>
        <v>66809.483739837393</v>
      </c>
      <c r="H42" s="240">
        <f t="shared" ref="H42" si="15">H41</f>
        <v>267237.93495934957</v>
      </c>
      <c r="I42" s="150"/>
    </row>
    <row r="43" spans="2:9">
      <c r="B43" s="422" t="s">
        <v>332</v>
      </c>
      <c r="C43" s="422"/>
      <c r="D43" s="240">
        <f>AFT!E37</f>
        <v>0</v>
      </c>
      <c r="E43" s="240">
        <f>AFT!F37</f>
        <v>1065.8536585365853</v>
      </c>
      <c r="F43" s="240">
        <f>AFT!G37</f>
        <v>0</v>
      </c>
      <c r="G43" s="240">
        <f>AFT!H37</f>
        <v>0</v>
      </c>
      <c r="H43" s="240">
        <f>AFT!I37</f>
        <v>1065.8536585365853</v>
      </c>
      <c r="I43" s="150"/>
    </row>
    <row r="44" spans="2:9">
      <c r="B44" s="422" t="s">
        <v>335</v>
      </c>
      <c r="C44" s="422"/>
      <c r="D44" s="240">
        <f>'MD+Fase de Produção+Compras'!D74</f>
        <v>15929.272402439019</v>
      </c>
      <c r="E44" s="240">
        <f>'MD+Fase de Produção+Compras'!E74</f>
        <v>15929.272402439019</v>
      </c>
      <c r="F44" s="240">
        <f>'MD+Fase de Produção+Compras'!G74</f>
        <v>13478.615109756094</v>
      </c>
      <c r="G44" s="240">
        <f>'MD+Fase de Produção+Compras'!I74</f>
        <v>9557.5634414634187</v>
      </c>
      <c r="H44" s="240">
        <f>'MD+Fase de Produção+Compras'!K74</f>
        <v>54894.723356097551</v>
      </c>
      <c r="I44" s="150"/>
    </row>
    <row r="45" spans="2:9">
      <c r="B45" s="422" t="s">
        <v>331</v>
      </c>
      <c r="C45" s="422"/>
      <c r="D45" s="240">
        <f>FSE!E55</f>
        <v>23613.300999999999</v>
      </c>
      <c r="E45" s="240">
        <f>FSE!F55</f>
        <v>23463.789499999999</v>
      </c>
      <c r="F45" s="240">
        <f>FSE!G55</f>
        <v>20816.892</v>
      </c>
      <c r="G45" s="240">
        <f>FSE!H55</f>
        <v>22381.2255</v>
      </c>
      <c r="H45" s="240">
        <f>FSE!I55</f>
        <v>90275.207999999999</v>
      </c>
      <c r="I45" s="150"/>
    </row>
    <row r="46" spans="2:9">
      <c r="B46" s="421" t="s">
        <v>336</v>
      </c>
      <c r="C46" s="421"/>
      <c r="D46" s="240">
        <f>SUM(D43:D45)</f>
        <v>39542.573402439019</v>
      </c>
      <c r="E46" s="240">
        <f t="shared" ref="E46" si="16">SUM(E43:E45)</f>
        <v>40458.915560975598</v>
      </c>
      <c r="F46" s="240">
        <f t="shared" ref="F46" si="17">SUM(F43:F45)</f>
        <v>34295.507109756094</v>
      </c>
      <c r="G46" s="240">
        <f t="shared" ref="G46" si="18">SUM(G43:G45)</f>
        <v>31938.788941463419</v>
      </c>
      <c r="H46" s="240">
        <f t="shared" ref="H46" si="19">SUM(H43:H45)</f>
        <v>146235.78501463414</v>
      </c>
      <c r="I46" s="154"/>
    </row>
    <row r="47" spans="2:9">
      <c r="B47" s="423" t="s">
        <v>337</v>
      </c>
      <c r="C47" s="423"/>
      <c r="D47" s="240">
        <f>D41-D46</f>
        <v>43969.342044715457</v>
      </c>
      <c r="E47" s="240">
        <f t="shared" ref="E47" si="20">E41-E46</f>
        <v>43052.756796747984</v>
      </c>
      <c r="F47" s="240">
        <f t="shared" ref="F47" si="21">F41-F46</f>
        <v>-890.64369512194389</v>
      </c>
      <c r="G47" s="240">
        <f>G41-G46</f>
        <v>34870.694798373974</v>
      </c>
      <c r="H47" s="240">
        <f>H41-H46</f>
        <v>121002.14994471543</v>
      </c>
      <c r="I47" s="150"/>
    </row>
    <row r="48" spans="2:9">
      <c r="B48" s="37" t="s">
        <v>338</v>
      </c>
      <c r="C48" s="37"/>
      <c r="D48" s="240">
        <f>IF(G35&lt;0,0,G35)</f>
        <v>29640.06516829268</v>
      </c>
      <c r="E48" s="240">
        <f>IF(D47&lt;0,0,D47)</f>
        <v>43969.342044715457</v>
      </c>
      <c r="F48" s="240">
        <f>IF(E47&lt;0,0,E47)</f>
        <v>43052.756796747984</v>
      </c>
      <c r="G48" s="240">
        <f t="shared" ref="G48" si="22">IF(F47&lt;0,0,F47)</f>
        <v>0</v>
      </c>
      <c r="H48" s="240">
        <f>SUM(D48:G48)</f>
        <v>116662.16400975612</v>
      </c>
      <c r="I48" s="150"/>
    </row>
    <row r="49" spans="2:9">
      <c r="B49" s="421" t="s">
        <v>339</v>
      </c>
      <c r="C49" s="421"/>
      <c r="D49" s="240">
        <f>G35+D47-D48</f>
        <v>43969.342044715449</v>
      </c>
      <c r="E49" s="240">
        <f>D49+E47-E48</f>
        <v>43052.756796747977</v>
      </c>
      <c r="F49" s="240">
        <f t="shared" ref="F49" si="23">E49+F47-F48</f>
        <v>-890.64369512195117</v>
      </c>
      <c r="G49" s="240">
        <f>F49+G47-G48</f>
        <v>33980.051103252023</v>
      </c>
      <c r="H49" s="240">
        <f>G49</f>
        <v>33980.051103252023</v>
      </c>
      <c r="I49" s="154"/>
    </row>
  </sheetData>
  <mergeCells count="26">
    <mergeCell ref="B18:C18"/>
    <mergeCell ref="B19:C19"/>
    <mergeCell ref="B21:C21"/>
    <mergeCell ref="B24:E24"/>
    <mergeCell ref="B12:C12"/>
    <mergeCell ref="B8:C8"/>
    <mergeCell ref="B10:E10"/>
    <mergeCell ref="B15:C15"/>
    <mergeCell ref="B16:C16"/>
    <mergeCell ref="B17:C17"/>
    <mergeCell ref="B4:C4"/>
    <mergeCell ref="B49:C49"/>
    <mergeCell ref="B30:C30"/>
    <mergeCell ref="B31:C31"/>
    <mergeCell ref="B32:C32"/>
    <mergeCell ref="B33:C33"/>
    <mergeCell ref="B35:C35"/>
    <mergeCell ref="B38:E38"/>
    <mergeCell ref="B43:C43"/>
    <mergeCell ref="B44:C44"/>
    <mergeCell ref="B45:C45"/>
    <mergeCell ref="B46:C46"/>
    <mergeCell ref="B47:C47"/>
    <mergeCell ref="B29:C29"/>
    <mergeCell ref="B5:C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2F98-015E-4C51-BC4E-A253C8471E05}">
  <dimension ref="B1:W78"/>
  <sheetViews>
    <sheetView showGridLines="0" zoomScale="70" zoomScaleNormal="70" workbookViewId="0">
      <selection activeCell="B62" sqref="B62"/>
    </sheetView>
  </sheetViews>
  <sheetFormatPr baseColWidth="10" defaultColWidth="8.83203125" defaultRowHeight="15"/>
  <cols>
    <col min="2" max="2" width="9.33203125" bestFit="1" customWidth="1"/>
    <col min="3" max="3" width="22.1640625" customWidth="1"/>
    <col min="4" max="4" width="17.5" customWidth="1"/>
    <col min="5" max="5" width="10.1640625" bestFit="1" customWidth="1"/>
    <col min="6" max="6" width="8.83203125" customWidth="1"/>
    <col min="7" max="8" width="9" bestFit="1" customWidth="1"/>
    <col min="11" max="11" width="10.5" customWidth="1"/>
    <col min="12" max="12" width="8.6640625" bestFit="1" customWidth="1"/>
    <col min="13" max="13" width="13.33203125" bestFit="1" customWidth="1"/>
    <col min="14" max="15" width="8.6640625" bestFit="1" customWidth="1"/>
    <col min="16" max="16" width="9.83203125" customWidth="1"/>
    <col min="17" max="17" width="8.83203125" customWidth="1"/>
    <col min="19" max="19" width="11" customWidth="1"/>
    <col min="20" max="20" width="14.1640625" customWidth="1"/>
    <col min="21" max="21" width="8.5" customWidth="1"/>
    <col min="22" max="22" width="12" customWidth="1"/>
    <col min="23" max="23" width="14.5" bestFit="1" customWidth="1"/>
  </cols>
  <sheetData>
    <row r="1" spans="2:23" ht="16" thickBot="1"/>
    <row r="2" spans="2:23" ht="20" thickBot="1">
      <c r="B2" s="418" t="s">
        <v>89</v>
      </c>
      <c r="C2" s="419"/>
      <c r="D2" s="420"/>
    </row>
    <row r="3" spans="2:23" ht="16" thickBot="1"/>
    <row r="4" spans="2:23" ht="16" thickBot="1">
      <c r="B4" s="437" t="s">
        <v>111</v>
      </c>
      <c r="C4" s="438"/>
      <c r="D4" s="438"/>
      <c r="E4" s="438"/>
      <c r="F4" s="438"/>
      <c r="G4" s="439"/>
    </row>
    <row r="5" spans="2:23" ht="17" thickBot="1">
      <c r="B5" s="441" t="s">
        <v>114</v>
      </c>
      <c r="C5" s="442"/>
      <c r="D5" s="442"/>
      <c r="E5" s="442"/>
      <c r="F5" s="442"/>
      <c r="G5" s="443"/>
      <c r="R5" s="444" t="s">
        <v>27</v>
      </c>
      <c r="S5" s="444"/>
      <c r="T5" s="444"/>
      <c r="U5" s="158" t="s">
        <v>375</v>
      </c>
      <c r="V5" s="158" t="s">
        <v>24</v>
      </c>
      <c r="W5" s="158" t="s">
        <v>25</v>
      </c>
    </row>
    <row r="6" spans="2:23">
      <c r="R6" s="427" t="s">
        <v>31</v>
      </c>
      <c r="S6" s="427"/>
      <c r="T6" s="427"/>
      <c r="U6" s="16">
        <v>8</v>
      </c>
      <c r="V6" s="17">
        <v>9.2500000000000004E-4</v>
      </c>
      <c r="W6" s="202">
        <f>V6*10</f>
        <v>9.2500000000000013E-3</v>
      </c>
    </row>
    <row r="7" spans="2:23">
      <c r="R7" s="427" t="s">
        <v>32</v>
      </c>
      <c r="S7" s="427"/>
      <c r="T7" s="427"/>
      <c r="U7" s="16">
        <v>7</v>
      </c>
      <c r="V7" s="17">
        <v>1.11E-4</v>
      </c>
      <c r="W7" s="202">
        <f>V7*10</f>
        <v>1.1100000000000001E-3</v>
      </c>
    </row>
    <row r="8" spans="2:23">
      <c r="B8" s="423" t="s">
        <v>90</v>
      </c>
      <c r="C8" s="423"/>
      <c r="D8" s="423" t="s">
        <v>91</v>
      </c>
      <c r="E8" s="423"/>
      <c r="F8" s="423"/>
      <c r="G8" s="423"/>
      <c r="I8" s="405" t="s">
        <v>94</v>
      </c>
      <c r="J8" s="406"/>
      <c r="K8" s="407"/>
      <c r="L8" s="37" t="s">
        <v>107</v>
      </c>
      <c r="M8" s="37" t="s">
        <v>108</v>
      </c>
      <c r="N8" s="37" t="s">
        <v>109</v>
      </c>
      <c r="O8" s="37" t="s">
        <v>110</v>
      </c>
      <c r="P8" s="37" t="s">
        <v>10</v>
      </c>
      <c r="R8" s="427" t="s">
        <v>33</v>
      </c>
      <c r="S8" s="427"/>
      <c r="T8" s="427"/>
      <c r="U8" s="16">
        <v>2</v>
      </c>
      <c r="V8" s="17">
        <v>4.0700000000000003E-4</v>
      </c>
      <c r="W8" s="202">
        <f>V8*10</f>
        <v>4.0700000000000007E-3</v>
      </c>
    </row>
    <row r="9" spans="2:23">
      <c r="B9" s="423" t="s">
        <v>104</v>
      </c>
      <c r="C9" s="423"/>
      <c r="D9" s="37">
        <f>10*5*13</f>
        <v>650</v>
      </c>
      <c r="E9" s="37">
        <f>10*5*13</f>
        <v>650</v>
      </c>
      <c r="F9" s="37">
        <f>10*5*11</f>
        <v>550</v>
      </c>
      <c r="G9" s="37">
        <f>10*5*13</f>
        <v>650</v>
      </c>
      <c r="I9" s="189" t="s">
        <v>105</v>
      </c>
      <c r="J9" s="440" t="s">
        <v>104</v>
      </c>
      <c r="K9" s="440"/>
      <c r="L9" s="187">
        <f>$G$13*D9/$F$11</f>
        <v>3178500</v>
      </c>
      <c r="M9" s="187">
        <f t="shared" ref="M9:N9" si="0">$G$13*E9/$F$11</f>
        <v>3178500</v>
      </c>
      <c r="N9" s="187">
        <f t="shared" si="0"/>
        <v>2689500</v>
      </c>
      <c r="O9" s="187">
        <f>$G$13*G9/$F$11*0.6</f>
        <v>1907100</v>
      </c>
      <c r="P9" s="187">
        <f>SUM(L9:O9)</f>
        <v>10953600</v>
      </c>
      <c r="R9" s="427" t="s">
        <v>34</v>
      </c>
      <c r="S9" s="427"/>
      <c r="T9" s="427"/>
      <c r="U9" s="16">
        <v>2</v>
      </c>
      <c r="V9" s="17">
        <v>2.7999999999999998E-4</v>
      </c>
      <c r="W9" s="202">
        <f>V9*10</f>
        <v>2.7999999999999995E-3</v>
      </c>
    </row>
    <row r="10" spans="2:23">
      <c r="I10" s="2" t="s">
        <v>106</v>
      </c>
      <c r="J10" s="440"/>
      <c r="K10" s="440"/>
      <c r="L10" s="187">
        <f>L9/10</f>
        <v>317850</v>
      </c>
      <c r="M10" s="187">
        <f t="shared" ref="M10:O10" si="1">M9/10</f>
        <v>317850</v>
      </c>
      <c r="N10" s="187">
        <f t="shared" si="1"/>
        <v>268950</v>
      </c>
      <c r="O10" s="187">
        <f t="shared" si="1"/>
        <v>190710</v>
      </c>
      <c r="P10" s="187">
        <f>SUM(L10:O10)</f>
        <v>1095360</v>
      </c>
      <c r="R10" s="427" t="s">
        <v>35</v>
      </c>
      <c r="S10" s="427"/>
      <c r="T10" s="427"/>
      <c r="U10" s="16">
        <v>3</v>
      </c>
      <c r="V10" s="17">
        <v>8.6000000000000003E-5</v>
      </c>
      <c r="W10" s="202">
        <f>V10*10</f>
        <v>8.6000000000000009E-4</v>
      </c>
    </row>
    <row r="11" spans="2:23">
      <c r="C11" s="405" t="s">
        <v>99</v>
      </c>
      <c r="D11" s="406"/>
      <c r="E11" s="407"/>
      <c r="F11" s="186">
        <f>2</f>
        <v>2</v>
      </c>
      <c r="G11" s="37" t="s">
        <v>189</v>
      </c>
      <c r="R11" s="445" t="s">
        <v>10</v>
      </c>
      <c r="S11" s="445"/>
      <c r="T11" s="445"/>
      <c r="U11" s="3">
        <f>SUM(U6:U10)</f>
        <v>22</v>
      </c>
      <c r="V11" s="18">
        <f>SUM(V6:V10)</f>
        <v>1.8090000000000001E-3</v>
      </c>
      <c r="W11" s="203">
        <f>SUM(W6:W10)</f>
        <v>1.8090000000000002E-2</v>
      </c>
    </row>
    <row r="13" spans="2:23">
      <c r="C13" s="405" t="s">
        <v>98</v>
      </c>
      <c r="D13" s="406"/>
      <c r="E13" s="406"/>
      <c r="F13" s="407"/>
      <c r="G13" s="186">
        <f>9780</f>
        <v>9780</v>
      </c>
      <c r="H13" s="37" t="s">
        <v>93</v>
      </c>
      <c r="I13" s="37">
        <f>G13/10</f>
        <v>978</v>
      </c>
      <c r="J13" s="37" t="s">
        <v>92</v>
      </c>
    </row>
    <row r="15" spans="2:23">
      <c r="B15" s="428" t="s">
        <v>208</v>
      </c>
      <c r="C15" s="429"/>
      <c r="D15" s="430"/>
      <c r="F15" s="428" t="s">
        <v>96</v>
      </c>
      <c r="G15" s="429"/>
      <c r="H15" s="430"/>
      <c r="J15" s="428" t="s">
        <v>209</v>
      </c>
      <c r="K15" s="429"/>
      <c r="L15" s="430"/>
      <c r="N15" s="428" t="s">
        <v>95</v>
      </c>
      <c r="O15" s="429"/>
      <c r="P15" s="430"/>
      <c r="R15" s="428" t="s">
        <v>97</v>
      </c>
      <c r="S15" s="429"/>
      <c r="T15" s="430"/>
    </row>
    <row r="16" spans="2:23">
      <c r="B16" s="431"/>
      <c r="C16" s="432"/>
      <c r="D16" s="433"/>
      <c r="F16" s="431"/>
      <c r="G16" s="432"/>
      <c r="H16" s="433"/>
      <c r="J16" s="431"/>
      <c r="K16" s="432"/>
      <c r="L16" s="433"/>
      <c r="N16" s="431"/>
      <c r="O16" s="432"/>
      <c r="P16" s="433"/>
      <c r="R16" s="431"/>
      <c r="S16" s="432"/>
      <c r="T16" s="433"/>
    </row>
    <row r="17" spans="2:21">
      <c r="B17" s="431"/>
      <c r="C17" s="432"/>
      <c r="D17" s="433"/>
      <c r="F17" s="431"/>
      <c r="G17" s="432"/>
      <c r="H17" s="433"/>
      <c r="J17" s="431"/>
      <c r="K17" s="432"/>
      <c r="L17" s="433"/>
      <c r="N17" s="431"/>
      <c r="O17" s="432"/>
      <c r="P17" s="433"/>
      <c r="R17" s="431"/>
      <c r="S17" s="432"/>
      <c r="T17" s="433"/>
    </row>
    <row r="18" spans="2:21">
      <c r="B18" s="434"/>
      <c r="C18" s="435"/>
      <c r="D18" s="436"/>
      <c r="F18" s="434"/>
      <c r="G18" s="435"/>
      <c r="H18" s="436"/>
      <c r="J18" s="434"/>
      <c r="K18" s="435"/>
      <c r="L18" s="436"/>
      <c r="N18" s="434"/>
      <c r="O18" s="435"/>
      <c r="P18" s="436"/>
      <c r="R18" s="434"/>
      <c r="S18" s="435"/>
      <c r="T18" s="436"/>
    </row>
    <row r="20" spans="2:21" ht="16" thickBot="1"/>
    <row r="21" spans="2:21" ht="16" thickBot="1">
      <c r="B21" s="456" t="s">
        <v>204</v>
      </c>
      <c r="C21" s="457"/>
      <c r="D21" s="188" t="s">
        <v>205</v>
      </c>
    </row>
    <row r="22" spans="2:21" ht="16" thickBot="1">
      <c r="I22" s="463" t="s">
        <v>20</v>
      </c>
      <c r="J22" s="464"/>
      <c r="K22" s="464"/>
      <c r="L22" s="465"/>
    </row>
    <row r="23" spans="2:21" ht="16" thickBot="1"/>
    <row r="24" spans="2:21" ht="16" thickBot="1">
      <c r="B24" s="424" t="s">
        <v>195</v>
      </c>
      <c r="C24" s="425"/>
      <c r="D24" s="426"/>
      <c r="I24" s="423" t="s">
        <v>197</v>
      </c>
      <c r="J24" s="423"/>
      <c r="K24" s="423"/>
      <c r="L24" s="423"/>
      <c r="M24" s="15" t="s">
        <v>6</v>
      </c>
      <c r="N24" s="421" t="s">
        <v>7</v>
      </c>
      <c r="O24" s="421"/>
      <c r="P24" s="402" t="s">
        <v>8</v>
      </c>
      <c r="Q24" s="404"/>
      <c r="R24" s="421" t="s">
        <v>9</v>
      </c>
      <c r="S24" s="421"/>
      <c r="T24" s="421" t="s">
        <v>10</v>
      </c>
      <c r="U24" s="421"/>
    </row>
    <row r="25" spans="2:21">
      <c r="I25" s="427" t="s">
        <v>26</v>
      </c>
      <c r="J25" s="427"/>
      <c r="K25" s="427"/>
      <c r="L25" s="427"/>
      <c r="M25" s="101">
        <f>$F27*$L$10</f>
        <v>3310.2914634146341</v>
      </c>
      <c r="N25" s="446">
        <f t="shared" ref="N25:N30" si="2">$F27*$M$10</f>
        <v>3310.2914634146341</v>
      </c>
      <c r="O25" s="446"/>
      <c r="P25" s="446">
        <f t="shared" ref="P25:P30" si="3">$F27*$N$10</f>
        <v>2801.0158536585368</v>
      </c>
      <c r="Q25" s="446"/>
      <c r="R25" s="446">
        <f t="shared" ref="R25:R30" si="4">$F27*$O$10</f>
        <v>1986.1748780487806</v>
      </c>
      <c r="S25" s="446"/>
      <c r="T25" s="446">
        <f t="shared" ref="T25:T36" si="5">SUM(M25:S25)</f>
        <v>11407.773658536586</v>
      </c>
      <c r="U25" s="446"/>
    </row>
    <row r="26" spans="2:21">
      <c r="B26" s="405" t="s">
        <v>191</v>
      </c>
      <c r="C26" s="407"/>
      <c r="D26" s="37" t="s">
        <v>194</v>
      </c>
      <c r="E26" s="37" t="s">
        <v>192</v>
      </c>
      <c r="F26" s="421" t="s">
        <v>193</v>
      </c>
      <c r="G26" s="421"/>
      <c r="I26" s="427" t="s">
        <v>27</v>
      </c>
      <c r="J26" s="427"/>
      <c r="K26" s="427"/>
      <c r="L26" s="427"/>
      <c r="M26" s="101">
        <f t="shared" ref="M26:M30" si="6">$F28*$L$10</f>
        <v>4674.7207317073171</v>
      </c>
      <c r="N26" s="446">
        <f t="shared" si="2"/>
        <v>4674.7207317073171</v>
      </c>
      <c r="O26" s="446"/>
      <c r="P26" s="446">
        <f t="shared" si="3"/>
        <v>3955.5329268292685</v>
      </c>
      <c r="Q26" s="446"/>
      <c r="R26" s="446">
        <f t="shared" si="4"/>
        <v>2804.8324390243906</v>
      </c>
      <c r="S26" s="446"/>
      <c r="T26" s="446">
        <f t="shared" si="5"/>
        <v>16109.806829268293</v>
      </c>
      <c r="U26" s="446"/>
    </row>
    <row r="27" spans="2:21">
      <c r="B27" s="458" t="s">
        <v>26</v>
      </c>
      <c r="C27" s="459"/>
      <c r="D27" s="103">
        <v>1.281E-2</v>
      </c>
      <c r="E27" s="102">
        <v>0.23</v>
      </c>
      <c r="F27" s="447">
        <f>D27/1.23</f>
        <v>1.0414634146341464E-2</v>
      </c>
      <c r="G27" s="447"/>
      <c r="I27" s="427" t="s">
        <v>28</v>
      </c>
      <c r="J27" s="427"/>
      <c r="K27" s="427"/>
      <c r="L27" s="427"/>
      <c r="M27" s="101">
        <f t="shared" si="6"/>
        <v>11768.20243902439</v>
      </c>
      <c r="N27" s="446">
        <f t="shared" si="2"/>
        <v>11768.20243902439</v>
      </c>
      <c r="O27" s="446"/>
      <c r="P27" s="446">
        <f t="shared" si="3"/>
        <v>9957.7097560975599</v>
      </c>
      <c r="Q27" s="446"/>
      <c r="R27" s="446">
        <f t="shared" si="4"/>
        <v>7060.9214634146338</v>
      </c>
      <c r="S27" s="446"/>
      <c r="T27" s="446">
        <f t="shared" si="5"/>
        <v>40555.036097560973</v>
      </c>
      <c r="U27" s="446"/>
    </row>
    <row r="28" spans="2:21">
      <c r="B28" s="458" t="s">
        <v>27</v>
      </c>
      <c r="C28" s="459"/>
      <c r="D28" s="103">
        <f>W11</f>
        <v>1.8090000000000002E-2</v>
      </c>
      <c r="E28" s="102">
        <v>0.23</v>
      </c>
      <c r="F28" s="447">
        <f t="shared" ref="F28:F34" si="7">D28/1.23</f>
        <v>1.4707317073170733E-2</v>
      </c>
      <c r="G28" s="447"/>
      <c r="I28" s="427" t="s">
        <v>29</v>
      </c>
      <c r="J28" s="427"/>
      <c r="K28" s="427"/>
      <c r="L28" s="427"/>
      <c r="M28" s="101">
        <f t="shared" si="6"/>
        <v>11259.125609756098</v>
      </c>
      <c r="N28" s="446">
        <f t="shared" si="2"/>
        <v>11259.125609756098</v>
      </c>
      <c r="O28" s="446"/>
      <c r="P28" s="446">
        <f t="shared" si="3"/>
        <v>9526.9524390243896</v>
      </c>
      <c r="Q28" s="446"/>
      <c r="R28" s="446">
        <f t="shared" si="4"/>
        <v>6755.4753658536583</v>
      </c>
      <c r="S28" s="446"/>
      <c r="T28" s="446">
        <f t="shared" si="5"/>
        <v>38800.679024390243</v>
      </c>
      <c r="U28" s="446"/>
    </row>
    <row r="29" spans="2:21">
      <c r="B29" s="458" t="s">
        <v>28</v>
      </c>
      <c r="C29" s="459"/>
      <c r="D29" s="103">
        <v>4.5539999999999997E-2</v>
      </c>
      <c r="E29" s="102">
        <v>0.23</v>
      </c>
      <c r="F29" s="447">
        <f t="shared" si="7"/>
        <v>3.7024390243902437E-2</v>
      </c>
      <c r="G29" s="447"/>
      <c r="I29" s="427" t="s">
        <v>30</v>
      </c>
      <c r="J29" s="427"/>
      <c r="K29" s="427"/>
      <c r="L29" s="427"/>
      <c r="M29" s="101">
        <f t="shared" si="6"/>
        <v>12920.731707317074</v>
      </c>
      <c r="N29" s="446">
        <f t="shared" si="2"/>
        <v>12920.731707317074</v>
      </c>
      <c r="O29" s="446"/>
      <c r="P29" s="446">
        <f t="shared" si="3"/>
        <v>10932.926829268294</v>
      </c>
      <c r="Q29" s="446"/>
      <c r="R29" s="446">
        <f t="shared" si="4"/>
        <v>7752.4390243902453</v>
      </c>
      <c r="S29" s="446"/>
      <c r="T29" s="446">
        <f t="shared" si="5"/>
        <v>44526.829268292684</v>
      </c>
      <c r="U29" s="446"/>
    </row>
    <row r="30" spans="2:21">
      <c r="B30" s="458" t="s">
        <v>29</v>
      </c>
      <c r="C30" s="459"/>
      <c r="D30" s="103">
        <v>4.3569999999999998E-2</v>
      </c>
      <c r="E30" s="102">
        <v>0.23</v>
      </c>
      <c r="F30" s="447">
        <f t="shared" si="7"/>
        <v>3.5422764227642276E-2</v>
      </c>
      <c r="G30" s="447"/>
      <c r="I30" s="427" t="s">
        <v>190</v>
      </c>
      <c r="J30" s="427"/>
      <c r="K30" s="427"/>
      <c r="L30" s="427"/>
      <c r="M30" s="101">
        <f t="shared" si="6"/>
        <v>12920.731707317074</v>
      </c>
      <c r="N30" s="446">
        <f t="shared" si="2"/>
        <v>12920.731707317074</v>
      </c>
      <c r="O30" s="446"/>
      <c r="P30" s="446">
        <f t="shared" si="3"/>
        <v>10932.926829268294</v>
      </c>
      <c r="Q30" s="446"/>
      <c r="R30" s="446">
        <f t="shared" si="4"/>
        <v>7752.4390243902453</v>
      </c>
      <c r="S30" s="446"/>
      <c r="T30" s="446">
        <f t="shared" si="5"/>
        <v>44526.829268292684</v>
      </c>
      <c r="U30" s="446"/>
    </row>
    <row r="31" spans="2:21">
      <c r="B31" s="458" t="s">
        <v>30</v>
      </c>
      <c r="C31" s="459"/>
      <c r="D31" s="103">
        <v>0.05</v>
      </c>
      <c r="E31" s="102">
        <v>0.23</v>
      </c>
      <c r="F31" s="447">
        <f t="shared" si="7"/>
        <v>4.0650406504065047E-2</v>
      </c>
      <c r="G31" s="447"/>
      <c r="I31" s="445" t="s">
        <v>196</v>
      </c>
      <c r="J31" s="445"/>
      <c r="K31" s="445"/>
      <c r="L31" s="445"/>
      <c r="M31" s="101">
        <f>SUM(M25:M30)</f>
        <v>56853.803658536592</v>
      </c>
      <c r="N31" s="446">
        <f>SUM(N25:N30)</f>
        <v>56853.803658536592</v>
      </c>
      <c r="O31" s="446"/>
      <c r="P31" s="446">
        <f>SUM(P25:P30)</f>
        <v>48107.064634146343</v>
      </c>
      <c r="Q31" s="446"/>
      <c r="R31" s="446">
        <f>SUM(R25:R30)</f>
        <v>34112.282195121952</v>
      </c>
      <c r="S31" s="446"/>
      <c r="T31" s="446">
        <f t="shared" si="5"/>
        <v>195926.95414634148</v>
      </c>
      <c r="U31" s="446"/>
    </row>
    <row r="32" spans="2:21">
      <c r="B32" s="458" t="s">
        <v>190</v>
      </c>
      <c r="C32" s="459"/>
      <c r="D32" s="103">
        <v>0.05</v>
      </c>
      <c r="E32" s="102">
        <v>0.23</v>
      </c>
      <c r="F32" s="447">
        <f t="shared" si="7"/>
        <v>4.0650406504065047E-2</v>
      </c>
      <c r="G32" s="447"/>
      <c r="I32" s="427" t="s">
        <v>36</v>
      </c>
      <c r="J32" s="427"/>
      <c r="K32" s="427"/>
      <c r="L32" s="427"/>
      <c r="M32" s="101">
        <f>$F33*$L$10</f>
        <v>2584.146341463415</v>
      </c>
      <c r="N32" s="446">
        <f>$F33*$M$10</f>
        <v>2584.146341463415</v>
      </c>
      <c r="O32" s="446"/>
      <c r="P32" s="446">
        <f>$F33*$N$10</f>
        <v>2186.5853658536589</v>
      </c>
      <c r="Q32" s="446"/>
      <c r="R32" s="446">
        <f>$F33*$O$10</f>
        <v>1550.487804878049</v>
      </c>
      <c r="S32" s="446"/>
      <c r="T32" s="446">
        <f t="shared" si="5"/>
        <v>8905.3658536585372</v>
      </c>
      <c r="U32" s="446"/>
    </row>
    <row r="33" spans="2:22">
      <c r="B33" s="449" t="s">
        <v>36</v>
      </c>
      <c r="C33" s="449" t="s">
        <v>36</v>
      </c>
      <c r="D33" s="103">
        <v>0.01</v>
      </c>
      <c r="E33" s="102">
        <v>0.23</v>
      </c>
      <c r="F33" s="447">
        <f t="shared" si="7"/>
        <v>8.130081300813009E-3</v>
      </c>
      <c r="G33" s="447"/>
      <c r="I33" s="427" t="s">
        <v>200</v>
      </c>
      <c r="J33" s="427"/>
      <c r="K33" s="427"/>
      <c r="L33" s="427"/>
      <c r="M33" s="101">
        <f>$F34*$L$10</f>
        <v>9819.7560975609758</v>
      </c>
      <c r="N33" s="446">
        <f>$F34*$M$10</f>
        <v>9819.7560975609758</v>
      </c>
      <c r="O33" s="446"/>
      <c r="P33" s="446">
        <f>$F34*$N$10</f>
        <v>8309.0243902439033</v>
      </c>
      <c r="Q33" s="446"/>
      <c r="R33" s="446">
        <f>$F34*$O$10</f>
        <v>5891.8536585365855</v>
      </c>
      <c r="S33" s="446"/>
      <c r="T33" s="446">
        <f t="shared" si="5"/>
        <v>33840.390243902439</v>
      </c>
      <c r="U33" s="446"/>
      <c r="V33" s="393" t="s">
        <v>207</v>
      </c>
    </row>
    <row r="34" spans="2:22">
      <c r="B34" s="449" t="s">
        <v>77</v>
      </c>
      <c r="C34" s="449" t="s">
        <v>77</v>
      </c>
      <c r="D34" s="103">
        <v>3.7999999999999999E-2</v>
      </c>
      <c r="E34" s="102">
        <v>0.23</v>
      </c>
      <c r="F34" s="447">
        <f t="shared" si="7"/>
        <v>3.0894308943089432E-2</v>
      </c>
      <c r="G34" s="447"/>
      <c r="I34" s="445" t="s">
        <v>206</v>
      </c>
      <c r="J34" s="445"/>
      <c r="K34" s="445"/>
      <c r="L34" s="445"/>
      <c r="M34" s="101">
        <f>M31+M32+M33</f>
        <v>69257.706097560978</v>
      </c>
      <c r="N34" s="446">
        <f>N31+N32+N33</f>
        <v>69257.706097560978</v>
      </c>
      <c r="O34" s="446"/>
      <c r="P34" s="446">
        <f>P31+P32+P33</f>
        <v>58602.674390243905</v>
      </c>
      <c r="Q34" s="446"/>
      <c r="R34" s="446">
        <f>R31+R32+R33</f>
        <v>41554.623658536591</v>
      </c>
      <c r="S34" s="446"/>
      <c r="T34" s="446">
        <f t="shared" si="5"/>
        <v>238672.71024390246</v>
      </c>
      <c r="U34" s="446"/>
      <c r="V34" s="104">
        <f>T34-P10*F35</f>
        <v>0</v>
      </c>
    </row>
    <row r="35" spans="2:22">
      <c r="B35" s="445" t="s">
        <v>10</v>
      </c>
      <c r="C35" s="445"/>
      <c r="D35" s="103">
        <v>0.26800999999999997</v>
      </c>
      <c r="E35" s="102">
        <v>0.23</v>
      </c>
      <c r="F35" s="447">
        <f t="shared" ref="F35" si="8">D35/1.23</f>
        <v>0.21789430894308942</v>
      </c>
      <c r="G35" s="447"/>
      <c r="I35" s="445" t="s">
        <v>199</v>
      </c>
      <c r="J35" s="445"/>
      <c r="K35" s="445"/>
      <c r="L35" s="445"/>
      <c r="M35" s="101">
        <f>M34*1.23-M34</f>
        <v>15929.272402439019</v>
      </c>
      <c r="N35" s="446">
        <f>N34*1.23-N34</f>
        <v>15929.272402439019</v>
      </c>
      <c r="O35" s="446"/>
      <c r="P35" s="446">
        <f>P34*1.23-P34</f>
        <v>13478.615109756094</v>
      </c>
      <c r="Q35" s="446"/>
      <c r="R35" s="446">
        <f>R34*1.23-R34</f>
        <v>9557.5634414634187</v>
      </c>
      <c r="S35" s="446"/>
      <c r="T35" s="446">
        <f t="shared" si="5"/>
        <v>54894.723356097551</v>
      </c>
      <c r="U35" s="448"/>
      <c r="V35" s="104">
        <f>L10*D35-M36</f>
        <v>0</v>
      </c>
    </row>
    <row r="36" spans="2:22">
      <c r="I36" s="445" t="s">
        <v>198</v>
      </c>
      <c r="J36" s="445"/>
      <c r="K36" s="445"/>
      <c r="L36" s="445"/>
      <c r="M36" s="101">
        <f>$D$35*L$10</f>
        <v>85186.978499999997</v>
      </c>
      <c r="N36" s="446">
        <f>$D$35*M$10</f>
        <v>85186.978499999997</v>
      </c>
      <c r="O36" s="446"/>
      <c r="P36" s="446">
        <f>$D$35*N$10</f>
        <v>72081.289499999999</v>
      </c>
      <c r="Q36" s="446"/>
      <c r="R36" s="446">
        <f>$D$35*O$10</f>
        <v>51112.187099999996</v>
      </c>
      <c r="S36" s="446"/>
      <c r="T36" s="446">
        <f t="shared" si="5"/>
        <v>293567.43359999999</v>
      </c>
      <c r="U36" s="448"/>
      <c r="V36" s="104"/>
    </row>
    <row r="37" spans="2:22">
      <c r="I37" s="455" t="s">
        <v>203</v>
      </c>
      <c r="J37" s="455"/>
      <c r="K37" s="455"/>
      <c r="L37" s="455"/>
      <c r="M37" s="105">
        <f>SUM(M34:M35)-M36</f>
        <v>0</v>
      </c>
      <c r="N37" s="460">
        <f>SUM(N34:O35)-N36</f>
        <v>0</v>
      </c>
      <c r="O37" s="460"/>
      <c r="P37" s="460">
        <f>SUM(P34:Q35)-P36</f>
        <v>0</v>
      </c>
      <c r="Q37" s="460"/>
      <c r="R37" s="460">
        <f>SUM(R34:S35)-R36</f>
        <v>0</v>
      </c>
      <c r="S37" s="460"/>
      <c r="T37" s="460">
        <f>SUM(T34:U35)-T36</f>
        <v>0</v>
      </c>
      <c r="U37" s="460"/>
    </row>
    <row r="38" spans="2:22">
      <c r="I38" s="445" t="s">
        <v>201</v>
      </c>
      <c r="J38" s="445"/>
      <c r="K38" s="445"/>
      <c r="L38" s="445"/>
      <c r="M38" s="6">
        <v>0</v>
      </c>
      <c r="N38" s="446">
        <f>M36</f>
        <v>85186.978499999997</v>
      </c>
      <c r="O38" s="448"/>
      <c r="P38" s="446">
        <f>N36</f>
        <v>85186.978499999997</v>
      </c>
      <c r="Q38" s="448"/>
      <c r="R38" s="446">
        <f>P36</f>
        <v>72081.289499999999</v>
      </c>
      <c r="S38" s="448"/>
      <c r="T38" s="446">
        <f>SUM(N38:S38)</f>
        <v>242455.24650000001</v>
      </c>
      <c r="U38" s="448"/>
      <c r="V38" s="109" t="s">
        <v>207</v>
      </c>
    </row>
    <row r="39" spans="2:22">
      <c r="I39" s="445" t="s">
        <v>202</v>
      </c>
      <c r="J39" s="445"/>
      <c r="K39" s="445"/>
      <c r="L39" s="445"/>
      <c r="M39" s="101">
        <f>M36-M38</f>
        <v>85186.978499999997</v>
      </c>
      <c r="N39" s="451">
        <f>N36-N38+M39</f>
        <v>85186.978499999997</v>
      </c>
      <c r="O39" s="452"/>
      <c r="P39" s="451">
        <f>P36-P38+N39</f>
        <v>72081.289499999999</v>
      </c>
      <c r="Q39" s="452"/>
      <c r="R39" s="451">
        <f>R36-R38+P39</f>
        <v>51112.187099999996</v>
      </c>
      <c r="S39" s="452"/>
      <c r="T39" s="451">
        <f>R39</f>
        <v>51112.187099999996</v>
      </c>
      <c r="U39" s="452"/>
      <c r="V39" s="104">
        <f>SUM(T38:U39)-SUM(M39:S39)</f>
        <v>0</v>
      </c>
    </row>
    <row r="40" spans="2:22" ht="16" thickBot="1"/>
    <row r="41" spans="2:22" ht="16" thickBot="1">
      <c r="B41" s="463" t="s">
        <v>21</v>
      </c>
      <c r="C41" s="465"/>
    </row>
    <row r="43" spans="2:22">
      <c r="B43" s="445" t="s">
        <v>197</v>
      </c>
      <c r="C43" s="445"/>
      <c r="D43" s="160" t="s">
        <v>6</v>
      </c>
      <c r="E43" s="427" t="s">
        <v>7</v>
      </c>
      <c r="F43" s="427"/>
      <c r="G43" s="160" t="s">
        <v>8</v>
      </c>
      <c r="H43" s="160"/>
      <c r="I43" s="427" t="s">
        <v>9</v>
      </c>
      <c r="J43" s="427"/>
      <c r="K43" s="427" t="s">
        <v>10</v>
      </c>
      <c r="L43" s="427"/>
    </row>
    <row r="44" spans="2:22">
      <c r="B44" s="427" t="s">
        <v>26</v>
      </c>
      <c r="C44" s="427"/>
      <c r="D44" s="145">
        <f>$F27*$L$10</f>
        <v>3310.2914634146341</v>
      </c>
      <c r="E44" s="453">
        <f>$F27*$M$10</f>
        <v>3310.2914634146341</v>
      </c>
      <c r="F44" s="454"/>
      <c r="G44" s="450">
        <f>$F27*$N$10</f>
        <v>2801.0158536585368</v>
      </c>
      <c r="H44" s="450"/>
      <c r="I44" s="450">
        <f>$F27*$O$10</f>
        <v>1986.1748780487806</v>
      </c>
      <c r="J44" s="450"/>
      <c r="K44" s="450">
        <f t="shared" ref="K44:K55" si="9">SUM(D44:J44)</f>
        <v>11407.773658536586</v>
      </c>
      <c r="L44" s="450"/>
    </row>
    <row r="45" spans="2:22">
      <c r="B45" s="427" t="s">
        <v>27</v>
      </c>
      <c r="C45" s="427"/>
      <c r="D45" s="145">
        <f t="shared" ref="D45:D49" si="10">$F28*$L$10</f>
        <v>4674.7207317073171</v>
      </c>
      <c r="E45" s="453">
        <f t="shared" ref="E45:E49" si="11">$F28*$M$10</f>
        <v>4674.7207317073171</v>
      </c>
      <c r="F45" s="454"/>
      <c r="G45" s="450">
        <f t="shared" ref="G45:G49" si="12">$F28*$N$10</f>
        <v>3955.5329268292685</v>
      </c>
      <c r="H45" s="450"/>
      <c r="I45" s="450">
        <f t="shared" ref="I45:I49" si="13">$F28*$O$10</f>
        <v>2804.8324390243906</v>
      </c>
      <c r="J45" s="450"/>
      <c r="K45" s="450">
        <f t="shared" si="9"/>
        <v>16109.806829268293</v>
      </c>
      <c r="L45" s="450"/>
    </row>
    <row r="46" spans="2:22">
      <c r="B46" s="427" t="s">
        <v>28</v>
      </c>
      <c r="C46" s="427"/>
      <c r="D46" s="145">
        <f t="shared" si="10"/>
        <v>11768.20243902439</v>
      </c>
      <c r="E46" s="453">
        <f t="shared" si="11"/>
        <v>11768.20243902439</v>
      </c>
      <c r="F46" s="454"/>
      <c r="G46" s="450">
        <f t="shared" si="12"/>
        <v>9957.7097560975599</v>
      </c>
      <c r="H46" s="450"/>
      <c r="I46" s="450">
        <f t="shared" si="13"/>
        <v>7060.9214634146338</v>
      </c>
      <c r="J46" s="450"/>
      <c r="K46" s="450">
        <f t="shared" si="9"/>
        <v>40555.036097560973</v>
      </c>
      <c r="L46" s="450"/>
    </row>
    <row r="47" spans="2:22">
      <c r="B47" s="427" t="s">
        <v>29</v>
      </c>
      <c r="C47" s="427"/>
      <c r="D47" s="145">
        <f t="shared" si="10"/>
        <v>11259.125609756098</v>
      </c>
      <c r="E47" s="453">
        <f t="shared" si="11"/>
        <v>11259.125609756098</v>
      </c>
      <c r="F47" s="454"/>
      <c r="G47" s="450">
        <f t="shared" si="12"/>
        <v>9526.9524390243896</v>
      </c>
      <c r="H47" s="450"/>
      <c r="I47" s="450">
        <f t="shared" si="13"/>
        <v>6755.4753658536583</v>
      </c>
      <c r="J47" s="450"/>
      <c r="K47" s="450">
        <f t="shared" si="9"/>
        <v>38800.679024390243</v>
      </c>
      <c r="L47" s="450"/>
    </row>
    <row r="48" spans="2:22">
      <c r="B48" s="427" t="s">
        <v>30</v>
      </c>
      <c r="C48" s="427"/>
      <c r="D48" s="145">
        <f t="shared" si="10"/>
        <v>12920.731707317074</v>
      </c>
      <c r="E48" s="453">
        <f t="shared" si="11"/>
        <v>12920.731707317074</v>
      </c>
      <c r="F48" s="454"/>
      <c r="G48" s="450">
        <f t="shared" si="12"/>
        <v>10932.926829268294</v>
      </c>
      <c r="H48" s="450"/>
      <c r="I48" s="450">
        <f t="shared" si="13"/>
        <v>7752.4390243902453</v>
      </c>
      <c r="J48" s="450"/>
      <c r="K48" s="450">
        <f t="shared" si="9"/>
        <v>44526.829268292684</v>
      </c>
      <c r="L48" s="450"/>
    </row>
    <row r="49" spans="2:13">
      <c r="B49" s="427" t="s">
        <v>190</v>
      </c>
      <c r="C49" s="427"/>
      <c r="D49" s="145">
        <f t="shared" si="10"/>
        <v>12920.731707317074</v>
      </c>
      <c r="E49" s="453">
        <f t="shared" si="11"/>
        <v>12920.731707317074</v>
      </c>
      <c r="F49" s="454"/>
      <c r="G49" s="450">
        <f t="shared" si="12"/>
        <v>10932.926829268294</v>
      </c>
      <c r="H49" s="450"/>
      <c r="I49" s="450">
        <f t="shared" si="13"/>
        <v>7752.4390243902453</v>
      </c>
      <c r="J49" s="450"/>
      <c r="K49" s="450">
        <f t="shared" si="9"/>
        <v>44526.829268292684</v>
      </c>
      <c r="L49" s="450"/>
    </row>
    <row r="50" spans="2:13">
      <c r="B50" s="445" t="s">
        <v>196</v>
      </c>
      <c r="C50" s="445"/>
      <c r="D50" s="145">
        <f>SUM(D44:D49)</f>
        <v>56853.803658536592</v>
      </c>
      <c r="E50" s="450">
        <f>SUM(E44:E49)</f>
        <v>56853.803658536592</v>
      </c>
      <c r="F50" s="450"/>
      <c r="G50" s="450">
        <f>SUM(G44:G49)</f>
        <v>48107.064634146343</v>
      </c>
      <c r="H50" s="450"/>
      <c r="I50" s="450">
        <f>SUM(I44:I49)</f>
        <v>34112.282195121952</v>
      </c>
      <c r="J50" s="450"/>
      <c r="K50" s="450">
        <f t="shared" si="9"/>
        <v>195926.95414634148</v>
      </c>
      <c r="L50" s="450"/>
    </row>
    <row r="51" spans="2:13">
      <c r="B51" s="427" t="s">
        <v>36</v>
      </c>
      <c r="C51" s="427"/>
      <c r="D51" s="145">
        <f>$F33*$L$10</f>
        <v>2584.146341463415</v>
      </c>
      <c r="E51" s="450">
        <f>$F33*$M$10</f>
        <v>2584.146341463415</v>
      </c>
      <c r="F51" s="450"/>
      <c r="G51" s="450">
        <f>$F33*$N$10</f>
        <v>2186.5853658536589</v>
      </c>
      <c r="H51" s="450"/>
      <c r="I51" s="450">
        <f>$F33*$O$10</f>
        <v>1550.487804878049</v>
      </c>
      <c r="J51" s="450"/>
      <c r="K51" s="450">
        <f t="shared" si="9"/>
        <v>8905.3658536585372</v>
      </c>
      <c r="L51" s="450"/>
    </row>
    <row r="52" spans="2:13">
      <c r="B52" s="427" t="s">
        <v>200</v>
      </c>
      <c r="C52" s="427"/>
      <c r="D52" s="145">
        <f>$F34*$L$10</f>
        <v>9819.7560975609758</v>
      </c>
      <c r="E52" s="450">
        <f>$F34*$M$10</f>
        <v>9819.7560975609758</v>
      </c>
      <c r="F52" s="450"/>
      <c r="G52" s="450">
        <f>$F34*$N$10</f>
        <v>8309.0243902439033</v>
      </c>
      <c r="H52" s="450"/>
      <c r="I52" s="450">
        <f>$F34*$O$10</f>
        <v>5891.8536585365855</v>
      </c>
      <c r="J52" s="450"/>
      <c r="K52" s="450">
        <f t="shared" si="9"/>
        <v>33840.390243902439</v>
      </c>
      <c r="L52" s="450"/>
      <c r="M52" s="109" t="s">
        <v>207</v>
      </c>
    </row>
    <row r="53" spans="2:13">
      <c r="B53" s="445" t="s">
        <v>206</v>
      </c>
      <c r="C53" s="445"/>
      <c r="D53" s="145">
        <f>D50+D51+D52</f>
        <v>69257.706097560978</v>
      </c>
      <c r="E53" s="450">
        <f>E50+E51+E52</f>
        <v>69257.706097560978</v>
      </c>
      <c r="F53" s="450"/>
      <c r="G53" s="450">
        <f>G50+G51+G52</f>
        <v>58602.674390243905</v>
      </c>
      <c r="H53" s="450"/>
      <c r="I53" s="450">
        <f>I50+I51+I52</f>
        <v>41554.623658536591</v>
      </c>
      <c r="J53" s="450"/>
      <c r="K53" s="450">
        <f t="shared" si="9"/>
        <v>238672.71024390246</v>
      </c>
      <c r="L53" s="450"/>
      <c r="M53" s="104">
        <f>K53-P10*F35</f>
        <v>0</v>
      </c>
    </row>
    <row r="54" spans="2:13">
      <c r="B54" s="445" t="s">
        <v>199</v>
      </c>
      <c r="C54" s="445"/>
      <c r="D54" s="107">
        <f>D53*1.23-D53</f>
        <v>15929.272402439019</v>
      </c>
      <c r="E54" s="450">
        <f>E53*1.23-E53</f>
        <v>15929.272402439019</v>
      </c>
      <c r="F54" s="450"/>
      <c r="G54" s="450">
        <f>G53*1.23-G53</f>
        <v>13478.615109756094</v>
      </c>
      <c r="H54" s="450"/>
      <c r="I54" s="450">
        <f>I53*1.23-I53</f>
        <v>9557.5634414634187</v>
      </c>
      <c r="J54" s="450"/>
      <c r="K54" s="450">
        <f t="shared" si="9"/>
        <v>54894.723356097551</v>
      </c>
      <c r="L54" s="466"/>
    </row>
    <row r="55" spans="2:13">
      <c r="B55" s="445" t="s">
        <v>198</v>
      </c>
      <c r="C55" s="445"/>
      <c r="D55" s="107">
        <f>$D$35*L$10</f>
        <v>85186.978499999997</v>
      </c>
      <c r="E55" s="450">
        <f>$D$35*M$10</f>
        <v>85186.978499999997</v>
      </c>
      <c r="F55" s="450"/>
      <c r="G55" s="450">
        <f>$D$35*N$10</f>
        <v>72081.289499999999</v>
      </c>
      <c r="H55" s="450"/>
      <c r="I55" s="450">
        <f>$D$35*O$10</f>
        <v>51112.187099999996</v>
      </c>
      <c r="J55" s="450"/>
      <c r="K55" s="450">
        <f t="shared" si="9"/>
        <v>293567.43359999999</v>
      </c>
      <c r="L55" s="466"/>
    </row>
    <row r="56" spans="2:13">
      <c r="B56" s="455" t="s">
        <v>203</v>
      </c>
      <c r="C56" s="455"/>
      <c r="D56" s="108">
        <f>SUM(D53:D54)-D55</f>
        <v>0</v>
      </c>
      <c r="E56" s="467">
        <f>SUM(E53:F54)-E55</f>
        <v>0</v>
      </c>
      <c r="F56" s="467"/>
      <c r="G56" s="467">
        <f>SUM(G53:H54)-G55</f>
        <v>0</v>
      </c>
      <c r="H56" s="467"/>
      <c r="I56" s="467">
        <f>SUM(I53:J54)-I55</f>
        <v>0</v>
      </c>
      <c r="J56" s="467"/>
      <c r="K56" s="467">
        <f>SUM(K53:L54)-K55</f>
        <v>0</v>
      </c>
      <c r="L56" s="467"/>
    </row>
    <row r="57" spans="2:13">
      <c r="B57" s="445" t="s">
        <v>201</v>
      </c>
      <c r="C57" s="445"/>
      <c r="D57" s="107">
        <f>T39</f>
        <v>51112.187099999996</v>
      </c>
      <c r="E57" s="450">
        <f>D55</f>
        <v>85186.978499999997</v>
      </c>
      <c r="F57" s="466"/>
      <c r="G57" s="450">
        <f>E55</f>
        <v>85186.978499999997</v>
      </c>
      <c r="H57" s="466"/>
      <c r="I57" s="450">
        <f>G55</f>
        <v>72081.289499999999</v>
      </c>
      <c r="J57" s="466"/>
      <c r="K57" s="450">
        <f>SUM(E57:J57)</f>
        <v>242455.24650000001</v>
      </c>
      <c r="L57" s="466"/>
      <c r="M57" s="109" t="s">
        <v>207</v>
      </c>
    </row>
    <row r="58" spans="2:13">
      <c r="B58" s="445" t="s">
        <v>202</v>
      </c>
      <c r="C58" s="445"/>
      <c r="D58" s="107">
        <f>D55-D57+T39</f>
        <v>85186.978499999997</v>
      </c>
      <c r="E58" s="461">
        <f>E55-E57+D58</f>
        <v>85186.978499999997</v>
      </c>
      <c r="F58" s="462"/>
      <c r="G58" s="461">
        <f>G55-G57+E58</f>
        <v>72081.289499999999</v>
      </c>
      <c r="H58" s="462"/>
      <c r="I58" s="461">
        <f>I55-I57+G58</f>
        <v>51112.187099999996</v>
      </c>
      <c r="J58" s="462"/>
      <c r="K58" s="461">
        <f>I58</f>
        <v>51112.187099999996</v>
      </c>
      <c r="L58" s="462"/>
      <c r="M58" s="104">
        <f>SUM(K57:L58)-SUM(D58:J58)</f>
        <v>0</v>
      </c>
    </row>
    <row r="60" spans="2:13" ht="16" thickBot="1"/>
    <row r="61" spans="2:13" ht="16" thickBot="1">
      <c r="B61" s="463" t="s">
        <v>22</v>
      </c>
      <c r="C61" s="465"/>
    </row>
    <row r="63" spans="2:13">
      <c r="B63" s="445" t="s">
        <v>197</v>
      </c>
      <c r="C63" s="445"/>
      <c r="D63" s="160" t="s">
        <v>6</v>
      </c>
      <c r="E63" s="427" t="s">
        <v>7</v>
      </c>
      <c r="F63" s="427"/>
      <c r="G63" s="160" t="s">
        <v>8</v>
      </c>
      <c r="H63" s="160"/>
      <c r="I63" s="427" t="s">
        <v>9</v>
      </c>
      <c r="J63" s="427"/>
      <c r="K63" s="427" t="s">
        <v>10</v>
      </c>
      <c r="L63" s="427"/>
    </row>
    <row r="64" spans="2:13">
      <c r="B64" s="427" t="s">
        <v>26</v>
      </c>
      <c r="C64" s="427"/>
      <c r="D64" s="145">
        <f>$F27*$L$10</f>
        <v>3310.2914634146341</v>
      </c>
      <c r="E64" s="453">
        <f>$F27*$M$10</f>
        <v>3310.2914634146341</v>
      </c>
      <c r="F64" s="454"/>
      <c r="G64" s="450">
        <f>$F27*$N$10</f>
        <v>2801.0158536585368</v>
      </c>
      <c r="H64" s="450"/>
      <c r="I64" s="450">
        <f>$F27*$O$10</f>
        <v>1986.1748780487806</v>
      </c>
      <c r="J64" s="450"/>
      <c r="K64" s="450">
        <f t="shared" ref="K64:K75" si="14">SUM(D64:J64)</f>
        <v>11407.773658536586</v>
      </c>
      <c r="L64" s="450"/>
    </row>
    <row r="65" spans="2:13">
      <c r="B65" s="427" t="s">
        <v>27</v>
      </c>
      <c r="C65" s="427"/>
      <c r="D65" s="145">
        <f t="shared" ref="D65:D69" si="15">$F28*$L$10</f>
        <v>4674.7207317073171</v>
      </c>
      <c r="E65" s="453">
        <f t="shared" ref="E65:E69" si="16">$F28*$M$10</f>
        <v>4674.7207317073171</v>
      </c>
      <c r="F65" s="454"/>
      <c r="G65" s="450">
        <f t="shared" ref="G65:G69" si="17">$F28*$N$10</f>
        <v>3955.5329268292685</v>
      </c>
      <c r="H65" s="450"/>
      <c r="I65" s="450">
        <f t="shared" ref="I65:I69" si="18">$F28*$O$10</f>
        <v>2804.8324390243906</v>
      </c>
      <c r="J65" s="450"/>
      <c r="K65" s="450">
        <f t="shared" si="14"/>
        <v>16109.806829268293</v>
      </c>
      <c r="L65" s="450"/>
    </row>
    <row r="66" spans="2:13">
      <c r="B66" s="427" t="s">
        <v>28</v>
      </c>
      <c r="C66" s="427"/>
      <c r="D66" s="145">
        <f t="shared" si="15"/>
        <v>11768.20243902439</v>
      </c>
      <c r="E66" s="453">
        <f t="shared" si="16"/>
        <v>11768.20243902439</v>
      </c>
      <c r="F66" s="454"/>
      <c r="G66" s="450">
        <f t="shared" si="17"/>
        <v>9957.7097560975599</v>
      </c>
      <c r="H66" s="450"/>
      <c r="I66" s="450">
        <f t="shared" si="18"/>
        <v>7060.9214634146338</v>
      </c>
      <c r="J66" s="450"/>
      <c r="K66" s="450">
        <f t="shared" si="14"/>
        <v>40555.036097560973</v>
      </c>
      <c r="L66" s="450"/>
    </row>
    <row r="67" spans="2:13">
      <c r="B67" s="427" t="s">
        <v>29</v>
      </c>
      <c r="C67" s="427"/>
      <c r="D67" s="145">
        <f t="shared" si="15"/>
        <v>11259.125609756098</v>
      </c>
      <c r="E67" s="453">
        <f t="shared" si="16"/>
        <v>11259.125609756098</v>
      </c>
      <c r="F67" s="454"/>
      <c r="G67" s="450">
        <f t="shared" si="17"/>
        <v>9526.9524390243896</v>
      </c>
      <c r="H67" s="450"/>
      <c r="I67" s="450">
        <f t="shared" si="18"/>
        <v>6755.4753658536583</v>
      </c>
      <c r="J67" s="450"/>
      <c r="K67" s="450">
        <f t="shared" si="14"/>
        <v>38800.679024390243</v>
      </c>
      <c r="L67" s="450"/>
    </row>
    <row r="68" spans="2:13">
      <c r="B68" s="427" t="s">
        <v>30</v>
      </c>
      <c r="C68" s="427"/>
      <c r="D68" s="145">
        <f t="shared" si="15"/>
        <v>12920.731707317074</v>
      </c>
      <c r="E68" s="453">
        <f t="shared" si="16"/>
        <v>12920.731707317074</v>
      </c>
      <c r="F68" s="454"/>
      <c r="G68" s="450">
        <f t="shared" si="17"/>
        <v>10932.926829268294</v>
      </c>
      <c r="H68" s="450"/>
      <c r="I68" s="450">
        <f t="shared" si="18"/>
        <v>7752.4390243902453</v>
      </c>
      <c r="J68" s="450"/>
      <c r="K68" s="450">
        <f t="shared" si="14"/>
        <v>44526.829268292684</v>
      </c>
      <c r="L68" s="450"/>
    </row>
    <row r="69" spans="2:13">
      <c r="B69" s="427" t="s">
        <v>190</v>
      </c>
      <c r="C69" s="427"/>
      <c r="D69" s="145">
        <f t="shared" si="15"/>
        <v>12920.731707317074</v>
      </c>
      <c r="E69" s="453">
        <f t="shared" si="16"/>
        <v>12920.731707317074</v>
      </c>
      <c r="F69" s="454"/>
      <c r="G69" s="450">
        <f t="shared" si="17"/>
        <v>10932.926829268294</v>
      </c>
      <c r="H69" s="450"/>
      <c r="I69" s="450">
        <f t="shared" si="18"/>
        <v>7752.4390243902453</v>
      </c>
      <c r="J69" s="450"/>
      <c r="K69" s="450">
        <f t="shared" si="14"/>
        <v>44526.829268292684</v>
      </c>
      <c r="L69" s="450"/>
    </row>
    <row r="70" spans="2:13">
      <c r="B70" s="445" t="s">
        <v>196</v>
      </c>
      <c r="C70" s="445"/>
      <c r="D70" s="145">
        <f>SUM(D64:D69)</f>
        <v>56853.803658536592</v>
      </c>
      <c r="E70" s="450">
        <f>SUM(E64:E69)</f>
        <v>56853.803658536592</v>
      </c>
      <c r="F70" s="450"/>
      <c r="G70" s="450">
        <f>SUM(G64:G69)</f>
        <v>48107.064634146343</v>
      </c>
      <c r="H70" s="450"/>
      <c r="I70" s="450">
        <f>SUM(I64:I69)</f>
        <v>34112.282195121952</v>
      </c>
      <c r="J70" s="450"/>
      <c r="K70" s="450">
        <f t="shared" si="14"/>
        <v>195926.95414634148</v>
      </c>
      <c r="L70" s="450"/>
    </row>
    <row r="71" spans="2:13">
      <c r="B71" s="427" t="s">
        <v>36</v>
      </c>
      <c r="C71" s="427"/>
      <c r="D71" s="145">
        <f>$F33*$L$10</f>
        <v>2584.146341463415</v>
      </c>
      <c r="E71" s="450">
        <f>$F33*$M$10</f>
        <v>2584.146341463415</v>
      </c>
      <c r="F71" s="450"/>
      <c r="G71" s="450">
        <f>$F33*$N$10</f>
        <v>2186.5853658536589</v>
      </c>
      <c r="H71" s="450"/>
      <c r="I71" s="450">
        <f>$F33*$O$10</f>
        <v>1550.487804878049</v>
      </c>
      <c r="J71" s="450"/>
      <c r="K71" s="450">
        <f t="shared" si="14"/>
        <v>8905.3658536585372</v>
      </c>
      <c r="L71" s="450"/>
    </row>
    <row r="72" spans="2:13">
      <c r="B72" s="427" t="s">
        <v>200</v>
      </c>
      <c r="C72" s="427"/>
      <c r="D72" s="145">
        <f>$F34*$L$10</f>
        <v>9819.7560975609758</v>
      </c>
      <c r="E72" s="450">
        <f>$F34*$M$10</f>
        <v>9819.7560975609758</v>
      </c>
      <c r="F72" s="450"/>
      <c r="G72" s="450">
        <f>$F34*$N$10</f>
        <v>8309.0243902439033</v>
      </c>
      <c r="H72" s="450"/>
      <c r="I72" s="450">
        <f>$F34*$O$10</f>
        <v>5891.8536585365855</v>
      </c>
      <c r="J72" s="450"/>
      <c r="K72" s="450">
        <f t="shared" si="14"/>
        <v>33840.390243902439</v>
      </c>
      <c r="L72" s="450"/>
      <c r="M72" s="109" t="s">
        <v>207</v>
      </c>
    </row>
    <row r="73" spans="2:13">
      <c r="B73" s="445" t="s">
        <v>206</v>
      </c>
      <c r="C73" s="445"/>
      <c r="D73" s="145">
        <f>D70+D71+D72</f>
        <v>69257.706097560978</v>
      </c>
      <c r="E73" s="450">
        <f>E70+E71+E72</f>
        <v>69257.706097560978</v>
      </c>
      <c r="F73" s="450"/>
      <c r="G73" s="450">
        <f>G70+G71+G72</f>
        <v>58602.674390243905</v>
      </c>
      <c r="H73" s="450"/>
      <c r="I73" s="450">
        <f>I70+I71+I72</f>
        <v>41554.623658536591</v>
      </c>
      <c r="J73" s="450"/>
      <c r="K73" s="450">
        <f t="shared" si="14"/>
        <v>238672.71024390246</v>
      </c>
      <c r="L73" s="450"/>
      <c r="M73" s="104">
        <f>K73-P10*F35</f>
        <v>0</v>
      </c>
    </row>
    <row r="74" spans="2:13">
      <c r="B74" s="445" t="s">
        <v>199</v>
      </c>
      <c r="C74" s="445"/>
      <c r="D74" s="107">
        <f>D73*1.23-D73</f>
        <v>15929.272402439019</v>
      </c>
      <c r="E74" s="450">
        <f>E73*1.23-E73</f>
        <v>15929.272402439019</v>
      </c>
      <c r="F74" s="450"/>
      <c r="G74" s="450">
        <f>G73*1.23-G73</f>
        <v>13478.615109756094</v>
      </c>
      <c r="H74" s="450"/>
      <c r="I74" s="450">
        <f>I73*1.23-I73</f>
        <v>9557.5634414634187</v>
      </c>
      <c r="J74" s="450"/>
      <c r="K74" s="450">
        <f t="shared" si="14"/>
        <v>54894.723356097551</v>
      </c>
      <c r="L74" s="466"/>
    </row>
    <row r="75" spans="2:13">
      <c r="B75" s="445" t="s">
        <v>198</v>
      </c>
      <c r="C75" s="445"/>
      <c r="D75" s="107">
        <f>$D$35*L$10</f>
        <v>85186.978499999997</v>
      </c>
      <c r="E75" s="450">
        <f>$D$35*M$10</f>
        <v>85186.978499999997</v>
      </c>
      <c r="F75" s="450"/>
      <c r="G75" s="450">
        <f>$D$35*N$10</f>
        <v>72081.289499999999</v>
      </c>
      <c r="H75" s="450"/>
      <c r="I75" s="450">
        <f>$D$35*O$10</f>
        <v>51112.187099999996</v>
      </c>
      <c r="J75" s="450"/>
      <c r="K75" s="450">
        <f t="shared" si="14"/>
        <v>293567.43359999999</v>
      </c>
      <c r="L75" s="466"/>
    </row>
    <row r="76" spans="2:13">
      <c r="B76" s="455" t="s">
        <v>203</v>
      </c>
      <c r="C76" s="455"/>
      <c r="D76" s="108">
        <f>SUM(D73:D74)-D75</f>
        <v>0</v>
      </c>
      <c r="E76" s="467">
        <f>SUM(E73:F74)-E75</f>
        <v>0</v>
      </c>
      <c r="F76" s="467"/>
      <c r="G76" s="467">
        <f>SUM(G73:H74)-G75</f>
        <v>0</v>
      </c>
      <c r="H76" s="467"/>
      <c r="I76" s="467">
        <f>SUM(I73:J74)-I75</f>
        <v>0</v>
      </c>
      <c r="J76" s="467"/>
      <c r="K76" s="467">
        <f>SUM(K73:L74)-K75</f>
        <v>0</v>
      </c>
      <c r="L76" s="467"/>
    </row>
    <row r="77" spans="2:13">
      <c r="B77" s="445" t="s">
        <v>201</v>
      </c>
      <c r="C77" s="445"/>
      <c r="D77" s="107">
        <f>K58</f>
        <v>51112.187099999996</v>
      </c>
      <c r="E77" s="450">
        <f>D75</f>
        <v>85186.978499999997</v>
      </c>
      <c r="F77" s="466"/>
      <c r="G77" s="450">
        <f>E75</f>
        <v>85186.978499999997</v>
      </c>
      <c r="H77" s="466"/>
      <c r="I77" s="450">
        <f>G75</f>
        <v>72081.289499999999</v>
      </c>
      <c r="J77" s="466"/>
      <c r="K77" s="450">
        <f>SUM(E77:J77)</f>
        <v>242455.24650000001</v>
      </c>
      <c r="L77" s="466"/>
      <c r="M77" s="109" t="s">
        <v>207</v>
      </c>
    </row>
    <row r="78" spans="2:13">
      <c r="B78" s="445" t="s">
        <v>202</v>
      </c>
      <c r="C78" s="445"/>
      <c r="D78" s="107">
        <f>D75-D77+K58</f>
        <v>85186.978499999997</v>
      </c>
      <c r="E78" s="461">
        <f>E75-E77+D78</f>
        <v>85186.978499999997</v>
      </c>
      <c r="F78" s="462"/>
      <c r="G78" s="461">
        <f>G75-G77+E78</f>
        <v>72081.289499999999</v>
      </c>
      <c r="H78" s="462"/>
      <c r="I78" s="461">
        <f>I75-I77+G78</f>
        <v>51112.187099999996</v>
      </c>
      <c r="J78" s="462"/>
      <c r="K78" s="461">
        <f>I78</f>
        <v>51112.187099999996</v>
      </c>
      <c r="L78" s="462"/>
      <c r="M78" s="104">
        <f>SUM(K77:L78)-SUM(D78:J78)</f>
        <v>0</v>
      </c>
    </row>
  </sheetData>
  <mergeCells count="285">
    <mergeCell ref="B78:C78"/>
    <mergeCell ref="E78:F78"/>
    <mergeCell ref="G78:H78"/>
    <mergeCell ref="I78:J78"/>
    <mergeCell ref="K78:L78"/>
    <mergeCell ref="B77:C77"/>
    <mergeCell ref="E77:F77"/>
    <mergeCell ref="G77:H77"/>
    <mergeCell ref="I77:J77"/>
    <mergeCell ref="K77:L77"/>
    <mergeCell ref="B76:C76"/>
    <mergeCell ref="E76:F76"/>
    <mergeCell ref="G76:H76"/>
    <mergeCell ref="I76:J76"/>
    <mergeCell ref="K76:L76"/>
    <mergeCell ref="B75:C75"/>
    <mergeCell ref="E75:F75"/>
    <mergeCell ref="G75:H75"/>
    <mergeCell ref="I75:J75"/>
    <mergeCell ref="K75:L75"/>
    <mergeCell ref="B74:C74"/>
    <mergeCell ref="E74:F74"/>
    <mergeCell ref="G74:H74"/>
    <mergeCell ref="I74:J74"/>
    <mergeCell ref="K74:L74"/>
    <mergeCell ref="B73:C73"/>
    <mergeCell ref="E73:F73"/>
    <mergeCell ref="G73:H73"/>
    <mergeCell ref="I73:J73"/>
    <mergeCell ref="K73:L73"/>
    <mergeCell ref="B72:C72"/>
    <mergeCell ref="E72:F72"/>
    <mergeCell ref="G72:H72"/>
    <mergeCell ref="I72:J72"/>
    <mergeCell ref="K72:L72"/>
    <mergeCell ref="B71:C71"/>
    <mergeCell ref="E71:F71"/>
    <mergeCell ref="G71:H71"/>
    <mergeCell ref="I71:J71"/>
    <mergeCell ref="K71:L71"/>
    <mergeCell ref="B70:C70"/>
    <mergeCell ref="E70:F70"/>
    <mergeCell ref="G70:H70"/>
    <mergeCell ref="I70:J70"/>
    <mergeCell ref="K70:L70"/>
    <mergeCell ref="B69:C69"/>
    <mergeCell ref="E69:F69"/>
    <mergeCell ref="G69:H69"/>
    <mergeCell ref="I69:J69"/>
    <mergeCell ref="K69:L69"/>
    <mergeCell ref="B68:C68"/>
    <mergeCell ref="E68:F68"/>
    <mergeCell ref="G68:H68"/>
    <mergeCell ref="I68:J68"/>
    <mergeCell ref="K68:L68"/>
    <mergeCell ref="B67:C67"/>
    <mergeCell ref="E67:F67"/>
    <mergeCell ref="G67:H67"/>
    <mergeCell ref="I67:J67"/>
    <mergeCell ref="K67:L67"/>
    <mergeCell ref="B66:C66"/>
    <mergeCell ref="E66:F66"/>
    <mergeCell ref="G66:H66"/>
    <mergeCell ref="I66:J66"/>
    <mergeCell ref="K66:L66"/>
    <mergeCell ref="B65:C65"/>
    <mergeCell ref="E65:F65"/>
    <mergeCell ref="G65:H65"/>
    <mergeCell ref="I65:J65"/>
    <mergeCell ref="K65:L65"/>
    <mergeCell ref="I63:J63"/>
    <mergeCell ref="K63:L63"/>
    <mergeCell ref="B64:C64"/>
    <mergeCell ref="E64:F64"/>
    <mergeCell ref="G64:H64"/>
    <mergeCell ref="I64:J64"/>
    <mergeCell ref="K64:L64"/>
    <mergeCell ref="B58:C58"/>
    <mergeCell ref="B41:C41"/>
    <mergeCell ref="B61:C61"/>
    <mergeCell ref="B63:C63"/>
    <mergeCell ref="E63:F63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E58:F58"/>
    <mergeCell ref="G58:H58"/>
    <mergeCell ref="I58:J58"/>
    <mergeCell ref="K58:L58"/>
    <mergeCell ref="I22:L22"/>
    <mergeCell ref="G57:H57"/>
    <mergeCell ref="I57:J57"/>
    <mergeCell ref="K57:L57"/>
    <mergeCell ref="E57:F57"/>
    <mergeCell ref="G56:H56"/>
    <mergeCell ref="I56:J56"/>
    <mergeCell ref="K56:L56"/>
    <mergeCell ref="E56:F56"/>
    <mergeCell ref="G55:H55"/>
    <mergeCell ref="I55:J55"/>
    <mergeCell ref="K55:L55"/>
    <mergeCell ref="E55:F55"/>
    <mergeCell ref="G54:H54"/>
    <mergeCell ref="I54:J54"/>
    <mergeCell ref="K54:L54"/>
    <mergeCell ref="E54:F54"/>
    <mergeCell ref="G53:H53"/>
    <mergeCell ref="I53:J53"/>
    <mergeCell ref="K53:L53"/>
    <mergeCell ref="E53:F53"/>
    <mergeCell ref="G52:H52"/>
    <mergeCell ref="I52:J52"/>
    <mergeCell ref="K52:L52"/>
    <mergeCell ref="E52:F52"/>
    <mergeCell ref="G51:H51"/>
    <mergeCell ref="I51:J51"/>
    <mergeCell ref="K51:L51"/>
    <mergeCell ref="E51:F51"/>
    <mergeCell ref="G50:H50"/>
    <mergeCell ref="I50:J50"/>
    <mergeCell ref="K50:L50"/>
    <mergeCell ref="G49:H49"/>
    <mergeCell ref="I49:J49"/>
    <mergeCell ref="K49:L49"/>
    <mergeCell ref="E49:F49"/>
    <mergeCell ref="G48:H48"/>
    <mergeCell ref="I48:J48"/>
    <mergeCell ref="K48:L48"/>
    <mergeCell ref="E48:F48"/>
    <mergeCell ref="I47:J47"/>
    <mergeCell ref="K47:L47"/>
    <mergeCell ref="E47:F47"/>
    <mergeCell ref="G46:H46"/>
    <mergeCell ref="I46:J46"/>
    <mergeCell ref="K46:L46"/>
    <mergeCell ref="E46:F46"/>
    <mergeCell ref="G45:H45"/>
    <mergeCell ref="I45:J45"/>
    <mergeCell ref="K45:L45"/>
    <mergeCell ref="E45:F45"/>
    <mergeCell ref="T37:U37"/>
    <mergeCell ref="T38:U38"/>
    <mergeCell ref="T39:U39"/>
    <mergeCell ref="N37:O37"/>
    <mergeCell ref="N38:O38"/>
    <mergeCell ref="P37:Q37"/>
    <mergeCell ref="R37:S37"/>
    <mergeCell ref="P38:Q38"/>
    <mergeCell ref="R38:S38"/>
    <mergeCell ref="T29:U29"/>
    <mergeCell ref="T30:U30"/>
    <mergeCell ref="T31:U31"/>
    <mergeCell ref="T32:U32"/>
    <mergeCell ref="T33:U33"/>
    <mergeCell ref="T24:U24"/>
    <mergeCell ref="T25:U25"/>
    <mergeCell ref="T26:U26"/>
    <mergeCell ref="T27:U27"/>
    <mergeCell ref="T28:U28"/>
    <mergeCell ref="R33:S33"/>
    <mergeCell ref="R35:S35"/>
    <mergeCell ref="N35:O35"/>
    <mergeCell ref="P35:Q35"/>
    <mergeCell ref="B21:C21"/>
    <mergeCell ref="I32:L32"/>
    <mergeCell ref="I33:L33"/>
    <mergeCell ref="I30:L30"/>
    <mergeCell ref="I31:L31"/>
    <mergeCell ref="I25:L25"/>
    <mergeCell ref="I26:L26"/>
    <mergeCell ref="I27:L27"/>
    <mergeCell ref="I28:L28"/>
    <mergeCell ref="I29:L29"/>
    <mergeCell ref="B29:C29"/>
    <mergeCell ref="B30:C30"/>
    <mergeCell ref="B31:C31"/>
    <mergeCell ref="B32:C32"/>
    <mergeCell ref="B24:D24"/>
    <mergeCell ref="B26:C26"/>
    <mergeCell ref="B27:C27"/>
    <mergeCell ref="B28:C28"/>
    <mergeCell ref="B35:C35"/>
    <mergeCell ref="I34:L34"/>
    <mergeCell ref="I35:L35"/>
    <mergeCell ref="E50:F50"/>
    <mergeCell ref="N34:O34"/>
    <mergeCell ref="P34:Q34"/>
    <mergeCell ref="R34:S34"/>
    <mergeCell ref="I36:L36"/>
    <mergeCell ref="I39:L39"/>
    <mergeCell ref="N39:O39"/>
    <mergeCell ref="P39:Q39"/>
    <mergeCell ref="R39:S39"/>
    <mergeCell ref="N36:O36"/>
    <mergeCell ref="P36:Q36"/>
    <mergeCell ref="R36:S36"/>
    <mergeCell ref="F35:G35"/>
    <mergeCell ref="G44:H44"/>
    <mergeCell ref="I44:J44"/>
    <mergeCell ref="K44:L44"/>
    <mergeCell ref="E44:F44"/>
    <mergeCell ref="I43:J43"/>
    <mergeCell ref="K43:L43"/>
    <mergeCell ref="E43:F43"/>
    <mergeCell ref="I37:L37"/>
    <mergeCell ref="I38:L38"/>
    <mergeCell ref="G47:H47"/>
    <mergeCell ref="T34:U34"/>
    <mergeCell ref="T35:U35"/>
    <mergeCell ref="T36:U36"/>
    <mergeCell ref="N31:O31"/>
    <mergeCell ref="N32:O32"/>
    <mergeCell ref="B33:C33"/>
    <mergeCell ref="B34:C34"/>
    <mergeCell ref="P32:Q32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P27:Q27"/>
    <mergeCell ref="P28:Q28"/>
    <mergeCell ref="P29:Q29"/>
    <mergeCell ref="P30:Q30"/>
    <mergeCell ref="P31:Q31"/>
    <mergeCell ref="N24:O24"/>
    <mergeCell ref="N25:O25"/>
    <mergeCell ref="N26:O26"/>
    <mergeCell ref="N27:O27"/>
    <mergeCell ref="N28:O28"/>
    <mergeCell ref="N29:O29"/>
    <mergeCell ref="N30:O30"/>
    <mergeCell ref="I24:L24"/>
    <mergeCell ref="F33:G33"/>
    <mergeCell ref="F34:G34"/>
    <mergeCell ref="P25:Q25"/>
    <mergeCell ref="P26:Q26"/>
    <mergeCell ref="F26:G26"/>
    <mergeCell ref="F27:G27"/>
    <mergeCell ref="F28:G28"/>
    <mergeCell ref="F29:G29"/>
    <mergeCell ref="F30:G30"/>
    <mergeCell ref="F31:G31"/>
    <mergeCell ref="F32:G32"/>
    <mergeCell ref="N33:O33"/>
    <mergeCell ref="P33:Q33"/>
    <mergeCell ref="P24:Q24"/>
    <mergeCell ref="R15:T18"/>
    <mergeCell ref="C11:E11"/>
    <mergeCell ref="I8:K8"/>
    <mergeCell ref="B4:G4"/>
    <mergeCell ref="J9:K10"/>
    <mergeCell ref="B5:G5"/>
    <mergeCell ref="B2:D2"/>
    <mergeCell ref="B9:C9"/>
    <mergeCell ref="B8:C8"/>
    <mergeCell ref="D8:G8"/>
    <mergeCell ref="C13:F13"/>
    <mergeCell ref="B15:D18"/>
    <mergeCell ref="F15:H18"/>
    <mergeCell ref="J15:L18"/>
    <mergeCell ref="N15:P18"/>
    <mergeCell ref="R6:T6"/>
    <mergeCell ref="R7:T7"/>
    <mergeCell ref="R8:T8"/>
    <mergeCell ref="R9:T9"/>
    <mergeCell ref="R10:T10"/>
    <mergeCell ref="R5:T5"/>
    <mergeCell ref="R11:T11"/>
  </mergeCells>
  <pageMargins left="0.7" right="0.7" top="0.75" bottom="0.75" header="0.3" footer="0.3"/>
  <pageSetup paperSize="9" scale="99" orientation="portrait" r:id="rId1"/>
  <colBreaks count="2" manualBreakCount="2">
    <brk id="15" max="82" man="1"/>
    <brk id="23" max="8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6CEB-D878-9447-A672-018563F43E77}">
  <dimension ref="B1:X57"/>
  <sheetViews>
    <sheetView showGridLines="0" zoomScale="60" zoomScaleNormal="60" workbookViewId="0">
      <selection activeCell="K22" sqref="K22"/>
    </sheetView>
  </sheetViews>
  <sheetFormatPr baseColWidth="10" defaultColWidth="11.5" defaultRowHeight="15"/>
  <cols>
    <col min="2" max="2" width="10.83203125" customWidth="1"/>
    <col min="5" max="5" width="13.33203125" customWidth="1"/>
    <col min="7" max="7" width="13.33203125" bestFit="1" customWidth="1"/>
    <col min="8" max="8" width="13.33203125" customWidth="1"/>
    <col min="9" max="9" width="17" customWidth="1"/>
    <col min="15" max="18" width="13" bestFit="1" customWidth="1"/>
  </cols>
  <sheetData>
    <row r="1" spans="2:22" ht="16" thickBot="1"/>
    <row r="2" spans="2:22" ht="15" customHeight="1">
      <c r="B2" s="477" t="s">
        <v>86</v>
      </c>
      <c r="C2" s="478"/>
      <c r="D2" s="478"/>
      <c r="E2" s="29" t="s">
        <v>124</v>
      </c>
      <c r="F2" s="29" t="s">
        <v>87</v>
      </c>
      <c r="G2" s="30" t="s">
        <v>88</v>
      </c>
      <c r="M2" s="496" t="s">
        <v>135</v>
      </c>
      <c r="N2" s="497"/>
      <c r="O2" s="497"/>
      <c r="P2" s="498"/>
    </row>
    <row r="3" spans="2:22">
      <c r="B3" s="470" t="s">
        <v>82</v>
      </c>
      <c r="C3" s="471"/>
      <c r="D3" s="471"/>
      <c r="E3" s="47">
        <v>250000</v>
      </c>
      <c r="F3" s="32">
        <v>0.23</v>
      </c>
      <c r="G3" s="46" t="s">
        <v>125</v>
      </c>
      <c r="M3" s="499"/>
      <c r="N3" s="500"/>
      <c r="O3" s="500"/>
      <c r="P3" s="501"/>
    </row>
    <row r="4" spans="2:22" ht="16">
      <c r="B4" s="470" t="s">
        <v>78</v>
      </c>
      <c r="C4" s="471"/>
      <c r="D4" s="471"/>
      <c r="E4" s="47">
        <v>12000</v>
      </c>
      <c r="F4" s="32">
        <v>0.23</v>
      </c>
      <c r="G4" s="46" t="s">
        <v>126</v>
      </c>
      <c r="M4" s="79"/>
      <c r="N4" s="80"/>
      <c r="O4" s="70" t="s">
        <v>138</v>
      </c>
      <c r="P4" s="71" t="s">
        <v>46</v>
      </c>
    </row>
    <row r="5" spans="2:22">
      <c r="B5" s="470" t="s">
        <v>79</v>
      </c>
      <c r="C5" s="471"/>
      <c r="D5" s="471"/>
      <c r="E5" s="47">
        <v>7000</v>
      </c>
      <c r="F5" s="32">
        <v>0.23</v>
      </c>
      <c r="G5" s="46" t="s">
        <v>126</v>
      </c>
      <c r="I5" s="51"/>
      <c r="J5" s="52"/>
      <c r="K5" s="52"/>
      <c r="M5" s="487" t="s">
        <v>82</v>
      </c>
      <c r="N5" s="488"/>
      <c r="O5" s="76">
        <v>0.05</v>
      </c>
      <c r="P5" s="81">
        <f>O5/4</f>
        <v>1.2500000000000001E-2</v>
      </c>
    </row>
    <row r="6" spans="2:22">
      <c r="B6" s="470" t="s">
        <v>83</v>
      </c>
      <c r="C6" s="471"/>
      <c r="D6" s="471"/>
      <c r="E6" s="47">
        <v>4000</v>
      </c>
      <c r="F6" s="32">
        <v>0.23</v>
      </c>
      <c r="G6" s="46" t="s">
        <v>125</v>
      </c>
      <c r="I6" s="52"/>
      <c r="J6" s="52"/>
      <c r="K6" s="52"/>
      <c r="M6" s="487" t="s">
        <v>128</v>
      </c>
      <c r="N6" s="488"/>
      <c r="O6" s="76">
        <v>0.05</v>
      </c>
      <c r="P6" s="81">
        <f t="shared" ref="P6:P11" si="0">O6/4</f>
        <v>1.2500000000000001E-2</v>
      </c>
    </row>
    <row r="7" spans="2:22">
      <c r="B7" s="470" t="s">
        <v>84</v>
      </c>
      <c r="C7" s="471"/>
      <c r="D7" s="471"/>
      <c r="E7" s="47">
        <v>9000</v>
      </c>
      <c r="F7" s="32">
        <v>0.23</v>
      </c>
      <c r="G7" s="46" t="s">
        <v>125</v>
      </c>
      <c r="M7" s="487" t="s">
        <v>129</v>
      </c>
      <c r="N7" s="488"/>
      <c r="O7" s="76">
        <v>0.05</v>
      </c>
      <c r="P7" s="81">
        <f t="shared" si="0"/>
        <v>1.2500000000000001E-2</v>
      </c>
    </row>
    <row r="8" spans="2:22">
      <c r="B8" s="470" t="s">
        <v>80</v>
      </c>
      <c r="C8" s="471"/>
      <c r="D8" s="471"/>
      <c r="E8" s="47">
        <v>6000</v>
      </c>
      <c r="F8" s="32">
        <v>0.23</v>
      </c>
      <c r="G8" s="46" t="s">
        <v>125</v>
      </c>
      <c r="M8" s="487" t="s">
        <v>130</v>
      </c>
      <c r="N8" s="488"/>
      <c r="O8" s="77">
        <v>0.05</v>
      </c>
      <c r="P8" s="81">
        <f t="shared" si="0"/>
        <v>1.2500000000000001E-2</v>
      </c>
    </row>
    <row r="9" spans="2:22" ht="16" thickBot="1">
      <c r="B9" s="489" t="s">
        <v>85</v>
      </c>
      <c r="C9" s="490"/>
      <c r="D9" s="490"/>
      <c r="E9" s="48">
        <v>3000</v>
      </c>
      <c r="F9" s="50">
        <v>0.23</v>
      </c>
      <c r="G9" s="49" t="s">
        <v>125</v>
      </c>
      <c r="M9" s="487" t="s">
        <v>131</v>
      </c>
      <c r="N9" s="488"/>
      <c r="O9" s="76">
        <v>0.05</v>
      </c>
      <c r="P9" s="81">
        <f t="shared" si="0"/>
        <v>1.2500000000000001E-2</v>
      </c>
    </row>
    <row r="10" spans="2:22">
      <c r="M10" s="487" t="s">
        <v>81</v>
      </c>
      <c r="N10" s="488"/>
      <c r="O10" s="76">
        <v>0.1</v>
      </c>
      <c r="P10" s="81">
        <f t="shared" si="0"/>
        <v>2.5000000000000001E-2</v>
      </c>
    </row>
    <row r="11" spans="2:22" ht="16" thickBot="1">
      <c r="M11" s="468" t="s">
        <v>132</v>
      </c>
      <c r="N11" s="469"/>
      <c r="O11" s="78">
        <v>0.05</v>
      </c>
      <c r="P11" s="82">
        <f t="shared" si="0"/>
        <v>1.2500000000000001E-2</v>
      </c>
    </row>
    <row r="12" spans="2:22">
      <c r="B12" s="491" t="s">
        <v>184</v>
      </c>
      <c r="C12" s="492"/>
      <c r="D12" s="493"/>
      <c r="E12" s="29" t="s">
        <v>6</v>
      </c>
      <c r="F12" s="29" t="s">
        <v>7</v>
      </c>
      <c r="G12" s="29" t="s">
        <v>8</v>
      </c>
      <c r="H12" s="29" t="s">
        <v>9</v>
      </c>
      <c r="I12" s="57" t="s">
        <v>10</v>
      </c>
    </row>
    <row r="13" spans="2:22" ht="16" thickBot="1">
      <c r="B13" s="472" t="s">
        <v>82</v>
      </c>
      <c r="C13" s="473"/>
      <c r="D13" s="474"/>
      <c r="E13" s="54">
        <f>$E$3/(1+$F$3)</f>
        <v>203252.03252032521</v>
      </c>
      <c r="F13" s="61">
        <v>0</v>
      </c>
      <c r="G13" s="61">
        <v>0</v>
      </c>
      <c r="H13" s="61">
        <v>0</v>
      </c>
      <c r="I13" s="53">
        <f>SUM(E13:H13)</f>
        <v>203252.03252032521</v>
      </c>
    </row>
    <row r="14" spans="2:22">
      <c r="B14" s="472" t="s">
        <v>78</v>
      </c>
      <c r="C14" s="473"/>
      <c r="D14" s="474"/>
      <c r="E14" s="61">
        <v>0</v>
      </c>
      <c r="F14" s="54">
        <f>($E$4*0.4)/(1+$F$4)</f>
        <v>3902.439024390244</v>
      </c>
      <c r="G14" s="61">
        <v>0</v>
      </c>
      <c r="H14" s="61">
        <v>0</v>
      </c>
      <c r="I14" s="53">
        <f t="shared" ref="I14:I19" si="1">SUM(E14:H14)</f>
        <v>3902.439024390244</v>
      </c>
      <c r="M14" s="491" t="s">
        <v>170</v>
      </c>
      <c r="N14" s="493"/>
      <c r="O14" s="29" t="s">
        <v>6</v>
      </c>
      <c r="P14" s="29" t="s">
        <v>7</v>
      </c>
      <c r="Q14" s="29" t="s">
        <v>8</v>
      </c>
      <c r="R14" s="29" t="s">
        <v>9</v>
      </c>
      <c r="S14" s="57" t="s">
        <v>10</v>
      </c>
      <c r="U14" s="58"/>
      <c r="V14" s="58"/>
    </row>
    <row r="15" spans="2:22">
      <c r="B15" s="472" t="s">
        <v>79</v>
      </c>
      <c r="C15" s="473"/>
      <c r="D15" s="474"/>
      <c r="E15" s="61">
        <v>0</v>
      </c>
      <c r="F15" s="54">
        <f>($E$5*0.4)/(1+$F$5)</f>
        <v>2276.4227642276423</v>
      </c>
      <c r="G15" s="61">
        <v>0</v>
      </c>
      <c r="H15" s="61">
        <v>0</v>
      </c>
      <c r="I15" s="53">
        <f t="shared" si="1"/>
        <v>2276.4227642276423</v>
      </c>
      <c r="M15" s="472" t="s">
        <v>82</v>
      </c>
      <c r="N15" s="474"/>
      <c r="O15" s="54">
        <f>$E$13</f>
        <v>203252.03252032521</v>
      </c>
      <c r="P15" s="54">
        <f t="shared" ref="P15:R15" si="2">$E$13</f>
        <v>203252.03252032521</v>
      </c>
      <c r="Q15" s="54">
        <f t="shared" si="2"/>
        <v>203252.03252032521</v>
      </c>
      <c r="R15" s="54">
        <f t="shared" si="2"/>
        <v>203252.03252032521</v>
      </c>
      <c r="S15" s="53">
        <f>R15</f>
        <v>203252.03252032521</v>
      </c>
      <c r="U15" s="58"/>
      <c r="V15" s="58"/>
    </row>
    <row r="16" spans="2:22">
      <c r="B16" s="472" t="s">
        <v>83</v>
      </c>
      <c r="C16" s="473"/>
      <c r="D16" s="474"/>
      <c r="E16" s="54">
        <f>$E6/(1+$F6)</f>
        <v>3252.0325203252032</v>
      </c>
      <c r="F16" s="61">
        <v>0</v>
      </c>
      <c r="G16" s="61">
        <v>0</v>
      </c>
      <c r="H16" s="61">
        <v>0</v>
      </c>
      <c r="I16" s="53">
        <f t="shared" si="1"/>
        <v>3252.0325203252032</v>
      </c>
      <c r="M16" s="472" t="s">
        <v>128</v>
      </c>
      <c r="N16" s="474"/>
      <c r="O16" s="54">
        <f>$E$4/(1+$F$4)</f>
        <v>9756.0975609756097</v>
      </c>
      <c r="P16" s="54">
        <f>$E$4/(1+$F$4)</f>
        <v>9756.0975609756097</v>
      </c>
      <c r="Q16" s="54">
        <f t="shared" ref="Q16:R16" si="3">$E$4/(1+$F$4)</f>
        <v>9756.0975609756097</v>
      </c>
      <c r="R16" s="54">
        <f t="shared" si="3"/>
        <v>9756.0975609756097</v>
      </c>
      <c r="S16" s="53">
        <f t="shared" ref="S16:S21" si="4">R16</f>
        <v>9756.0975609756097</v>
      </c>
    </row>
    <row r="17" spans="2:19">
      <c r="B17" s="472" t="s">
        <v>84</v>
      </c>
      <c r="C17" s="473"/>
      <c r="D17" s="474"/>
      <c r="E17" s="54">
        <f>$E7/(1+$F7)</f>
        <v>7317.0731707317073</v>
      </c>
      <c r="F17" s="61">
        <v>0</v>
      </c>
      <c r="G17" s="61">
        <v>0</v>
      </c>
      <c r="H17" s="61">
        <v>0</v>
      </c>
      <c r="I17" s="53">
        <f t="shared" si="1"/>
        <v>7317.0731707317073</v>
      </c>
      <c r="M17" s="472" t="s">
        <v>129</v>
      </c>
      <c r="N17" s="474"/>
      <c r="O17" s="54">
        <f>$E$5/(1+$F$5)</f>
        <v>5691.0569105691056</v>
      </c>
      <c r="P17" s="54">
        <f>$E$5/(1+$F$5)</f>
        <v>5691.0569105691056</v>
      </c>
      <c r="Q17" s="54">
        <f t="shared" ref="Q17:R17" si="5">$E$5/(1+$F$5)</f>
        <v>5691.0569105691056</v>
      </c>
      <c r="R17" s="54">
        <f t="shared" si="5"/>
        <v>5691.0569105691056</v>
      </c>
      <c r="S17" s="53">
        <f t="shared" si="4"/>
        <v>5691.0569105691056</v>
      </c>
    </row>
    <row r="18" spans="2:19">
      <c r="B18" s="472" t="s">
        <v>80</v>
      </c>
      <c r="C18" s="473"/>
      <c r="D18" s="474"/>
      <c r="E18" s="54">
        <f>$E8/(1+$F8)</f>
        <v>4878.0487804878048</v>
      </c>
      <c r="F18" s="61">
        <v>0</v>
      </c>
      <c r="G18" s="61">
        <v>0</v>
      </c>
      <c r="H18" s="61">
        <v>0</v>
      </c>
      <c r="I18" s="53">
        <f t="shared" si="1"/>
        <v>4878.0487804878048</v>
      </c>
      <c r="M18" s="472" t="s">
        <v>130</v>
      </c>
      <c r="N18" s="474"/>
      <c r="O18" s="54">
        <f>$E$16</f>
        <v>3252.0325203252032</v>
      </c>
      <c r="P18" s="54">
        <f t="shared" ref="P18:R18" si="6">$E$16</f>
        <v>3252.0325203252032</v>
      </c>
      <c r="Q18" s="54">
        <f t="shared" si="6"/>
        <v>3252.0325203252032</v>
      </c>
      <c r="R18" s="54">
        <f t="shared" si="6"/>
        <v>3252.0325203252032</v>
      </c>
      <c r="S18" s="53">
        <f t="shared" si="4"/>
        <v>3252.0325203252032</v>
      </c>
    </row>
    <row r="19" spans="2:19">
      <c r="B19" s="472" t="s">
        <v>85</v>
      </c>
      <c r="C19" s="473"/>
      <c r="D19" s="474"/>
      <c r="E19" s="54">
        <f>$E9/(1+$F9)</f>
        <v>2439.0243902439024</v>
      </c>
      <c r="F19" s="61">
        <v>0</v>
      </c>
      <c r="G19" s="61">
        <v>0</v>
      </c>
      <c r="H19" s="61">
        <v>0</v>
      </c>
      <c r="I19" s="53">
        <f t="shared" si="1"/>
        <v>2439.0243902439024</v>
      </c>
      <c r="M19" s="472" t="s">
        <v>131</v>
      </c>
      <c r="N19" s="474"/>
      <c r="O19" s="54">
        <f>$E$17</f>
        <v>7317.0731707317073</v>
      </c>
      <c r="P19" s="54">
        <f t="shared" ref="P19:R19" si="7">$E$17</f>
        <v>7317.0731707317073</v>
      </c>
      <c r="Q19" s="54">
        <f t="shared" si="7"/>
        <v>7317.0731707317073</v>
      </c>
      <c r="R19" s="54">
        <f t="shared" si="7"/>
        <v>7317.0731707317073</v>
      </c>
      <c r="S19" s="53">
        <f t="shared" si="4"/>
        <v>7317.0731707317073</v>
      </c>
    </row>
    <row r="20" spans="2:19" ht="16" thickBot="1">
      <c r="B20" s="481" t="s">
        <v>133</v>
      </c>
      <c r="C20" s="482"/>
      <c r="D20" s="483"/>
      <c r="E20" s="55">
        <f>SUM(E13:E19)</f>
        <v>221138.21138211383</v>
      </c>
      <c r="F20" s="55">
        <f>SUM(F13:F19)</f>
        <v>6178.8617886178863</v>
      </c>
      <c r="G20" s="55">
        <f>SUM(G13:G19)</f>
        <v>0</v>
      </c>
      <c r="H20" s="55">
        <f>SUM(H13:H19)</f>
        <v>0</v>
      </c>
      <c r="I20" s="56">
        <f>SUM(E20:H20)</f>
        <v>227317.07317073172</v>
      </c>
      <c r="M20" s="472" t="s">
        <v>81</v>
      </c>
      <c r="N20" s="474"/>
      <c r="O20" s="54">
        <f>$E$18</f>
        <v>4878.0487804878048</v>
      </c>
      <c r="P20" s="54">
        <f t="shared" ref="P20:R20" si="8">$E$18</f>
        <v>4878.0487804878048</v>
      </c>
      <c r="Q20" s="54">
        <f t="shared" si="8"/>
        <v>4878.0487804878048</v>
      </c>
      <c r="R20" s="54">
        <f t="shared" si="8"/>
        <v>4878.0487804878048</v>
      </c>
      <c r="S20" s="53">
        <f t="shared" si="4"/>
        <v>4878.0487804878048</v>
      </c>
    </row>
    <row r="21" spans="2:19" ht="16" thickBot="1">
      <c r="B21" s="484" t="s">
        <v>87</v>
      </c>
      <c r="C21" s="485"/>
      <c r="D21" s="486"/>
      <c r="E21" s="62">
        <f>E20*0.23</f>
        <v>50861.788617886181</v>
      </c>
      <c r="F21" s="62">
        <f t="shared" ref="F21:I21" si="9">F20*0.23</f>
        <v>1421.1382113821139</v>
      </c>
      <c r="G21" s="62">
        <f t="shared" si="9"/>
        <v>0</v>
      </c>
      <c r="H21" s="62">
        <f t="shared" si="9"/>
        <v>0</v>
      </c>
      <c r="I21" s="63">
        <f t="shared" si="9"/>
        <v>52282.926829268297</v>
      </c>
      <c r="K21" s="58"/>
      <c r="M21" s="502" t="s">
        <v>132</v>
      </c>
      <c r="N21" s="503"/>
      <c r="O21" s="83">
        <f>$E$19</f>
        <v>2439.0243902439024</v>
      </c>
      <c r="P21" s="83">
        <f t="shared" ref="P21:R21" si="10">$E$19</f>
        <v>2439.0243902439024</v>
      </c>
      <c r="Q21" s="83">
        <f t="shared" si="10"/>
        <v>2439.0243902439024</v>
      </c>
      <c r="R21" s="83">
        <f t="shared" si="10"/>
        <v>2439.0243902439024</v>
      </c>
      <c r="S21" s="84">
        <f t="shared" si="4"/>
        <v>2439.0243902439024</v>
      </c>
    </row>
    <row r="22" spans="2:19" ht="16" thickBot="1">
      <c r="B22" s="479" t="s">
        <v>134</v>
      </c>
      <c r="C22" s="480"/>
      <c r="D22" s="480"/>
      <c r="E22" s="64">
        <f>E20+E21</f>
        <v>272000</v>
      </c>
      <c r="F22" s="64">
        <f>F20+F21</f>
        <v>7600</v>
      </c>
      <c r="G22" s="64">
        <f>G20+G21</f>
        <v>0</v>
      </c>
      <c r="H22" s="64">
        <f>H20+H21</f>
        <v>0</v>
      </c>
      <c r="I22" s="65">
        <f>I20+I21</f>
        <v>279600</v>
      </c>
      <c r="M22" s="494" t="s">
        <v>127</v>
      </c>
      <c r="N22" s="495"/>
      <c r="O22" s="62">
        <f>O15*$P$5+O16*$P$6+O17*$P$7+O18*$P$8+O19*$P$9+O20*$P$10+O21*$P$11</f>
        <v>3018.2926829268295</v>
      </c>
      <c r="P22" s="62">
        <f t="shared" ref="P22:R22" si="11">P15*$P$5+P16*$P$6+P17*$P$7+P18*$P$8+P19*$P$9+P20*$P$10+P21*$P$11</f>
        <v>3018.2926829268295</v>
      </c>
      <c r="Q22" s="62">
        <f t="shared" si="11"/>
        <v>3018.2926829268295</v>
      </c>
      <c r="R22" s="62">
        <f t="shared" si="11"/>
        <v>3018.2926829268295</v>
      </c>
      <c r="S22" s="63">
        <f>SUM(O21:R21)</f>
        <v>9756.0975609756097</v>
      </c>
    </row>
    <row r="23" spans="2:19" ht="16" thickBot="1">
      <c r="B23" s="59"/>
      <c r="C23" s="59"/>
      <c r="D23" s="59"/>
      <c r="E23" s="60"/>
      <c r="F23" s="60"/>
      <c r="G23" s="60"/>
      <c r="H23" s="60"/>
      <c r="I23" s="60"/>
      <c r="M23" s="494" t="s">
        <v>136</v>
      </c>
      <c r="N23" s="495"/>
      <c r="O23" s="62">
        <f>SUM(O15:O21)-O22</f>
        <v>233567.07317073172</v>
      </c>
      <c r="P23" s="62">
        <f>O23-P22</f>
        <v>230548.78048780488</v>
      </c>
      <c r="Q23" s="62">
        <f t="shared" ref="Q23:R23" si="12">P23-Q22</f>
        <v>227530.48780487804</v>
      </c>
      <c r="R23" s="62">
        <f t="shared" si="12"/>
        <v>224512.1951219512</v>
      </c>
      <c r="S23" s="63">
        <f>R23</f>
        <v>224512.1951219512</v>
      </c>
    </row>
    <row r="24" spans="2:19" ht="16" thickBot="1"/>
    <row r="25" spans="2:19" ht="16" thickBot="1">
      <c r="B25" s="477" t="s">
        <v>185</v>
      </c>
      <c r="C25" s="478"/>
      <c r="D25" s="478"/>
      <c r="E25" s="29" t="s">
        <v>6</v>
      </c>
      <c r="F25" s="29" t="s">
        <v>7</v>
      </c>
      <c r="G25" s="29" t="s">
        <v>8</v>
      </c>
      <c r="H25" s="29" t="s">
        <v>9</v>
      </c>
      <c r="I25" s="57" t="s">
        <v>10</v>
      </c>
    </row>
    <row r="26" spans="2:19">
      <c r="B26" s="470" t="s">
        <v>78</v>
      </c>
      <c r="C26" s="471"/>
      <c r="D26" s="471"/>
      <c r="E26" s="54">
        <v>0</v>
      </c>
      <c r="F26" s="54">
        <f>($E$4*0.3)/(1+$F$4)</f>
        <v>2926.8292682926831</v>
      </c>
      <c r="G26" s="54">
        <v>0</v>
      </c>
      <c r="H26" s="54">
        <v>0</v>
      </c>
      <c r="I26" s="53">
        <f>SUM(E26:H26)</f>
        <v>2926.8292682926831</v>
      </c>
      <c r="M26" s="491" t="s">
        <v>171</v>
      </c>
      <c r="N26" s="493"/>
      <c r="O26" s="29" t="s">
        <v>6</v>
      </c>
      <c r="P26" s="29" t="s">
        <v>7</v>
      </c>
      <c r="Q26" s="29" t="s">
        <v>8</v>
      </c>
      <c r="R26" s="29" t="s">
        <v>9</v>
      </c>
      <c r="S26" s="57" t="s">
        <v>10</v>
      </c>
    </row>
    <row r="27" spans="2:19">
      <c r="B27" s="470" t="s">
        <v>79</v>
      </c>
      <c r="C27" s="471"/>
      <c r="D27" s="471"/>
      <c r="E27" s="54">
        <v>0</v>
      </c>
      <c r="F27" s="54">
        <f>($E$5*0.3)/(1+$F$5)</f>
        <v>1707.3170731707316</v>
      </c>
      <c r="G27" s="54">
        <v>0</v>
      </c>
      <c r="H27" s="54">
        <v>0</v>
      </c>
      <c r="I27" s="53">
        <f t="shared" ref="I27:I28" si="13">SUM(E27:H27)</f>
        <v>1707.3170731707316</v>
      </c>
      <c r="M27" s="472" t="s">
        <v>82</v>
      </c>
      <c r="N27" s="474"/>
      <c r="O27" s="54">
        <f>O15-(O15*$O$5)</f>
        <v>193089.43089430896</v>
      </c>
      <c r="P27" s="54">
        <f t="shared" ref="P27:R27" si="14">P15-(P15*$O$5)</f>
        <v>193089.43089430896</v>
      </c>
      <c r="Q27" s="54">
        <f t="shared" si="14"/>
        <v>193089.43089430896</v>
      </c>
      <c r="R27" s="54">
        <f t="shared" si="14"/>
        <v>193089.43089430896</v>
      </c>
      <c r="S27" s="53">
        <f>R27</f>
        <v>193089.43089430896</v>
      </c>
    </row>
    <row r="28" spans="2:19" ht="16" thickBot="1">
      <c r="B28" s="475" t="s">
        <v>10</v>
      </c>
      <c r="C28" s="476"/>
      <c r="D28" s="476"/>
      <c r="E28" s="55">
        <f>SUM(E26:E27)</f>
        <v>0</v>
      </c>
      <c r="F28" s="55">
        <f>SUM(F26:F27)</f>
        <v>4634.1463414634145</v>
      </c>
      <c r="G28" s="55">
        <f>SUM(G26:G27)</f>
        <v>0</v>
      </c>
      <c r="H28" s="55">
        <f>SUM(H26:H27)</f>
        <v>0</v>
      </c>
      <c r="I28" s="53">
        <f t="shared" si="13"/>
        <v>4634.1463414634145</v>
      </c>
      <c r="M28" s="472" t="s">
        <v>128</v>
      </c>
      <c r="N28" s="474"/>
      <c r="O28" s="54">
        <f>O16-(O16*$O$6)</f>
        <v>9268.292682926829</v>
      </c>
      <c r="P28" s="54">
        <f t="shared" ref="P28:R28" si="15">P16-(P16*$O$6)</f>
        <v>9268.292682926829</v>
      </c>
      <c r="Q28" s="54">
        <f t="shared" si="15"/>
        <v>9268.292682926829</v>
      </c>
      <c r="R28" s="54">
        <f t="shared" si="15"/>
        <v>9268.292682926829</v>
      </c>
      <c r="S28" s="53">
        <f t="shared" ref="S28:S33" si="16">R28</f>
        <v>9268.292682926829</v>
      </c>
    </row>
    <row r="29" spans="2:19" ht="16" thickBot="1">
      <c r="B29" s="479" t="s">
        <v>87</v>
      </c>
      <c r="C29" s="480"/>
      <c r="D29" s="480"/>
      <c r="E29" s="62">
        <f>E28*0.23</f>
        <v>0</v>
      </c>
      <c r="F29" s="62">
        <f>F28*0.23</f>
        <v>1065.8536585365853</v>
      </c>
      <c r="G29" s="62">
        <f>G28*0.23</f>
        <v>0</v>
      </c>
      <c r="H29" s="62">
        <f>H28*0.23</f>
        <v>0</v>
      </c>
      <c r="I29" s="63">
        <f>I28*0.23</f>
        <v>1065.8536585365853</v>
      </c>
      <c r="M29" s="472" t="s">
        <v>129</v>
      </c>
      <c r="N29" s="474"/>
      <c r="O29" s="54">
        <f>O17-(O17*$O$7)</f>
        <v>5406.5040650406499</v>
      </c>
      <c r="P29" s="54">
        <f t="shared" ref="P29:R29" si="17">P17-(P17*$O$7)</f>
        <v>5406.5040650406499</v>
      </c>
      <c r="Q29" s="54">
        <f t="shared" si="17"/>
        <v>5406.5040650406499</v>
      </c>
      <c r="R29" s="54">
        <f t="shared" si="17"/>
        <v>5406.5040650406499</v>
      </c>
      <c r="S29" s="53">
        <f t="shared" si="16"/>
        <v>5406.5040650406499</v>
      </c>
    </row>
    <row r="30" spans="2:19" ht="16" thickBot="1">
      <c r="B30" s="479" t="s">
        <v>134</v>
      </c>
      <c r="C30" s="480"/>
      <c r="D30" s="480"/>
      <c r="E30" s="64">
        <f>E28+E29</f>
        <v>0</v>
      </c>
      <c r="F30" s="64">
        <f>F28+F29</f>
        <v>5700</v>
      </c>
      <c r="G30" s="64">
        <f>G28+G29</f>
        <v>0</v>
      </c>
      <c r="H30" s="64">
        <f>H28+H29</f>
        <v>0</v>
      </c>
      <c r="I30" s="65">
        <f>I28+I29</f>
        <v>5700</v>
      </c>
      <c r="M30" s="472" t="s">
        <v>130</v>
      </c>
      <c r="N30" s="474"/>
      <c r="O30" s="54">
        <f>O18-(O18*$O$5)</f>
        <v>3089.4308943089432</v>
      </c>
      <c r="P30" s="54">
        <f t="shared" ref="P30:R30" si="18">P18-(P18*$O$5)</f>
        <v>3089.4308943089432</v>
      </c>
      <c r="Q30" s="54">
        <f t="shared" si="18"/>
        <v>3089.4308943089432</v>
      </c>
      <c r="R30" s="54">
        <f t="shared" si="18"/>
        <v>3089.4308943089432</v>
      </c>
      <c r="S30" s="53">
        <f t="shared" si="16"/>
        <v>3089.4308943089432</v>
      </c>
    </row>
    <row r="31" spans="2:19">
      <c r="B31" s="66"/>
      <c r="C31" s="66"/>
      <c r="D31" s="66"/>
      <c r="E31" s="67"/>
      <c r="F31" s="67"/>
      <c r="G31" s="67"/>
      <c r="H31" s="67"/>
      <c r="I31" s="67"/>
      <c r="M31" s="472" t="s">
        <v>131</v>
      </c>
      <c r="N31" s="474"/>
      <c r="O31" s="54">
        <f t="shared" ref="O31:R31" si="19">O19-(O19*$O$5)</f>
        <v>6951.2195121951218</v>
      </c>
      <c r="P31" s="54">
        <f t="shared" si="19"/>
        <v>6951.2195121951218</v>
      </c>
      <c r="Q31" s="54">
        <f t="shared" si="19"/>
        <v>6951.2195121951218</v>
      </c>
      <c r="R31" s="54">
        <f t="shared" si="19"/>
        <v>6951.2195121951218</v>
      </c>
      <c r="S31" s="53">
        <f t="shared" si="16"/>
        <v>6951.2195121951218</v>
      </c>
    </row>
    <row r="32" spans="2:19" ht="16" thickBot="1">
      <c r="B32" s="68"/>
      <c r="C32" s="68"/>
      <c r="D32" s="68"/>
      <c r="E32" s="69"/>
      <c r="F32" s="69"/>
      <c r="G32" s="69"/>
      <c r="H32" s="69"/>
      <c r="I32" s="69"/>
      <c r="K32" s="58"/>
      <c r="M32" s="472" t="s">
        <v>81</v>
      </c>
      <c r="N32" s="474"/>
      <c r="O32" s="54">
        <f t="shared" ref="O32:R32" si="20">O20-(O20*$O$5)</f>
        <v>4634.1463414634145</v>
      </c>
      <c r="P32" s="54">
        <f t="shared" si="20"/>
        <v>4634.1463414634145</v>
      </c>
      <c r="Q32" s="54">
        <f t="shared" si="20"/>
        <v>4634.1463414634145</v>
      </c>
      <c r="R32" s="54">
        <f t="shared" si="20"/>
        <v>4634.1463414634145</v>
      </c>
      <c r="S32" s="53">
        <f t="shared" si="16"/>
        <v>4634.1463414634145</v>
      </c>
    </row>
    <row r="33" spans="2:24" ht="16" thickBot="1">
      <c r="B33" s="477" t="s">
        <v>186</v>
      </c>
      <c r="C33" s="478"/>
      <c r="D33" s="478"/>
      <c r="E33" s="29" t="s">
        <v>6</v>
      </c>
      <c r="F33" s="29" t="s">
        <v>7</v>
      </c>
      <c r="G33" s="29" t="s">
        <v>8</v>
      </c>
      <c r="H33" s="29" t="s">
        <v>9</v>
      </c>
      <c r="I33" s="57" t="s">
        <v>10</v>
      </c>
      <c r="M33" s="472" t="s">
        <v>132</v>
      </c>
      <c r="N33" s="474"/>
      <c r="O33" s="54">
        <f t="shared" ref="O33:R33" si="21">O21-(O21*$O$5)</f>
        <v>2317.0731707317073</v>
      </c>
      <c r="P33" s="54">
        <f t="shared" si="21"/>
        <v>2317.0731707317073</v>
      </c>
      <c r="Q33" s="54">
        <f t="shared" si="21"/>
        <v>2317.0731707317073</v>
      </c>
      <c r="R33" s="54">
        <f t="shared" si="21"/>
        <v>2317.0731707317073</v>
      </c>
      <c r="S33" s="53">
        <f t="shared" si="16"/>
        <v>2317.0731707317073</v>
      </c>
      <c r="T33" s="19"/>
    </row>
    <row r="34" spans="2:24" s="19" customFormat="1" ht="16" thickBot="1">
      <c r="B34" s="470" t="s">
        <v>78</v>
      </c>
      <c r="C34" s="471"/>
      <c r="D34" s="471"/>
      <c r="E34" s="54">
        <v>0</v>
      </c>
      <c r="F34" s="54">
        <f>($E$4*0.3)/(1+$F$4)</f>
        <v>2926.8292682926831</v>
      </c>
      <c r="G34" s="54">
        <v>0</v>
      </c>
      <c r="H34" s="54">
        <v>0</v>
      </c>
      <c r="I34" s="53">
        <f>SUM(E34:H34)</f>
        <v>2926.8292682926831</v>
      </c>
      <c r="M34" s="494" t="s">
        <v>127</v>
      </c>
      <c r="N34" s="495"/>
      <c r="O34" s="62">
        <f>O27*$P$5+O28*$P$6+O29*$P$7+O30*$P$8+O31*$P$9+O32*$P$10+O33*$P$11</f>
        <v>2867.3780487804884</v>
      </c>
      <c r="P34" s="62">
        <f t="shared" ref="P34" si="22">P27*$P$5+P28*$P$6+P29*$P$7+P30*$P$8+P31*$P$9+P32*$P$10+P33*$P$11</f>
        <v>2867.3780487804884</v>
      </c>
      <c r="Q34" s="62">
        <f t="shared" ref="Q34" si="23">Q27*$P$5+Q28*$P$6+Q29*$P$7+Q30*$P$8+Q31*$P$9+Q32*$P$10+Q33*$P$11</f>
        <v>2867.3780487804884</v>
      </c>
      <c r="R34" s="62">
        <f t="shared" ref="R34" si="24">R27*$P$5+R28*$P$6+R29*$P$7+R30*$P$8+R31*$P$9+R32*$P$10+R33*$P$11</f>
        <v>2867.3780487804884</v>
      </c>
      <c r="S34" s="63">
        <f>SUM(O33:R33)</f>
        <v>9268.292682926829</v>
      </c>
    </row>
    <row r="35" spans="2:24" s="19" customFormat="1" ht="16" thickBot="1">
      <c r="B35" s="470" t="s">
        <v>79</v>
      </c>
      <c r="C35" s="471"/>
      <c r="D35" s="471"/>
      <c r="E35" s="54">
        <v>0</v>
      </c>
      <c r="F35" s="54">
        <f>($E$5*0.3)/(1+$F$5)</f>
        <v>1707.3170731707316</v>
      </c>
      <c r="G35" s="54">
        <v>0</v>
      </c>
      <c r="H35" s="54">
        <v>0</v>
      </c>
      <c r="I35" s="53">
        <f t="shared" ref="I35:I36" si="25">SUM(E35:H35)</f>
        <v>1707.3170731707316</v>
      </c>
      <c r="M35" s="494" t="s">
        <v>136</v>
      </c>
      <c r="N35" s="495"/>
      <c r="O35" s="62">
        <f>SUM(O27:O33)-O34</f>
        <v>221888.71951219515</v>
      </c>
      <c r="P35" s="62">
        <f>O35-P34</f>
        <v>219021.34146341466</v>
      </c>
      <c r="Q35" s="62">
        <f t="shared" ref="Q35" si="26">P35-Q34</f>
        <v>216153.96341463417</v>
      </c>
      <c r="R35" s="62">
        <f t="shared" ref="R35" si="27">Q35-R34</f>
        <v>213286.58536585368</v>
      </c>
      <c r="S35" s="63">
        <f>R35</f>
        <v>213286.58536585368</v>
      </c>
      <c r="T35"/>
    </row>
    <row r="36" spans="2:24" ht="16" thickBot="1">
      <c r="B36" s="475" t="s">
        <v>10</v>
      </c>
      <c r="C36" s="476"/>
      <c r="D36" s="476"/>
      <c r="E36" s="55">
        <f>SUM(E34:E35)</f>
        <v>0</v>
      </c>
      <c r="F36" s="55">
        <f>SUM(F34:F35)</f>
        <v>4634.1463414634145</v>
      </c>
      <c r="G36" s="55">
        <f>SUM(G34:G35)</f>
        <v>0</v>
      </c>
      <c r="H36" s="55">
        <f>SUM(H34:H35)</f>
        <v>0</v>
      </c>
      <c r="I36" s="53">
        <f t="shared" si="25"/>
        <v>4634.1463414634145</v>
      </c>
    </row>
    <row r="37" spans="2:24" ht="16" thickBot="1">
      <c r="B37" s="479" t="s">
        <v>87</v>
      </c>
      <c r="C37" s="480"/>
      <c r="D37" s="480"/>
      <c r="E37" s="62">
        <f>E36*0.23</f>
        <v>0</v>
      </c>
      <c r="F37" s="62">
        <f>F36*0.23</f>
        <v>1065.8536585365853</v>
      </c>
      <c r="G37" s="62">
        <f>G36*0.23</f>
        <v>0</v>
      </c>
      <c r="H37" s="62">
        <f>H36*0.23</f>
        <v>0</v>
      </c>
      <c r="I37" s="63">
        <f>I36*0.23</f>
        <v>1065.8536585365853</v>
      </c>
    </row>
    <row r="38" spans="2:24" ht="16" thickBot="1">
      <c r="B38" s="479" t="s">
        <v>134</v>
      </c>
      <c r="C38" s="480"/>
      <c r="D38" s="480"/>
      <c r="E38" s="64">
        <f>E36+E37</f>
        <v>0</v>
      </c>
      <c r="F38" s="64">
        <f>F36+F37</f>
        <v>5700</v>
      </c>
      <c r="G38" s="64">
        <f>G36+G37</f>
        <v>0</v>
      </c>
      <c r="H38" s="64">
        <f>H36+H37</f>
        <v>0</v>
      </c>
      <c r="I38" s="65">
        <f>I36+I37</f>
        <v>5700</v>
      </c>
      <c r="M38" s="491" t="s">
        <v>172</v>
      </c>
      <c r="N38" s="493"/>
      <c r="O38" s="29" t="s">
        <v>6</v>
      </c>
      <c r="P38" s="29" t="s">
        <v>7</v>
      </c>
      <c r="Q38" s="29" t="s">
        <v>8</v>
      </c>
      <c r="R38" s="29" t="s">
        <v>9</v>
      </c>
      <c r="S38" s="57" t="s">
        <v>10</v>
      </c>
    </row>
    <row r="39" spans="2:24">
      <c r="M39" s="472" t="s">
        <v>82</v>
      </c>
      <c r="N39" s="474"/>
      <c r="O39" s="54">
        <f>O27-(O27*$O$5)</f>
        <v>183434.9593495935</v>
      </c>
      <c r="P39" s="54">
        <f t="shared" ref="P39:R39" si="28">P27-(P27*$O$5)</f>
        <v>183434.9593495935</v>
      </c>
      <c r="Q39" s="54">
        <f t="shared" si="28"/>
        <v>183434.9593495935</v>
      </c>
      <c r="R39" s="54">
        <f t="shared" si="28"/>
        <v>183434.9593495935</v>
      </c>
      <c r="S39" s="53">
        <f>R39</f>
        <v>183434.9593495935</v>
      </c>
    </row>
    <row r="40" spans="2:24">
      <c r="M40" s="472" t="s">
        <v>128</v>
      </c>
      <c r="N40" s="474"/>
      <c r="O40" s="54">
        <f>O28-(O28*$O$6)</f>
        <v>8804.878048780487</v>
      </c>
      <c r="P40" s="54">
        <f t="shared" ref="P40:R40" si="29">P28-(P28*$O$6)</f>
        <v>8804.878048780487</v>
      </c>
      <c r="Q40" s="54">
        <f t="shared" si="29"/>
        <v>8804.878048780487</v>
      </c>
      <c r="R40" s="54">
        <f t="shared" si="29"/>
        <v>8804.878048780487</v>
      </c>
      <c r="S40" s="53">
        <f t="shared" ref="S40:S45" si="30">R40</f>
        <v>8804.878048780487</v>
      </c>
    </row>
    <row r="41" spans="2:24">
      <c r="K41" s="58"/>
      <c r="M41" s="472" t="s">
        <v>129</v>
      </c>
      <c r="N41" s="474"/>
      <c r="O41" s="54">
        <f>O29-(O29*$O$7)</f>
        <v>5136.1788617886177</v>
      </c>
      <c r="P41" s="54">
        <f t="shared" ref="P41:R41" si="31">P29-(P29*$O$7)</f>
        <v>5136.1788617886177</v>
      </c>
      <c r="Q41" s="54">
        <f t="shared" si="31"/>
        <v>5136.1788617886177</v>
      </c>
      <c r="R41" s="54">
        <f t="shared" si="31"/>
        <v>5136.1788617886177</v>
      </c>
      <c r="S41" s="53">
        <f t="shared" si="30"/>
        <v>5136.1788617886177</v>
      </c>
    </row>
    <row r="42" spans="2:24">
      <c r="B42" s="75"/>
      <c r="C42" s="75"/>
      <c r="D42" s="75"/>
      <c r="E42" s="75"/>
      <c r="F42" s="75"/>
      <c r="G42" s="75"/>
      <c r="H42" s="75"/>
      <c r="I42" s="75"/>
      <c r="M42" s="472" t="s">
        <v>130</v>
      </c>
      <c r="N42" s="474"/>
      <c r="O42" s="54">
        <f>O30-(O30*$O$5)</f>
        <v>2934.959349593496</v>
      </c>
      <c r="P42" s="54">
        <f t="shared" ref="P42:R42" si="32">P30-(P30*$O$5)</f>
        <v>2934.959349593496</v>
      </c>
      <c r="Q42" s="54">
        <f t="shared" si="32"/>
        <v>2934.959349593496</v>
      </c>
      <c r="R42" s="54">
        <f t="shared" si="32"/>
        <v>2934.959349593496</v>
      </c>
      <c r="S42" s="53">
        <f t="shared" si="30"/>
        <v>2934.959349593496</v>
      </c>
    </row>
    <row r="43" spans="2:24">
      <c r="B43" s="75"/>
      <c r="C43" s="75"/>
      <c r="D43" s="75"/>
      <c r="E43" s="75"/>
      <c r="F43" s="75"/>
      <c r="G43" s="75"/>
      <c r="H43" s="75"/>
      <c r="I43" s="75"/>
      <c r="M43" s="472" t="s">
        <v>131</v>
      </c>
      <c r="N43" s="474"/>
      <c r="O43" s="54">
        <f t="shared" ref="O43:R43" si="33">O31-(O31*$O$5)</f>
        <v>6603.6585365853653</v>
      </c>
      <c r="P43" s="54">
        <f t="shared" si="33"/>
        <v>6603.6585365853653</v>
      </c>
      <c r="Q43" s="54">
        <f t="shared" si="33"/>
        <v>6603.6585365853653</v>
      </c>
      <c r="R43" s="54">
        <f t="shared" si="33"/>
        <v>6603.6585365853653</v>
      </c>
      <c r="S43" s="53">
        <f t="shared" si="30"/>
        <v>6603.6585365853653</v>
      </c>
    </row>
    <row r="44" spans="2:24">
      <c r="B44" s="75"/>
      <c r="C44" s="75"/>
      <c r="D44" s="75"/>
      <c r="E44" s="75"/>
      <c r="F44" s="75"/>
      <c r="G44" s="75"/>
      <c r="H44" s="75"/>
      <c r="I44" s="75"/>
      <c r="M44" s="472" t="s">
        <v>81</v>
      </c>
      <c r="N44" s="474"/>
      <c r="O44" s="54">
        <f t="shared" ref="O44:R44" si="34">O32-(O32*$O$5)</f>
        <v>4402.4390243902435</v>
      </c>
      <c r="P44" s="54">
        <f t="shared" si="34"/>
        <v>4402.4390243902435</v>
      </c>
      <c r="Q44" s="54">
        <f t="shared" si="34"/>
        <v>4402.4390243902435</v>
      </c>
      <c r="R44" s="54">
        <f t="shared" si="34"/>
        <v>4402.4390243902435</v>
      </c>
      <c r="S44" s="53">
        <f t="shared" si="30"/>
        <v>4402.4390243902435</v>
      </c>
    </row>
    <row r="45" spans="2:24" ht="16" thickBot="1">
      <c r="B45" s="75"/>
      <c r="C45" s="75"/>
      <c r="D45" s="75"/>
      <c r="E45" s="75"/>
      <c r="F45" s="75"/>
      <c r="G45" s="75"/>
      <c r="H45" s="75"/>
      <c r="I45" s="75"/>
      <c r="M45" s="472" t="s">
        <v>132</v>
      </c>
      <c r="N45" s="474"/>
      <c r="O45" s="54">
        <f t="shared" ref="O45:R45" si="35">O33-(O33*$O$5)</f>
        <v>2201.2195121951218</v>
      </c>
      <c r="P45" s="54">
        <f t="shared" si="35"/>
        <v>2201.2195121951218</v>
      </c>
      <c r="Q45" s="54">
        <f t="shared" si="35"/>
        <v>2201.2195121951218</v>
      </c>
      <c r="R45" s="54">
        <f t="shared" si="35"/>
        <v>2201.2195121951218</v>
      </c>
      <c r="S45" s="53">
        <f t="shared" si="30"/>
        <v>2201.2195121951218</v>
      </c>
    </row>
    <row r="46" spans="2:24" ht="16" thickBot="1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494" t="s">
        <v>127</v>
      </c>
      <c r="N46" s="495"/>
      <c r="O46" s="62">
        <f>O39*$P$5+O40*$P$6+O41*$P$7+O42*$P$8+O43*$P$9+O44*$P$10+O45*$P$11</f>
        <v>2724.0091463414633</v>
      </c>
      <c r="P46" s="62">
        <f t="shared" ref="P46" si="36">P39*$P$5+P40*$P$6+P41*$P$7+P42*$P$8+P43*$P$9+P44*$P$10+P45*$P$11</f>
        <v>2724.0091463414633</v>
      </c>
      <c r="Q46" s="62">
        <f t="shared" ref="Q46" si="37">Q39*$P$5+Q40*$P$6+Q41*$P$7+Q42*$P$8+Q43*$P$9+Q44*$P$10+Q45*$P$11</f>
        <v>2724.0091463414633</v>
      </c>
      <c r="R46" s="62">
        <f t="shared" ref="R46" si="38">R39*$P$5+R40*$P$6+R41*$P$7+R42*$P$8+R43*$P$9+R44*$P$10+R45*$P$11</f>
        <v>2724.0091463414633</v>
      </c>
      <c r="S46" s="63">
        <f>SUM(O45:R45)</f>
        <v>8804.878048780487</v>
      </c>
      <c r="T46" s="75"/>
      <c r="U46" s="75"/>
      <c r="V46" s="75"/>
      <c r="W46" s="75"/>
      <c r="X46" s="75"/>
    </row>
    <row r="47" spans="2:24" ht="16" thickBot="1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494" t="s">
        <v>136</v>
      </c>
      <c r="N47" s="495"/>
      <c r="O47" s="62">
        <f>SUM(O39:O45)-O46</f>
        <v>210794.28353658537</v>
      </c>
      <c r="P47" s="62">
        <f>O47-P46</f>
        <v>208070.2743902439</v>
      </c>
      <c r="Q47" s="62">
        <f t="shared" ref="Q47" si="39">P47-Q46</f>
        <v>205346.26524390242</v>
      </c>
      <c r="R47" s="62">
        <f t="shared" ref="R47" si="40">Q47-R46</f>
        <v>202622.25609756095</v>
      </c>
      <c r="S47" s="63">
        <f>R47</f>
        <v>202622.25609756095</v>
      </c>
      <c r="T47" s="75"/>
      <c r="U47" s="75"/>
      <c r="V47" s="75"/>
      <c r="W47" s="75"/>
      <c r="X47" s="75"/>
    </row>
    <row r="48" spans="2:24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 spans="2:24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</row>
    <row r="50" spans="2:24"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</row>
    <row r="51" spans="2:24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</row>
    <row r="52" spans="2:24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</row>
    <row r="53" spans="2:24"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</row>
    <row r="54" spans="2:24"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</row>
    <row r="55" spans="2:24"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 spans="2:24"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</row>
    <row r="57" spans="2:24">
      <c r="M57" s="75"/>
      <c r="N57" s="75"/>
      <c r="O57" s="75"/>
      <c r="P57" s="75"/>
      <c r="Q57" s="75"/>
      <c r="R57" s="75"/>
      <c r="S57" s="75"/>
    </row>
  </sheetData>
  <mergeCells count="69">
    <mergeCell ref="M47:N47"/>
    <mergeCell ref="M42:N42"/>
    <mergeCell ref="M43:N43"/>
    <mergeCell ref="M44:N44"/>
    <mergeCell ref="M45:N45"/>
    <mergeCell ref="M46:N46"/>
    <mergeCell ref="M2:P3"/>
    <mergeCell ref="M26:N26"/>
    <mergeCell ref="M27:N27"/>
    <mergeCell ref="M28:N28"/>
    <mergeCell ref="M29:N29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14:N14"/>
    <mergeCell ref="M5:N5"/>
    <mergeCell ref="B37:D37"/>
    <mergeCell ref="M40:N40"/>
    <mergeCell ref="M41:N41"/>
    <mergeCell ref="M30:N30"/>
    <mergeCell ref="M31:N31"/>
    <mergeCell ref="M32:N32"/>
    <mergeCell ref="M33:N33"/>
    <mergeCell ref="M34:N34"/>
    <mergeCell ref="M38:N38"/>
    <mergeCell ref="M39:N39"/>
    <mergeCell ref="M35:N35"/>
    <mergeCell ref="B38:D38"/>
    <mergeCell ref="B36:D36"/>
    <mergeCell ref="B2:D2"/>
    <mergeCell ref="B14:D14"/>
    <mergeCell ref="B15:D15"/>
    <mergeCell ref="B16:D16"/>
    <mergeCell ref="B8:D8"/>
    <mergeCell ref="B9:D9"/>
    <mergeCell ref="B12:D12"/>
    <mergeCell ref="B13:D13"/>
    <mergeCell ref="B3:D3"/>
    <mergeCell ref="B4:D4"/>
    <mergeCell ref="B5:D5"/>
    <mergeCell ref="B6:D6"/>
    <mergeCell ref="B7:D7"/>
    <mergeCell ref="M6:N6"/>
    <mergeCell ref="M7:N7"/>
    <mergeCell ref="M8:N8"/>
    <mergeCell ref="M9:N9"/>
    <mergeCell ref="M10:N10"/>
    <mergeCell ref="M11:N11"/>
    <mergeCell ref="B34:D34"/>
    <mergeCell ref="B35:D35"/>
    <mergeCell ref="B17:D17"/>
    <mergeCell ref="B18:D18"/>
    <mergeCell ref="B19:D19"/>
    <mergeCell ref="B28:D28"/>
    <mergeCell ref="B33:D33"/>
    <mergeCell ref="B29:D29"/>
    <mergeCell ref="B30:D30"/>
    <mergeCell ref="B20:D20"/>
    <mergeCell ref="B27:D27"/>
    <mergeCell ref="B25:D25"/>
    <mergeCell ref="B26:D26"/>
    <mergeCell ref="B22:D22"/>
    <mergeCell ref="B21:D21"/>
  </mergeCells>
  <phoneticPr fontId="4" type="noConversion"/>
  <pageMargins left="0.7" right="0.7" top="0.75" bottom="0.75" header="0.3" footer="0.3"/>
  <pageSetup paperSize="9" orientation="portrait" r:id="rId1"/>
  <ignoredErrors>
    <ignoredError sqref="S22 S3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ABB1-3E3C-B342-B5BE-16D928DBAC96}">
  <dimension ref="B2:R56"/>
  <sheetViews>
    <sheetView showGridLines="0" zoomScale="90" zoomScaleNormal="90" workbookViewId="0">
      <selection activeCell="D44" sqref="D44"/>
    </sheetView>
  </sheetViews>
  <sheetFormatPr baseColWidth="10" defaultColWidth="11.5" defaultRowHeight="15"/>
  <cols>
    <col min="2" max="2" width="14.6640625" customWidth="1"/>
    <col min="3" max="3" width="16.83203125" customWidth="1"/>
    <col min="4" max="4" width="22.83203125" customWidth="1"/>
    <col min="5" max="5" width="13" bestFit="1" customWidth="1"/>
    <col min="6" max="8" width="13.5" bestFit="1" customWidth="1"/>
    <col min="9" max="9" width="12.83203125" bestFit="1" customWidth="1"/>
    <col min="13" max="13" width="22.6640625" customWidth="1"/>
    <col min="14" max="14" width="16.6640625" customWidth="1"/>
    <col min="15" max="15" width="20.33203125" customWidth="1"/>
    <col min="16" max="16" width="19.83203125" customWidth="1"/>
    <col min="17" max="17" width="18.5" customWidth="1"/>
  </cols>
  <sheetData>
    <row r="2" spans="2:18" ht="16">
      <c r="B2" s="74" t="s">
        <v>137</v>
      </c>
      <c r="C2" s="74"/>
      <c r="D2" s="74"/>
      <c r="E2" s="74"/>
      <c r="F2" s="74"/>
    </row>
    <row r="3" spans="2:18" ht="17" thickBot="1">
      <c r="B3" s="72"/>
      <c r="C3" s="72"/>
      <c r="D3" s="72"/>
      <c r="E3" s="72"/>
      <c r="F3" s="72"/>
    </row>
    <row r="4" spans="2:18" ht="32">
      <c r="B4" s="514" t="s">
        <v>391</v>
      </c>
      <c r="C4" s="515"/>
      <c r="D4" s="238" t="s">
        <v>370</v>
      </c>
      <c r="E4" s="236" t="s">
        <v>6</v>
      </c>
      <c r="F4" s="236" t="s">
        <v>7</v>
      </c>
      <c r="G4" s="236" t="s">
        <v>8</v>
      </c>
      <c r="H4" s="236" t="s">
        <v>9</v>
      </c>
      <c r="I4" s="85" t="s">
        <v>10</v>
      </c>
    </row>
    <row r="5" spans="2:18" ht="30" customHeight="1" thickBot="1">
      <c r="B5" s="510" t="s">
        <v>143</v>
      </c>
      <c r="C5" s="511"/>
      <c r="D5" s="89">
        <v>25000</v>
      </c>
      <c r="E5" s="90">
        <f t="shared" ref="E5:H6" si="0">3*$D5</f>
        <v>75000</v>
      </c>
      <c r="F5" s="90">
        <f t="shared" si="0"/>
        <v>75000</v>
      </c>
      <c r="G5" s="90">
        <f t="shared" si="0"/>
        <v>75000</v>
      </c>
      <c r="H5" s="90">
        <f t="shared" si="0"/>
        <v>75000</v>
      </c>
      <c r="I5" s="91">
        <f>SUM(E5:H5)</f>
        <v>300000</v>
      </c>
    </row>
    <row r="6" spans="2:18" ht="29" customHeight="1">
      <c r="B6" s="510" t="s">
        <v>139</v>
      </c>
      <c r="C6" s="237" t="s">
        <v>148</v>
      </c>
      <c r="D6" s="89">
        <v>1000</v>
      </c>
      <c r="E6" s="90">
        <f t="shared" si="0"/>
        <v>3000</v>
      </c>
      <c r="F6" s="90">
        <f t="shared" si="0"/>
        <v>3000</v>
      </c>
      <c r="G6" s="90">
        <f t="shared" si="0"/>
        <v>3000</v>
      </c>
      <c r="H6" s="90">
        <f t="shared" si="0"/>
        <v>3000</v>
      </c>
      <c r="I6" s="91">
        <f>SUM(E6:H6)</f>
        <v>12000</v>
      </c>
      <c r="J6" s="19"/>
      <c r="M6" s="514" t="s">
        <v>392</v>
      </c>
      <c r="N6" s="515"/>
      <c r="O6" s="238" t="s">
        <v>192</v>
      </c>
      <c r="P6" s="347" t="s">
        <v>394</v>
      </c>
    </row>
    <row r="7" spans="2:18" ht="30" customHeight="1">
      <c r="B7" s="510"/>
      <c r="C7" s="86" t="s">
        <v>149</v>
      </c>
      <c r="D7" s="40" t="s">
        <v>440</v>
      </c>
      <c r="E7" s="47">
        <f>0.01*Inventário!D22</f>
        <v>3178.5</v>
      </c>
      <c r="F7" s="47">
        <f>0.01*Inventário!E22</f>
        <v>3178.5</v>
      </c>
      <c r="G7" s="47">
        <f>0.01*Inventário!F22</f>
        <v>2689.5</v>
      </c>
      <c r="H7" s="47">
        <f>0.01*Inventário!G22</f>
        <v>1907.1000000000001</v>
      </c>
      <c r="I7" s="91">
        <f t="shared" ref="I7:I14" si="1">SUM(E7:H7)</f>
        <v>10953.6</v>
      </c>
      <c r="J7" s="19"/>
      <c r="M7" s="517" t="s">
        <v>143</v>
      </c>
      <c r="N7" s="518"/>
      <c r="O7" s="348">
        <v>0.23</v>
      </c>
      <c r="P7" s="350">
        <f>90/90</f>
        <v>1</v>
      </c>
    </row>
    <row r="8" spans="2:18" ht="20" customHeight="1">
      <c r="B8" s="510" t="s">
        <v>140</v>
      </c>
      <c r="C8" s="511"/>
      <c r="D8" s="47">
        <v>3000</v>
      </c>
      <c r="E8" s="90">
        <f>3*$D8</f>
        <v>9000</v>
      </c>
      <c r="F8" s="90">
        <f>3*$D8</f>
        <v>9000</v>
      </c>
      <c r="G8" s="90">
        <f>3*$D8</f>
        <v>9000</v>
      </c>
      <c r="H8" s="90">
        <f>3*$D8</f>
        <v>9000</v>
      </c>
      <c r="I8" s="91">
        <f t="shared" si="1"/>
        <v>36000</v>
      </c>
      <c r="J8" s="19"/>
      <c r="M8" s="517" t="s">
        <v>139</v>
      </c>
      <c r="N8" s="87" t="s">
        <v>148</v>
      </c>
      <c r="O8" s="348">
        <v>0.23</v>
      </c>
      <c r="P8" s="350">
        <f t="shared" ref="P8:P19" si="2">90/90</f>
        <v>1</v>
      </c>
    </row>
    <row r="9" spans="2:18" ht="30" customHeight="1">
      <c r="B9" s="510" t="s">
        <v>141</v>
      </c>
      <c r="C9" s="511"/>
      <c r="D9" s="90" t="s">
        <v>151</v>
      </c>
      <c r="E9" s="47">
        <v>500</v>
      </c>
      <c r="F9" s="47">
        <v>0</v>
      </c>
      <c r="G9" s="47">
        <v>0</v>
      </c>
      <c r="H9" s="47">
        <v>0</v>
      </c>
      <c r="I9" s="91">
        <f t="shared" si="1"/>
        <v>500</v>
      </c>
      <c r="J9" s="19"/>
      <c r="M9" s="517"/>
      <c r="N9" s="86" t="s">
        <v>149</v>
      </c>
      <c r="O9" s="348">
        <v>0.23</v>
      </c>
      <c r="P9" s="350">
        <f t="shared" si="2"/>
        <v>1</v>
      </c>
    </row>
    <row r="10" spans="2:18" ht="30" customHeight="1">
      <c r="B10" s="510" t="s">
        <v>142</v>
      </c>
      <c r="C10" s="511"/>
      <c r="D10" s="90" t="s">
        <v>152</v>
      </c>
      <c r="E10" s="47">
        <v>150</v>
      </c>
      <c r="F10" s="47">
        <v>0</v>
      </c>
      <c r="G10" s="47">
        <v>0</v>
      </c>
      <c r="H10" s="47">
        <v>0</v>
      </c>
      <c r="I10" s="91">
        <f t="shared" si="1"/>
        <v>150</v>
      </c>
      <c r="J10" s="19"/>
      <c r="M10" s="517" t="s">
        <v>140</v>
      </c>
      <c r="N10" s="518"/>
      <c r="O10" s="348">
        <v>0.06</v>
      </c>
      <c r="P10" s="350">
        <f t="shared" si="2"/>
        <v>1</v>
      </c>
    </row>
    <row r="11" spans="2:18" ht="44" customHeight="1">
      <c r="B11" s="516" t="s">
        <v>164</v>
      </c>
      <c r="C11" s="87" t="s">
        <v>371</v>
      </c>
      <c r="D11" s="90" t="s">
        <v>167</v>
      </c>
      <c r="E11" s="100">
        <f>(0.005*AFT!O15)/4</f>
        <v>254.06504065040653</v>
      </c>
      <c r="F11" s="100">
        <f>(0.005*AFT!P15)/4</f>
        <v>254.06504065040653</v>
      </c>
      <c r="G11" s="100">
        <f>(0.005*AFT!Q15)/4</f>
        <v>254.06504065040653</v>
      </c>
      <c r="H11" s="100">
        <f>(0.005*AFT!R15)/4</f>
        <v>254.06504065040653</v>
      </c>
      <c r="I11" s="99">
        <f>SUM(E11:H11)</f>
        <v>1016.2601626016261</v>
      </c>
      <c r="J11" s="19"/>
      <c r="M11" s="517" t="s">
        <v>141</v>
      </c>
      <c r="N11" s="518"/>
      <c r="O11" s="348">
        <v>0.23</v>
      </c>
      <c r="P11" s="350">
        <f t="shared" si="2"/>
        <v>1</v>
      </c>
    </row>
    <row r="12" spans="2:18" ht="48">
      <c r="B12" s="516"/>
      <c r="C12" s="88" t="s">
        <v>163</v>
      </c>
      <c r="D12" s="90" t="s">
        <v>168</v>
      </c>
      <c r="E12" s="100">
        <f>(0.005*Inventário!$C$27)/4</f>
        <v>69.801562500000003</v>
      </c>
      <c r="F12" s="100">
        <f>(0.005*Inventário!$C$27)/4</f>
        <v>69.801562500000003</v>
      </c>
      <c r="G12" s="100">
        <f>(0.005*Inventário!$C$27)/4</f>
        <v>69.801562500000003</v>
      </c>
      <c r="H12" s="100">
        <f>(0.005*Inventário!$C$27)/4</f>
        <v>69.801562500000003</v>
      </c>
      <c r="I12" s="99">
        <f t="shared" si="1"/>
        <v>279.20625000000001</v>
      </c>
      <c r="J12" s="19"/>
      <c r="M12" s="517" t="s">
        <v>142</v>
      </c>
      <c r="N12" s="518"/>
      <c r="O12" s="348">
        <v>0.23</v>
      </c>
      <c r="P12" s="350">
        <f t="shared" si="2"/>
        <v>1</v>
      </c>
    </row>
    <row r="13" spans="2:18" ht="44" customHeight="1">
      <c r="B13" s="510" t="s">
        <v>146</v>
      </c>
      <c r="C13" s="511"/>
      <c r="D13" s="90" t="s">
        <v>169</v>
      </c>
      <c r="E13" s="100">
        <f>(0.005*(AFT!O16+AFT!O17))/4</f>
        <v>19.308943089430894</v>
      </c>
      <c r="F13" s="100">
        <f>(0.005*(AFT!P16+AFT!P17))/4</f>
        <v>19.308943089430894</v>
      </c>
      <c r="G13" s="100">
        <f>(0.005*(AFT!Q16+AFT!Q17))/4</f>
        <v>19.308943089430894</v>
      </c>
      <c r="H13" s="100">
        <f>(0.005*(AFT!R16+AFT!R17))/4</f>
        <v>19.308943089430894</v>
      </c>
      <c r="I13" s="99">
        <f t="shared" si="1"/>
        <v>77.235772357723576</v>
      </c>
      <c r="J13" s="19"/>
      <c r="M13" s="516" t="s">
        <v>164</v>
      </c>
      <c r="N13" s="87" t="s">
        <v>371</v>
      </c>
      <c r="O13" s="348">
        <v>0</v>
      </c>
      <c r="P13" s="350">
        <f t="shared" si="2"/>
        <v>1</v>
      </c>
      <c r="Q13" s="224"/>
      <c r="R13" s="224"/>
    </row>
    <row r="14" spans="2:18" ht="30" customHeight="1">
      <c r="B14" s="510" t="s">
        <v>147</v>
      </c>
      <c r="C14" s="511"/>
      <c r="D14" s="90" t="s">
        <v>174</v>
      </c>
      <c r="E14" s="47">
        <v>5000</v>
      </c>
      <c r="F14" s="47">
        <v>0</v>
      </c>
      <c r="G14" s="47">
        <v>0</v>
      </c>
      <c r="H14" s="47">
        <v>0</v>
      </c>
      <c r="I14" s="91">
        <f t="shared" si="1"/>
        <v>5000</v>
      </c>
      <c r="J14" s="19"/>
      <c r="M14" s="516"/>
      <c r="N14" s="86" t="s">
        <v>163</v>
      </c>
      <c r="O14" s="348">
        <v>0</v>
      </c>
      <c r="P14" s="350">
        <f t="shared" si="2"/>
        <v>1</v>
      </c>
      <c r="Q14" s="224"/>
      <c r="R14" s="224"/>
    </row>
    <row r="15" spans="2:18" ht="20" customHeight="1">
      <c r="B15" s="510" t="s">
        <v>145</v>
      </c>
      <c r="C15" s="511"/>
      <c r="D15" s="94"/>
      <c r="E15" s="47">
        <f>$N$30+$N$31</f>
        <v>713</v>
      </c>
      <c r="F15" s="47">
        <f>$N$30+$N$31</f>
        <v>713</v>
      </c>
      <c r="G15" s="47">
        <v>0</v>
      </c>
      <c r="H15" s="47">
        <f>$N$30+$N$31</f>
        <v>713</v>
      </c>
      <c r="I15" s="91">
        <f t="shared" ref="I15" si="3">SUM(E15:H15)</f>
        <v>2139</v>
      </c>
      <c r="J15" s="19"/>
      <c r="M15" s="517" t="s">
        <v>372</v>
      </c>
      <c r="N15" s="518"/>
      <c r="O15" s="348">
        <v>0</v>
      </c>
      <c r="P15" s="350">
        <f t="shared" si="2"/>
        <v>1</v>
      </c>
      <c r="Q15" s="224"/>
      <c r="R15" s="224"/>
    </row>
    <row r="16" spans="2:18" ht="20" customHeight="1">
      <c r="B16" s="510" t="s">
        <v>161</v>
      </c>
      <c r="C16" s="511"/>
      <c r="D16" s="47">
        <v>200</v>
      </c>
      <c r="E16" s="90">
        <f>3*$D16</f>
        <v>600</v>
      </c>
      <c r="F16" s="90">
        <f>3*$D16</f>
        <v>600</v>
      </c>
      <c r="G16" s="90">
        <f>3*$D16</f>
        <v>600</v>
      </c>
      <c r="H16" s="90">
        <f>3*$D16</f>
        <v>600</v>
      </c>
      <c r="I16" s="91">
        <f t="shared" ref="I16:I17" si="4">SUM(E16:H16)</f>
        <v>2400</v>
      </c>
      <c r="J16" s="19"/>
      <c r="M16" s="517" t="s">
        <v>147</v>
      </c>
      <c r="N16" s="518"/>
      <c r="O16" s="348">
        <v>0.23</v>
      </c>
      <c r="P16" s="350">
        <f t="shared" si="2"/>
        <v>1</v>
      </c>
      <c r="Q16" s="224"/>
      <c r="R16" s="224"/>
    </row>
    <row r="17" spans="2:18" ht="20" customHeight="1">
      <c r="B17" s="510" t="s">
        <v>162</v>
      </c>
      <c r="C17" s="511"/>
      <c r="D17" s="47" t="s">
        <v>181</v>
      </c>
      <c r="E17" s="100">
        <f>0.05*Procura!C13</f>
        <v>15615.650000000001</v>
      </c>
      <c r="F17" s="100">
        <f>0.05*Procura!D13</f>
        <v>15615.6</v>
      </c>
      <c r="G17" s="100">
        <f>0.05*Procura!E13</f>
        <v>6246.25</v>
      </c>
      <c r="H17" s="100">
        <f>0.05*Procura!F13</f>
        <v>12492.5</v>
      </c>
      <c r="I17" s="99">
        <f t="shared" si="4"/>
        <v>49970</v>
      </c>
      <c r="M17" s="517" t="s">
        <v>145</v>
      </c>
      <c r="N17" s="518"/>
      <c r="O17" s="348">
        <v>0.23</v>
      </c>
      <c r="P17" s="350">
        <f t="shared" si="2"/>
        <v>1</v>
      </c>
      <c r="Q17" s="224"/>
      <c r="R17" s="224"/>
    </row>
    <row r="18" spans="2:18" s="224" customFormat="1" ht="21" customHeight="1">
      <c r="B18" s="506" t="s">
        <v>393</v>
      </c>
      <c r="C18" s="507"/>
      <c r="D18" s="352"/>
      <c r="E18" s="100">
        <f>SUM(E5:E17)</f>
        <v>113100.32554623985</v>
      </c>
      <c r="F18" s="100">
        <f t="shared" ref="F18:I18" si="5">SUM(F5:F17)</f>
        <v>107450.27554623985</v>
      </c>
      <c r="G18" s="100">
        <f t="shared" si="5"/>
        <v>96878.925546239843</v>
      </c>
      <c r="H18" s="100">
        <f t="shared" si="5"/>
        <v>103055.77554623985</v>
      </c>
      <c r="I18" s="353">
        <f t="shared" si="5"/>
        <v>420485.30218495935</v>
      </c>
      <c r="M18" s="517" t="s">
        <v>161</v>
      </c>
      <c r="N18" s="518"/>
      <c r="O18" s="348">
        <v>0.23</v>
      </c>
      <c r="P18" s="350">
        <f t="shared" si="2"/>
        <v>1</v>
      </c>
    </row>
    <row r="19" spans="2:18" s="224" customFormat="1" ht="21" customHeight="1" thickBot="1">
      <c r="B19" s="506" t="s">
        <v>374</v>
      </c>
      <c r="C19" s="507"/>
      <c r="D19" s="352"/>
      <c r="E19" s="100">
        <f>0.23*SUM(E5:E7)+0.23*SUM(E14:E17)+0.23*SUM(E9:E10)+0.06*E8</f>
        <v>24404.144500000002</v>
      </c>
      <c r="F19" s="100">
        <f t="shared" ref="F19:H19" si="6">0.23*SUM(F5:F7)+0.23*SUM(F14:F17)+0.23*SUM(F9:F10)+0.06*F8</f>
        <v>23104.633000000002</v>
      </c>
      <c r="G19" s="100">
        <f t="shared" si="6"/>
        <v>20673.2225</v>
      </c>
      <c r="H19" s="100">
        <f t="shared" si="6"/>
        <v>22093.898000000001</v>
      </c>
      <c r="I19" s="353">
        <f>SUM(E19:H19)</f>
        <v>90275.898000000001</v>
      </c>
      <c r="K19" s="58"/>
      <c r="M19" s="508" t="s">
        <v>162</v>
      </c>
      <c r="N19" s="509"/>
      <c r="O19" s="349">
        <v>0.23</v>
      </c>
      <c r="P19" s="351">
        <f t="shared" si="2"/>
        <v>1</v>
      </c>
    </row>
    <row r="20" spans="2:18" s="224" customFormat="1" ht="21" customHeight="1" thickBot="1">
      <c r="B20" s="504" t="s">
        <v>373</v>
      </c>
      <c r="C20" s="505"/>
      <c r="D20" s="354"/>
      <c r="E20" s="355">
        <f>E18-E19</f>
        <v>88696.181046239857</v>
      </c>
      <c r="F20" s="355">
        <f t="shared" ref="F20:H20" si="7">F18-F19</f>
        <v>84345.642546239847</v>
      </c>
      <c r="G20" s="355">
        <f t="shared" si="7"/>
        <v>76205.70304623984</v>
      </c>
      <c r="H20" s="355">
        <f t="shared" si="7"/>
        <v>80961.877546239848</v>
      </c>
      <c r="I20" s="356">
        <f>SUM(E20:H20)</f>
        <v>330209.40418495936</v>
      </c>
      <c r="M20" s="232"/>
      <c r="N20" s="232"/>
      <c r="O20" s="233"/>
      <c r="P20" s="234"/>
    </row>
    <row r="22" spans="2:18" ht="16" thickBot="1">
      <c r="P22" s="224"/>
      <c r="Q22" s="224"/>
      <c r="R22" s="224"/>
    </row>
    <row r="23" spans="2:18" ht="32" customHeight="1">
      <c r="B23" s="514" t="s">
        <v>182</v>
      </c>
      <c r="C23" s="515"/>
      <c r="D23" s="238" t="s">
        <v>150</v>
      </c>
      <c r="E23" s="236" t="s">
        <v>6</v>
      </c>
      <c r="F23" s="236" t="s">
        <v>7</v>
      </c>
      <c r="G23" s="236" t="s">
        <v>8</v>
      </c>
      <c r="H23" s="236" t="s">
        <v>9</v>
      </c>
      <c r="I23" s="85" t="s">
        <v>10</v>
      </c>
    </row>
    <row r="24" spans="2:18" ht="20" customHeight="1">
      <c r="B24" s="510" t="s">
        <v>143</v>
      </c>
      <c r="C24" s="511"/>
      <c r="D24" s="89">
        <v>25000</v>
      </c>
      <c r="E24" s="90">
        <f t="shared" ref="E24:H25" si="8">3*$D24</f>
        <v>75000</v>
      </c>
      <c r="F24" s="90">
        <f t="shared" si="8"/>
        <v>75000</v>
      </c>
      <c r="G24" s="90">
        <f t="shared" si="8"/>
        <v>75000</v>
      </c>
      <c r="H24" s="90">
        <f t="shared" si="8"/>
        <v>75000</v>
      </c>
      <c r="I24" s="99">
        <f>SUM(E24:H24)</f>
        <v>300000</v>
      </c>
      <c r="P24" s="231"/>
    </row>
    <row r="25" spans="2:18" ht="20" customHeight="1">
      <c r="B25" s="510" t="s">
        <v>139</v>
      </c>
      <c r="C25" s="237" t="s">
        <v>148</v>
      </c>
      <c r="D25" s="89">
        <v>1000</v>
      </c>
      <c r="E25" s="90">
        <f t="shared" si="8"/>
        <v>3000</v>
      </c>
      <c r="F25" s="90">
        <f t="shared" si="8"/>
        <v>3000</v>
      </c>
      <c r="G25" s="90">
        <f t="shared" si="8"/>
        <v>3000</v>
      </c>
      <c r="H25" s="90">
        <f t="shared" si="8"/>
        <v>3000</v>
      </c>
      <c r="I25" s="99">
        <f>SUM(E25:H25)</f>
        <v>12000</v>
      </c>
      <c r="J25" s="19"/>
    </row>
    <row r="26" spans="2:18" ht="30" customHeight="1">
      <c r="B26" s="510"/>
      <c r="C26" s="86" t="s">
        <v>149</v>
      </c>
      <c r="D26" s="40" t="s">
        <v>440</v>
      </c>
      <c r="E26" s="100">
        <f>0.01*Inventário!M22</f>
        <v>3178.5</v>
      </c>
      <c r="F26" s="100">
        <f>0.01*Inventário!N22</f>
        <v>3178.5</v>
      </c>
      <c r="G26" s="100">
        <f>0.01*Inventário!O22</f>
        <v>2689.5</v>
      </c>
      <c r="H26" s="100">
        <f>0.01*Inventário!P22</f>
        <v>1907.1000000000001</v>
      </c>
      <c r="I26" s="99">
        <f t="shared" ref="I26:I29" si="9">SUM(E26:H26)</f>
        <v>10953.6</v>
      </c>
      <c r="J26" s="19"/>
    </row>
    <row r="27" spans="2:18" ht="20" customHeight="1">
      <c r="B27" s="510" t="s">
        <v>140</v>
      </c>
      <c r="C27" s="511"/>
      <c r="D27" s="47">
        <v>3000</v>
      </c>
      <c r="E27" s="90">
        <f>3*$D27</f>
        <v>9000</v>
      </c>
      <c r="F27" s="90">
        <f>3*$D27</f>
        <v>9000</v>
      </c>
      <c r="G27" s="90">
        <f>3*$D27</f>
        <v>9000</v>
      </c>
      <c r="H27" s="90">
        <f>3*$D27</f>
        <v>9000</v>
      </c>
      <c r="I27" s="99">
        <f t="shared" si="9"/>
        <v>36000</v>
      </c>
      <c r="J27" s="19"/>
    </row>
    <row r="28" spans="2:18" ht="20" customHeight="1" thickBot="1">
      <c r="B28" s="510" t="s">
        <v>141</v>
      </c>
      <c r="C28" s="511"/>
      <c r="D28" s="90" t="s">
        <v>151</v>
      </c>
      <c r="E28" s="47">
        <v>500</v>
      </c>
      <c r="F28" s="47">
        <v>0</v>
      </c>
      <c r="G28" s="47">
        <v>0</v>
      </c>
      <c r="H28" s="47">
        <v>0</v>
      </c>
      <c r="I28" s="99">
        <f t="shared" si="9"/>
        <v>500</v>
      </c>
      <c r="J28" s="19"/>
    </row>
    <row r="29" spans="2:18" ht="20" customHeight="1">
      <c r="B29" s="510" t="s">
        <v>142</v>
      </c>
      <c r="C29" s="511"/>
      <c r="D29" s="90" t="s">
        <v>152</v>
      </c>
      <c r="E29" s="47">
        <v>150</v>
      </c>
      <c r="F29" s="47">
        <v>0</v>
      </c>
      <c r="G29" s="47">
        <v>0</v>
      </c>
      <c r="H29" s="47">
        <v>0</v>
      </c>
      <c r="I29" s="99">
        <f t="shared" si="9"/>
        <v>150</v>
      </c>
      <c r="J29" s="19"/>
      <c r="M29" s="512" t="s">
        <v>175</v>
      </c>
      <c r="N29" s="513"/>
    </row>
    <row r="30" spans="2:18" ht="48">
      <c r="B30" s="516" t="s">
        <v>164</v>
      </c>
      <c r="C30" s="87" t="s">
        <v>165</v>
      </c>
      <c r="D30" s="90" t="s">
        <v>167</v>
      </c>
      <c r="E30" s="100">
        <f>(0.005*AFT!O27)/4</f>
        <v>241.36178861788619</v>
      </c>
      <c r="F30" s="100">
        <f>(0.005*AFT!P27)/4</f>
        <v>241.36178861788619</v>
      </c>
      <c r="G30" s="100">
        <f>(0.005*AFT!Q27)/4</f>
        <v>241.36178861788619</v>
      </c>
      <c r="H30" s="100">
        <f>(0.005*AFT!R27)/4</f>
        <v>241.36178861788619</v>
      </c>
      <c r="I30" s="99">
        <f>SUM(E30:H30)</f>
        <v>965.44715447154476</v>
      </c>
      <c r="J30" s="19"/>
      <c r="M30" s="95" t="s">
        <v>176</v>
      </c>
      <c r="N30" s="96">
        <v>513</v>
      </c>
      <c r="O30" s="73" t="s">
        <v>177</v>
      </c>
      <c r="P30" s="93" t="s">
        <v>179</v>
      </c>
    </row>
    <row r="31" spans="2:18" ht="49" thickBot="1">
      <c r="B31" s="516"/>
      <c r="C31" s="88" t="s">
        <v>163</v>
      </c>
      <c r="D31" s="90" t="s">
        <v>168</v>
      </c>
      <c r="E31" s="100">
        <f>(0.005*Inventário!$L$27)/4</f>
        <v>127.2440625</v>
      </c>
      <c r="F31" s="100">
        <f>(0.005*Inventário!$L$27)/4</f>
        <v>127.2440625</v>
      </c>
      <c r="G31" s="100">
        <f>(0.005*Inventário!$L$27)/4</f>
        <v>127.2440625</v>
      </c>
      <c r="H31" s="100">
        <f>(0.005*Inventário!$L$27)/4</f>
        <v>127.2440625</v>
      </c>
      <c r="I31" s="99">
        <f t="shared" ref="I31:I35" si="10">SUM(E31:H31)</f>
        <v>508.97624999999999</v>
      </c>
      <c r="J31" s="19"/>
      <c r="M31" s="97" t="s">
        <v>180</v>
      </c>
      <c r="N31" s="98">
        <v>200</v>
      </c>
      <c r="O31" s="92" t="s">
        <v>178</v>
      </c>
    </row>
    <row r="32" spans="2:18" ht="48">
      <c r="B32" s="510" t="s">
        <v>146</v>
      </c>
      <c r="C32" s="511"/>
      <c r="D32" s="90" t="s">
        <v>169</v>
      </c>
      <c r="E32" s="100">
        <f>(0.005*(AFT!O28+AFT!O29))/4</f>
        <v>18.34349593495935</v>
      </c>
      <c r="F32" s="100">
        <f>(0.005*(AFT!P28+AFT!P29))/4</f>
        <v>18.34349593495935</v>
      </c>
      <c r="G32" s="100">
        <f>(0.005*(AFT!Q28+AFT!Q29))/4</f>
        <v>18.34349593495935</v>
      </c>
      <c r="H32" s="100">
        <f>(0.005*(AFT!R28+AFT!R29))/4</f>
        <v>18.34349593495935</v>
      </c>
      <c r="I32" s="99">
        <f t="shared" si="10"/>
        <v>73.373983739837399</v>
      </c>
      <c r="J32" s="19"/>
    </row>
    <row r="33" spans="2:16" ht="20" customHeight="1">
      <c r="B33" s="510" t="s">
        <v>145</v>
      </c>
      <c r="C33" s="511"/>
      <c r="D33" s="94"/>
      <c r="E33" s="47">
        <f>$N$30+$N$31</f>
        <v>713</v>
      </c>
      <c r="F33" s="47">
        <f>$N$30+$N$31</f>
        <v>713</v>
      </c>
      <c r="G33" s="47">
        <v>0</v>
      </c>
      <c r="H33" s="47">
        <f>$N$30+$N$31</f>
        <v>713</v>
      </c>
      <c r="I33" s="99">
        <f t="shared" si="10"/>
        <v>2139</v>
      </c>
      <c r="J33" s="19"/>
    </row>
    <row r="34" spans="2:16" ht="20" customHeight="1">
      <c r="B34" s="510" t="s">
        <v>161</v>
      </c>
      <c r="C34" s="511"/>
      <c r="D34" s="47">
        <v>200</v>
      </c>
      <c r="E34" s="90">
        <f>3*$D34</f>
        <v>600</v>
      </c>
      <c r="F34" s="90">
        <f>3*$D34</f>
        <v>600</v>
      </c>
      <c r="G34" s="90">
        <f>3*$D34</f>
        <v>600</v>
      </c>
      <c r="H34" s="90">
        <f>3*$D34</f>
        <v>600</v>
      </c>
      <c r="I34" s="99">
        <f t="shared" si="10"/>
        <v>2400</v>
      </c>
      <c r="J34" s="19"/>
    </row>
    <row r="35" spans="2:16" ht="20" customHeight="1">
      <c r="B35" s="510" t="s">
        <v>162</v>
      </c>
      <c r="C35" s="511"/>
      <c r="D35" s="47" t="s">
        <v>181</v>
      </c>
      <c r="E35" s="100">
        <f>0.05*Procura!C14</f>
        <v>16396.45</v>
      </c>
      <c r="F35" s="100">
        <f>0.05*Procura!D14</f>
        <v>16396.400000000001</v>
      </c>
      <c r="G35" s="100">
        <f>0.05*Procura!E14</f>
        <v>6558.55</v>
      </c>
      <c r="H35" s="100">
        <f>0.05*Procura!F14</f>
        <v>13117.1</v>
      </c>
      <c r="I35" s="99">
        <f t="shared" si="10"/>
        <v>52468.500000000007</v>
      </c>
    </row>
    <row r="36" spans="2:16" s="224" customFormat="1" ht="21" customHeight="1">
      <c r="B36" s="506" t="s">
        <v>393</v>
      </c>
      <c r="C36" s="507"/>
      <c r="D36" s="352"/>
      <c r="E36" s="100">
        <f>SUM(E24:E35)</f>
        <v>108924.89934705284</v>
      </c>
      <c r="F36" s="100">
        <f t="shared" ref="F36:H36" si="11">SUM(F24:F35)</f>
        <v>108274.84934705283</v>
      </c>
      <c r="G36" s="100">
        <f t="shared" si="11"/>
        <v>97234.999347052842</v>
      </c>
      <c r="H36" s="100">
        <f t="shared" si="11"/>
        <v>103724.14934705285</v>
      </c>
      <c r="I36" s="353">
        <f t="shared" ref="I36" si="12">SUM(I23:I35)</f>
        <v>418158.89738821134</v>
      </c>
    </row>
    <row r="37" spans="2:16" s="224" customFormat="1" ht="21" customHeight="1">
      <c r="B37" s="506" t="s">
        <v>374</v>
      </c>
      <c r="C37" s="507"/>
      <c r="D37" s="352"/>
      <c r="E37" s="100">
        <f>0.23*SUM(E24:E26)+0.23*SUM(E33:E35)+0.23*SUM(E28:E29)+0.06*E27</f>
        <v>23433.728500000001</v>
      </c>
      <c r="F37" s="100">
        <f t="shared" ref="F37:H37" si="13">0.23*SUM(F24:F26)+0.23*SUM(F33:F35)+0.23*SUM(F28:F29)+0.06*F27</f>
        <v>23284.217000000001</v>
      </c>
      <c r="G37" s="100">
        <f t="shared" si="13"/>
        <v>20745.051499999998</v>
      </c>
      <c r="H37" s="100">
        <f t="shared" si="13"/>
        <v>22237.556</v>
      </c>
      <c r="I37" s="353">
        <f>SUM(E37:H37)</f>
        <v>89700.553</v>
      </c>
      <c r="K37" s="58"/>
    </row>
    <row r="38" spans="2:16" s="224" customFormat="1" ht="21" customHeight="1" thickBot="1">
      <c r="B38" s="504" t="s">
        <v>373</v>
      </c>
      <c r="C38" s="505"/>
      <c r="D38" s="354"/>
      <c r="E38" s="355">
        <f>E36-E37</f>
        <v>85491.170847052839</v>
      </c>
      <c r="F38" s="355">
        <f t="shared" ref="F38" si="14">F36-F37</f>
        <v>84990.63234705283</v>
      </c>
      <c r="G38" s="355">
        <f t="shared" ref="G38" si="15">G36-G37</f>
        <v>76489.947847052841</v>
      </c>
      <c r="H38" s="355">
        <f t="shared" ref="H38" si="16">H36-H37</f>
        <v>81486.593347052854</v>
      </c>
      <c r="I38" s="356">
        <f>SUM(E38:H38)</f>
        <v>328458.34438821138</v>
      </c>
      <c r="M38" s="232"/>
      <c r="N38" s="232"/>
      <c r="O38" s="233"/>
      <c r="P38" s="234"/>
    </row>
    <row r="40" spans="2:16" ht="16" thickBot="1"/>
    <row r="41" spans="2:16" ht="32">
      <c r="B41" s="514" t="s">
        <v>183</v>
      </c>
      <c r="C41" s="515"/>
      <c r="D41" s="238" t="s">
        <v>150</v>
      </c>
      <c r="E41" s="236" t="s">
        <v>6</v>
      </c>
      <c r="F41" s="236" t="s">
        <v>7</v>
      </c>
      <c r="G41" s="236" t="s">
        <v>8</v>
      </c>
      <c r="H41" s="236" t="s">
        <v>9</v>
      </c>
      <c r="I41" s="85" t="s">
        <v>10</v>
      </c>
    </row>
    <row r="42" spans="2:16" ht="20" customHeight="1">
      <c r="B42" s="510" t="s">
        <v>143</v>
      </c>
      <c r="C42" s="511"/>
      <c r="D42" s="89">
        <v>25000</v>
      </c>
      <c r="E42" s="90">
        <f t="shared" ref="E42:H43" si="17">3*$D42</f>
        <v>75000</v>
      </c>
      <c r="F42" s="90">
        <f t="shared" si="17"/>
        <v>75000</v>
      </c>
      <c r="G42" s="90">
        <f t="shared" si="17"/>
        <v>75000</v>
      </c>
      <c r="H42" s="90">
        <f t="shared" si="17"/>
        <v>75000</v>
      </c>
      <c r="I42" s="91">
        <f>SUM(E42:H42)</f>
        <v>300000</v>
      </c>
    </row>
    <row r="43" spans="2:16" ht="20" customHeight="1">
      <c r="B43" s="510" t="s">
        <v>139</v>
      </c>
      <c r="C43" s="237" t="s">
        <v>148</v>
      </c>
      <c r="D43" s="89">
        <v>1000</v>
      </c>
      <c r="E43" s="90">
        <f t="shared" si="17"/>
        <v>3000</v>
      </c>
      <c r="F43" s="90">
        <f t="shared" si="17"/>
        <v>3000</v>
      </c>
      <c r="G43" s="90">
        <f t="shared" si="17"/>
        <v>3000</v>
      </c>
      <c r="H43" s="90">
        <f t="shared" si="17"/>
        <v>3000</v>
      </c>
      <c r="I43" s="91">
        <f>SUM(E43:H43)</f>
        <v>12000</v>
      </c>
      <c r="J43" s="19"/>
    </row>
    <row r="44" spans="2:16" ht="30" customHeight="1">
      <c r="B44" s="510"/>
      <c r="C44" s="86" t="s">
        <v>149</v>
      </c>
      <c r="D44" s="40" t="s">
        <v>440</v>
      </c>
      <c r="E44" s="100">
        <f>0.01*Inventário!V22</f>
        <v>3178.5</v>
      </c>
      <c r="F44" s="100">
        <f>0.01*Inventário!W22</f>
        <v>3178.5</v>
      </c>
      <c r="G44" s="100">
        <f>0.01*Inventário!X22</f>
        <v>2689.5</v>
      </c>
      <c r="H44" s="100">
        <f>0.01*Inventário!Y22</f>
        <v>1907.1000000000001</v>
      </c>
      <c r="I44" s="99">
        <f t="shared" ref="I44:I47" si="18">SUM(E44:H44)</f>
        <v>10953.6</v>
      </c>
      <c r="J44" s="19"/>
    </row>
    <row r="45" spans="2:16" ht="20" customHeight="1">
      <c r="B45" s="510" t="s">
        <v>140</v>
      </c>
      <c r="C45" s="511"/>
      <c r="D45" s="47">
        <v>3000</v>
      </c>
      <c r="E45" s="90">
        <f>3*$D45</f>
        <v>9000</v>
      </c>
      <c r="F45" s="90">
        <f>3*$D45</f>
        <v>9000</v>
      </c>
      <c r="G45" s="90">
        <f>3*$D45</f>
        <v>9000</v>
      </c>
      <c r="H45" s="90">
        <f>3*$D45</f>
        <v>9000</v>
      </c>
      <c r="I45" s="91">
        <f t="shared" si="18"/>
        <v>36000</v>
      </c>
      <c r="J45" s="19"/>
    </row>
    <row r="46" spans="2:16" ht="20" customHeight="1">
      <c r="B46" s="510" t="s">
        <v>141</v>
      </c>
      <c r="C46" s="511"/>
      <c r="D46" s="90" t="s">
        <v>151</v>
      </c>
      <c r="E46" s="47">
        <v>500</v>
      </c>
      <c r="F46" s="47">
        <v>0</v>
      </c>
      <c r="G46" s="47">
        <v>0</v>
      </c>
      <c r="H46" s="47">
        <v>0</v>
      </c>
      <c r="I46" s="91">
        <f t="shared" si="18"/>
        <v>500</v>
      </c>
      <c r="J46" s="19"/>
    </row>
    <row r="47" spans="2:16" ht="20" customHeight="1">
      <c r="B47" s="510" t="s">
        <v>142</v>
      </c>
      <c r="C47" s="511"/>
      <c r="D47" s="90" t="s">
        <v>152</v>
      </c>
      <c r="E47" s="47">
        <v>150</v>
      </c>
      <c r="F47" s="47">
        <v>0</v>
      </c>
      <c r="G47" s="47">
        <v>0</v>
      </c>
      <c r="H47" s="47">
        <v>0</v>
      </c>
      <c r="I47" s="91">
        <f t="shared" si="18"/>
        <v>150</v>
      </c>
      <c r="J47" s="19"/>
    </row>
    <row r="48" spans="2:16" ht="48">
      <c r="B48" s="516" t="s">
        <v>164</v>
      </c>
      <c r="C48" s="87" t="s">
        <v>165</v>
      </c>
      <c r="D48" s="90" t="s">
        <v>167</v>
      </c>
      <c r="E48" s="100">
        <f>(0.005*AFT!O39)/4</f>
        <v>229.29369918699189</v>
      </c>
      <c r="F48" s="100">
        <f>(0.005*AFT!P39)/4</f>
        <v>229.29369918699189</v>
      </c>
      <c r="G48" s="100">
        <f>(0.005*AFT!Q39)/4</f>
        <v>229.29369918699189</v>
      </c>
      <c r="H48" s="100">
        <f>(0.005*AFT!R39)/4</f>
        <v>229.29369918699189</v>
      </c>
      <c r="I48" s="99">
        <f>SUM(E48:H48)</f>
        <v>917.17479674796755</v>
      </c>
      <c r="J48" s="19"/>
    </row>
    <row r="49" spans="2:16" ht="48">
      <c r="B49" s="516"/>
      <c r="C49" s="88" t="s">
        <v>163</v>
      </c>
      <c r="D49" s="90" t="s">
        <v>168</v>
      </c>
      <c r="E49" s="100">
        <f>(0.005*Inventário!$U$27)/4</f>
        <v>122.2253125</v>
      </c>
      <c r="F49" s="100">
        <f>(0.005*Inventário!$U$27)/4</f>
        <v>122.2253125</v>
      </c>
      <c r="G49" s="100">
        <f>(0.005*Inventário!$U$27)/4</f>
        <v>122.2253125</v>
      </c>
      <c r="H49" s="100">
        <f>(0.005*Inventário!$U$27)/4</f>
        <v>122.2253125</v>
      </c>
      <c r="I49" s="99">
        <f t="shared" ref="I49:I53" si="19">SUM(E49:H49)</f>
        <v>488.90125</v>
      </c>
      <c r="J49" s="19"/>
    </row>
    <row r="50" spans="2:16" ht="48">
      <c r="B50" s="510" t="s">
        <v>146</v>
      </c>
      <c r="C50" s="511"/>
      <c r="D50" s="90" t="s">
        <v>169</v>
      </c>
      <c r="E50" s="100">
        <f>(0.005*(AFT!O40+AFT!O41))/4</f>
        <v>17.426321138211382</v>
      </c>
      <c r="F50" s="100">
        <f>(0.005*(AFT!P40+AFT!P41))/4</f>
        <v>17.426321138211382</v>
      </c>
      <c r="G50" s="100">
        <f>(0.005*(AFT!Q40+AFT!Q41))/4</f>
        <v>17.426321138211382</v>
      </c>
      <c r="H50" s="100">
        <f>(0.005*(AFT!R40+AFT!R41))/4</f>
        <v>17.426321138211382</v>
      </c>
      <c r="I50" s="99">
        <f t="shared" si="19"/>
        <v>69.705284552845526</v>
      </c>
      <c r="J50" s="19"/>
    </row>
    <row r="51" spans="2:16" ht="20" customHeight="1">
      <c r="B51" s="510" t="s">
        <v>145</v>
      </c>
      <c r="C51" s="511"/>
      <c r="D51" s="94"/>
      <c r="E51" s="47">
        <f>$N$30+$N$31</f>
        <v>713</v>
      </c>
      <c r="F51" s="47">
        <f>$N$30+$N$31</f>
        <v>713</v>
      </c>
      <c r="G51" s="47">
        <v>0</v>
      </c>
      <c r="H51" s="47">
        <f>$N$30+$N$31</f>
        <v>713</v>
      </c>
      <c r="I51" s="91">
        <f t="shared" si="19"/>
        <v>2139</v>
      </c>
      <c r="J51" s="19"/>
    </row>
    <row r="52" spans="2:16" ht="20" customHeight="1">
      <c r="B52" s="510" t="s">
        <v>161</v>
      </c>
      <c r="C52" s="511"/>
      <c r="D52" s="47">
        <v>200</v>
      </c>
      <c r="E52" s="90">
        <f>3*$D52</f>
        <v>600</v>
      </c>
      <c r="F52" s="90">
        <f>3*$D52</f>
        <v>600</v>
      </c>
      <c r="G52" s="90">
        <f>3*$D52</f>
        <v>600</v>
      </c>
      <c r="H52" s="90">
        <f>3*$D52</f>
        <v>600</v>
      </c>
      <c r="I52" s="91">
        <f t="shared" si="19"/>
        <v>2400</v>
      </c>
      <c r="J52" s="19"/>
    </row>
    <row r="53" spans="2:16" ht="20" customHeight="1">
      <c r="B53" s="510" t="s">
        <v>162</v>
      </c>
      <c r="C53" s="511"/>
      <c r="D53" s="47" t="s">
        <v>181</v>
      </c>
      <c r="E53" s="100">
        <f>0.05*Procura!C15</f>
        <v>17177.2</v>
      </c>
      <c r="F53" s="100">
        <f>0.05*Procura!D15</f>
        <v>17177.150000000001</v>
      </c>
      <c r="G53" s="100">
        <f>0.05*Procura!E15</f>
        <v>6870.9000000000005</v>
      </c>
      <c r="H53" s="100">
        <f>0.05*Procura!F15</f>
        <v>13741.75</v>
      </c>
      <c r="I53" s="99">
        <f t="shared" si="19"/>
        <v>54967.000000000007</v>
      </c>
    </row>
    <row r="54" spans="2:16" s="224" customFormat="1" ht="21" customHeight="1">
      <c r="B54" s="506" t="s">
        <v>393</v>
      </c>
      <c r="C54" s="507"/>
      <c r="D54" s="352"/>
      <c r="E54" s="100">
        <f>SUM(E42:E53)</f>
        <v>109687.6453328252</v>
      </c>
      <c r="F54" s="100">
        <f t="shared" ref="F54" si="20">SUM(F42:F53)</f>
        <v>109037.59533282521</v>
      </c>
      <c r="G54" s="100">
        <f t="shared" ref="G54" si="21">SUM(G42:G53)</f>
        <v>97529.345332825193</v>
      </c>
      <c r="H54" s="100">
        <f t="shared" ref="H54" si="22">SUM(H42:H53)</f>
        <v>104330.7953328252</v>
      </c>
      <c r="I54" s="353">
        <f t="shared" ref="I54" si="23">SUM(I41:I53)</f>
        <v>420585.38133130077</v>
      </c>
    </row>
    <row r="55" spans="2:16" s="224" customFormat="1" ht="21" customHeight="1">
      <c r="B55" s="506" t="s">
        <v>374</v>
      </c>
      <c r="C55" s="507"/>
      <c r="D55" s="352"/>
      <c r="E55" s="100">
        <f>0.23*SUM(E42:E44)+0.23*SUM(E51:E53)+0.23*SUM(E46:E47)+0.06*E45</f>
        <v>23613.300999999999</v>
      </c>
      <c r="F55" s="100">
        <f t="shared" ref="F55:H55" si="24">0.23*SUM(F42:F44)+0.23*SUM(F51:F53)+0.23*SUM(F46:F47)+0.06*F45</f>
        <v>23463.789499999999</v>
      </c>
      <c r="G55" s="100">
        <f t="shared" si="24"/>
        <v>20816.892</v>
      </c>
      <c r="H55" s="100">
        <f t="shared" si="24"/>
        <v>22381.2255</v>
      </c>
      <c r="I55" s="353">
        <f>SUM(E55:H55)</f>
        <v>90275.207999999999</v>
      </c>
      <c r="K55" s="58"/>
    </row>
    <row r="56" spans="2:16" s="224" customFormat="1" ht="21" customHeight="1" thickBot="1">
      <c r="B56" s="504" t="s">
        <v>373</v>
      </c>
      <c r="C56" s="505"/>
      <c r="D56" s="354"/>
      <c r="E56" s="355">
        <f>E54-E55</f>
        <v>86074.344332825189</v>
      </c>
      <c r="F56" s="355">
        <f t="shared" ref="F56" si="25">F54-F55</f>
        <v>85573.805832825208</v>
      </c>
      <c r="G56" s="355">
        <f t="shared" ref="G56" si="26">G54-G55</f>
        <v>76712.453332825185</v>
      </c>
      <c r="H56" s="355">
        <f t="shared" ref="H56" si="27">H54-H55</f>
        <v>81949.569832825204</v>
      </c>
      <c r="I56" s="356">
        <f>SUM(E56:H56)</f>
        <v>330310.17333130079</v>
      </c>
      <c r="M56" s="232"/>
      <c r="N56" s="232"/>
      <c r="O56" s="233"/>
      <c r="P56" s="234"/>
    </row>
  </sheetData>
  <mergeCells count="56">
    <mergeCell ref="B47:C47"/>
    <mergeCell ref="B50:C50"/>
    <mergeCell ref="B51:C51"/>
    <mergeCell ref="B52:C52"/>
    <mergeCell ref="B53:C53"/>
    <mergeCell ref="B48:B49"/>
    <mergeCell ref="B16:C16"/>
    <mergeCell ref="B17:C17"/>
    <mergeCell ref="B41:C41"/>
    <mergeCell ref="B42:C42"/>
    <mergeCell ref="B30:B31"/>
    <mergeCell ref="B32:C32"/>
    <mergeCell ref="B33:C33"/>
    <mergeCell ref="B34:C34"/>
    <mergeCell ref="B35:C35"/>
    <mergeCell ref="B36:C36"/>
    <mergeCell ref="B14:C14"/>
    <mergeCell ref="B6:B7"/>
    <mergeCell ref="B4:C4"/>
    <mergeCell ref="B15:C15"/>
    <mergeCell ref="B5:C5"/>
    <mergeCell ref="B9:C9"/>
    <mergeCell ref="B8:C8"/>
    <mergeCell ref="B10:C10"/>
    <mergeCell ref="M6:N6"/>
    <mergeCell ref="B18:C18"/>
    <mergeCell ref="B19:C19"/>
    <mergeCell ref="B20:C20"/>
    <mergeCell ref="M13:M14"/>
    <mergeCell ref="M15:N15"/>
    <mergeCell ref="M16:N16"/>
    <mergeCell ref="M17:N17"/>
    <mergeCell ref="M18:N18"/>
    <mergeCell ref="M7:N7"/>
    <mergeCell ref="M8:M9"/>
    <mergeCell ref="M10:N10"/>
    <mergeCell ref="M11:N11"/>
    <mergeCell ref="M12:N12"/>
    <mergeCell ref="B11:B12"/>
    <mergeCell ref="B13:C13"/>
    <mergeCell ref="B56:C56"/>
    <mergeCell ref="B37:C37"/>
    <mergeCell ref="B38:C38"/>
    <mergeCell ref="B55:C55"/>
    <mergeCell ref="M19:N19"/>
    <mergeCell ref="B28:C28"/>
    <mergeCell ref="B29:C29"/>
    <mergeCell ref="B24:C24"/>
    <mergeCell ref="B25:B26"/>
    <mergeCell ref="B27:C27"/>
    <mergeCell ref="B43:B44"/>
    <mergeCell ref="B45:C45"/>
    <mergeCell ref="B46:C46"/>
    <mergeCell ref="M29:N29"/>
    <mergeCell ref="B23:C23"/>
    <mergeCell ref="B54:C54"/>
  </mergeCells>
  <hyperlinks>
    <hyperlink ref="P30" r:id="rId1" xr:uid="{EE19EE5F-66FB-C44A-8E3D-53A384B7C952}"/>
    <hyperlink ref="O31" r:id="rId2" xr:uid="{5123FADF-42F2-5F40-B3E3-C64ADF16CAEC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95AC-32A7-4B10-84C8-B45FAB5054D3}">
  <dimension ref="B3:AA91"/>
  <sheetViews>
    <sheetView showGridLines="0" zoomScale="40" zoomScaleNormal="40" zoomScaleSheetLayoutView="100" workbookViewId="0">
      <selection activeCell="B5" sqref="B5:C5"/>
    </sheetView>
  </sheetViews>
  <sheetFormatPr baseColWidth="10" defaultColWidth="8.83203125" defaultRowHeight="15"/>
  <cols>
    <col min="2" max="2" width="18" bestFit="1" customWidth="1"/>
    <col min="3" max="3" width="14.33203125" customWidth="1"/>
    <col min="4" max="6" width="16.1640625" bestFit="1" customWidth="1"/>
    <col min="7" max="7" width="14" bestFit="1" customWidth="1"/>
    <col min="8" max="8" width="14.83203125" bestFit="1" customWidth="1"/>
    <col min="9" max="9" width="8.5" customWidth="1"/>
    <col min="10" max="10" width="11.6640625" style="119" customWidth="1"/>
    <col min="11" max="11" width="17.83203125" customWidth="1"/>
    <col min="12" max="15" width="13.83203125" bestFit="1" customWidth="1"/>
    <col min="16" max="17" width="14.83203125" bestFit="1" customWidth="1"/>
    <col min="18" max="18" width="8.5" style="119" customWidth="1"/>
    <col min="19" max="19" width="11.6640625" style="119" customWidth="1"/>
    <col min="20" max="20" width="18" customWidth="1"/>
    <col min="21" max="24" width="13.83203125" bestFit="1" customWidth="1"/>
    <col min="25" max="25" width="13.83203125" customWidth="1"/>
    <col min="26" max="26" width="14.1640625" bestFit="1" customWidth="1"/>
    <col min="27" max="27" width="12.5" bestFit="1" customWidth="1"/>
  </cols>
  <sheetData>
    <row r="3" spans="2:20" ht="19">
      <c r="B3" s="528" t="s">
        <v>210</v>
      </c>
      <c r="C3" s="528"/>
    </row>
    <row r="4" spans="2:20" ht="16" thickBot="1"/>
    <row r="5" spans="2:20" ht="16" thickBot="1">
      <c r="B5" s="424" t="s">
        <v>188</v>
      </c>
      <c r="C5" s="426"/>
      <c r="H5" t="s">
        <v>326</v>
      </c>
      <c r="J5" s="119" t="s">
        <v>327</v>
      </c>
    </row>
    <row r="7" spans="2:20">
      <c r="B7" s="405" t="s">
        <v>191</v>
      </c>
      <c r="C7" s="407"/>
      <c r="D7" s="37" t="s">
        <v>194</v>
      </c>
      <c r="E7" s="37" t="s">
        <v>192</v>
      </c>
      <c r="F7" s="421" t="s">
        <v>193</v>
      </c>
      <c r="G7" s="421"/>
    </row>
    <row r="8" spans="2:20">
      <c r="B8" s="458" t="s">
        <v>26</v>
      </c>
      <c r="C8" s="459"/>
      <c r="D8" s="103">
        <v>1.281E-2</v>
      </c>
      <c r="E8" s="102">
        <v>0.23</v>
      </c>
      <c r="F8" s="447">
        <f>D8/1.23</f>
        <v>1.0414634146341464E-2</v>
      </c>
      <c r="G8" s="447"/>
    </row>
    <row r="9" spans="2:20">
      <c r="B9" s="458" t="s">
        <v>27</v>
      </c>
      <c r="C9" s="459"/>
      <c r="D9" s="103">
        <f>'MD+Fase de Produção+Compras'!W11</f>
        <v>1.8090000000000002E-2</v>
      </c>
      <c r="E9" s="102">
        <v>0.23</v>
      </c>
      <c r="F9" s="447">
        <f t="shared" ref="F9:F16" si="0">D9/1.23</f>
        <v>1.4707317073170733E-2</v>
      </c>
      <c r="G9" s="447"/>
    </row>
    <row r="10" spans="2:20">
      <c r="B10" s="458" t="s">
        <v>28</v>
      </c>
      <c r="C10" s="459"/>
      <c r="D10" s="103">
        <v>4.5539999999999997E-2</v>
      </c>
      <c r="E10" s="102">
        <v>0.23</v>
      </c>
      <c r="F10" s="447">
        <f t="shared" si="0"/>
        <v>3.7024390243902437E-2</v>
      </c>
      <c r="G10" s="447"/>
    </row>
    <row r="11" spans="2:20">
      <c r="B11" s="458" t="s">
        <v>29</v>
      </c>
      <c r="C11" s="459"/>
      <c r="D11" s="103">
        <v>4.3569999999999998E-2</v>
      </c>
      <c r="E11" s="102">
        <v>0.23</v>
      </c>
      <c r="F11" s="447">
        <f t="shared" si="0"/>
        <v>3.5422764227642276E-2</v>
      </c>
      <c r="G11" s="447"/>
    </row>
    <row r="12" spans="2:20">
      <c r="B12" s="458" t="s">
        <v>30</v>
      </c>
      <c r="C12" s="459"/>
      <c r="D12" s="103">
        <v>0.05</v>
      </c>
      <c r="E12" s="102">
        <v>0.23</v>
      </c>
      <c r="F12" s="447">
        <f t="shared" si="0"/>
        <v>4.0650406504065047E-2</v>
      </c>
      <c r="G12" s="447"/>
    </row>
    <row r="13" spans="2:20">
      <c r="B13" s="458" t="s">
        <v>190</v>
      </c>
      <c r="C13" s="459"/>
      <c r="D13" s="103">
        <v>0.05</v>
      </c>
      <c r="E13" s="102">
        <v>0.23</v>
      </c>
      <c r="F13" s="447">
        <f t="shared" si="0"/>
        <v>4.0650406504065047E-2</v>
      </c>
      <c r="G13" s="447"/>
    </row>
    <row r="14" spans="2:20">
      <c r="B14" s="449" t="s">
        <v>36</v>
      </c>
      <c r="C14" s="449" t="s">
        <v>36</v>
      </c>
      <c r="D14" s="103">
        <v>0.01</v>
      </c>
      <c r="E14" s="102">
        <v>0.23</v>
      </c>
      <c r="F14" s="447">
        <f t="shared" si="0"/>
        <v>8.130081300813009E-3</v>
      </c>
      <c r="G14" s="447"/>
    </row>
    <row r="15" spans="2:20">
      <c r="B15" s="449" t="s">
        <v>77</v>
      </c>
      <c r="C15" s="449" t="s">
        <v>77</v>
      </c>
      <c r="D15" s="103">
        <v>3.7999999999999999E-2</v>
      </c>
      <c r="E15" s="102">
        <v>0.23</v>
      </c>
      <c r="F15" s="447">
        <f t="shared" si="0"/>
        <v>3.0894308943089432E-2</v>
      </c>
      <c r="G15" s="447"/>
    </row>
    <row r="16" spans="2:20">
      <c r="B16" s="445" t="s">
        <v>10</v>
      </c>
      <c r="C16" s="445"/>
      <c r="D16" s="103">
        <v>0.26800999999999997</v>
      </c>
      <c r="E16" s="102">
        <v>0.23</v>
      </c>
      <c r="F16" s="447">
        <f t="shared" si="0"/>
        <v>0.21789430894308942</v>
      </c>
      <c r="G16" s="447"/>
      <c r="T16" s="106"/>
    </row>
    <row r="17" spans="2:27" ht="16" thickBot="1">
      <c r="T17" s="138"/>
    </row>
    <row r="18" spans="2:27" ht="16" thickBot="1">
      <c r="B18" s="397" t="s">
        <v>20</v>
      </c>
      <c r="H18" s="106"/>
      <c r="K18" s="397" t="s">
        <v>21</v>
      </c>
      <c r="T18" s="397" t="s">
        <v>22</v>
      </c>
      <c r="U18" s="119"/>
      <c r="V18" s="119"/>
      <c r="W18" s="119"/>
      <c r="X18" s="119"/>
      <c r="Y18" s="119"/>
      <c r="Z18" s="119"/>
    </row>
    <row r="19" spans="2:27">
      <c r="D19" s="37" t="s">
        <v>6</v>
      </c>
      <c r="E19" s="37" t="s">
        <v>7</v>
      </c>
      <c r="F19" s="37" t="s">
        <v>8</v>
      </c>
      <c r="G19" s="37" t="s">
        <v>9</v>
      </c>
      <c r="H19" s="37" t="s">
        <v>10</v>
      </c>
      <c r="M19" s="37" t="s">
        <v>6</v>
      </c>
      <c r="N19" s="37" t="s">
        <v>7</v>
      </c>
      <c r="O19" s="37" t="s">
        <v>8</v>
      </c>
      <c r="P19" s="37" t="s">
        <v>9</v>
      </c>
      <c r="Q19" s="37" t="s">
        <v>10</v>
      </c>
      <c r="T19" s="119"/>
      <c r="U19" s="119"/>
      <c r="V19" s="37" t="s">
        <v>6</v>
      </c>
      <c r="W19" s="37" t="s">
        <v>7</v>
      </c>
      <c r="X19" s="37" t="s">
        <v>8</v>
      </c>
      <c r="Y19" s="37" t="s">
        <v>9</v>
      </c>
      <c r="Z19" s="37" t="s">
        <v>10</v>
      </c>
    </row>
    <row r="20" spans="2:27">
      <c r="B20" s="427" t="s">
        <v>113</v>
      </c>
      <c r="C20" s="458"/>
      <c r="D20" s="6"/>
      <c r="E20" s="6"/>
      <c r="F20" s="6"/>
      <c r="G20" s="6"/>
      <c r="H20" s="6"/>
      <c r="K20" s="381" t="s">
        <v>113</v>
      </c>
      <c r="L20" s="383"/>
      <c r="M20" s="6"/>
      <c r="N20" s="6"/>
      <c r="O20" s="6"/>
      <c r="P20" s="6"/>
      <c r="Q20" s="6"/>
      <c r="T20" s="381" t="s">
        <v>113</v>
      </c>
      <c r="U20" s="383"/>
      <c r="V20" s="6"/>
      <c r="W20" s="6"/>
      <c r="X20" s="6"/>
      <c r="Y20" s="6"/>
      <c r="Z20" s="6"/>
    </row>
    <row r="21" spans="2:27">
      <c r="B21" s="427" t="s">
        <v>100</v>
      </c>
      <c r="C21" s="458"/>
      <c r="D21" s="6">
        <v>0</v>
      </c>
      <c r="E21" s="5">
        <f>D25</f>
        <v>769</v>
      </c>
      <c r="F21" s="5">
        <f>E25</f>
        <v>1539</v>
      </c>
      <c r="G21" s="5">
        <f>F25</f>
        <v>141529</v>
      </c>
      <c r="H21" s="6"/>
      <c r="I21" s="116"/>
      <c r="J21" s="28"/>
      <c r="K21" s="458" t="s">
        <v>100</v>
      </c>
      <c r="L21" s="459"/>
      <c r="M21" s="10">
        <f>G25</f>
        <v>79528</v>
      </c>
      <c r="N21" s="10">
        <f>M25</f>
        <v>64681</v>
      </c>
      <c r="O21" s="10">
        <f>N25</f>
        <v>49835</v>
      </c>
      <c r="P21" s="10">
        <f>O25</f>
        <v>183579</v>
      </c>
      <c r="Q21" s="6"/>
      <c r="R21" s="134"/>
      <c r="T21" s="458" t="s">
        <v>100</v>
      </c>
      <c r="U21" s="459"/>
      <c r="V21" s="10">
        <f>P25</f>
        <v>109086</v>
      </c>
      <c r="W21" s="10">
        <f>V25</f>
        <v>78624</v>
      </c>
      <c r="X21" s="10">
        <f>W25</f>
        <v>48163</v>
      </c>
      <c r="Y21" s="10">
        <f>X25</f>
        <v>175660</v>
      </c>
      <c r="Z21" s="6"/>
      <c r="AA21" s="134"/>
    </row>
    <row r="22" spans="2:27">
      <c r="B22" s="458" t="s">
        <v>101</v>
      </c>
      <c r="C22" s="527"/>
      <c r="D22" s="10">
        <f>'MD+Fase de Produção+Compras'!L10</f>
        <v>317850</v>
      </c>
      <c r="E22" s="10">
        <f>'MD+Fase de Produção+Compras'!M10</f>
        <v>317850</v>
      </c>
      <c r="F22" s="10">
        <f>'MD+Fase de Produção+Compras'!N10</f>
        <v>268950</v>
      </c>
      <c r="G22" s="10">
        <f>'MD+Fase de Produção+Compras'!O10</f>
        <v>190710</v>
      </c>
      <c r="H22" s="10">
        <f>SUM(D22:G22)</f>
        <v>1095360</v>
      </c>
      <c r="I22" s="116"/>
      <c r="J22" s="1"/>
      <c r="K22" s="458" t="s">
        <v>101</v>
      </c>
      <c r="L22" s="459"/>
      <c r="M22" s="10">
        <f>'MD+Fase de Produção+Compras'!L10</f>
        <v>317850</v>
      </c>
      <c r="N22" s="10">
        <f>'MD+Fase de Produção+Compras'!M10</f>
        <v>317850</v>
      </c>
      <c r="O22" s="10">
        <f>'MD+Fase de Produção+Compras'!N10</f>
        <v>268950</v>
      </c>
      <c r="P22" s="10">
        <f>'MD+Fase de Produção+Compras'!O10</f>
        <v>190710</v>
      </c>
      <c r="Q22" s="10">
        <f>SUM(M22:P22)</f>
        <v>1095360</v>
      </c>
      <c r="R22" s="116"/>
      <c r="T22" s="458" t="s">
        <v>101</v>
      </c>
      <c r="U22" s="459"/>
      <c r="V22" s="10">
        <f>'MD+Fase de Produção+Compras'!L10</f>
        <v>317850</v>
      </c>
      <c r="W22" s="10">
        <f>'MD+Fase de Produção+Compras'!M10</f>
        <v>317850</v>
      </c>
      <c r="X22" s="10">
        <f>'MD+Fase de Produção+Compras'!N10</f>
        <v>268950</v>
      </c>
      <c r="Y22" s="10">
        <f>'MD+Fase de Produção+Compras'!O10</f>
        <v>190710</v>
      </c>
      <c r="Z22" s="10">
        <f>SUM(V22:Y22)</f>
        <v>1095360</v>
      </c>
      <c r="AA22" s="116"/>
    </row>
    <row r="23" spans="2:27">
      <c r="B23" s="458" t="s">
        <v>102</v>
      </c>
      <c r="C23" s="527"/>
      <c r="D23" s="10">
        <f>Procura!C13</f>
        <v>312313</v>
      </c>
      <c r="E23" s="10">
        <f>Procura!D13</f>
        <v>312312</v>
      </c>
      <c r="F23" s="10">
        <f>Procura!E13</f>
        <v>124925</v>
      </c>
      <c r="G23" s="10">
        <f>Procura!F13</f>
        <v>249850</v>
      </c>
      <c r="H23" s="10">
        <f>SUM(D23:G23)</f>
        <v>999400</v>
      </c>
      <c r="I23" s="116"/>
      <c r="K23" s="458" t="s">
        <v>102</v>
      </c>
      <c r="L23" s="459"/>
      <c r="M23" s="10">
        <f>Procura!C14</f>
        <v>327929</v>
      </c>
      <c r="N23" s="10">
        <f>Procura!D14</f>
        <v>327928</v>
      </c>
      <c r="O23" s="10">
        <f>Procura!E14</f>
        <v>131171</v>
      </c>
      <c r="P23" s="10">
        <f>Procura!F14</f>
        <v>262342</v>
      </c>
      <c r="Q23" s="10">
        <f>SUM(M23:P23)</f>
        <v>1049370</v>
      </c>
      <c r="R23" s="116"/>
      <c r="S23" s="28"/>
      <c r="T23" s="458" t="s">
        <v>102</v>
      </c>
      <c r="U23" s="459"/>
      <c r="V23" s="10">
        <f>Procura!C15</f>
        <v>343544</v>
      </c>
      <c r="W23" s="10">
        <f>Procura!D15</f>
        <v>343543</v>
      </c>
      <c r="X23" s="10">
        <f>Procura!E15</f>
        <v>137418</v>
      </c>
      <c r="Y23" s="10">
        <f>Procura!F15</f>
        <v>274835</v>
      </c>
      <c r="Z23" s="10">
        <f>SUM(V23:Y23)</f>
        <v>1099340</v>
      </c>
      <c r="AA23" s="116"/>
    </row>
    <row r="24" spans="2:27">
      <c r="B24" s="519" t="s">
        <v>216</v>
      </c>
      <c r="C24" s="520"/>
      <c r="D24" s="10">
        <f>INT(ROUNDUP(0.015*D22,0))</f>
        <v>4768</v>
      </c>
      <c r="E24" s="10">
        <f>INT(ROUNDUP(0.015*D22,0))</f>
        <v>4768</v>
      </c>
      <c r="F24" s="10">
        <f>INT(ROUNDUP(0.015*F22,0))</f>
        <v>4035</v>
      </c>
      <c r="G24" s="10">
        <f>INT(ROUNDUP(0.015*G22,0))</f>
        <v>2861</v>
      </c>
      <c r="H24" s="10">
        <f>SUM(D24:G24)</f>
        <v>16432</v>
      </c>
      <c r="I24" s="116"/>
      <c r="J24" s="28"/>
      <c r="K24" s="519" t="s">
        <v>216</v>
      </c>
      <c r="L24" s="520"/>
      <c r="M24" s="10">
        <f>INT(ROUNDUP(0.015*M22,0))</f>
        <v>4768</v>
      </c>
      <c r="N24" s="10">
        <f>INT(ROUNDUP(0.015*M22,0))</f>
        <v>4768</v>
      </c>
      <c r="O24" s="10">
        <f>INT(ROUNDUP(0.015*O22,0))</f>
        <v>4035</v>
      </c>
      <c r="P24" s="10">
        <f>INT(ROUNDUP(0.015*P22,0))</f>
        <v>2861</v>
      </c>
      <c r="Q24" s="5">
        <f>SUM(M24:P24)</f>
        <v>16432</v>
      </c>
      <c r="R24" s="116"/>
      <c r="T24" s="519" t="s">
        <v>216</v>
      </c>
      <c r="U24" s="520"/>
      <c r="V24" s="10">
        <f>INT(ROUNDUP(0.015*V22,0))</f>
        <v>4768</v>
      </c>
      <c r="W24" s="10">
        <f>INT(ROUNDUP(0.015*V22,0))</f>
        <v>4768</v>
      </c>
      <c r="X24" s="10">
        <f>INT(ROUNDUP(0.015*X22,0))</f>
        <v>4035</v>
      </c>
      <c r="Y24" s="10">
        <f>INT(ROUNDUP(0.015*Y22,0))</f>
        <v>2861</v>
      </c>
      <c r="Z24" s="5">
        <f>SUM(V24:Y24)</f>
        <v>16432</v>
      </c>
      <c r="AA24" s="116"/>
    </row>
    <row r="25" spans="2:27">
      <c r="B25" s="458" t="s">
        <v>103</v>
      </c>
      <c r="C25" s="527"/>
      <c r="D25" s="10">
        <f>D21+D22-D23-D24</f>
        <v>769</v>
      </c>
      <c r="E25" s="10">
        <f t="shared" ref="E25:F25" si="1">E21+E22-E23-E24</f>
        <v>1539</v>
      </c>
      <c r="F25" s="10">
        <f t="shared" si="1"/>
        <v>141529</v>
      </c>
      <c r="G25" s="10">
        <f>G21+G22-G23-G24</f>
        <v>79528</v>
      </c>
      <c r="H25" s="6"/>
      <c r="K25" s="458" t="s">
        <v>103</v>
      </c>
      <c r="L25" s="459"/>
      <c r="M25" s="10">
        <f>M21+M22-M23-M24</f>
        <v>64681</v>
      </c>
      <c r="N25" s="10">
        <f t="shared" ref="N25" si="2">N21+N22-N23-N24</f>
        <v>49835</v>
      </c>
      <c r="O25" s="10">
        <f t="shared" ref="O25" si="3">O21+O22-O23-O24</f>
        <v>183579</v>
      </c>
      <c r="P25" s="10">
        <f t="shared" ref="P25" si="4">P21+P22-P23-P24</f>
        <v>109086</v>
      </c>
      <c r="Q25" s="6"/>
      <c r="T25" s="458" t="s">
        <v>103</v>
      </c>
      <c r="U25" s="459"/>
      <c r="V25" s="10">
        <f>V21+V22-V23-V24</f>
        <v>78624</v>
      </c>
      <c r="W25" s="10">
        <f t="shared" ref="W25:Y25" si="5">W21+W22-W23-W24</f>
        <v>48163</v>
      </c>
      <c r="X25" s="10">
        <f t="shared" si="5"/>
        <v>175660</v>
      </c>
      <c r="Y25" s="10">
        <f t="shared" si="5"/>
        <v>88674</v>
      </c>
      <c r="Z25" s="6"/>
    </row>
    <row r="26" spans="2:27" ht="16" thickBot="1">
      <c r="T26" s="119"/>
      <c r="U26" s="119"/>
      <c r="V26" s="119"/>
      <c r="W26" s="119"/>
      <c r="X26" s="119"/>
      <c r="Y26" s="119"/>
      <c r="Z26" s="119"/>
    </row>
    <row r="27" spans="2:27" ht="16" thickBot="1">
      <c r="B27" s="396" t="s">
        <v>173</v>
      </c>
      <c r="C27" s="111">
        <f>AVERAGE(D25:G25)</f>
        <v>55841.25</v>
      </c>
      <c r="K27" s="395" t="s">
        <v>173</v>
      </c>
      <c r="L27" s="111">
        <f>AVERAGE(M25:P25)</f>
        <v>101795.25</v>
      </c>
      <c r="T27" s="395" t="s">
        <v>173</v>
      </c>
      <c r="U27" s="111">
        <f>AVERAGE(V25:Y25)</f>
        <v>97780.25</v>
      </c>
      <c r="V27" s="119"/>
      <c r="W27" s="119"/>
      <c r="X27" s="119"/>
      <c r="Y27" s="119"/>
      <c r="Z27" s="119"/>
    </row>
    <row r="28" spans="2:27">
      <c r="T28" s="119"/>
      <c r="U28" s="119"/>
      <c r="V28" s="119"/>
      <c r="W28" s="119"/>
      <c r="X28" s="119"/>
      <c r="Y28" s="119"/>
      <c r="Z28" s="119"/>
    </row>
    <row r="29" spans="2:27" ht="16" thickBot="1">
      <c r="T29" s="119"/>
      <c r="U29" s="119"/>
      <c r="V29" s="119"/>
      <c r="W29" s="119"/>
      <c r="X29" s="119"/>
      <c r="Y29" s="119"/>
      <c r="Z29" s="119"/>
    </row>
    <row r="30" spans="2:27" ht="16" thickBot="1">
      <c r="B30" s="397" t="s">
        <v>20</v>
      </c>
      <c r="K30" s="397" t="s">
        <v>21</v>
      </c>
      <c r="T30" s="397" t="s">
        <v>22</v>
      </c>
      <c r="U30" s="119"/>
      <c r="V30" s="119"/>
      <c r="W30" s="119"/>
      <c r="X30" s="119"/>
      <c r="Y30" s="119"/>
      <c r="Z30" s="119"/>
    </row>
    <row r="31" spans="2:27">
      <c r="B31" s="529"/>
      <c r="C31" s="530"/>
      <c r="D31" s="37" t="s">
        <v>6</v>
      </c>
      <c r="E31" s="37" t="s">
        <v>7</v>
      </c>
      <c r="F31" s="37" t="s">
        <v>8</v>
      </c>
      <c r="G31" s="37" t="s">
        <v>9</v>
      </c>
      <c r="H31" s="37" t="s">
        <v>10</v>
      </c>
      <c r="M31" s="37" t="s">
        <v>6</v>
      </c>
      <c r="N31" s="37" t="s">
        <v>7</v>
      </c>
      <c r="O31" s="37" t="s">
        <v>8</v>
      </c>
      <c r="P31" s="37" t="s">
        <v>9</v>
      </c>
      <c r="Q31" s="37" t="s">
        <v>10</v>
      </c>
      <c r="T31" s="119"/>
      <c r="U31" s="119"/>
      <c r="V31" s="37" t="s">
        <v>6</v>
      </c>
      <c r="W31" s="37" t="s">
        <v>7</v>
      </c>
      <c r="X31" s="37" t="s">
        <v>8</v>
      </c>
      <c r="Y31" s="37" t="s">
        <v>9</v>
      </c>
      <c r="Z31" s="37" t="s">
        <v>10</v>
      </c>
    </row>
    <row r="32" spans="2:27">
      <c r="B32" s="427" t="s">
        <v>187</v>
      </c>
      <c r="C32" s="458"/>
      <c r="D32" s="6"/>
      <c r="E32" s="6"/>
      <c r="F32" s="6"/>
      <c r="G32" s="6"/>
      <c r="H32" s="6"/>
      <c r="K32" s="525" t="s">
        <v>187</v>
      </c>
      <c r="L32" s="526"/>
      <c r="M32" s="6"/>
      <c r="N32" s="6"/>
      <c r="O32" s="6"/>
      <c r="P32" s="6"/>
      <c r="Q32" s="6"/>
      <c r="T32" s="525" t="s">
        <v>187</v>
      </c>
      <c r="U32" s="526"/>
      <c r="V32" s="6"/>
      <c r="W32" s="6"/>
      <c r="X32" s="6"/>
      <c r="Y32" s="6"/>
      <c r="Z32" s="6"/>
    </row>
    <row r="33" spans="2:27">
      <c r="B33" s="427" t="s">
        <v>100</v>
      </c>
      <c r="C33" s="458"/>
      <c r="D33" s="110">
        <v>0</v>
      </c>
      <c r="E33" s="101">
        <f t="shared" ref="E33:G37" si="6">$F$16*E21</f>
        <v>167.56072357723576</v>
      </c>
      <c r="F33" s="101">
        <f t="shared" si="6"/>
        <v>335.3393414634146</v>
      </c>
      <c r="G33" s="101">
        <f t="shared" si="6"/>
        <v>30838.363650406503</v>
      </c>
      <c r="H33" s="6"/>
      <c r="I33" s="134"/>
      <c r="K33" s="458" t="s">
        <v>100</v>
      </c>
      <c r="L33" s="459"/>
      <c r="M33" s="101">
        <f>G37</f>
        <v>17328.698601626016</v>
      </c>
      <c r="N33" s="101">
        <f>M37</f>
        <v>14093.621796747981</v>
      </c>
      <c r="O33" s="101">
        <f>N37</f>
        <v>10858.762886178874</v>
      </c>
      <c r="P33" s="101">
        <f>O37</f>
        <v>40000.81934146343</v>
      </c>
      <c r="Q33" s="6"/>
      <c r="R33" s="137"/>
      <c r="T33" s="458" t="s">
        <v>100</v>
      </c>
      <c r="U33" s="459"/>
      <c r="V33" s="101">
        <f>P37</f>
        <v>23769.218585365874</v>
      </c>
      <c r="W33" s="101">
        <f>V37</f>
        <v>17131.722146341497</v>
      </c>
      <c r="X33" s="101">
        <f>W37</f>
        <v>10494.443601626064</v>
      </c>
      <c r="Y33" s="101">
        <f>X37</f>
        <v>38275.31430894314</v>
      </c>
      <c r="Z33" s="6"/>
      <c r="AA33" s="137"/>
    </row>
    <row r="34" spans="2:27">
      <c r="B34" s="458" t="s">
        <v>101</v>
      </c>
      <c r="C34" s="527"/>
      <c r="D34" s="101">
        <f>$F$16*D22</f>
        <v>69257.706097560978</v>
      </c>
      <c r="E34" s="101">
        <f t="shared" si="6"/>
        <v>69257.706097560978</v>
      </c>
      <c r="F34" s="101">
        <f t="shared" si="6"/>
        <v>58602.674390243898</v>
      </c>
      <c r="G34" s="101">
        <f t="shared" si="6"/>
        <v>41554.623658536584</v>
      </c>
      <c r="H34" s="101">
        <f>SUM(D34:G34)</f>
        <v>238672.71024390243</v>
      </c>
      <c r="I34" s="135"/>
      <c r="K34" s="458" t="s">
        <v>101</v>
      </c>
      <c r="L34" s="459"/>
      <c r="M34" s="101">
        <f>M22*$F$16</f>
        <v>69257.706097560978</v>
      </c>
      <c r="N34" s="101">
        <f>N22*$F$16</f>
        <v>69257.706097560978</v>
      </c>
      <c r="O34" s="101">
        <f>O22*$F$16</f>
        <v>58602.674390243898</v>
      </c>
      <c r="P34" s="101">
        <f>P22*$F$16</f>
        <v>41554.623658536584</v>
      </c>
      <c r="Q34" s="101">
        <f>SUM(M34:P34)</f>
        <v>238672.71024390243</v>
      </c>
      <c r="R34" s="137"/>
      <c r="T34" s="458" t="s">
        <v>101</v>
      </c>
      <c r="U34" s="459"/>
      <c r="V34" s="101">
        <f>V22*$F$16</f>
        <v>69257.706097560978</v>
      </c>
      <c r="W34" s="101">
        <f>W22*$F$16</f>
        <v>69257.706097560978</v>
      </c>
      <c r="X34" s="101">
        <f>X22*$F$16</f>
        <v>58602.674390243898</v>
      </c>
      <c r="Y34" s="101">
        <f>Y22*$F$16</f>
        <v>41554.623658536584</v>
      </c>
      <c r="Z34" s="101">
        <f>SUM(V34:Y34)</f>
        <v>238672.71024390243</v>
      </c>
      <c r="AA34" s="137"/>
    </row>
    <row r="35" spans="2:27">
      <c r="B35" s="458" t="s">
        <v>102</v>
      </c>
      <c r="C35" s="527"/>
      <c r="D35" s="101">
        <f>$F$16*D23</f>
        <v>68051.225308943089</v>
      </c>
      <c r="E35" s="101">
        <f t="shared" si="6"/>
        <v>68051.00741463415</v>
      </c>
      <c r="F35" s="101">
        <f t="shared" si="6"/>
        <v>27220.446544715447</v>
      </c>
      <c r="G35" s="101">
        <f t="shared" si="6"/>
        <v>54440.893089430894</v>
      </c>
      <c r="H35" s="101">
        <f>SUM(D35:G35)</f>
        <v>217763.57235772358</v>
      </c>
      <c r="I35" s="135"/>
      <c r="K35" s="458" t="s">
        <v>102</v>
      </c>
      <c r="L35" s="459"/>
      <c r="M35" s="101">
        <f>M23*$F$16</f>
        <v>71453.862837398367</v>
      </c>
      <c r="N35" s="101">
        <f t="shared" ref="M35:P36" si="7">N23*$F$16</f>
        <v>71453.644943089428</v>
      </c>
      <c r="O35" s="101">
        <f t="shared" si="7"/>
        <v>28581.414398373981</v>
      </c>
      <c r="P35" s="101">
        <f t="shared" si="7"/>
        <v>57162.828796747963</v>
      </c>
      <c r="Q35" s="101">
        <f>SUM(M35:P35)</f>
        <v>228651.75097560973</v>
      </c>
      <c r="R35" s="137"/>
      <c r="T35" s="458" t="s">
        <v>102</v>
      </c>
      <c r="U35" s="459"/>
      <c r="V35" s="101">
        <f>V23*$F$16</f>
        <v>74856.282471544706</v>
      </c>
      <c r="W35" s="101">
        <f t="shared" ref="W35:Y35" si="8">W23*$F$16</f>
        <v>74856.064577235768</v>
      </c>
      <c r="X35" s="101">
        <f t="shared" si="8"/>
        <v>29942.600146341461</v>
      </c>
      <c r="Y35" s="101">
        <f t="shared" si="8"/>
        <v>59884.982398373984</v>
      </c>
      <c r="Z35" s="101">
        <f>SUM(V35:Y35)</f>
        <v>239539.92959349591</v>
      </c>
      <c r="AA35" s="137"/>
    </row>
    <row r="36" spans="2:27">
      <c r="B36" s="519" t="s">
        <v>216</v>
      </c>
      <c r="C36" s="520"/>
      <c r="D36" s="101">
        <f>$F$16*D24</f>
        <v>1038.9200650406503</v>
      </c>
      <c r="E36" s="101">
        <f t="shared" si="6"/>
        <v>1038.9200650406503</v>
      </c>
      <c r="F36" s="101">
        <f t="shared" si="6"/>
        <v>879.20353658536578</v>
      </c>
      <c r="G36" s="101">
        <f t="shared" si="6"/>
        <v>623.3956178861788</v>
      </c>
      <c r="H36" s="101">
        <f>SUM(D36:G36)</f>
        <v>3580.4392845528455</v>
      </c>
      <c r="I36" s="135"/>
      <c r="K36" s="519" t="s">
        <v>216</v>
      </c>
      <c r="L36" s="520"/>
      <c r="M36" s="101">
        <f t="shared" si="7"/>
        <v>1038.9200650406503</v>
      </c>
      <c r="N36" s="101">
        <f t="shared" si="7"/>
        <v>1038.9200650406503</v>
      </c>
      <c r="O36" s="101">
        <f t="shared" si="7"/>
        <v>879.20353658536578</v>
      </c>
      <c r="P36" s="101">
        <f t="shared" si="7"/>
        <v>623.3956178861788</v>
      </c>
      <c r="Q36" s="101">
        <f t="shared" ref="Q36" si="9">SUM(M36:P36)</f>
        <v>3580.4392845528455</v>
      </c>
      <c r="R36" s="137"/>
      <c r="T36" s="519" t="s">
        <v>216</v>
      </c>
      <c r="U36" s="520"/>
      <c r="V36" s="101">
        <f t="shared" ref="V36:Y36" si="10">V24*$F$16</f>
        <v>1038.9200650406503</v>
      </c>
      <c r="W36" s="101">
        <f t="shared" si="10"/>
        <v>1038.9200650406503</v>
      </c>
      <c r="X36" s="101">
        <f t="shared" si="10"/>
        <v>879.20353658536578</v>
      </c>
      <c r="Y36" s="101">
        <f t="shared" si="10"/>
        <v>623.3956178861788</v>
      </c>
      <c r="Z36" s="101">
        <f t="shared" ref="Z36" si="11">SUM(V36:Y36)</f>
        <v>3580.4392845528455</v>
      </c>
      <c r="AA36" s="137"/>
    </row>
    <row r="37" spans="2:27">
      <c r="B37" s="458" t="s">
        <v>103</v>
      </c>
      <c r="C37" s="527"/>
      <c r="D37" s="101">
        <f>$F$16*D25</f>
        <v>167.56072357723576</v>
      </c>
      <c r="E37" s="101">
        <f t="shared" si="6"/>
        <v>335.3393414634146</v>
      </c>
      <c r="F37" s="101">
        <f t="shared" si="6"/>
        <v>30838.363650406503</v>
      </c>
      <c r="G37" s="101">
        <f t="shared" si="6"/>
        <v>17328.698601626016</v>
      </c>
      <c r="H37" s="6"/>
      <c r="K37" s="458" t="s">
        <v>103</v>
      </c>
      <c r="L37" s="459"/>
      <c r="M37" s="101">
        <f>M33+M34-M35-M36</f>
        <v>14093.621796747981</v>
      </c>
      <c r="N37" s="101">
        <f t="shared" ref="N37:P37" si="12">N33+N34-N35-N36</f>
        <v>10858.762886178874</v>
      </c>
      <c r="O37" s="101">
        <f>O33+O34-O35-O36</f>
        <v>40000.81934146343</v>
      </c>
      <c r="P37" s="101">
        <f t="shared" si="12"/>
        <v>23769.218585365874</v>
      </c>
      <c r="Q37" s="6"/>
      <c r="T37" s="458" t="s">
        <v>103</v>
      </c>
      <c r="U37" s="459"/>
      <c r="V37" s="101">
        <f>V33+V34-V35-V36</f>
        <v>17131.722146341497</v>
      </c>
      <c r="W37" s="101">
        <f t="shared" ref="W37" si="13">W33+W34-W35-W36</f>
        <v>10494.443601626064</v>
      </c>
      <c r="X37" s="101">
        <f>X33+X34-X35-X36</f>
        <v>38275.31430894314</v>
      </c>
      <c r="Y37" s="101">
        <f t="shared" ref="Y37" si="14">Y33+Y34-Y35-Y36</f>
        <v>19321.559951219562</v>
      </c>
      <c r="Z37" s="6"/>
    </row>
    <row r="38" spans="2:27" ht="16" thickBot="1">
      <c r="T38" s="119"/>
      <c r="U38" s="119"/>
      <c r="V38" s="119"/>
      <c r="W38" s="119"/>
      <c r="X38" s="119"/>
      <c r="Y38" s="119"/>
      <c r="Z38" s="119"/>
    </row>
    <row r="39" spans="2:27" ht="16" thickBot="1">
      <c r="B39" s="424" t="s">
        <v>418</v>
      </c>
      <c r="C39" s="426"/>
      <c r="K39" s="424" t="s">
        <v>423</v>
      </c>
      <c r="L39" s="426"/>
      <c r="M39" s="119"/>
      <c r="N39" s="119"/>
      <c r="O39" s="119"/>
      <c r="P39" s="119"/>
      <c r="Q39" s="119"/>
      <c r="T39" s="424" t="s">
        <v>424</v>
      </c>
      <c r="U39" s="426"/>
      <c r="V39" s="119"/>
      <c r="W39" s="119"/>
      <c r="X39" s="119"/>
      <c r="Y39" s="119"/>
      <c r="Z39" s="119"/>
    </row>
    <row r="40" spans="2:27">
      <c r="D40" s="37" t="s">
        <v>6</v>
      </c>
      <c r="E40" s="37" t="s">
        <v>7</v>
      </c>
      <c r="F40" s="37" t="s">
        <v>8</v>
      </c>
      <c r="G40" s="37" t="s">
        <v>9</v>
      </c>
      <c r="H40" s="37" t="s">
        <v>10</v>
      </c>
      <c r="K40" s="119"/>
      <c r="L40" s="119"/>
      <c r="M40" s="37" t="s">
        <v>6</v>
      </c>
      <c r="N40" s="37" t="s">
        <v>7</v>
      </c>
      <c r="O40" s="37" t="s">
        <v>8</v>
      </c>
      <c r="P40" s="37" t="s">
        <v>9</v>
      </c>
      <c r="Q40" s="37" t="s">
        <v>10</v>
      </c>
      <c r="R40" s="113"/>
      <c r="S40" s="113"/>
      <c r="T40" s="119"/>
      <c r="U40" s="119"/>
      <c r="V40" s="37" t="s">
        <v>6</v>
      </c>
      <c r="W40" s="37" t="s">
        <v>7</v>
      </c>
      <c r="X40" s="37" t="s">
        <v>8</v>
      </c>
      <c r="Y40" s="37" t="s">
        <v>9</v>
      </c>
      <c r="Z40" s="37" t="s">
        <v>10</v>
      </c>
    </row>
    <row r="41" spans="2:27">
      <c r="B41" s="523" t="s">
        <v>211</v>
      </c>
      <c r="C41" s="524"/>
      <c r="D41" s="6"/>
      <c r="E41" s="6"/>
      <c r="F41" s="6"/>
      <c r="G41" s="6"/>
      <c r="H41" s="6"/>
      <c r="K41" s="523" t="s">
        <v>211</v>
      </c>
      <c r="L41" s="524"/>
      <c r="M41" s="6"/>
      <c r="N41" s="6"/>
      <c r="O41" s="6"/>
      <c r="P41" s="6"/>
      <c r="Q41" s="6"/>
      <c r="R41" s="106"/>
      <c r="S41" s="106"/>
      <c r="T41" s="523" t="s">
        <v>211</v>
      </c>
      <c r="U41" s="524"/>
      <c r="V41" s="6"/>
      <c r="W41" s="6"/>
      <c r="X41" s="6"/>
      <c r="Y41" s="6"/>
      <c r="Z41" s="6"/>
    </row>
    <row r="42" spans="2:27">
      <c r="B42" s="427" t="s">
        <v>100</v>
      </c>
      <c r="C42" s="427"/>
      <c r="D42" s="6">
        <v>0</v>
      </c>
      <c r="E42" s="5">
        <f>D46</f>
        <v>385</v>
      </c>
      <c r="F42" s="5">
        <f t="shared" ref="F42:G42" si="15">E46</f>
        <v>770</v>
      </c>
      <c r="G42" s="5">
        <f t="shared" si="15"/>
        <v>70764</v>
      </c>
      <c r="H42" s="6"/>
      <c r="K42" s="427" t="s">
        <v>100</v>
      </c>
      <c r="L42" s="427"/>
      <c r="M42" s="5">
        <f>G46</f>
        <v>39763</v>
      </c>
      <c r="N42" s="5">
        <f>M46</f>
        <v>32340</v>
      </c>
      <c r="O42" s="5">
        <f t="shared" ref="O42" si="16">N46</f>
        <v>24917</v>
      </c>
      <c r="P42" s="5">
        <f t="shared" ref="P42" si="17">O46</f>
        <v>91788</v>
      </c>
      <c r="Q42" s="6"/>
      <c r="R42" s="106"/>
      <c r="S42" s="106"/>
      <c r="T42" s="427" t="s">
        <v>100</v>
      </c>
      <c r="U42" s="427"/>
      <c r="V42" s="5">
        <f>P46</f>
        <v>54541</v>
      </c>
      <c r="W42" s="5">
        <f>V46</f>
        <v>39310</v>
      </c>
      <c r="X42" s="5">
        <f t="shared" ref="X42" si="18">W46</f>
        <v>24079</v>
      </c>
      <c r="Y42" s="5">
        <f t="shared" ref="Y42" si="19">X46</f>
        <v>87827</v>
      </c>
      <c r="Z42" s="6"/>
    </row>
    <row r="43" spans="2:27">
      <c r="B43" s="427" t="s">
        <v>101</v>
      </c>
      <c r="C43" s="427"/>
      <c r="D43" s="6">
        <f>D22*0.5</f>
        <v>158925</v>
      </c>
      <c r="E43" s="6">
        <f>E22*0.5</f>
        <v>158925</v>
      </c>
      <c r="F43" s="6">
        <f>F22*0.5</f>
        <v>134475</v>
      </c>
      <c r="G43" s="6">
        <f>G22*0.5</f>
        <v>95355</v>
      </c>
      <c r="H43" s="31">
        <f>SUM(D43:G43)</f>
        <v>547680</v>
      </c>
      <c r="I43" s="394"/>
      <c r="K43" s="427" t="s">
        <v>101</v>
      </c>
      <c r="L43" s="427"/>
      <c r="M43" s="6">
        <f>M22*0.5</f>
        <v>158925</v>
      </c>
      <c r="N43" s="6">
        <f>N22*0.5</f>
        <v>158925</v>
      </c>
      <c r="O43" s="6">
        <f>O22*0.5</f>
        <v>134475</v>
      </c>
      <c r="P43" s="6">
        <f>P22*0.5</f>
        <v>95355</v>
      </c>
      <c r="Q43" s="31">
        <f>SUM(M43:P43)</f>
        <v>547680</v>
      </c>
      <c r="R43" s="113"/>
      <c r="S43" s="113"/>
      <c r="T43" s="427" t="s">
        <v>101</v>
      </c>
      <c r="U43" s="427"/>
      <c r="V43" s="6">
        <f>V22*0.5</f>
        <v>158925</v>
      </c>
      <c r="W43" s="6">
        <f>W22*0.5</f>
        <v>158925</v>
      </c>
      <c r="X43" s="6">
        <f>X22*0.5</f>
        <v>134475</v>
      </c>
      <c r="Y43" s="6">
        <f>Y22*0.5</f>
        <v>95355</v>
      </c>
      <c r="Z43" s="31">
        <f>SUM(V43:Y43)</f>
        <v>547680</v>
      </c>
    </row>
    <row r="44" spans="2:27">
      <c r="B44" s="427" t="s">
        <v>102</v>
      </c>
      <c r="C44" s="427"/>
      <c r="D44" s="5">
        <f>Procura!C19</f>
        <v>156156</v>
      </c>
      <c r="E44" s="5">
        <f>Procura!D19</f>
        <v>156156</v>
      </c>
      <c r="F44" s="5">
        <f>Procura!E19</f>
        <v>62463</v>
      </c>
      <c r="G44" s="5">
        <f>Procura!F19</f>
        <v>124925</v>
      </c>
      <c r="H44" s="5">
        <f>SUM(D44:G44)</f>
        <v>499700</v>
      </c>
      <c r="I44" s="116"/>
      <c r="J44" s="1"/>
      <c r="K44" s="427" t="s">
        <v>102</v>
      </c>
      <c r="L44" s="427"/>
      <c r="M44" s="5">
        <f>Procura!C26</f>
        <v>163964</v>
      </c>
      <c r="N44" s="5">
        <f>Procura!D26</f>
        <v>163964</v>
      </c>
      <c r="O44" s="5">
        <f>Procura!E26</f>
        <v>65586</v>
      </c>
      <c r="P44" s="5">
        <f>Procura!F26</f>
        <v>131171</v>
      </c>
      <c r="Q44" s="5">
        <f>SUM(M44:P44)</f>
        <v>524685</v>
      </c>
      <c r="R44" s="133"/>
      <c r="S44" s="133"/>
      <c r="T44" s="427" t="s">
        <v>102</v>
      </c>
      <c r="U44" s="427"/>
      <c r="V44" s="5">
        <f>Procura!C33</f>
        <v>171772</v>
      </c>
      <c r="W44" s="5">
        <f>Procura!D33</f>
        <v>171772</v>
      </c>
      <c r="X44" s="5">
        <f>Procura!E33</f>
        <v>68709</v>
      </c>
      <c r="Y44" s="5">
        <f>Procura!F33</f>
        <v>137417</v>
      </c>
      <c r="Z44" s="5">
        <f>SUM(V44:Y44)</f>
        <v>549670</v>
      </c>
    </row>
    <row r="45" spans="2:27">
      <c r="B45" s="519" t="s">
        <v>216</v>
      </c>
      <c r="C45" s="520"/>
      <c r="D45" s="5">
        <f>INT(D24*0.5)</f>
        <v>2384</v>
      </c>
      <c r="E45" s="5">
        <f>INT(E24*0.5)</f>
        <v>2384</v>
      </c>
      <c r="F45" s="5">
        <f>ROUND(F24*0.5,0)</f>
        <v>2018</v>
      </c>
      <c r="G45" s="5">
        <f>ROUND(G24*0.5,0)</f>
        <v>1431</v>
      </c>
      <c r="H45" s="5">
        <f>SUM(D45:G45)</f>
        <v>8217</v>
      </c>
      <c r="K45" s="519" t="s">
        <v>216</v>
      </c>
      <c r="L45" s="520"/>
      <c r="M45" s="5">
        <f>INT(M24*0.5)</f>
        <v>2384</v>
      </c>
      <c r="N45" s="5">
        <f>INT(N24*0.5)</f>
        <v>2384</v>
      </c>
      <c r="O45" s="5">
        <f>ROUND(O24*0.5,0)</f>
        <v>2018</v>
      </c>
      <c r="P45" s="5">
        <f>ROUND(P24*0.5,0)</f>
        <v>1431</v>
      </c>
      <c r="Q45" s="5">
        <f>SUM(M45:P45)</f>
        <v>8217</v>
      </c>
      <c r="R45" s="133"/>
      <c r="S45" s="133"/>
      <c r="T45" s="519" t="s">
        <v>216</v>
      </c>
      <c r="U45" s="520"/>
      <c r="V45" s="5">
        <f>INT(V24*0.5)</f>
        <v>2384</v>
      </c>
      <c r="W45" s="5">
        <f>INT(W24*0.5)</f>
        <v>2384</v>
      </c>
      <c r="X45" s="5">
        <f>ROUND(X24*0.5,0)</f>
        <v>2018</v>
      </c>
      <c r="Y45" s="5">
        <f>ROUND(Y24*0.5,0)</f>
        <v>1431</v>
      </c>
      <c r="Z45" s="5">
        <f>SUM(V45:Y45)</f>
        <v>8217</v>
      </c>
    </row>
    <row r="46" spans="2:27">
      <c r="B46" s="427" t="s">
        <v>103</v>
      </c>
      <c r="C46" s="427"/>
      <c r="D46" s="5">
        <f>D42+D43-D44-D45</f>
        <v>385</v>
      </c>
      <c r="E46" s="5">
        <f t="shared" ref="E46:G46" si="20">E42+E43-E44-E45</f>
        <v>770</v>
      </c>
      <c r="F46" s="5">
        <f t="shared" si="20"/>
        <v>70764</v>
      </c>
      <c r="G46" s="5">
        <f t="shared" si="20"/>
        <v>39763</v>
      </c>
      <c r="H46" s="6"/>
      <c r="K46" s="427" t="s">
        <v>103</v>
      </c>
      <c r="L46" s="427"/>
      <c r="M46" s="5">
        <f>M42+M43-M44-M45</f>
        <v>32340</v>
      </c>
      <c r="N46" s="5">
        <f t="shared" ref="N46:P46" si="21">N42+N43-N44-N45</f>
        <v>24917</v>
      </c>
      <c r="O46" s="5">
        <f t="shared" si="21"/>
        <v>91788</v>
      </c>
      <c r="P46" s="5">
        <f t="shared" si="21"/>
        <v>54541</v>
      </c>
      <c r="Q46" s="6"/>
      <c r="R46" s="106"/>
      <c r="S46" s="106"/>
      <c r="T46" s="427" t="s">
        <v>103</v>
      </c>
      <c r="U46" s="427"/>
      <c r="V46" s="5">
        <f>V42+V43-V44-V45</f>
        <v>39310</v>
      </c>
      <c r="W46" s="5">
        <f t="shared" ref="W46:Y46" si="22">W42+W43-W44-W45</f>
        <v>24079</v>
      </c>
      <c r="X46" s="5">
        <f t="shared" si="22"/>
        <v>87827</v>
      </c>
      <c r="Y46" s="5">
        <f t="shared" si="22"/>
        <v>44334</v>
      </c>
      <c r="Z46" s="6"/>
    </row>
    <row r="47" spans="2:27" ht="16" thickBot="1">
      <c r="T47" s="119"/>
      <c r="U47" s="119"/>
      <c r="V47" s="119"/>
      <c r="W47" s="119"/>
      <c r="X47" s="119"/>
      <c r="Y47" s="119"/>
      <c r="Z47" s="119"/>
    </row>
    <row r="48" spans="2:27" ht="16" thickBot="1">
      <c r="B48" s="424" t="s">
        <v>418</v>
      </c>
      <c r="C48" s="426"/>
      <c r="K48" s="424" t="s">
        <v>423</v>
      </c>
      <c r="L48" s="426"/>
      <c r="M48" s="119"/>
      <c r="N48" s="119"/>
      <c r="O48" s="119"/>
      <c r="P48" s="119"/>
      <c r="Q48" s="119"/>
      <c r="T48" s="424" t="s">
        <v>424</v>
      </c>
      <c r="U48" s="426"/>
      <c r="V48" s="119"/>
      <c r="W48" s="119"/>
      <c r="X48" s="119"/>
      <c r="Y48" s="119"/>
      <c r="Z48" s="119"/>
    </row>
    <row r="49" spans="2:26">
      <c r="D49" s="37" t="s">
        <v>6</v>
      </c>
      <c r="E49" s="37" t="s">
        <v>7</v>
      </c>
      <c r="F49" s="37" t="s">
        <v>8</v>
      </c>
      <c r="G49" s="37" t="s">
        <v>9</v>
      </c>
      <c r="H49" s="37" t="s">
        <v>10</v>
      </c>
      <c r="K49" s="119"/>
      <c r="L49" s="119"/>
      <c r="M49" s="37" t="s">
        <v>6</v>
      </c>
      <c r="N49" s="37" t="s">
        <v>7</v>
      </c>
      <c r="O49" s="37" t="s">
        <v>8</v>
      </c>
      <c r="P49" s="37" t="s">
        <v>9</v>
      </c>
      <c r="Q49" s="37" t="s">
        <v>10</v>
      </c>
      <c r="R49" s="113"/>
      <c r="S49" s="113"/>
      <c r="T49" s="119"/>
      <c r="U49" s="119"/>
      <c r="V49" s="37" t="s">
        <v>6</v>
      </c>
      <c r="W49" s="37" t="s">
        <v>7</v>
      </c>
      <c r="X49" s="37" t="s">
        <v>8</v>
      </c>
      <c r="Y49" s="37" t="s">
        <v>9</v>
      </c>
      <c r="Z49" s="37" t="s">
        <v>10</v>
      </c>
    </row>
    <row r="50" spans="2:26">
      <c r="B50" s="523" t="s">
        <v>187</v>
      </c>
      <c r="C50" s="524"/>
      <c r="D50" s="6"/>
      <c r="E50" s="6"/>
      <c r="F50" s="6"/>
      <c r="G50" s="6"/>
      <c r="H50" s="6"/>
      <c r="K50" s="523" t="s">
        <v>187</v>
      </c>
      <c r="L50" s="524"/>
      <c r="M50" s="6"/>
      <c r="N50" s="6"/>
      <c r="O50" s="6"/>
      <c r="P50" s="6"/>
      <c r="Q50" s="6"/>
      <c r="R50" s="106"/>
      <c r="S50" s="106"/>
      <c r="T50" s="523" t="s">
        <v>187</v>
      </c>
      <c r="U50" s="524"/>
      <c r="V50" s="6"/>
      <c r="W50" s="6"/>
      <c r="X50" s="6"/>
      <c r="Y50" s="6"/>
      <c r="Z50" s="6"/>
    </row>
    <row r="51" spans="2:26">
      <c r="B51" s="427" t="s">
        <v>100</v>
      </c>
      <c r="C51" s="427"/>
      <c r="D51" s="115">
        <v>0</v>
      </c>
      <c r="E51" s="114">
        <f t="shared" ref="E51:G51" si="23">E42*$F$16</f>
        <v>83.889308943089432</v>
      </c>
      <c r="F51" s="114">
        <f t="shared" si="23"/>
        <v>167.77861788617886</v>
      </c>
      <c r="G51" s="114">
        <f t="shared" si="23"/>
        <v>15419.072878048779</v>
      </c>
      <c r="H51" s="6"/>
      <c r="K51" s="427" t="s">
        <v>100</v>
      </c>
      <c r="L51" s="427"/>
      <c r="M51" s="114">
        <f>M42*$F$16</f>
        <v>8664.1314065040642</v>
      </c>
      <c r="N51" s="114">
        <f>N42*$F$16</f>
        <v>7046.701951219512</v>
      </c>
      <c r="O51" s="114">
        <f t="shared" ref="O51:P51" si="24">O42*$F$16</f>
        <v>5429.2724959349589</v>
      </c>
      <c r="P51" s="114">
        <f t="shared" si="24"/>
        <v>20000.082829268293</v>
      </c>
      <c r="Q51" s="6"/>
      <c r="R51" s="106"/>
      <c r="S51" s="106"/>
      <c r="T51" s="427" t="s">
        <v>100</v>
      </c>
      <c r="U51" s="427"/>
      <c r="V51" s="114">
        <f>V42*$F$16</f>
        <v>11884.17350406504</v>
      </c>
      <c r="W51" s="114">
        <f>W42*$F$16</f>
        <v>8565.4252845528445</v>
      </c>
      <c r="X51" s="114">
        <f t="shared" ref="X51:Y51" si="25">X42*$F$16</f>
        <v>5246.6770650406497</v>
      </c>
      <c r="Y51" s="114">
        <f t="shared" si="25"/>
        <v>19137.003471544715</v>
      </c>
      <c r="Z51" s="6"/>
    </row>
    <row r="52" spans="2:26">
      <c r="B52" s="427" t="s">
        <v>101</v>
      </c>
      <c r="C52" s="427"/>
      <c r="D52" s="114">
        <f t="shared" ref="D52:G55" si="26">D43*$F$16</f>
        <v>34628.853048780489</v>
      </c>
      <c r="E52" s="114">
        <f t="shared" si="26"/>
        <v>34628.853048780489</v>
      </c>
      <c r="F52" s="114">
        <f t="shared" si="26"/>
        <v>29301.337195121949</v>
      </c>
      <c r="G52" s="114">
        <f t="shared" si="26"/>
        <v>20777.311829268292</v>
      </c>
      <c r="H52" s="114">
        <f>SUM(D52:G52)</f>
        <v>119336.35512195122</v>
      </c>
      <c r="K52" s="427" t="s">
        <v>101</v>
      </c>
      <c r="L52" s="427"/>
      <c r="M52" s="114">
        <f t="shared" ref="M52:P52" si="27">M43*$F$16</f>
        <v>34628.853048780489</v>
      </c>
      <c r="N52" s="114">
        <f t="shared" si="27"/>
        <v>34628.853048780489</v>
      </c>
      <c r="O52" s="114">
        <f t="shared" si="27"/>
        <v>29301.337195121949</v>
      </c>
      <c r="P52" s="114">
        <f t="shared" si="27"/>
        <v>20777.311829268292</v>
      </c>
      <c r="Q52" s="114">
        <f>SUM(M52:P52)</f>
        <v>119336.35512195122</v>
      </c>
      <c r="R52" s="136"/>
      <c r="S52" s="136"/>
      <c r="T52" s="427" t="s">
        <v>101</v>
      </c>
      <c r="U52" s="427"/>
      <c r="V52" s="114">
        <f t="shared" ref="V52:Y52" si="28">V43*$F$16</f>
        <v>34628.853048780489</v>
      </c>
      <c r="W52" s="114">
        <f t="shared" si="28"/>
        <v>34628.853048780489</v>
      </c>
      <c r="X52" s="114">
        <f t="shared" si="28"/>
        <v>29301.337195121949</v>
      </c>
      <c r="Y52" s="114">
        <f t="shared" si="28"/>
        <v>20777.311829268292</v>
      </c>
      <c r="Z52" s="114">
        <f>SUM(V52:Y52)</f>
        <v>119336.35512195122</v>
      </c>
    </row>
    <row r="53" spans="2:26">
      <c r="B53" s="427" t="s">
        <v>102</v>
      </c>
      <c r="C53" s="427"/>
      <c r="D53" s="114">
        <f t="shared" si="26"/>
        <v>34025.503707317075</v>
      </c>
      <c r="E53" s="114">
        <f t="shared" si="26"/>
        <v>34025.503707317075</v>
      </c>
      <c r="F53" s="114">
        <f t="shared" si="26"/>
        <v>13610.332219512195</v>
      </c>
      <c r="G53" s="114">
        <f t="shared" si="26"/>
        <v>27220.446544715447</v>
      </c>
      <c r="H53" s="114">
        <f>SUM(D53:G53)</f>
        <v>108881.78617886179</v>
      </c>
      <c r="K53" s="427" t="s">
        <v>102</v>
      </c>
      <c r="L53" s="427"/>
      <c r="M53" s="114">
        <f>M44*$F$16</f>
        <v>35726.822471544714</v>
      </c>
      <c r="N53" s="114">
        <f t="shared" ref="N53:P53" si="29">N44*$F$16</f>
        <v>35726.822471544714</v>
      </c>
      <c r="O53" s="114">
        <f t="shared" si="29"/>
        <v>14290.816146341464</v>
      </c>
      <c r="P53" s="114">
        <f t="shared" si="29"/>
        <v>28581.414398373981</v>
      </c>
      <c r="Q53" s="114">
        <f>SUM(M53:P53)</f>
        <v>114325.87548780486</v>
      </c>
      <c r="R53" s="136"/>
      <c r="S53" s="136"/>
      <c r="T53" s="427" t="s">
        <v>102</v>
      </c>
      <c r="U53" s="427"/>
      <c r="V53" s="114">
        <f>V44*$F$16</f>
        <v>37428.141235772353</v>
      </c>
      <c r="W53" s="114">
        <f t="shared" ref="W53:Y53" si="30">W44*$F$16</f>
        <v>37428.141235772353</v>
      </c>
      <c r="X53" s="114">
        <f t="shared" si="30"/>
        <v>14971.300073170731</v>
      </c>
      <c r="Y53" s="114">
        <f t="shared" si="30"/>
        <v>29942.382252032519</v>
      </c>
      <c r="Z53" s="114">
        <f>SUM(V53:Y53)</f>
        <v>119769.96479674795</v>
      </c>
    </row>
    <row r="54" spans="2:26">
      <c r="B54" s="519" t="s">
        <v>216</v>
      </c>
      <c r="C54" s="520"/>
      <c r="D54" s="114">
        <f>D45*$F$16</f>
        <v>519.46003252032517</v>
      </c>
      <c r="E54" s="114">
        <f t="shared" si="26"/>
        <v>519.46003252032517</v>
      </c>
      <c r="F54" s="114">
        <f t="shared" si="26"/>
        <v>439.71071544715443</v>
      </c>
      <c r="G54" s="114">
        <f t="shared" si="26"/>
        <v>311.80675609756094</v>
      </c>
      <c r="H54" s="114">
        <f>SUM(D54:G54)</f>
        <v>1790.4375365853657</v>
      </c>
      <c r="K54" s="519" t="s">
        <v>216</v>
      </c>
      <c r="L54" s="520"/>
      <c r="M54" s="114">
        <f>M45*$F$16</f>
        <v>519.46003252032517</v>
      </c>
      <c r="N54" s="114">
        <f t="shared" ref="N54:P54" si="31">N45*$F$16</f>
        <v>519.46003252032517</v>
      </c>
      <c r="O54" s="114">
        <f t="shared" si="31"/>
        <v>439.71071544715443</v>
      </c>
      <c r="P54" s="114">
        <f t="shared" si="31"/>
        <v>311.80675609756094</v>
      </c>
      <c r="Q54" s="114">
        <f>SUM(M54:P54)</f>
        <v>1790.4375365853657</v>
      </c>
      <c r="R54" s="136"/>
      <c r="S54" s="136"/>
      <c r="T54" s="519" t="s">
        <v>216</v>
      </c>
      <c r="U54" s="520"/>
      <c r="V54" s="114">
        <f>V45*$F$16</f>
        <v>519.46003252032517</v>
      </c>
      <c r="W54" s="114">
        <f t="shared" ref="W54:Y54" si="32">W45*$F$16</f>
        <v>519.46003252032517</v>
      </c>
      <c r="X54" s="114">
        <f t="shared" si="32"/>
        <v>439.71071544715443</v>
      </c>
      <c r="Y54" s="114">
        <f t="shared" si="32"/>
        <v>311.80675609756094</v>
      </c>
      <c r="Z54" s="114">
        <f>SUM(V54:Y54)</f>
        <v>1790.4375365853657</v>
      </c>
    </row>
    <row r="55" spans="2:26">
      <c r="B55" s="427" t="s">
        <v>103</v>
      </c>
      <c r="C55" s="427"/>
      <c r="D55" s="114">
        <f t="shared" si="26"/>
        <v>83.889308943089432</v>
      </c>
      <c r="E55" s="114">
        <f t="shared" si="26"/>
        <v>167.77861788617886</v>
      </c>
      <c r="F55" s="114">
        <f t="shared" si="26"/>
        <v>15419.072878048779</v>
      </c>
      <c r="G55" s="114">
        <f t="shared" si="26"/>
        <v>8664.1314065040642</v>
      </c>
      <c r="H55" s="6"/>
      <c r="K55" s="427" t="s">
        <v>103</v>
      </c>
      <c r="L55" s="427"/>
      <c r="M55" s="114">
        <f t="shared" ref="M55:P55" si="33">M46*$F$16</f>
        <v>7046.701951219512</v>
      </c>
      <c r="N55" s="114">
        <f t="shared" si="33"/>
        <v>5429.2724959349589</v>
      </c>
      <c r="O55" s="114">
        <f t="shared" si="33"/>
        <v>20000.082829268293</v>
      </c>
      <c r="P55" s="114">
        <f t="shared" si="33"/>
        <v>11884.17350406504</v>
      </c>
      <c r="Q55" s="6"/>
      <c r="R55" s="106"/>
      <c r="S55" s="106"/>
      <c r="T55" s="427" t="s">
        <v>103</v>
      </c>
      <c r="U55" s="427"/>
      <c r="V55" s="114">
        <f t="shared" ref="V55:Y55" si="34">V46*$F$16</f>
        <v>8565.4252845528445</v>
      </c>
      <c r="W55" s="114">
        <f t="shared" si="34"/>
        <v>5246.6770650406497</v>
      </c>
      <c r="X55" s="114">
        <f t="shared" si="34"/>
        <v>19137.003471544715</v>
      </c>
      <c r="Y55" s="114">
        <f t="shared" si="34"/>
        <v>9660.1262926829259</v>
      </c>
      <c r="Z55" s="6"/>
    </row>
    <row r="56" spans="2:26" ht="16" thickBot="1">
      <c r="K56" s="119"/>
      <c r="L56" s="119"/>
      <c r="M56" s="119"/>
      <c r="N56" s="119"/>
      <c r="O56" s="119"/>
      <c r="P56" s="119"/>
      <c r="Q56" s="119"/>
      <c r="T56" s="119"/>
      <c r="U56" s="119"/>
      <c r="V56" s="119"/>
      <c r="W56" s="119"/>
      <c r="X56" s="119"/>
      <c r="Y56" s="119"/>
      <c r="Z56" s="119"/>
    </row>
    <row r="57" spans="2:26" ht="16" thickBot="1">
      <c r="B57" s="424" t="s">
        <v>419</v>
      </c>
      <c r="C57" s="426"/>
      <c r="K57" s="424" t="s">
        <v>422</v>
      </c>
      <c r="L57" s="426"/>
      <c r="M57" s="119"/>
      <c r="N57" s="119"/>
      <c r="O57" s="119"/>
      <c r="P57" s="119"/>
      <c r="Q57" s="119"/>
      <c r="T57" s="424" t="s">
        <v>425</v>
      </c>
      <c r="U57" s="426"/>
      <c r="V57" s="119"/>
      <c r="W57" s="119"/>
      <c r="X57" s="119"/>
      <c r="Y57" s="119"/>
      <c r="Z57" s="119"/>
    </row>
    <row r="58" spans="2:26">
      <c r="D58" s="37" t="s">
        <v>6</v>
      </c>
      <c r="E58" s="37" t="s">
        <v>7</v>
      </c>
      <c r="F58" s="37" t="s">
        <v>8</v>
      </c>
      <c r="G58" s="37" t="s">
        <v>9</v>
      </c>
      <c r="H58" s="37" t="s">
        <v>10</v>
      </c>
      <c r="K58" s="119"/>
      <c r="L58" s="119"/>
      <c r="M58" s="37" t="s">
        <v>6</v>
      </c>
      <c r="N58" s="37" t="s">
        <v>7</v>
      </c>
      <c r="O58" s="37" t="s">
        <v>8</v>
      </c>
      <c r="P58" s="37" t="s">
        <v>9</v>
      </c>
      <c r="Q58" s="37" t="s">
        <v>10</v>
      </c>
      <c r="R58" s="113"/>
      <c r="S58" s="113"/>
      <c r="T58" s="119"/>
      <c r="U58" s="119"/>
      <c r="V58" s="37" t="s">
        <v>6</v>
      </c>
      <c r="W58" s="37" t="s">
        <v>7</v>
      </c>
      <c r="X58" s="37" t="s">
        <v>8</v>
      </c>
      <c r="Y58" s="37" t="s">
        <v>9</v>
      </c>
      <c r="Z58" s="37" t="s">
        <v>10</v>
      </c>
    </row>
    <row r="59" spans="2:26">
      <c r="B59" s="421" t="s">
        <v>211</v>
      </c>
      <c r="C59" s="421"/>
      <c r="D59" s="6"/>
      <c r="E59" s="6"/>
      <c r="F59" s="6"/>
      <c r="G59" s="6"/>
      <c r="H59" s="6"/>
      <c r="K59" s="421" t="s">
        <v>211</v>
      </c>
      <c r="L59" s="421"/>
      <c r="M59" s="6"/>
      <c r="N59" s="6"/>
      <c r="O59" s="6"/>
      <c r="P59" s="6"/>
      <c r="Q59" s="6"/>
      <c r="R59" s="106"/>
      <c r="S59" s="106"/>
      <c r="T59" s="421" t="s">
        <v>211</v>
      </c>
      <c r="U59" s="421"/>
      <c r="V59" s="6"/>
      <c r="W59" s="6"/>
      <c r="X59" s="6"/>
      <c r="Y59" s="6"/>
      <c r="Z59" s="6"/>
    </row>
    <row r="60" spans="2:26">
      <c r="B60" s="427" t="s">
        <v>100</v>
      </c>
      <c r="C60" s="427"/>
      <c r="D60" s="6">
        <v>0</v>
      </c>
      <c r="E60" s="5">
        <f>D64</f>
        <v>231</v>
      </c>
      <c r="F60" s="5">
        <f t="shared" ref="F60:G60" si="35">E64</f>
        <v>462</v>
      </c>
      <c r="G60" s="5">
        <f t="shared" si="35"/>
        <v>42460</v>
      </c>
      <c r="H60" s="6"/>
      <c r="K60" s="427" t="s">
        <v>100</v>
      </c>
      <c r="L60" s="427"/>
      <c r="M60" s="5">
        <f>G64</f>
        <v>23860</v>
      </c>
      <c r="N60" s="5">
        <f>M64</f>
        <v>19406</v>
      </c>
      <c r="O60" s="5">
        <f t="shared" ref="O60" si="36">N64</f>
        <v>14953</v>
      </c>
      <c r="P60" s="5">
        <f t="shared" ref="P60" si="37">O64</f>
        <v>55077</v>
      </c>
      <c r="Q60" s="6"/>
      <c r="R60" s="106"/>
      <c r="S60" s="106"/>
      <c r="T60" s="427" t="s">
        <v>100</v>
      </c>
      <c r="U60" s="427"/>
      <c r="V60" s="5">
        <f>P64</f>
        <v>32730</v>
      </c>
      <c r="W60" s="5">
        <f>V64</f>
        <v>23592</v>
      </c>
      <c r="X60" s="5">
        <f t="shared" ref="X60" si="38">W64</f>
        <v>14454</v>
      </c>
      <c r="Y60" s="5">
        <f t="shared" ref="Y60" si="39">X64</f>
        <v>52704</v>
      </c>
      <c r="Z60" s="6"/>
    </row>
    <row r="61" spans="2:26">
      <c r="B61" s="427" t="s">
        <v>101</v>
      </c>
      <c r="C61" s="427"/>
      <c r="D61" s="6">
        <f>D22*0.3</f>
        <v>95355</v>
      </c>
      <c r="E61" s="6">
        <f>E22*0.3</f>
        <v>95355</v>
      </c>
      <c r="F61" s="6">
        <f>F22*0.3</f>
        <v>80685</v>
      </c>
      <c r="G61" s="6">
        <f>G22*0.3</f>
        <v>57213</v>
      </c>
      <c r="H61" s="6">
        <f>SUM(D61:G61)</f>
        <v>328608</v>
      </c>
      <c r="K61" s="427" t="s">
        <v>101</v>
      </c>
      <c r="L61" s="427"/>
      <c r="M61" s="6">
        <f>M22*0.3</f>
        <v>95355</v>
      </c>
      <c r="N61" s="6">
        <f>N22*0.3</f>
        <v>95355</v>
      </c>
      <c r="O61" s="6">
        <f>O22*0.3</f>
        <v>80685</v>
      </c>
      <c r="P61" s="6">
        <f>P22*0.3</f>
        <v>57213</v>
      </c>
      <c r="Q61" s="6">
        <f>SUM(M61:P61)</f>
        <v>328608</v>
      </c>
      <c r="R61" s="106"/>
      <c r="S61" s="106"/>
      <c r="T61" s="427" t="s">
        <v>101</v>
      </c>
      <c r="U61" s="427"/>
      <c r="V61" s="6">
        <f>V22*0.3</f>
        <v>95355</v>
      </c>
      <c r="W61" s="6">
        <f>W22*0.3</f>
        <v>95355</v>
      </c>
      <c r="X61" s="6">
        <f>X22*0.3</f>
        <v>80685</v>
      </c>
      <c r="Y61" s="6">
        <f>Y22*0.3</f>
        <v>57213</v>
      </c>
      <c r="Z61" s="6">
        <f>SUM(V61:Y61)</f>
        <v>328608</v>
      </c>
    </row>
    <row r="62" spans="2:26">
      <c r="B62" s="427" t="s">
        <v>102</v>
      </c>
      <c r="C62" s="427"/>
      <c r="D62" s="5">
        <f>Procura!C20</f>
        <v>93694</v>
      </c>
      <c r="E62" s="5">
        <f>Procura!D20</f>
        <v>93694</v>
      </c>
      <c r="F62" s="5">
        <f>Procura!E20</f>
        <v>37477</v>
      </c>
      <c r="G62" s="5">
        <f>Procura!F20</f>
        <v>74955</v>
      </c>
      <c r="H62" s="5">
        <f>SUM(D62:G62)</f>
        <v>299820</v>
      </c>
      <c r="K62" s="427" t="s">
        <v>102</v>
      </c>
      <c r="L62" s="427"/>
      <c r="M62" s="5">
        <f>Procura!C27</f>
        <v>98379</v>
      </c>
      <c r="N62" s="5">
        <f>Procura!D27</f>
        <v>98378</v>
      </c>
      <c r="O62" s="5">
        <f>Procura!E27</f>
        <v>39351</v>
      </c>
      <c r="P62" s="5">
        <f>Procura!F27</f>
        <v>78702</v>
      </c>
      <c r="Q62" s="5">
        <f>SUM(M62:P62)</f>
        <v>314810</v>
      </c>
      <c r="R62" s="133"/>
      <c r="S62" s="133"/>
      <c r="T62" s="427" t="s">
        <v>102</v>
      </c>
      <c r="U62" s="427"/>
      <c r="V62" s="5">
        <f>Procura!C34</f>
        <v>103063</v>
      </c>
      <c r="W62" s="5">
        <f>Procura!D34</f>
        <v>103063</v>
      </c>
      <c r="X62" s="5">
        <f>Procura!E34</f>
        <v>41225</v>
      </c>
      <c r="Y62" s="5">
        <f>Procura!F34</f>
        <v>82451</v>
      </c>
      <c r="Z62" s="5">
        <f>SUM(V62:Y62)</f>
        <v>329802</v>
      </c>
    </row>
    <row r="63" spans="2:26">
      <c r="B63" s="519" t="s">
        <v>216</v>
      </c>
      <c r="C63" s="520"/>
      <c r="D63" s="5">
        <f>INT(D24*0.3)</f>
        <v>1430</v>
      </c>
      <c r="E63" s="5">
        <f>INT(E24*0.3)</f>
        <v>1430</v>
      </c>
      <c r="F63" s="5">
        <f>INT(F24*0.3)</f>
        <v>1210</v>
      </c>
      <c r="G63" s="5">
        <f>INT(G24*0.3)</f>
        <v>858</v>
      </c>
      <c r="H63" s="5">
        <f>SUM(D63:G63)</f>
        <v>4928</v>
      </c>
      <c r="K63" s="519" t="s">
        <v>216</v>
      </c>
      <c r="L63" s="520"/>
      <c r="M63" s="5">
        <f>INT(M24*0.3)</f>
        <v>1430</v>
      </c>
      <c r="N63" s="5">
        <f>INT(N24*0.3)</f>
        <v>1430</v>
      </c>
      <c r="O63" s="5">
        <f>INT(O24*0.3)</f>
        <v>1210</v>
      </c>
      <c r="P63" s="5">
        <f>INT(P24*0.3)</f>
        <v>858</v>
      </c>
      <c r="Q63" s="5">
        <f>SUM(M63:P63)</f>
        <v>4928</v>
      </c>
      <c r="R63" s="133"/>
      <c r="S63" s="133"/>
      <c r="T63" s="519" t="s">
        <v>216</v>
      </c>
      <c r="U63" s="520"/>
      <c r="V63" s="5">
        <f>INT(V24*0.3)</f>
        <v>1430</v>
      </c>
      <c r="W63" s="5">
        <f>INT(W24*0.3)</f>
        <v>1430</v>
      </c>
      <c r="X63" s="5">
        <f>INT(X24*0.3)</f>
        <v>1210</v>
      </c>
      <c r="Y63" s="5">
        <f>INT(Y24*0.3)</f>
        <v>858</v>
      </c>
      <c r="Z63" s="5">
        <f>SUM(V63:Y63)</f>
        <v>4928</v>
      </c>
    </row>
    <row r="64" spans="2:26">
      <c r="B64" s="427" t="s">
        <v>103</v>
      </c>
      <c r="C64" s="427"/>
      <c r="D64" s="5">
        <f>D60+D61-D62-D63</f>
        <v>231</v>
      </c>
      <c r="E64" s="5">
        <f t="shared" ref="E64" si="40">E60+E61-E62-E63</f>
        <v>462</v>
      </c>
      <c r="F64" s="5">
        <f t="shared" ref="F64" si="41">F60+F61-F62-F63</f>
        <v>42460</v>
      </c>
      <c r="G64" s="5">
        <f t="shared" ref="G64" si="42">G60+G61-G62-G63</f>
        <v>23860</v>
      </c>
      <c r="H64" s="6"/>
      <c r="K64" s="427" t="s">
        <v>103</v>
      </c>
      <c r="L64" s="427"/>
      <c r="M64" s="5">
        <f>M60+M61-M62-M63</f>
        <v>19406</v>
      </c>
      <c r="N64" s="5">
        <f t="shared" ref="N64:P64" si="43">N60+N61-N62-N63</f>
        <v>14953</v>
      </c>
      <c r="O64" s="5">
        <f t="shared" si="43"/>
        <v>55077</v>
      </c>
      <c r="P64" s="5">
        <f t="shared" si="43"/>
        <v>32730</v>
      </c>
      <c r="Q64" s="6"/>
      <c r="R64" s="106"/>
      <c r="S64" s="106"/>
      <c r="T64" s="427" t="s">
        <v>103</v>
      </c>
      <c r="U64" s="427"/>
      <c r="V64" s="5">
        <f>V60+V61-V62-V63</f>
        <v>23592</v>
      </c>
      <c r="W64" s="5">
        <f t="shared" ref="W64:Y64" si="44">W60+W61-W62-W63</f>
        <v>14454</v>
      </c>
      <c r="X64" s="5">
        <f t="shared" si="44"/>
        <v>52704</v>
      </c>
      <c r="Y64" s="5">
        <f t="shared" si="44"/>
        <v>26608</v>
      </c>
      <c r="Z64" s="6"/>
    </row>
    <row r="65" spans="2:26" ht="16" thickBot="1">
      <c r="K65" s="119"/>
      <c r="L65" s="119"/>
      <c r="M65" s="119"/>
      <c r="N65" s="119"/>
      <c r="O65" s="119"/>
      <c r="P65" s="119"/>
      <c r="Q65" s="119"/>
      <c r="T65" s="119"/>
      <c r="U65" s="119"/>
      <c r="V65" s="119"/>
      <c r="W65" s="119"/>
      <c r="X65" s="119"/>
      <c r="Y65" s="119"/>
      <c r="Z65" s="119"/>
    </row>
    <row r="66" spans="2:26" ht="16" thickBot="1">
      <c r="B66" s="521" t="s">
        <v>419</v>
      </c>
      <c r="C66" s="522"/>
      <c r="K66" s="521" t="s">
        <v>422</v>
      </c>
      <c r="L66" s="522"/>
      <c r="M66" s="119"/>
      <c r="N66" s="119"/>
      <c r="O66" s="119"/>
      <c r="P66" s="119"/>
      <c r="Q66" s="119"/>
      <c r="T66" s="521" t="s">
        <v>425</v>
      </c>
      <c r="U66" s="522"/>
      <c r="V66" s="119"/>
      <c r="W66" s="119"/>
      <c r="X66" s="119"/>
      <c r="Y66" s="119"/>
      <c r="Z66" s="119"/>
    </row>
    <row r="67" spans="2:26">
      <c r="D67" s="37" t="s">
        <v>6</v>
      </c>
      <c r="E67" s="37" t="s">
        <v>7</v>
      </c>
      <c r="F67" s="37" t="s">
        <v>8</v>
      </c>
      <c r="G67" s="37" t="s">
        <v>9</v>
      </c>
      <c r="H67" s="37" t="s">
        <v>10</v>
      </c>
      <c r="K67" s="119"/>
      <c r="L67" s="119"/>
      <c r="M67" s="37" t="s">
        <v>6</v>
      </c>
      <c r="N67" s="37" t="s">
        <v>7</v>
      </c>
      <c r="O67" s="37" t="s">
        <v>8</v>
      </c>
      <c r="P67" s="37" t="s">
        <v>9</v>
      </c>
      <c r="Q67" s="37" t="s">
        <v>10</v>
      </c>
      <c r="R67" s="113"/>
      <c r="S67" s="113"/>
      <c r="T67" s="119"/>
      <c r="U67" s="119"/>
      <c r="V67" s="37" t="s">
        <v>6</v>
      </c>
      <c r="W67" s="37" t="s">
        <v>7</v>
      </c>
      <c r="X67" s="37" t="s">
        <v>8</v>
      </c>
      <c r="Y67" s="37" t="s">
        <v>9</v>
      </c>
      <c r="Z67" s="37" t="s">
        <v>10</v>
      </c>
    </row>
    <row r="68" spans="2:26">
      <c r="B68" s="523" t="s">
        <v>187</v>
      </c>
      <c r="C68" s="524"/>
      <c r="D68" s="6"/>
      <c r="E68" s="6"/>
      <c r="F68" s="6"/>
      <c r="G68" s="6"/>
      <c r="H68" s="6"/>
      <c r="K68" s="523" t="s">
        <v>187</v>
      </c>
      <c r="L68" s="524"/>
      <c r="M68" s="6"/>
      <c r="N68" s="6"/>
      <c r="O68" s="6"/>
      <c r="P68" s="6"/>
      <c r="Q68" s="6"/>
      <c r="R68" s="106"/>
      <c r="S68" s="106"/>
      <c r="T68" s="523" t="s">
        <v>187</v>
      </c>
      <c r="U68" s="524"/>
      <c r="V68" s="6"/>
      <c r="W68" s="6"/>
      <c r="X68" s="6"/>
      <c r="Y68" s="6"/>
      <c r="Z68" s="6"/>
    </row>
    <row r="69" spans="2:26">
      <c r="B69" s="427" t="s">
        <v>100</v>
      </c>
      <c r="C69" s="427"/>
      <c r="D69" s="115">
        <v>0</v>
      </c>
      <c r="E69" s="114">
        <f t="shared" ref="E69:G69" si="45">E60*$F$16</f>
        <v>50.333585365853658</v>
      </c>
      <c r="F69" s="114">
        <f t="shared" si="45"/>
        <v>100.66717073170732</v>
      </c>
      <c r="G69" s="114">
        <f t="shared" si="45"/>
        <v>9251.7923577235761</v>
      </c>
      <c r="H69" s="6"/>
      <c r="K69" s="427" t="s">
        <v>100</v>
      </c>
      <c r="L69" s="427"/>
      <c r="M69" s="114">
        <f t="shared" ref="M69:P69" si="46">M60*$F$16</f>
        <v>5198.9582113821134</v>
      </c>
      <c r="N69" s="114">
        <f t="shared" si="46"/>
        <v>4228.4569593495935</v>
      </c>
      <c r="O69" s="114">
        <f t="shared" si="46"/>
        <v>3258.1736016260161</v>
      </c>
      <c r="P69" s="114">
        <f t="shared" si="46"/>
        <v>12000.964853658536</v>
      </c>
      <c r="Q69" s="6"/>
      <c r="R69" s="106"/>
      <c r="S69" s="106"/>
      <c r="T69" s="427" t="s">
        <v>100</v>
      </c>
      <c r="U69" s="427"/>
      <c r="V69" s="114">
        <f t="shared" ref="V69:Y69" si="47">V60*$F$16</f>
        <v>7131.6807317073171</v>
      </c>
      <c r="W69" s="114">
        <f t="shared" si="47"/>
        <v>5140.5625365853657</v>
      </c>
      <c r="X69" s="114">
        <f t="shared" si="47"/>
        <v>3149.4443414634143</v>
      </c>
      <c r="Y69" s="114">
        <f t="shared" si="47"/>
        <v>11483.901658536584</v>
      </c>
      <c r="Z69" s="6"/>
    </row>
    <row r="70" spans="2:26">
      <c r="B70" s="427" t="s">
        <v>101</v>
      </c>
      <c r="C70" s="427"/>
      <c r="D70" s="114">
        <f>D61*$F$16</f>
        <v>20777.311829268292</v>
      </c>
      <c r="E70" s="114">
        <f t="shared" ref="E70:G70" si="48">E61*$F$16</f>
        <v>20777.311829268292</v>
      </c>
      <c r="F70" s="114">
        <f t="shared" si="48"/>
        <v>17580.802317073169</v>
      </c>
      <c r="G70" s="114">
        <f t="shared" si="48"/>
        <v>12466.387097560975</v>
      </c>
      <c r="H70" s="114">
        <f>SUM(D70:G70)</f>
        <v>71601.813073170721</v>
      </c>
      <c r="K70" s="427" t="s">
        <v>101</v>
      </c>
      <c r="L70" s="427"/>
      <c r="M70" s="114">
        <f>M61*$F$16</f>
        <v>20777.311829268292</v>
      </c>
      <c r="N70" s="114">
        <f t="shared" ref="N70:P70" si="49">N61*$F$16</f>
        <v>20777.311829268292</v>
      </c>
      <c r="O70" s="114">
        <f t="shared" si="49"/>
        <v>17580.802317073169</v>
      </c>
      <c r="P70" s="114">
        <f t="shared" si="49"/>
        <v>12466.387097560975</v>
      </c>
      <c r="Q70" s="114">
        <f>SUM(M70:P70)</f>
        <v>71601.813073170721</v>
      </c>
      <c r="R70" s="136"/>
      <c r="S70" s="136"/>
      <c r="T70" s="427" t="s">
        <v>101</v>
      </c>
      <c r="U70" s="427"/>
      <c r="V70" s="114">
        <f>V61*$F$16</f>
        <v>20777.311829268292</v>
      </c>
      <c r="W70" s="114">
        <f t="shared" ref="W70:Y70" si="50">W61*$F$16</f>
        <v>20777.311829268292</v>
      </c>
      <c r="X70" s="114">
        <f t="shared" si="50"/>
        <v>17580.802317073169</v>
      </c>
      <c r="Y70" s="114">
        <f t="shared" si="50"/>
        <v>12466.387097560975</v>
      </c>
      <c r="Z70" s="114">
        <f>SUM(V70:Y70)</f>
        <v>71601.813073170721</v>
      </c>
    </row>
    <row r="71" spans="2:26">
      <c r="B71" s="427" t="s">
        <v>102</v>
      </c>
      <c r="C71" s="427"/>
      <c r="D71" s="114">
        <f t="shared" ref="D71:G71" si="51">D62*$F$16</f>
        <v>20415.389382113819</v>
      </c>
      <c r="E71" s="114">
        <f t="shared" si="51"/>
        <v>20415.389382113819</v>
      </c>
      <c r="F71" s="114">
        <f t="shared" si="51"/>
        <v>8166.0250162601624</v>
      </c>
      <c r="G71" s="114">
        <f t="shared" si="51"/>
        <v>16332.267926829267</v>
      </c>
      <c r="H71" s="114">
        <f t="shared" ref="H71:H72" si="52">SUM(D71:G71)</f>
        <v>65329.071707317067</v>
      </c>
      <c r="K71" s="427" t="s">
        <v>102</v>
      </c>
      <c r="L71" s="427"/>
      <c r="M71" s="114">
        <f t="shared" ref="M71:P71" si="53">M62*$F$16</f>
        <v>21436.224219512194</v>
      </c>
      <c r="N71" s="114">
        <f t="shared" si="53"/>
        <v>21436.006325203252</v>
      </c>
      <c r="O71" s="114">
        <f t="shared" si="53"/>
        <v>8574.3589512195122</v>
      </c>
      <c r="P71" s="114">
        <f t="shared" si="53"/>
        <v>17148.717902439024</v>
      </c>
      <c r="Q71" s="114">
        <f t="shared" ref="Q71:Q72" si="54">SUM(M71:P71)</f>
        <v>68595.307398373989</v>
      </c>
      <c r="R71" s="136"/>
      <c r="S71" s="136"/>
      <c r="T71" s="427" t="s">
        <v>102</v>
      </c>
      <c r="U71" s="427"/>
      <c r="V71" s="114">
        <f t="shared" ref="V71:Y71" si="55">V62*$F$16</f>
        <v>22456.841162601624</v>
      </c>
      <c r="W71" s="114">
        <f t="shared" si="55"/>
        <v>22456.841162601624</v>
      </c>
      <c r="X71" s="114">
        <f t="shared" si="55"/>
        <v>8982.692886178862</v>
      </c>
      <c r="Y71" s="114">
        <f t="shared" si="55"/>
        <v>17965.603666666666</v>
      </c>
      <c r="Z71" s="114">
        <f t="shared" ref="Z71:Z72" si="56">SUM(V71:Y71)</f>
        <v>71861.978878048772</v>
      </c>
    </row>
    <row r="72" spans="2:26">
      <c r="B72" s="519" t="s">
        <v>216</v>
      </c>
      <c r="C72" s="520"/>
      <c r="D72" s="114">
        <f t="shared" ref="D72:G72" si="57">D63*$F$16</f>
        <v>311.58886178861786</v>
      </c>
      <c r="E72" s="114">
        <f t="shared" si="57"/>
        <v>311.58886178861786</v>
      </c>
      <c r="F72" s="114">
        <f t="shared" si="57"/>
        <v>263.65211382113819</v>
      </c>
      <c r="G72" s="114">
        <f t="shared" si="57"/>
        <v>186.95331707317072</v>
      </c>
      <c r="H72" s="114">
        <f t="shared" si="52"/>
        <v>1073.7831544715445</v>
      </c>
      <c r="K72" s="519" t="s">
        <v>216</v>
      </c>
      <c r="L72" s="520"/>
      <c r="M72" s="114">
        <f t="shared" ref="M72:P72" si="58">M63*$F$16</f>
        <v>311.58886178861786</v>
      </c>
      <c r="N72" s="114">
        <f t="shared" si="58"/>
        <v>311.58886178861786</v>
      </c>
      <c r="O72" s="114">
        <f t="shared" si="58"/>
        <v>263.65211382113819</v>
      </c>
      <c r="P72" s="114">
        <f t="shared" si="58"/>
        <v>186.95331707317072</v>
      </c>
      <c r="Q72" s="114">
        <f t="shared" si="54"/>
        <v>1073.7831544715445</v>
      </c>
      <c r="R72" s="136"/>
      <c r="S72" s="136"/>
      <c r="T72" s="519" t="s">
        <v>216</v>
      </c>
      <c r="U72" s="520"/>
      <c r="V72" s="114">
        <f t="shared" ref="V72:Y72" si="59">V63*$F$16</f>
        <v>311.58886178861786</v>
      </c>
      <c r="W72" s="114">
        <f t="shared" si="59"/>
        <v>311.58886178861786</v>
      </c>
      <c r="X72" s="114">
        <f t="shared" si="59"/>
        <v>263.65211382113819</v>
      </c>
      <c r="Y72" s="114">
        <f t="shared" si="59"/>
        <v>186.95331707317072</v>
      </c>
      <c r="Z72" s="114">
        <f t="shared" si="56"/>
        <v>1073.7831544715445</v>
      </c>
    </row>
    <row r="73" spans="2:26">
      <c r="B73" s="427" t="s">
        <v>103</v>
      </c>
      <c r="C73" s="427"/>
      <c r="D73" s="114">
        <f t="shared" ref="D73:G73" si="60">D64*$F$16</f>
        <v>50.333585365853658</v>
      </c>
      <c r="E73" s="114">
        <f t="shared" si="60"/>
        <v>100.66717073170732</v>
      </c>
      <c r="F73" s="114">
        <f t="shared" si="60"/>
        <v>9251.7923577235761</v>
      </c>
      <c r="G73" s="114">
        <f t="shared" si="60"/>
        <v>5198.9582113821134</v>
      </c>
      <c r="H73" s="6"/>
      <c r="K73" s="427" t="s">
        <v>103</v>
      </c>
      <c r="L73" s="427"/>
      <c r="M73" s="114">
        <f t="shared" ref="M73:P73" si="61">M64*$F$16</f>
        <v>4228.4569593495935</v>
      </c>
      <c r="N73" s="114">
        <f t="shared" si="61"/>
        <v>3258.1736016260161</v>
      </c>
      <c r="O73" s="114">
        <f t="shared" si="61"/>
        <v>12000.964853658536</v>
      </c>
      <c r="P73" s="114">
        <f t="shared" si="61"/>
        <v>7131.6807317073171</v>
      </c>
      <c r="Q73" s="6"/>
      <c r="R73" s="106"/>
      <c r="S73" s="106"/>
      <c r="T73" s="427" t="s">
        <v>103</v>
      </c>
      <c r="U73" s="427"/>
      <c r="V73" s="114">
        <f t="shared" ref="V73:Y73" si="62">V64*$F$16</f>
        <v>5140.5625365853657</v>
      </c>
      <c r="W73" s="114">
        <f t="shared" si="62"/>
        <v>3149.4443414634143</v>
      </c>
      <c r="X73" s="114">
        <f t="shared" si="62"/>
        <v>11483.901658536584</v>
      </c>
      <c r="Y73" s="114">
        <f t="shared" si="62"/>
        <v>5797.7317723577235</v>
      </c>
      <c r="Z73" s="6"/>
    </row>
    <row r="74" spans="2:26" ht="16" thickBot="1">
      <c r="K74" s="119"/>
      <c r="L74" s="119"/>
      <c r="M74" s="119"/>
      <c r="N74" s="119"/>
      <c r="O74" s="119"/>
      <c r="P74" s="119"/>
      <c r="Q74" s="119"/>
      <c r="T74" s="119"/>
      <c r="U74" s="119"/>
      <c r="V74" s="119"/>
      <c r="W74" s="119"/>
      <c r="X74" s="119"/>
      <c r="Y74" s="119"/>
      <c r="Z74" s="119"/>
    </row>
    <row r="75" spans="2:26" ht="16" thickBot="1">
      <c r="B75" s="424" t="s">
        <v>420</v>
      </c>
      <c r="C75" s="426"/>
      <c r="K75" s="424" t="s">
        <v>421</v>
      </c>
      <c r="L75" s="426"/>
      <c r="M75" s="119"/>
      <c r="N75" s="119"/>
      <c r="O75" s="119"/>
      <c r="P75" s="119"/>
      <c r="Q75" s="119"/>
      <c r="T75" s="424" t="s">
        <v>426</v>
      </c>
      <c r="U75" s="426"/>
      <c r="V75" s="119"/>
      <c r="W75" s="119"/>
      <c r="X75" s="119"/>
      <c r="Y75" s="119"/>
      <c r="Z75" s="119"/>
    </row>
    <row r="76" spans="2:26">
      <c r="D76" s="37" t="s">
        <v>6</v>
      </c>
      <c r="E76" s="37" t="s">
        <v>7</v>
      </c>
      <c r="F76" s="37" t="s">
        <v>8</v>
      </c>
      <c r="G76" s="37" t="s">
        <v>9</v>
      </c>
      <c r="H76" s="37" t="s">
        <v>10</v>
      </c>
      <c r="K76" s="119"/>
      <c r="L76" s="119"/>
      <c r="M76" s="37" t="s">
        <v>6</v>
      </c>
      <c r="N76" s="37" t="s">
        <v>7</v>
      </c>
      <c r="O76" s="37" t="s">
        <v>8</v>
      </c>
      <c r="P76" s="37" t="s">
        <v>9</v>
      </c>
      <c r="Q76" s="37" t="s">
        <v>10</v>
      </c>
      <c r="R76" s="113"/>
      <c r="S76" s="113"/>
      <c r="T76" s="119"/>
      <c r="U76" s="119"/>
      <c r="V76" s="37" t="s">
        <v>6</v>
      </c>
      <c r="W76" s="37" t="s">
        <v>7</v>
      </c>
      <c r="X76" s="37" t="s">
        <v>8</v>
      </c>
      <c r="Y76" s="37" t="s">
        <v>9</v>
      </c>
      <c r="Z76" s="37" t="s">
        <v>10</v>
      </c>
    </row>
    <row r="77" spans="2:26">
      <c r="B77" s="523" t="s">
        <v>211</v>
      </c>
      <c r="C77" s="524"/>
      <c r="D77" s="6"/>
      <c r="E77" s="6"/>
      <c r="F77" s="6"/>
      <c r="G77" s="6"/>
      <c r="H77" s="6"/>
      <c r="K77" s="523" t="s">
        <v>211</v>
      </c>
      <c r="L77" s="524"/>
      <c r="M77" s="6"/>
      <c r="N77" s="6"/>
      <c r="O77" s="6"/>
      <c r="P77" s="6"/>
      <c r="Q77" s="6"/>
      <c r="R77" s="106"/>
      <c r="S77" s="106"/>
      <c r="T77" s="523" t="s">
        <v>211</v>
      </c>
      <c r="U77" s="524"/>
      <c r="V77" s="6"/>
      <c r="W77" s="6"/>
      <c r="X77" s="6"/>
      <c r="Y77" s="6"/>
      <c r="Z77" s="6"/>
    </row>
    <row r="78" spans="2:26">
      <c r="B78" s="427" t="s">
        <v>100</v>
      </c>
      <c r="C78" s="427"/>
      <c r="D78" s="6">
        <v>0</v>
      </c>
      <c r="E78" s="5">
        <f>D82</f>
        <v>153</v>
      </c>
      <c r="F78" s="5">
        <f t="shared" ref="F78:G78" si="63">E82</f>
        <v>307</v>
      </c>
      <c r="G78" s="5">
        <f t="shared" si="63"/>
        <v>28305</v>
      </c>
      <c r="H78" s="6"/>
      <c r="K78" s="427" t="s">
        <v>100</v>
      </c>
      <c r="L78" s="427"/>
      <c r="M78" s="5">
        <f>G82</f>
        <v>15905</v>
      </c>
      <c r="N78" s="5">
        <f>M82</f>
        <v>12935</v>
      </c>
      <c r="O78" s="5">
        <f t="shared" ref="O78" si="64">N82</f>
        <v>9965</v>
      </c>
      <c r="P78" s="5">
        <f t="shared" ref="P78" si="65">O82</f>
        <v>36714</v>
      </c>
      <c r="Q78" s="6"/>
      <c r="R78" s="106"/>
      <c r="S78" s="106"/>
      <c r="T78" s="427" t="s">
        <v>100</v>
      </c>
      <c r="U78" s="427"/>
      <c r="V78" s="5">
        <f>P82</f>
        <v>21815</v>
      </c>
      <c r="W78" s="5">
        <f>V82</f>
        <v>15722</v>
      </c>
      <c r="X78" s="5">
        <f t="shared" ref="X78" si="66">W82</f>
        <v>9630</v>
      </c>
      <c r="Y78" s="5">
        <f t="shared" ref="Y78" si="67">X82</f>
        <v>35129</v>
      </c>
      <c r="Z78" s="6"/>
    </row>
    <row r="79" spans="2:26">
      <c r="B79" s="427" t="s">
        <v>101</v>
      </c>
      <c r="C79" s="427"/>
      <c r="D79" s="10">
        <f>D22*0.2</f>
        <v>63570</v>
      </c>
      <c r="E79" s="10">
        <f>E22*0.2</f>
        <v>63570</v>
      </c>
      <c r="F79" s="10">
        <f>F22*0.2</f>
        <v>53790</v>
      </c>
      <c r="G79" s="10">
        <f>G22*0.2</f>
        <v>38142</v>
      </c>
      <c r="H79" s="10">
        <f>SUM(D79:G79)</f>
        <v>219072</v>
      </c>
      <c r="K79" s="427" t="s">
        <v>101</v>
      </c>
      <c r="L79" s="427"/>
      <c r="M79" s="10">
        <f>M22*0.2</f>
        <v>63570</v>
      </c>
      <c r="N79" s="10">
        <f>N22*0.2</f>
        <v>63570</v>
      </c>
      <c r="O79" s="10">
        <f>O22*0.2</f>
        <v>53790</v>
      </c>
      <c r="P79" s="10">
        <f>P22*0.2</f>
        <v>38142</v>
      </c>
      <c r="Q79" s="10">
        <f>SUM(M79:P79)</f>
        <v>219072</v>
      </c>
      <c r="R79" s="132"/>
      <c r="S79" s="132"/>
      <c r="T79" s="427" t="s">
        <v>101</v>
      </c>
      <c r="U79" s="427"/>
      <c r="V79" s="10">
        <f>V22*0.2</f>
        <v>63570</v>
      </c>
      <c r="W79" s="10">
        <f>W22*0.2</f>
        <v>63570</v>
      </c>
      <c r="X79" s="10">
        <f>X22*0.2</f>
        <v>53790</v>
      </c>
      <c r="Y79" s="10">
        <f>Y22*0.2</f>
        <v>38142</v>
      </c>
      <c r="Z79" s="10">
        <f>SUM(V79:Y79)</f>
        <v>219072</v>
      </c>
    </row>
    <row r="80" spans="2:26">
      <c r="B80" s="427" t="s">
        <v>102</v>
      </c>
      <c r="C80" s="427"/>
      <c r="D80" s="10">
        <f>Procura!C21</f>
        <v>62463</v>
      </c>
      <c r="E80" s="10">
        <f>Procura!D21</f>
        <v>62462</v>
      </c>
      <c r="F80" s="10">
        <f>Procura!E21</f>
        <v>24985</v>
      </c>
      <c r="G80" s="10">
        <f>Procura!F21</f>
        <v>49970</v>
      </c>
      <c r="H80" s="10">
        <f t="shared" ref="H80:H81" si="68">SUM(D80:G80)</f>
        <v>199880</v>
      </c>
      <c r="K80" s="427" t="s">
        <v>102</v>
      </c>
      <c r="L80" s="427"/>
      <c r="M80" s="10">
        <f>Procura!C28</f>
        <v>65586</v>
      </c>
      <c r="N80" s="10">
        <f>Procura!D28</f>
        <v>65586</v>
      </c>
      <c r="O80" s="10">
        <f>Procura!E28</f>
        <v>26234</v>
      </c>
      <c r="P80" s="10">
        <f>Procura!F28</f>
        <v>52469</v>
      </c>
      <c r="Q80" s="10">
        <f t="shared" ref="Q80:Q81" si="69">SUM(M80:P80)</f>
        <v>209875</v>
      </c>
      <c r="R80" s="132"/>
      <c r="S80" s="132"/>
      <c r="T80" s="427" t="s">
        <v>102</v>
      </c>
      <c r="U80" s="427"/>
      <c r="V80" s="10">
        <f>Procura!C35</f>
        <v>68709</v>
      </c>
      <c r="W80" s="10">
        <f>Procura!D35</f>
        <v>68708</v>
      </c>
      <c r="X80" s="10">
        <f>Procura!E35</f>
        <v>27484</v>
      </c>
      <c r="Y80" s="10">
        <f>Procura!F35</f>
        <v>54967.000000000007</v>
      </c>
      <c r="Z80" s="10">
        <f t="shared" ref="Z80:Z81" si="70">SUM(V80:Y80)</f>
        <v>219868</v>
      </c>
    </row>
    <row r="81" spans="2:26">
      <c r="B81" s="519" t="s">
        <v>216</v>
      </c>
      <c r="C81" s="520"/>
      <c r="D81" s="10">
        <f>ROUND(D24*0.2,0)</f>
        <v>954</v>
      </c>
      <c r="E81" s="10">
        <f>ROUND(E24*0.2,0)</f>
        <v>954</v>
      </c>
      <c r="F81" s="10">
        <f>INT(F24*0.2)</f>
        <v>807</v>
      </c>
      <c r="G81" s="10">
        <f>INT(G24*0.2)</f>
        <v>572</v>
      </c>
      <c r="H81" s="10">
        <f t="shared" si="68"/>
        <v>3287</v>
      </c>
      <c r="K81" s="519" t="s">
        <v>216</v>
      </c>
      <c r="L81" s="520"/>
      <c r="M81" s="10">
        <f>ROUND(M24*0.2,0)</f>
        <v>954</v>
      </c>
      <c r="N81" s="10">
        <f>ROUND(N24*0.2,0)</f>
        <v>954</v>
      </c>
      <c r="O81" s="10">
        <f>ROUND(O24*0.2,0)</f>
        <v>807</v>
      </c>
      <c r="P81" s="10">
        <f>ROUND(P24*0.2,0)</f>
        <v>572</v>
      </c>
      <c r="Q81" s="10">
        <f t="shared" si="69"/>
        <v>3287</v>
      </c>
      <c r="R81" s="132"/>
      <c r="S81" s="132"/>
      <c r="T81" s="519" t="s">
        <v>216</v>
      </c>
      <c r="U81" s="520"/>
      <c r="V81" s="10">
        <f>ROUND(V24*0.2,0)</f>
        <v>954</v>
      </c>
      <c r="W81" s="10">
        <f>ROUND(W24*0.2,0)</f>
        <v>954</v>
      </c>
      <c r="X81" s="10">
        <f>ROUND(X24*0.2,0)</f>
        <v>807</v>
      </c>
      <c r="Y81" s="10">
        <f>ROUND(Y24*0.2,0)</f>
        <v>572</v>
      </c>
      <c r="Z81" s="10">
        <f t="shared" si="70"/>
        <v>3287</v>
      </c>
    </row>
    <row r="82" spans="2:26">
      <c r="B82" s="427" t="s">
        <v>103</v>
      </c>
      <c r="C82" s="427"/>
      <c r="D82" s="10">
        <f>D78+D79-D80-D81</f>
        <v>153</v>
      </c>
      <c r="E82" s="5">
        <f t="shared" ref="E82" si="71">E78+E79-E80-E81</f>
        <v>307</v>
      </c>
      <c r="F82" s="5">
        <f t="shared" ref="F82" si="72">F78+F79-F80-F81</f>
        <v>28305</v>
      </c>
      <c r="G82" s="5">
        <f t="shared" ref="G82" si="73">G78+G79-G80-G81</f>
        <v>15905</v>
      </c>
      <c r="H82" s="6"/>
      <c r="K82" s="427" t="s">
        <v>103</v>
      </c>
      <c r="L82" s="427"/>
      <c r="M82" s="10">
        <f>M78+M79-M80-M81</f>
        <v>12935</v>
      </c>
      <c r="N82" s="5">
        <f t="shared" ref="N82:P82" si="74">N78+N79-N80-N81</f>
        <v>9965</v>
      </c>
      <c r="O82" s="5">
        <f t="shared" si="74"/>
        <v>36714</v>
      </c>
      <c r="P82" s="5">
        <f t="shared" si="74"/>
        <v>21815</v>
      </c>
      <c r="Q82" s="6"/>
      <c r="R82" s="106"/>
      <c r="S82" s="106"/>
      <c r="T82" s="427" t="s">
        <v>103</v>
      </c>
      <c r="U82" s="427"/>
      <c r="V82" s="10">
        <f>V78+V79-V80-V81</f>
        <v>15722</v>
      </c>
      <c r="W82" s="5">
        <f t="shared" ref="W82:Y82" si="75">W78+W79-W80-W81</f>
        <v>9630</v>
      </c>
      <c r="X82" s="5">
        <f t="shared" si="75"/>
        <v>35129</v>
      </c>
      <c r="Y82" s="5">
        <f t="shared" si="75"/>
        <v>17731.999999999993</v>
      </c>
      <c r="Z82" s="6"/>
    </row>
    <row r="83" spans="2:26" ht="16" thickBot="1">
      <c r="K83" s="119"/>
      <c r="L83" s="119"/>
      <c r="M83" s="119"/>
      <c r="N83" s="119"/>
      <c r="O83" s="119"/>
      <c r="P83" s="119"/>
      <c r="Q83" s="119"/>
      <c r="T83" s="119"/>
      <c r="U83" s="119"/>
      <c r="V83" s="119"/>
      <c r="W83" s="119"/>
      <c r="X83" s="119"/>
      <c r="Y83" s="119"/>
      <c r="Z83" s="119"/>
    </row>
    <row r="84" spans="2:26" ht="16" thickBot="1">
      <c r="B84" s="521" t="s">
        <v>420</v>
      </c>
      <c r="C84" s="522"/>
      <c r="K84" s="521" t="s">
        <v>421</v>
      </c>
      <c r="L84" s="522"/>
      <c r="M84" s="119"/>
      <c r="N84" s="119"/>
      <c r="O84" s="119"/>
      <c r="P84" s="119"/>
      <c r="Q84" s="119"/>
      <c r="T84" s="521" t="s">
        <v>426</v>
      </c>
      <c r="U84" s="522"/>
      <c r="V84" s="119"/>
      <c r="W84" s="119"/>
      <c r="X84" s="119"/>
      <c r="Y84" s="119"/>
      <c r="Z84" s="119"/>
    </row>
    <row r="85" spans="2:26">
      <c r="D85" s="37" t="s">
        <v>6</v>
      </c>
      <c r="E85" s="37" t="s">
        <v>7</v>
      </c>
      <c r="F85" s="37" t="s">
        <v>8</v>
      </c>
      <c r="G85" s="37" t="s">
        <v>9</v>
      </c>
      <c r="H85" s="37" t="s">
        <v>10</v>
      </c>
      <c r="K85" s="119"/>
      <c r="L85" s="119"/>
      <c r="M85" s="37" t="s">
        <v>6</v>
      </c>
      <c r="N85" s="37" t="s">
        <v>7</v>
      </c>
      <c r="O85" s="37" t="s">
        <v>8</v>
      </c>
      <c r="P85" s="37" t="s">
        <v>9</v>
      </c>
      <c r="Q85" s="37" t="s">
        <v>10</v>
      </c>
      <c r="R85" s="113"/>
      <c r="S85" s="113"/>
      <c r="T85" s="119"/>
      <c r="U85" s="119"/>
      <c r="V85" s="37" t="s">
        <v>6</v>
      </c>
      <c r="W85" s="37" t="s">
        <v>7</v>
      </c>
      <c r="X85" s="37" t="s">
        <v>8</v>
      </c>
      <c r="Y85" s="37" t="s">
        <v>9</v>
      </c>
      <c r="Z85" s="37" t="s">
        <v>10</v>
      </c>
    </row>
    <row r="86" spans="2:26">
      <c r="B86" s="523" t="s">
        <v>187</v>
      </c>
      <c r="C86" s="524"/>
      <c r="D86" s="6"/>
      <c r="E86" s="6"/>
      <c r="F86" s="6"/>
      <c r="G86" s="6"/>
      <c r="H86" s="6"/>
      <c r="K86" s="523" t="s">
        <v>187</v>
      </c>
      <c r="L86" s="524"/>
      <c r="M86" s="6"/>
      <c r="N86" s="6"/>
      <c r="O86" s="6"/>
      <c r="P86" s="6"/>
      <c r="Q86" s="6"/>
      <c r="R86" s="106"/>
      <c r="S86" s="106"/>
      <c r="T86" s="523" t="s">
        <v>187</v>
      </c>
      <c r="U86" s="524"/>
      <c r="V86" s="6"/>
      <c r="W86" s="6"/>
      <c r="X86" s="6"/>
      <c r="Y86" s="6"/>
      <c r="Z86" s="6"/>
    </row>
    <row r="87" spans="2:26">
      <c r="B87" s="427" t="s">
        <v>100</v>
      </c>
      <c r="C87" s="427"/>
      <c r="D87" s="115">
        <v>0</v>
      </c>
      <c r="E87" s="114">
        <f t="shared" ref="E87:G87" si="76">E78*$F$16</f>
        <v>33.33782926829268</v>
      </c>
      <c r="F87" s="114">
        <f t="shared" si="76"/>
        <v>66.893552845528447</v>
      </c>
      <c r="G87" s="114">
        <f t="shared" si="76"/>
        <v>6167.4984146341458</v>
      </c>
      <c r="H87" s="6"/>
      <c r="K87" s="427" t="s">
        <v>100</v>
      </c>
      <c r="L87" s="427"/>
      <c r="M87" s="114">
        <f t="shared" ref="M87:P87" si="77">M78*$F$16</f>
        <v>3465.6089837398372</v>
      </c>
      <c r="N87" s="114">
        <f t="shared" si="77"/>
        <v>2818.4628861788615</v>
      </c>
      <c r="O87" s="114">
        <f t="shared" si="77"/>
        <v>2171.3167886178862</v>
      </c>
      <c r="P87" s="114">
        <f t="shared" si="77"/>
        <v>7999.7716585365852</v>
      </c>
      <c r="Q87" s="6"/>
      <c r="R87" s="106"/>
      <c r="S87" s="106"/>
      <c r="T87" s="427" t="s">
        <v>100</v>
      </c>
      <c r="U87" s="427"/>
      <c r="V87" s="114">
        <f t="shared" ref="V87:Y87" si="78">V78*$F$16</f>
        <v>4753.3643495934957</v>
      </c>
      <c r="W87" s="114">
        <f t="shared" si="78"/>
        <v>3425.734325203252</v>
      </c>
      <c r="X87" s="114">
        <f t="shared" si="78"/>
        <v>2098.3221951219512</v>
      </c>
      <c r="Y87" s="114">
        <f t="shared" si="78"/>
        <v>7654.409178861788</v>
      </c>
      <c r="Z87" s="6"/>
    </row>
    <row r="88" spans="2:26">
      <c r="B88" s="427" t="s">
        <v>101</v>
      </c>
      <c r="C88" s="427"/>
      <c r="D88" s="114">
        <f>D79*$F$16</f>
        <v>13851.541219512195</v>
      </c>
      <c r="E88" s="114">
        <f t="shared" ref="E88:G88" si="79">E79*$F$16</f>
        <v>13851.541219512195</v>
      </c>
      <c r="F88" s="114">
        <f t="shared" si="79"/>
        <v>11720.53487804878</v>
      </c>
      <c r="G88" s="114">
        <f t="shared" si="79"/>
        <v>8310.9247317073168</v>
      </c>
      <c r="H88" s="114">
        <f>SUM(D88:G88)</f>
        <v>47734.542048780488</v>
      </c>
      <c r="K88" s="427" t="s">
        <v>101</v>
      </c>
      <c r="L88" s="427"/>
      <c r="M88" s="114">
        <f>M79*$F$16</f>
        <v>13851.541219512195</v>
      </c>
      <c r="N88" s="114">
        <f t="shared" ref="N88:P88" si="80">N79*$F$16</f>
        <v>13851.541219512195</v>
      </c>
      <c r="O88" s="114">
        <f t="shared" si="80"/>
        <v>11720.53487804878</v>
      </c>
      <c r="P88" s="114">
        <f t="shared" si="80"/>
        <v>8310.9247317073168</v>
      </c>
      <c r="Q88" s="114">
        <f>SUM(M88:P88)</f>
        <v>47734.542048780488</v>
      </c>
      <c r="R88" s="136"/>
      <c r="S88" s="136"/>
      <c r="T88" s="427" t="s">
        <v>101</v>
      </c>
      <c r="U88" s="427"/>
      <c r="V88" s="114">
        <f>V79*$F$16</f>
        <v>13851.541219512195</v>
      </c>
      <c r="W88" s="114">
        <f t="shared" ref="W88:Y88" si="81">W79*$F$16</f>
        <v>13851.541219512195</v>
      </c>
      <c r="X88" s="114">
        <f t="shared" si="81"/>
        <v>11720.53487804878</v>
      </c>
      <c r="Y88" s="114">
        <f t="shared" si="81"/>
        <v>8310.9247317073168</v>
      </c>
      <c r="Z88" s="114">
        <f>SUM(V88:Y88)</f>
        <v>47734.542048780488</v>
      </c>
    </row>
    <row r="89" spans="2:26">
      <c r="B89" s="427" t="s">
        <v>102</v>
      </c>
      <c r="C89" s="427"/>
      <c r="D89" s="114">
        <f t="shared" ref="D89:G89" si="82">D80*$F$16</f>
        <v>13610.332219512195</v>
      </c>
      <c r="E89" s="114">
        <f t="shared" si="82"/>
        <v>13610.114325203251</v>
      </c>
      <c r="F89" s="114">
        <f t="shared" si="82"/>
        <v>5444.0893089430892</v>
      </c>
      <c r="G89" s="114">
        <f t="shared" si="82"/>
        <v>10888.178617886178</v>
      </c>
      <c r="H89" s="114">
        <f t="shared" ref="H89:H90" si="83">SUM(D89:G89)</f>
        <v>43552.714471544714</v>
      </c>
      <c r="K89" s="427" t="s">
        <v>102</v>
      </c>
      <c r="L89" s="427"/>
      <c r="M89" s="114">
        <f>M80*$F$16</f>
        <v>14290.816146341464</v>
      </c>
      <c r="N89" s="114">
        <f t="shared" ref="N89:P89" si="84">N80*$F$16</f>
        <v>14290.816146341464</v>
      </c>
      <c r="O89" s="114">
        <f t="shared" si="84"/>
        <v>5716.2393008130075</v>
      </c>
      <c r="P89" s="114">
        <f t="shared" si="84"/>
        <v>11432.696495934959</v>
      </c>
      <c r="Q89" s="114">
        <f t="shared" ref="Q89:Q90" si="85">SUM(M89:P89)</f>
        <v>45730.56808943089</v>
      </c>
      <c r="R89" s="136"/>
      <c r="S89" s="136"/>
      <c r="T89" s="427" t="s">
        <v>102</v>
      </c>
      <c r="U89" s="427"/>
      <c r="V89" s="114">
        <f>V80*$F$16</f>
        <v>14971.300073170731</v>
      </c>
      <c r="W89" s="114">
        <f t="shared" ref="W89:Y89" si="86">W80*$F$16</f>
        <v>14971.082178861789</v>
      </c>
      <c r="X89" s="114">
        <f t="shared" si="86"/>
        <v>5988.6071869918696</v>
      </c>
      <c r="Y89" s="114">
        <f t="shared" si="86"/>
        <v>11976.996479674797</v>
      </c>
      <c r="Z89" s="114">
        <f t="shared" ref="Z89:Z90" si="87">SUM(V89:Y89)</f>
        <v>47907.985918699182</v>
      </c>
    </row>
    <row r="90" spans="2:26">
      <c r="B90" s="519" t="s">
        <v>216</v>
      </c>
      <c r="C90" s="520"/>
      <c r="D90" s="114">
        <f t="shared" ref="D90:G90" si="88">D81*$F$16</f>
        <v>207.87117073170731</v>
      </c>
      <c r="E90" s="114">
        <f t="shared" si="88"/>
        <v>207.87117073170731</v>
      </c>
      <c r="F90" s="114">
        <f t="shared" si="88"/>
        <v>175.84070731707317</v>
      </c>
      <c r="G90" s="114">
        <f t="shared" si="88"/>
        <v>124.63554471544715</v>
      </c>
      <c r="H90" s="114">
        <f t="shared" si="83"/>
        <v>716.21859349593501</v>
      </c>
      <c r="K90" s="519" t="s">
        <v>216</v>
      </c>
      <c r="L90" s="520"/>
      <c r="M90" s="114">
        <f t="shared" ref="M90:P90" si="89">M81*$F$16</f>
        <v>207.87117073170731</v>
      </c>
      <c r="N90" s="114">
        <f t="shared" si="89"/>
        <v>207.87117073170731</v>
      </c>
      <c r="O90" s="114">
        <f t="shared" si="89"/>
        <v>175.84070731707317</v>
      </c>
      <c r="P90" s="114">
        <f t="shared" si="89"/>
        <v>124.63554471544715</v>
      </c>
      <c r="Q90" s="114">
        <f t="shared" si="85"/>
        <v>716.21859349593501</v>
      </c>
      <c r="R90" s="136"/>
      <c r="S90" s="136"/>
      <c r="T90" s="519" t="s">
        <v>216</v>
      </c>
      <c r="U90" s="520"/>
      <c r="V90" s="114">
        <f t="shared" ref="V90:Y90" si="90">V81*$F$16</f>
        <v>207.87117073170731</v>
      </c>
      <c r="W90" s="114">
        <f t="shared" si="90"/>
        <v>207.87117073170731</v>
      </c>
      <c r="X90" s="114">
        <f t="shared" si="90"/>
        <v>175.84070731707317</v>
      </c>
      <c r="Y90" s="114">
        <f t="shared" si="90"/>
        <v>124.63554471544715</v>
      </c>
      <c r="Z90" s="114">
        <f t="shared" si="87"/>
        <v>716.21859349593501</v>
      </c>
    </row>
    <row r="91" spans="2:26">
      <c r="B91" s="427" t="s">
        <v>103</v>
      </c>
      <c r="C91" s="427"/>
      <c r="D91" s="114">
        <f t="shared" ref="D91:G91" si="91">D82*$F$16</f>
        <v>33.33782926829268</v>
      </c>
      <c r="E91" s="114">
        <f t="shared" si="91"/>
        <v>66.893552845528447</v>
      </c>
      <c r="F91" s="114">
        <f t="shared" si="91"/>
        <v>6167.4984146341458</v>
      </c>
      <c r="G91" s="114">
        <f t="shared" si="91"/>
        <v>3465.6089837398372</v>
      </c>
      <c r="H91" s="6"/>
      <c r="K91" s="427" t="s">
        <v>103</v>
      </c>
      <c r="L91" s="427"/>
      <c r="M91" s="114">
        <f t="shared" ref="M91:P91" si="92">M82*$F$16</f>
        <v>2818.4628861788615</v>
      </c>
      <c r="N91" s="114">
        <f t="shared" si="92"/>
        <v>2171.3167886178862</v>
      </c>
      <c r="O91" s="114">
        <f t="shared" si="92"/>
        <v>7999.7716585365852</v>
      </c>
      <c r="P91" s="114">
        <f t="shared" si="92"/>
        <v>4753.3643495934957</v>
      </c>
      <c r="Q91" s="6"/>
      <c r="R91" s="106"/>
      <c r="S91" s="106"/>
      <c r="T91" s="427" t="s">
        <v>103</v>
      </c>
      <c r="U91" s="427"/>
      <c r="V91" s="114">
        <f t="shared" ref="V91:Y91" si="93">V82*$F$16</f>
        <v>3425.734325203252</v>
      </c>
      <c r="W91" s="114">
        <f t="shared" si="93"/>
        <v>2098.3221951219512</v>
      </c>
      <c r="X91" s="114">
        <f t="shared" si="93"/>
        <v>7654.409178861788</v>
      </c>
      <c r="Y91" s="114">
        <f t="shared" si="93"/>
        <v>3863.7018861788601</v>
      </c>
      <c r="Z91" s="6"/>
    </row>
  </sheetData>
  <mergeCells count="183">
    <mergeCell ref="F16:G1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B78:C78"/>
    <mergeCell ref="B79:C79"/>
    <mergeCell ref="B80:C80"/>
    <mergeCell ref="B81:C81"/>
    <mergeCell ref="B82:C82"/>
    <mergeCell ref="B84:C84"/>
    <mergeCell ref="B91:C91"/>
    <mergeCell ref="B86:C86"/>
    <mergeCell ref="B87:C87"/>
    <mergeCell ref="B88:C88"/>
    <mergeCell ref="B89:C89"/>
    <mergeCell ref="B90:C90"/>
    <mergeCell ref="B66:C66"/>
    <mergeCell ref="B68:C68"/>
    <mergeCell ref="B69:C69"/>
    <mergeCell ref="B70:C70"/>
    <mergeCell ref="B71:C71"/>
    <mergeCell ref="B72:C72"/>
    <mergeCell ref="B73:C73"/>
    <mergeCell ref="B75:C75"/>
    <mergeCell ref="B77:C77"/>
    <mergeCell ref="B50:C50"/>
    <mergeCell ref="B51:C51"/>
    <mergeCell ref="B44:C44"/>
    <mergeCell ref="B45:C45"/>
    <mergeCell ref="B46:C46"/>
    <mergeCell ref="K44:L44"/>
    <mergeCell ref="K45:L45"/>
    <mergeCell ref="K46:L46"/>
    <mergeCell ref="K48:L48"/>
    <mergeCell ref="K50:L50"/>
    <mergeCell ref="K51:L51"/>
    <mergeCell ref="B64:C64"/>
    <mergeCell ref="B52:C52"/>
    <mergeCell ref="B53:C53"/>
    <mergeCell ref="B54:C54"/>
    <mergeCell ref="B55:C55"/>
    <mergeCell ref="B59:C59"/>
    <mergeCell ref="B57:C57"/>
    <mergeCell ref="B60:C60"/>
    <mergeCell ref="B61:C61"/>
    <mergeCell ref="B62:C62"/>
    <mergeCell ref="B63:C63"/>
    <mergeCell ref="B20:C20"/>
    <mergeCell ref="B21:C21"/>
    <mergeCell ref="B22:C22"/>
    <mergeCell ref="B23:C23"/>
    <mergeCell ref="B24:C24"/>
    <mergeCell ref="B3:C3"/>
    <mergeCell ref="K33:L33"/>
    <mergeCell ref="K34:L34"/>
    <mergeCell ref="K35:L35"/>
    <mergeCell ref="B14:C14"/>
    <mergeCell ref="B31:C31"/>
    <mergeCell ref="B5:C5"/>
    <mergeCell ref="B7:C7"/>
    <mergeCell ref="B8:C8"/>
    <mergeCell ref="B9:C9"/>
    <mergeCell ref="B10:C10"/>
    <mergeCell ref="B11:C11"/>
    <mergeCell ref="B12:C12"/>
    <mergeCell ref="B13:C13"/>
    <mergeCell ref="B15:C15"/>
    <mergeCell ref="B16:C16"/>
    <mergeCell ref="K32:L32"/>
    <mergeCell ref="B32:C32"/>
    <mergeCell ref="B33:C33"/>
    <mergeCell ref="K52:L52"/>
    <mergeCell ref="K53:L53"/>
    <mergeCell ref="K54:L54"/>
    <mergeCell ref="K55:L55"/>
    <mergeCell ref="K57:L57"/>
    <mergeCell ref="B25:C25"/>
    <mergeCell ref="K25:L25"/>
    <mergeCell ref="K21:L21"/>
    <mergeCell ref="K22:L22"/>
    <mergeCell ref="K23:L23"/>
    <mergeCell ref="K37:L37"/>
    <mergeCell ref="B39:C39"/>
    <mergeCell ref="B42:C42"/>
    <mergeCell ref="B43:C43"/>
    <mergeCell ref="B37:C37"/>
    <mergeCell ref="B34:C34"/>
    <mergeCell ref="B35:C35"/>
    <mergeCell ref="B36:C36"/>
    <mergeCell ref="K39:L39"/>
    <mergeCell ref="K41:L41"/>
    <mergeCell ref="K42:L42"/>
    <mergeCell ref="K43:L43"/>
    <mergeCell ref="B41:C41"/>
    <mergeCell ref="B48:C48"/>
    <mergeCell ref="K64:L64"/>
    <mergeCell ref="K66:L66"/>
    <mergeCell ref="K68:L68"/>
    <mergeCell ref="K69:L69"/>
    <mergeCell ref="K70:L70"/>
    <mergeCell ref="K59:L59"/>
    <mergeCell ref="K60:L60"/>
    <mergeCell ref="K61:L61"/>
    <mergeCell ref="K62:L62"/>
    <mergeCell ref="K63:L63"/>
    <mergeCell ref="T21:U21"/>
    <mergeCell ref="T22:U22"/>
    <mergeCell ref="T23:U23"/>
    <mergeCell ref="T24:U24"/>
    <mergeCell ref="T25:U25"/>
    <mergeCell ref="K90:L90"/>
    <mergeCell ref="K91:L91"/>
    <mergeCell ref="K36:L36"/>
    <mergeCell ref="K24:L24"/>
    <mergeCell ref="K84:L84"/>
    <mergeCell ref="K86:L86"/>
    <mergeCell ref="K87:L87"/>
    <mergeCell ref="K88:L88"/>
    <mergeCell ref="K89:L89"/>
    <mergeCell ref="K78:L78"/>
    <mergeCell ref="K79:L79"/>
    <mergeCell ref="K80:L80"/>
    <mergeCell ref="K81:L81"/>
    <mergeCell ref="K82:L82"/>
    <mergeCell ref="K71:L71"/>
    <mergeCell ref="K72:L72"/>
    <mergeCell ref="K73:L73"/>
    <mergeCell ref="K75:L75"/>
    <mergeCell ref="K77:L77"/>
    <mergeCell ref="T37:U37"/>
    <mergeCell ref="T41:U41"/>
    <mergeCell ref="T48:U48"/>
    <mergeCell ref="T50:U50"/>
    <mergeCell ref="T51:U51"/>
    <mergeCell ref="T32:U32"/>
    <mergeCell ref="T33:U33"/>
    <mergeCell ref="T34:U34"/>
    <mergeCell ref="T35:U35"/>
    <mergeCell ref="T36:U36"/>
    <mergeCell ref="T39:U39"/>
    <mergeCell ref="T42:U42"/>
    <mergeCell ref="T43:U43"/>
    <mergeCell ref="T44:U44"/>
    <mergeCell ref="T45:U45"/>
    <mergeCell ref="T46:U46"/>
    <mergeCell ref="T59:U59"/>
    <mergeCell ref="T60:U60"/>
    <mergeCell ref="T61:U61"/>
    <mergeCell ref="T62:U62"/>
    <mergeCell ref="T63:U63"/>
    <mergeCell ref="T52:U52"/>
    <mergeCell ref="T53:U53"/>
    <mergeCell ref="T54:U54"/>
    <mergeCell ref="T55:U55"/>
    <mergeCell ref="T57:U57"/>
    <mergeCell ref="T71:U71"/>
    <mergeCell ref="T72:U72"/>
    <mergeCell ref="T73:U73"/>
    <mergeCell ref="T75:U75"/>
    <mergeCell ref="T77:U77"/>
    <mergeCell ref="T64:U64"/>
    <mergeCell ref="T66:U66"/>
    <mergeCell ref="T68:U68"/>
    <mergeCell ref="T69:U69"/>
    <mergeCell ref="T70:U70"/>
    <mergeCell ref="T90:U90"/>
    <mergeCell ref="T91:U91"/>
    <mergeCell ref="T84:U84"/>
    <mergeCell ref="T86:U86"/>
    <mergeCell ref="T87:U87"/>
    <mergeCell ref="T88:U88"/>
    <mergeCell ref="T89:U89"/>
    <mergeCell ref="T78:U78"/>
    <mergeCell ref="T79:U79"/>
    <mergeCell ref="T80:U80"/>
    <mergeCell ref="T81:U81"/>
    <mergeCell ref="T82:U8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Procura</vt:lpstr>
      <vt:lpstr>Gastos Pessoal</vt:lpstr>
      <vt:lpstr>Pagamentos</vt:lpstr>
      <vt:lpstr>Recebimentos</vt:lpstr>
      <vt:lpstr>EOEP _ IVA</vt:lpstr>
      <vt:lpstr>MD+Fase de Produção+Compras</vt:lpstr>
      <vt:lpstr>AFT</vt:lpstr>
      <vt:lpstr>FSE</vt:lpstr>
      <vt:lpstr>Inventário</vt:lpstr>
      <vt:lpstr>BEP + MC</vt:lpstr>
      <vt:lpstr>CF&amp;CV</vt:lpstr>
      <vt:lpstr>CMVMC</vt:lpstr>
      <vt:lpstr>Balanço + DR</vt:lpstr>
      <vt:lpstr>Financiamento</vt:lpstr>
      <vt:lpstr>Análise Financeira</vt:lpstr>
      <vt:lpstr>Orçamento tesouraria</vt:lpstr>
      <vt:lpstr>Orçamento Financeiro</vt:lpstr>
      <vt:lpstr>Análise Sensibilidade</vt:lpstr>
      <vt:lpstr>CMVMC!Print_Area</vt:lpstr>
      <vt:lpstr>'MD+Fase de Produção+Compras'!Print_Area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Microsoft Office User</cp:lastModifiedBy>
  <cp:lastPrinted>2020-11-20T13:21:40Z</cp:lastPrinted>
  <dcterms:created xsi:type="dcterms:W3CDTF">2020-11-08T19:38:48Z</dcterms:created>
  <dcterms:modified xsi:type="dcterms:W3CDTF">2020-11-28T16:41:52Z</dcterms:modified>
</cp:coreProperties>
</file>